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755" windowWidth="14820" windowHeight="706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</sheets>
  <externalReferences>
    <externalReference r:id="rId25"/>
    <externalReference r:id="rId26"/>
    <externalReference r:id="rId27"/>
    <externalReference r:id="rId28"/>
  </externalReferences>
  <definedNames>
    <definedName name="_C111">TH!$Q$10:$Q$2161</definedName>
    <definedName name="_C112">TH!$T$10:$T$2161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'112'!$A$10:$K$73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BTGT!$A$5:$Z$5</definedName>
    <definedName name="_xlnm._FilterDatabase" localSheetId="3" hidden="1">CTTK!$A$13:$J$15</definedName>
    <definedName name="_xlnm._FilterDatabase" localSheetId="12" hidden="1">NXT!$A$11:$N$382</definedName>
    <definedName name="_xlnm._FilterDatabase" localSheetId="1" hidden="1">TH!$A$9:$AD$2040</definedName>
    <definedName name="_xlnm._FilterDatabase" localSheetId="15" hidden="1">TK!$A$1:$J$1</definedName>
    <definedName name="_M">TH!$B$10:$B$2161</definedName>
    <definedName name="_N111">TH!$P$10:$P$2161</definedName>
    <definedName name="_N112">TH!$S$10:$S$2161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TH!$J$10:$J$2161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'131'!$B$6:$B$42</definedName>
    <definedName name="DSGT1">BTGT!$B$6:$B$55</definedName>
    <definedName name="DSGT2">BTGT!$B$63:$B$135</definedName>
    <definedName name="DSGT3">BTGT!$B$144:$B$242</definedName>
    <definedName name="DSGT4">BTGT!$B$250:$B$366</definedName>
    <definedName name="DSKH">'331'!$B$6:$B$16</definedName>
    <definedName name="DSKHusd">'[2]131'!$B$5:$B$15</definedName>
    <definedName name="DSSP1">BTGT!$B$6:$J$55</definedName>
    <definedName name="DSSP2">BTGT!$B$63:$J$135</definedName>
    <definedName name="DSSP3">BTGT!$B$144:$J$242</definedName>
    <definedName name="DSSP4">BTGT!$B$250:$J$366</definedName>
    <definedName name="DSTK">CDPS!$A$10:$D$53</definedName>
    <definedName name="DSTS1">'SO-TS'!$D$14:$D$17</definedName>
    <definedName name="DSTS2">'SO-TS'!#REF!</definedName>
    <definedName name="KH">TH!$H$10:$H$2161</definedName>
    <definedName name="KHC">TH!$M$10:$M$2161</definedName>
    <definedName name="KHN">TH!$L$10:$L$2161</definedName>
    <definedName name="Loai">OFFSET(TH!$N$5,,,COUNTA(TH!$N$5:$N$40471))</definedName>
    <definedName name="Loai1">OFFSET(TH!$O$5,,,COUNTA(TH!$O$5:$O$40471))</definedName>
    <definedName name="Loai2">OFFSET(TH!$R$5,,,COUNTA(TH!$R$5:$R$40471))</definedName>
    <definedName name="Loai3">OFFSET('SO-TS'!$P$14,,,COUNTA('SO-TS'!$P$14:$P$3889))</definedName>
    <definedName name="Loai4">OFFSET(TH!$U$5,,,COUNTA(TH!$U$5:$U$40471))</definedName>
    <definedName name="Loai5">OFFSET(TH!$V$5,,,COUNTA(TH!$V$5:$V$40471))</definedName>
    <definedName name="Loai6">OFFSET(TH!$Z$5,,,COUNTA(TH!$Z$5:$Z$40471))</definedName>
    <definedName name="Loai7">OFFSET(TH!$W$5,,,COUNTA(TH!$W$5:$W$40471))</definedName>
    <definedName name="Loai8">OFFSET(TH!$X$5,,,COUNTA(TH!$X$5:$X$40471))</definedName>
    <definedName name="Loai9">OFFSET(TH!$Y$5,,,COUNTA(TH!$Y$5:$Y$40471))</definedName>
    <definedName name="MH">TH!$F$10:$F$2161</definedName>
    <definedName name="NXT">NXT!$A$12:$A$704</definedName>
    <definedName name="_xlnm.Print_Area" localSheetId="4">'111'!$A$1:$J$78</definedName>
    <definedName name="_xlnm.Print_Area" localSheetId="6">'112'!$A$1:$I$81</definedName>
    <definedName name="_xlnm.Print_Area" localSheetId="7">'131'!$A$1:$H$50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'331'!$A$1:$H$25</definedName>
    <definedName name="_xlnm.Print_Area" localSheetId="10">'331-CT'!$A$1:$J$116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BTGT!$A$59:$J$136</definedName>
    <definedName name="_xlnm.Print_Area" localSheetId="3">CTTK!$A$2:$I$76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NXT!$B$1:$L$387</definedName>
    <definedName name="_xlnm.Print_Area" localSheetId="18">'SO-TS'!$A$1:$O$33</definedName>
    <definedName name="_xlnm.Print_Area" localSheetId="19">'THE-TS'!$A$2:$H$48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BTGT!$62:$62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TH!$I$10:$I$2161</definedName>
    <definedName name="TH">TH!$K$10:$K$2161</definedName>
    <definedName name="TM">TH!$A$10:$M$2161</definedName>
  </definedNames>
  <calcPr calcId="144525"/>
</workbook>
</file>

<file path=xl/calcChain.xml><?xml version="1.0" encoding="utf-8"?>
<calcChain xmlns="http://schemas.openxmlformats.org/spreadsheetml/2006/main">
  <c r="C1881" i="34" l="1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K1701" i="34"/>
  <c r="K1702" i="34"/>
  <c r="K1703" i="34"/>
  <c r="K1704" i="34"/>
  <c r="K1705" i="34"/>
  <c r="K1706" i="34"/>
  <c r="K1707" i="34"/>
  <c r="K1708" i="34"/>
  <c r="K1709" i="34"/>
  <c r="K1710" i="34"/>
  <c r="K1711" i="34"/>
  <c r="K1712" i="34"/>
  <c r="K1713" i="34"/>
  <c r="K1714" i="34"/>
  <c r="K1715" i="34"/>
  <c r="K1716" i="34"/>
  <c r="K1717" i="34"/>
  <c r="K1718" i="34"/>
  <c r="K1719" i="34"/>
  <c r="K1720" i="34"/>
  <c r="K1721" i="34"/>
  <c r="K1722" i="34"/>
  <c r="K1723" i="34"/>
  <c r="K1724" i="34"/>
  <c r="K1725" i="34"/>
  <c r="K1726" i="34"/>
  <c r="K1727" i="34"/>
  <c r="K1728" i="34"/>
  <c r="K1729" i="34"/>
  <c r="K1730" i="34"/>
  <c r="K1731" i="34"/>
  <c r="K1732" i="34"/>
  <c r="K1733" i="34"/>
  <c r="K1734" i="34"/>
  <c r="K1735" i="34"/>
  <c r="K1736" i="34"/>
  <c r="K1737" i="34"/>
  <c r="K1738" i="34"/>
  <c r="K1739" i="34"/>
  <c r="K1740" i="34"/>
  <c r="K1741" i="34"/>
  <c r="K1742" i="34"/>
  <c r="K1743" i="34"/>
  <c r="K1744" i="34"/>
  <c r="K1745" i="34"/>
  <c r="K1746" i="34"/>
  <c r="K1747" i="34"/>
  <c r="K1748" i="34"/>
  <c r="K1749" i="34"/>
  <c r="K1750" i="34"/>
  <c r="K1751" i="34"/>
  <c r="K1752" i="34"/>
  <c r="K1753" i="34"/>
  <c r="K1754" i="34"/>
  <c r="K1755" i="34"/>
  <c r="K1756" i="34"/>
  <c r="K1757" i="34"/>
  <c r="K1758" i="34"/>
  <c r="K1759" i="34"/>
  <c r="K1760" i="34"/>
  <c r="K1761" i="34"/>
  <c r="K1762" i="34"/>
  <c r="K1763" i="34"/>
  <c r="K1764" i="34"/>
  <c r="K1765" i="34"/>
  <c r="K1766" i="34"/>
  <c r="K1767" i="34"/>
  <c r="K1768" i="34"/>
  <c r="K1769" i="34"/>
  <c r="K1770" i="34"/>
  <c r="K1771" i="34"/>
  <c r="K1772" i="34"/>
  <c r="K1773" i="34"/>
  <c r="K1774" i="34"/>
  <c r="K1775" i="34"/>
  <c r="K1776" i="34"/>
  <c r="K1777" i="34"/>
  <c r="K1778" i="34"/>
  <c r="K1779" i="34"/>
  <c r="K1780" i="34"/>
  <c r="K1781" i="34"/>
  <c r="K1782" i="34"/>
  <c r="K1783" i="34"/>
  <c r="K1784" i="34"/>
  <c r="K1785" i="34"/>
  <c r="K1786" i="34"/>
  <c r="K1787" i="34"/>
  <c r="K1788" i="34"/>
  <c r="K1789" i="34"/>
  <c r="K1790" i="34"/>
  <c r="K1791" i="34"/>
  <c r="K1792" i="34"/>
  <c r="K1793" i="34"/>
  <c r="K1794" i="34"/>
  <c r="K1795" i="34"/>
  <c r="K1796" i="34"/>
  <c r="K1797" i="34"/>
  <c r="K1798" i="34"/>
  <c r="K1799" i="34"/>
  <c r="K1800" i="34"/>
  <c r="K1801" i="34"/>
  <c r="K1802" i="34"/>
  <c r="K1803" i="34"/>
  <c r="K1804" i="34"/>
  <c r="K1805" i="34"/>
  <c r="K1806" i="34"/>
  <c r="K1807" i="34"/>
  <c r="K1808" i="34"/>
  <c r="K1809" i="34"/>
  <c r="K1810" i="34"/>
  <c r="K1811" i="34"/>
  <c r="K1812" i="34"/>
  <c r="K1813" i="34"/>
  <c r="K1814" i="34"/>
  <c r="K1815" i="34"/>
  <c r="K1816" i="34"/>
  <c r="K1817" i="34"/>
  <c r="K1818" i="34"/>
  <c r="K1819" i="34"/>
  <c r="K1820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1842" i="34"/>
  <c r="K1843" i="34"/>
  <c r="K1844" i="34"/>
  <c r="K1845" i="34"/>
  <c r="K1846" i="34"/>
  <c r="K1847" i="34"/>
  <c r="K1848" i="34"/>
  <c r="K1849" i="34"/>
  <c r="K1850" i="34"/>
  <c r="K1851" i="34"/>
  <c r="K1852" i="34"/>
  <c r="K1853" i="34"/>
  <c r="K1854" i="34"/>
  <c r="K1855" i="34"/>
  <c r="K1856" i="34"/>
  <c r="K1857" i="34"/>
  <c r="K1858" i="34"/>
  <c r="K1859" i="34"/>
  <c r="K1860" i="34"/>
  <c r="K1861" i="34"/>
  <c r="K1862" i="34"/>
  <c r="K1863" i="34"/>
  <c r="K1864" i="34"/>
  <c r="K1865" i="34"/>
  <c r="K1866" i="34"/>
  <c r="K1867" i="34"/>
  <c r="K1868" i="34"/>
  <c r="K1869" i="34"/>
  <c r="K1870" i="34"/>
  <c r="K1871" i="34"/>
  <c r="K1872" i="34"/>
  <c r="K1873" i="34"/>
  <c r="K1874" i="34"/>
  <c r="K1875" i="34"/>
  <c r="K1876" i="34"/>
  <c r="K1877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889" i="34"/>
  <c r="K1890" i="34"/>
  <c r="K1891" i="34"/>
  <c r="K1892" i="34"/>
  <c r="K1893" i="34"/>
  <c r="K1894" i="34"/>
  <c r="K1895" i="34"/>
  <c r="K1896" i="34"/>
  <c r="K1897" i="34"/>
  <c r="K1898" i="34"/>
  <c r="K1899" i="34"/>
  <c r="K1900" i="34"/>
  <c r="K1901" i="34"/>
  <c r="K1902" i="34"/>
  <c r="K1903" i="34"/>
  <c r="K1904" i="34"/>
  <c r="K1905" i="34"/>
  <c r="K1906" i="34"/>
  <c r="K1907" i="34"/>
  <c r="K1908" i="34"/>
  <c r="K1909" i="34"/>
  <c r="K1910" i="34"/>
  <c r="K1911" i="34"/>
  <c r="K1912" i="34"/>
  <c r="K1913" i="34"/>
  <c r="K1914" i="34"/>
  <c r="K1915" i="34"/>
  <c r="K1916" i="34"/>
  <c r="K1917" i="34"/>
  <c r="K1918" i="34"/>
  <c r="K1919" i="34"/>
  <c r="K1920" i="34"/>
  <c r="K1921" i="34"/>
  <c r="K1922" i="34"/>
  <c r="K1923" i="34"/>
  <c r="K1924" i="34"/>
  <c r="K1925" i="34"/>
  <c r="K1926" i="34"/>
  <c r="K1927" i="34"/>
  <c r="K1928" i="34"/>
  <c r="K1929" i="34"/>
  <c r="K1930" i="34"/>
  <c r="K1931" i="34"/>
  <c r="K1932" i="34"/>
  <c r="K1933" i="34"/>
  <c r="K1934" i="34"/>
  <c r="K1935" i="34"/>
  <c r="K1936" i="34"/>
  <c r="K1937" i="34"/>
  <c r="K1938" i="34"/>
  <c r="K1939" i="34"/>
  <c r="K1940" i="34"/>
  <c r="K1941" i="34"/>
  <c r="K1942" i="34"/>
  <c r="K1943" i="34"/>
  <c r="K1944" i="34"/>
  <c r="K1945" i="34"/>
  <c r="K1946" i="34"/>
  <c r="K1947" i="34"/>
  <c r="K1948" i="34"/>
  <c r="K1949" i="34"/>
  <c r="K1950" i="34"/>
  <c r="K1951" i="34"/>
  <c r="K1952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64" i="34"/>
  <c r="K1965" i="34"/>
  <c r="K1966" i="34"/>
  <c r="K1967" i="34"/>
  <c r="K1968" i="34"/>
  <c r="K1969" i="34"/>
  <c r="K1970" i="34"/>
  <c r="K1971" i="34"/>
  <c r="K1972" i="34"/>
  <c r="K1973" i="34"/>
  <c r="K1974" i="34"/>
  <c r="K1975" i="34"/>
  <c r="K1976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15" i="34"/>
  <c r="K2016" i="34"/>
  <c r="K2017" i="34"/>
  <c r="K2018" i="34"/>
  <c r="K2019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1700" i="34"/>
  <c r="K1623" i="34"/>
  <c r="K1624" i="34"/>
  <c r="K1625" i="34"/>
  <c r="K1626" i="34"/>
  <c r="K1627" i="34"/>
  <c r="K1628" i="34"/>
  <c r="K1629" i="34"/>
  <c r="K1630" i="34"/>
  <c r="K1631" i="34"/>
  <c r="K1632" i="34"/>
  <c r="K1633" i="34"/>
  <c r="K1634" i="34"/>
  <c r="K1635" i="34"/>
  <c r="K1636" i="34"/>
  <c r="K1637" i="34"/>
  <c r="K1638" i="34"/>
  <c r="K1639" i="34"/>
  <c r="K1640" i="34"/>
  <c r="K1641" i="34"/>
  <c r="K1642" i="34"/>
  <c r="K1643" i="34"/>
  <c r="K1644" i="34"/>
  <c r="K1645" i="34"/>
  <c r="K1646" i="34"/>
  <c r="K1647" i="34"/>
  <c r="K1648" i="34"/>
  <c r="K1649" i="34"/>
  <c r="K1650" i="34"/>
  <c r="K1651" i="34"/>
  <c r="K1652" i="34"/>
  <c r="K1653" i="34"/>
  <c r="K1654" i="34"/>
  <c r="K1655" i="34"/>
  <c r="K1656" i="34"/>
  <c r="K1657" i="34"/>
  <c r="K1658" i="34"/>
  <c r="K1659" i="34"/>
  <c r="K1660" i="34"/>
  <c r="K1661" i="34"/>
  <c r="K1662" i="34"/>
  <c r="K1663" i="34"/>
  <c r="K1664" i="34"/>
  <c r="K1665" i="34"/>
  <c r="K1666" i="34"/>
  <c r="K1667" i="34"/>
  <c r="K1668" i="34"/>
  <c r="K1669" i="34"/>
  <c r="K1670" i="34"/>
  <c r="K1671" i="34"/>
  <c r="K1672" i="34"/>
  <c r="K1673" i="34"/>
  <c r="K1674" i="34"/>
  <c r="K1675" i="34"/>
  <c r="K1676" i="34"/>
  <c r="K1677" i="34"/>
  <c r="K1678" i="34"/>
  <c r="K1679" i="34"/>
  <c r="K1680" i="34"/>
  <c r="K1681" i="34"/>
  <c r="K1682" i="34"/>
  <c r="K1683" i="34"/>
  <c r="K1684" i="34"/>
  <c r="K1685" i="34"/>
  <c r="K1686" i="34"/>
  <c r="K1687" i="34"/>
  <c r="K1688" i="34"/>
  <c r="K1689" i="34"/>
  <c r="K1690" i="34"/>
  <c r="K1691" i="34"/>
  <c r="K1692" i="34"/>
  <c r="K1693" i="34"/>
  <c r="K1694" i="34"/>
  <c r="K1695" i="34"/>
  <c r="K1696" i="34"/>
  <c r="K1697" i="34"/>
  <c r="K1698" i="34"/>
  <c r="K1699" i="34"/>
  <c r="N251" i="60"/>
  <c r="N252" i="60"/>
  <c r="N253" i="60"/>
  <c r="N254" i="60"/>
  <c r="N255" i="60"/>
  <c r="N256" i="60"/>
  <c r="N257" i="60"/>
  <c r="N258" i="60"/>
  <c r="N259" i="60"/>
  <c r="N260" i="60"/>
  <c r="N261" i="60"/>
  <c r="N262" i="60"/>
  <c r="N263" i="60"/>
  <c r="N264" i="60"/>
  <c r="N265" i="60"/>
  <c r="N266" i="60"/>
  <c r="N267" i="60"/>
  <c r="N268" i="60"/>
  <c r="N269" i="60"/>
  <c r="N270" i="60"/>
  <c r="N271" i="60"/>
  <c r="N272" i="60"/>
  <c r="N273" i="60"/>
  <c r="N274" i="60"/>
  <c r="N275" i="60"/>
  <c r="N276" i="60"/>
  <c r="N277" i="60"/>
  <c r="N278" i="60"/>
  <c r="N279" i="60"/>
  <c r="N280" i="60"/>
  <c r="N281" i="60"/>
  <c r="N282" i="60"/>
  <c r="N283" i="60"/>
  <c r="N284" i="60"/>
  <c r="N285" i="60"/>
  <c r="N286" i="60"/>
  <c r="N287" i="60"/>
  <c r="N288" i="60"/>
  <c r="N289" i="60"/>
  <c r="N290" i="60"/>
  <c r="N291" i="60"/>
  <c r="N292" i="60"/>
  <c r="N293" i="60"/>
  <c r="N294" i="60"/>
  <c r="N295" i="60"/>
  <c r="N296" i="60"/>
  <c r="N297" i="60"/>
  <c r="N298" i="60"/>
  <c r="N299" i="60"/>
  <c r="N300" i="60"/>
  <c r="N301" i="60"/>
  <c r="N302" i="60"/>
  <c r="N303" i="60"/>
  <c r="N304" i="60"/>
  <c r="N305" i="60"/>
  <c r="N306" i="60"/>
  <c r="N307" i="60"/>
  <c r="N308" i="60"/>
  <c r="N309" i="60"/>
  <c r="N310" i="60"/>
  <c r="N311" i="60"/>
  <c r="N312" i="60"/>
  <c r="N313" i="60"/>
  <c r="N314" i="60"/>
  <c r="N315" i="60"/>
  <c r="N316" i="60"/>
  <c r="N317" i="60"/>
  <c r="N318" i="60"/>
  <c r="N319" i="60"/>
  <c r="N320" i="60"/>
  <c r="N321" i="60"/>
  <c r="N322" i="60"/>
  <c r="N323" i="60"/>
  <c r="N324" i="60"/>
  <c r="N325" i="60"/>
  <c r="N326" i="60"/>
  <c r="N327" i="60"/>
  <c r="N328" i="60"/>
  <c r="N329" i="60"/>
  <c r="N330" i="60"/>
  <c r="N331" i="60"/>
  <c r="N332" i="60"/>
  <c r="N333" i="60"/>
  <c r="N334" i="60"/>
  <c r="N335" i="60"/>
  <c r="N336" i="60"/>
  <c r="N337" i="60"/>
  <c r="N338" i="60"/>
  <c r="N339" i="60"/>
  <c r="N340" i="60"/>
  <c r="N341" i="60"/>
  <c r="N342" i="60"/>
  <c r="N343" i="60"/>
  <c r="N344" i="60"/>
  <c r="N345" i="60"/>
  <c r="N346" i="60"/>
  <c r="N347" i="60"/>
  <c r="N348" i="60"/>
  <c r="N349" i="60"/>
  <c r="N350" i="60"/>
  <c r="N351" i="60"/>
  <c r="N352" i="60"/>
  <c r="N353" i="60"/>
  <c r="N354" i="60"/>
  <c r="N355" i="60"/>
  <c r="N356" i="60"/>
  <c r="N357" i="60"/>
  <c r="N358" i="60"/>
  <c r="N359" i="60"/>
  <c r="N360" i="60"/>
  <c r="N361" i="60"/>
  <c r="N362" i="60"/>
  <c r="N363" i="60"/>
  <c r="N364" i="60"/>
  <c r="N365" i="60"/>
  <c r="N250" i="60"/>
  <c r="N145" i="60"/>
  <c r="N146" i="60"/>
  <c r="N147" i="60"/>
  <c r="N148" i="60"/>
  <c r="N149" i="60"/>
  <c r="N150" i="60"/>
  <c r="N151" i="60"/>
  <c r="N152" i="60"/>
  <c r="N153" i="60"/>
  <c r="N154" i="60"/>
  <c r="N155" i="60"/>
  <c r="N156" i="60"/>
  <c r="N157" i="60"/>
  <c r="N158" i="60"/>
  <c r="N159" i="60"/>
  <c r="N160" i="60"/>
  <c r="N161" i="60"/>
  <c r="N162" i="60"/>
  <c r="N163" i="60"/>
  <c r="N164" i="60"/>
  <c r="N165" i="60"/>
  <c r="N166" i="60"/>
  <c r="N167" i="60"/>
  <c r="N168" i="60"/>
  <c r="N169" i="60"/>
  <c r="N170" i="60"/>
  <c r="N171" i="60"/>
  <c r="N172" i="60"/>
  <c r="N173" i="60"/>
  <c r="N174" i="60"/>
  <c r="N175" i="60"/>
  <c r="N176" i="60"/>
  <c r="N177" i="60"/>
  <c r="N178" i="60"/>
  <c r="N179" i="60"/>
  <c r="N180" i="60"/>
  <c r="N181" i="60"/>
  <c r="N182" i="60"/>
  <c r="N183" i="60"/>
  <c r="N184" i="60"/>
  <c r="N185" i="60"/>
  <c r="N186" i="60"/>
  <c r="N187" i="60"/>
  <c r="N188" i="60"/>
  <c r="N189" i="60"/>
  <c r="N190" i="60"/>
  <c r="N191" i="60"/>
  <c r="N192" i="60"/>
  <c r="N193" i="60"/>
  <c r="N194" i="60"/>
  <c r="N195" i="60"/>
  <c r="N196" i="60"/>
  <c r="N197" i="60"/>
  <c r="N198" i="60"/>
  <c r="N199" i="60"/>
  <c r="N200" i="60"/>
  <c r="N201" i="60"/>
  <c r="N202" i="60"/>
  <c r="N203" i="60"/>
  <c r="N204" i="60"/>
  <c r="N205" i="60"/>
  <c r="N206" i="60"/>
  <c r="N207" i="60"/>
  <c r="N208" i="60"/>
  <c r="N209" i="60"/>
  <c r="N210" i="60"/>
  <c r="N211" i="60"/>
  <c r="N212" i="60"/>
  <c r="N213" i="60"/>
  <c r="N214" i="60"/>
  <c r="N215" i="60"/>
  <c r="N216" i="60"/>
  <c r="N217" i="60"/>
  <c r="N218" i="60"/>
  <c r="N219" i="60"/>
  <c r="N220" i="60"/>
  <c r="N221" i="60"/>
  <c r="N222" i="60"/>
  <c r="N223" i="60"/>
  <c r="N224" i="60"/>
  <c r="N225" i="60"/>
  <c r="N226" i="60"/>
  <c r="N227" i="60"/>
  <c r="N228" i="60"/>
  <c r="N229" i="60"/>
  <c r="N230" i="60"/>
  <c r="N231" i="60"/>
  <c r="N232" i="60"/>
  <c r="N233" i="60"/>
  <c r="N234" i="60"/>
  <c r="N235" i="60"/>
  <c r="N236" i="60"/>
  <c r="N237" i="60"/>
  <c r="N238" i="60"/>
  <c r="N239" i="60"/>
  <c r="N240" i="60"/>
  <c r="N241" i="60"/>
  <c r="N144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N102" i="60"/>
  <c r="N103" i="60"/>
  <c r="N104" i="60"/>
  <c r="N105" i="60"/>
  <c r="N106" i="60"/>
  <c r="N107" i="60"/>
  <c r="N108" i="60"/>
  <c r="N109" i="60"/>
  <c r="N110" i="60"/>
  <c r="N111" i="60"/>
  <c r="N112" i="60"/>
  <c r="N113" i="60"/>
  <c r="N114" i="60"/>
  <c r="N115" i="60"/>
  <c r="N116" i="60"/>
  <c r="N117" i="60"/>
  <c r="N118" i="60"/>
  <c r="N119" i="60"/>
  <c r="N120" i="60"/>
  <c r="N121" i="60"/>
  <c r="N122" i="60"/>
  <c r="N123" i="60"/>
  <c r="N124" i="60"/>
  <c r="N125" i="60"/>
  <c r="N126" i="60"/>
  <c r="N127" i="60"/>
  <c r="N128" i="60"/>
  <c r="N129" i="60"/>
  <c r="N130" i="60"/>
  <c r="N131" i="60"/>
  <c r="N132" i="60"/>
  <c r="N133" i="60"/>
  <c r="N134" i="60"/>
  <c r="N63" i="60"/>
  <c r="K1031" i="34"/>
  <c r="K1032" i="34"/>
  <c r="K1033" i="34"/>
  <c r="K1034" i="34"/>
  <c r="K1035" i="34"/>
  <c r="K1036" i="34"/>
  <c r="K1037" i="34"/>
  <c r="K1038" i="34"/>
  <c r="K1039" i="34"/>
  <c r="K1040" i="34"/>
  <c r="K1041" i="34"/>
  <c r="K1042" i="34"/>
  <c r="K1043" i="34"/>
  <c r="K1044" i="34"/>
  <c r="K1045" i="34"/>
  <c r="K1046" i="34"/>
  <c r="K1047" i="34"/>
  <c r="K1048" i="34"/>
  <c r="K1049" i="34"/>
  <c r="K1050" i="34"/>
  <c r="K1051" i="34"/>
  <c r="K1052" i="34"/>
  <c r="K1053" i="34"/>
  <c r="K1054" i="34"/>
  <c r="K1055" i="34"/>
  <c r="K1056" i="34"/>
  <c r="K1057" i="34"/>
  <c r="K1058" i="34"/>
  <c r="K1059" i="34"/>
  <c r="K1060" i="34"/>
  <c r="K1061" i="34"/>
  <c r="K1062" i="34"/>
  <c r="K1063" i="34"/>
  <c r="K1064" i="34"/>
  <c r="K1065" i="34"/>
  <c r="K1066" i="34"/>
  <c r="K1067" i="34"/>
  <c r="K1068" i="34"/>
  <c r="K1069" i="34"/>
  <c r="K1070" i="34"/>
  <c r="K1071" i="34"/>
  <c r="K1072" i="34"/>
  <c r="K1073" i="34"/>
  <c r="K1074" i="34"/>
  <c r="K1075" i="34"/>
  <c r="K1076" i="34"/>
  <c r="K1077" i="34"/>
  <c r="K1078" i="34"/>
  <c r="K1079" i="34"/>
  <c r="K1080" i="34"/>
  <c r="K1081" i="34"/>
  <c r="K1082" i="34"/>
  <c r="K1083" i="34"/>
  <c r="K1084" i="34"/>
  <c r="K1085" i="34"/>
  <c r="K1086" i="34"/>
  <c r="K1087" i="34"/>
  <c r="K1088" i="34"/>
  <c r="K1089" i="34"/>
  <c r="K1090" i="34"/>
  <c r="K1091" i="34"/>
  <c r="K1092" i="34"/>
  <c r="K1093" i="34"/>
  <c r="K1094" i="34"/>
  <c r="K1095" i="34"/>
  <c r="K1096" i="34"/>
  <c r="K1097" i="34"/>
  <c r="K1098" i="34"/>
  <c r="K1099" i="34"/>
  <c r="K1100" i="34"/>
  <c r="K1101" i="34"/>
  <c r="K1102" i="34"/>
  <c r="K1103" i="34"/>
  <c r="K1104" i="34"/>
  <c r="K1105" i="34"/>
  <c r="K1106" i="34"/>
  <c r="K1107" i="34"/>
  <c r="K1108" i="34"/>
  <c r="K1109" i="34"/>
  <c r="K1110" i="34"/>
  <c r="K1111" i="34"/>
  <c r="K1112" i="34"/>
  <c r="K1113" i="34"/>
  <c r="K1114" i="34"/>
  <c r="K1115" i="34"/>
  <c r="K1116" i="34"/>
  <c r="K1117" i="34"/>
  <c r="K1118" i="34"/>
  <c r="K1119" i="34"/>
  <c r="K1120" i="34"/>
  <c r="K1121" i="34"/>
  <c r="K1122" i="34"/>
  <c r="K1123" i="34"/>
  <c r="K1124" i="34"/>
  <c r="K1125" i="34"/>
  <c r="K1126" i="34"/>
  <c r="K1127" i="34"/>
  <c r="K1128" i="34"/>
  <c r="K1129" i="34"/>
  <c r="K1130" i="34"/>
  <c r="K1131" i="34"/>
  <c r="K1132" i="34"/>
  <c r="K1133" i="34"/>
  <c r="K1134" i="34"/>
  <c r="K1135" i="34"/>
  <c r="K1136" i="34"/>
  <c r="K1137" i="34"/>
  <c r="K1138" i="34"/>
  <c r="K1139" i="34"/>
  <c r="K1140" i="34"/>
  <c r="K1141" i="34"/>
  <c r="K1142" i="34"/>
  <c r="K1143" i="34"/>
  <c r="K1144" i="34"/>
  <c r="K1145" i="34"/>
  <c r="K1146" i="34"/>
  <c r="K1147" i="34"/>
  <c r="K1148" i="34"/>
  <c r="K1149" i="34"/>
  <c r="K1150" i="34"/>
  <c r="K1151" i="34"/>
  <c r="K1152" i="34"/>
  <c r="K1153" i="34"/>
  <c r="K1154" i="34"/>
  <c r="K1155" i="34"/>
  <c r="K1156" i="34"/>
  <c r="K1157" i="34"/>
  <c r="K1158" i="34"/>
  <c r="K1159" i="34"/>
  <c r="K1160" i="34"/>
  <c r="K1161" i="34"/>
  <c r="K1162" i="34"/>
  <c r="K1163" i="34"/>
  <c r="K1164" i="34"/>
  <c r="K1165" i="34"/>
  <c r="K1166" i="34"/>
  <c r="K1167" i="34"/>
  <c r="K1168" i="34"/>
  <c r="K1169" i="34"/>
  <c r="K1170" i="34"/>
  <c r="K1171" i="34"/>
  <c r="K1172" i="34"/>
  <c r="K1173" i="34"/>
  <c r="K117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192" i="34"/>
  <c r="K1193" i="34"/>
  <c r="K1194" i="34"/>
  <c r="K1195" i="34"/>
  <c r="K1196" i="34"/>
  <c r="K1197" i="34"/>
  <c r="K1198" i="34"/>
  <c r="K1199" i="34"/>
  <c r="K1200" i="34"/>
  <c r="K1201" i="34"/>
  <c r="K1202" i="34"/>
  <c r="K1203" i="34"/>
  <c r="K1204" i="34"/>
  <c r="K1205" i="34"/>
  <c r="K1206" i="34"/>
  <c r="K1207" i="34"/>
  <c r="K1208" i="34"/>
  <c r="K1209" i="34"/>
  <c r="K1210" i="34"/>
  <c r="K1211" i="34"/>
  <c r="K1212" i="34"/>
  <c r="K1213" i="34"/>
  <c r="K1214" i="34"/>
  <c r="K1215" i="34"/>
  <c r="K1216" i="34"/>
  <c r="K1217" i="34"/>
  <c r="K1218" i="34"/>
  <c r="K1219" i="34"/>
  <c r="K1220" i="34"/>
  <c r="K1221" i="34"/>
  <c r="K1222" i="34"/>
  <c r="K1223" i="34"/>
  <c r="K1224" i="34"/>
  <c r="K1225" i="34"/>
  <c r="K1226" i="34"/>
  <c r="K1227" i="34"/>
  <c r="K1228" i="34"/>
  <c r="K1229" i="34"/>
  <c r="K1230" i="34"/>
  <c r="K1231" i="34"/>
  <c r="K1232" i="34"/>
  <c r="K1233" i="34"/>
  <c r="K1234" i="34"/>
  <c r="K1235" i="34"/>
  <c r="K1236" i="34"/>
  <c r="K1237" i="34"/>
  <c r="K1238" i="34"/>
  <c r="K1239" i="34"/>
  <c r="K1240" i="34"/>
  <c r="K1241" i="34"/>
  <c r="K1242" i="34"/>
  <c r="K1243" i="34"/>
  <c r="K1244" i="34"/>
  <c r="K1245" i="34"/>
  <c r="K1246" i="34"/>
  <c r="K1247" i="34"/>
  <c r="K1248" i="34"/>
  <c r="K1249" i="34"/>
  <c r="K1250" i="34"/>
  <c r="K1251" i="34"/>
  <c r="K1252" i="34"/>
  <c r="K1253" i="34"/>
  <c r="K1254" i="34"/>
  <c r="K1255" i="34"/>
  <c r="K1256" i="34"/>
  <c r="K1257" i="34"/>
  <c r="K1258" i="34"/>
  <c r="K1259" i="34"/>
  <c r="K1260" i="34"/>
  <c r="K1261" i="34"/>
  <c r="K1262" i="34"/>
  <c r="K1263" i="34"/>
  <c r="K1264" i="34"/>
  <c r="K1265" i="34"/>
  <c r="K1266" i="34"/>
  <c r="K1267" i="34"/>
  <c r="K1268" i="34"/>
  <c r="K1269" i="34"/>
  <c r="K1270" i="34"/>
  <c r="K1271" i="34"/>
  <c r="K1272" i="34"/>
  <c r="K1273" i="34"/>
  <c r="K1274" i="34"/>
  <c r="K1275" i="34"/>
  <c r="K1276" i="34"/>
  <c r="K1277" i="34"/>
  <c r="K1278" i="34"/>
  <c r="K1279" i="34"/>
  <c r="K1280" i="34"/>
  <c r="K1281" i="34"/>
  <c r="K1282" i="34"/>
  <c r="K1283" i="34"/>
  <c r="K1284" i="34"/>
  <c r="K1285" i="34"/>
  <c r="K1286" i="34"/>
  <c r="K1287" i="34"/>
  <c r="K1288" i="34"/>
  <c r="K1289" i="34"/>
  <c r="K1290" i="34"/>
  <c r="K1291" i="34"/>
  <c r="K1292" i="34"/>
  <c r="K1293" i="34"/>
  <c r="K1294" i="34"/>
  <c r="K1295" i="34"/>
  <c r="K1296" i="34"/>
  <c r="K1297" i="34"/>
  <c r="K1298" i="34"/>
  <c r="K1299" i="34"/>
  <c r="K1300" i="34"/>
  <c r="K1301" i="34"/>
  <c r="K1302" i="34"/>
  <c r="K1303" i="34"/>
  <c r="K1304" i="34"/>
  <c r="K1305" i="34"/>
  <c r="K1306" i="34"/>
  <c r="K1307" i="34"/>
  <c r="K1308" i="34"/>
  <c r="K1309" i="34"/>
  <c r="K1310" i="34"/>
  <c r="K1311" i="34"/>
  <c r="K1312" i="34"/>
  <c r="K1313" i="34"/>
  <c r="K1314" i="34"/>
  <c r="K1315" i="34"/>
  <c r="K1316" i="34"/>
  <c r="K1317" i="34"/>
  <c r="K1318" i="34"/>
  <c r="K1319" i="34"/>
  <c r="K1320" i="34"/>
  <c r="K1321" i="34"/>
  <c r="K1322" i="34"/>
  <c r="K1323" i="34"/>
  <c r="K1324" i="34"/>
  <c r="K1325" i="34"/>
  <c r="K1326" i="34"/>
  <c r="K1327" i="34"/>
  <c r="K1328" i="34"/>
  <c r="K1329" i="34"/>
  <c r="K1330" i="34"/>
  <c r="K1331" i="34"/>
  <c r="K1332" i="34"/>
  <c r="K1333" i="34"/>
  <c r="K1334" i="34"/>
  <c r="K1335" i="34"/>
  <c r="K1336" i="34"/>
  <c r="K1337" i="34"/>
  <c r="K1338" i="34"/>
  <c r="K1339" i="34"/>
  <c r="K1340" i="34"/>
  <c r="K1341" i="34"/>
  <c r="K1342" i="34"/>
  <c r="K1343" i="34"/>
  <c r="K1344" i="34"/>
  <c r="K1345" i="34"/>
  <c r="K1346" i="34"/>
  <c r="K1347" i="34"/>
  <c r="K1348" i="34"/>
  <c r="K1349" i="34"/>
  <c r="K1350" i="34"/>
  <c r="K1351" i="34"/>
  <c r="K1352" i="34"/>
  <c r="K1353" i="34"/>
  <c r="K1354" i="34"/>
  <c r="K1355" i="34"/>
  <c r="K1356" i="34"/>
  <c r="K1357" i="34"/>
  <c r="K1358" i="34"/>
  <c r="K1359" i="34"/>
  <c r="K1360" i="34"/>
  <c r="K1361" i="34"/>
  <c r="K1362" i="34"/>
  <c r="K1363" i="34"/>
  <c r="K1364" i="34"/>
  <c r="K1365" i="34"/>
  <c r="K1366" i="34"/>
  <c r="K1367" i="34"/>
  <c r="K1368" i="34"/>
  <c r="K1369" i="34"/>
  <c r="K1370" i="34"/>
  <c r="K1371" i="34"/>
  <c r="K1372" i="34"/>
  <c r="K1373" i="34"/>
  <c r="K1374" i="34"/>
  <c r="K1375" i="34"/>
  <c r="K1376" i="34"/>
  <c r="K1377" i="34"/>
  <c r="K1378" i="34"/>
  <c r="K1379" i="34"/>
  <c r="K1380" i="34"/>
  <c r="K1381" i="34"/>
  <c r="K1382" i="34"/>
  <c r="K1383" i="34"/>
  <c r="K1384" i="34"/>
  <c r="K1385" i="34"/>
  <c r="K1386" i="34"/>
  <c r="K1387" i="34"/>
  <c r="K1388" i="34"/>
  <c r="K1389" i="34"/>
  <c r="K1390" i="34"/>
  <c r="K1391" i="34"/>
  <c r="K1392" i="34"/>
  <c r="K1393" i="34"/>
  <c r="K1394" i="34"/>
  <c r="K1395" i="34"/>
  <c r="K1396" i="34"/>
  <c r="K1397" i="34"/>
  <c r="K1398" i="34"/>
  <c r="K1399" i="34"/>
  <c r="K1400" i="34"/>
  <c r="K1401" i="34"/>
  <c r="K1402" i="34"/>
  <c r="K1403" i="34"/>
  <c r="K1404" i="34"/>
  <c r="K1405" i="34"/>
  <c r="K1406" i="34"/>
  <c r="K1407" i="34"/>
  <c r="K1408" i="34"/>
  <c r="K1409" i="34"/>
  <c r="K1410" i="34"/>
  <c r="K1411" i="34"/>
  <c r="K1412" i="34"/>
  <c r="K1413" i="34"/>
  <c r="K1414" i="34"/>
  <c r="K1415" i="34"/>
  <c r="K1416" i="34"/>
  <c r="K1417" i="34"/>
  <c r="K1418" i="34"/>
  <c r="K1419" i="34"/>
  <c r="K1420" i="34"/>
  <c r="K1421" i="34"/>
  <c r="K1422" i="34"/>
  <c r="K1423" i="34"/>
  <c r="K1424" i="34"/>
  <c r="K1425" i="34"/>
  <c r="K1426" i="34"/>
  <c r="K1427" i="34"/>
  <c r="K1428" i="34"/>
  <c r="K1429" i="34"/>
  <c r="K1430" i="34"/>
  <c r="K1431" i="34"/>
  <c r="K1432" i="34"/>
  <c r="K1433" i="34"/>
  <c r="K1434" i="34"/>
  <c r="K1435" i="34"/>
  <c r="K1436" i="34"/>
  <c r="K1437" i="34"/>
  <c r="K1438" i="34"/>
  <c r="K1439" i="34"/>
  <c r="K1440" i="34"/>
  <c r="K1441" i="34"/>
  <c r="K1442" i="34"/>
  <c r="K1443" i="34"/>
  <c r="K1444" i="34"/>
  <c r="K1445" i="34"/>
  <c r="K1446" i="34"/>
  <c r="K1447" i="34"/>
  <c r="K1448" i="34"/>
  <c r="K1449" i="34"/>
  <c r="K1450" i="34"/>
  <c r="K1451" i="34"/>
  <c r="K1452" i="34"/>
  <c r="K1453" i="34"/>
  <c r="K1454" i="34"/>
  <c r="K1455" i="34"/>
  <c r="K1456" i="34"/>
  <c r="K1457" i="34"/>
  <c r="K1458" i="34"/>
  <c r="K1459" i="34"/>
  <c r="K1460" i="34"/>
  <c r="K1461" i="34"/>
  <c r="K1462" i="34"/>
  <c r="K1463" i="34"/>
  <c r="K1464" i="34"/>
  <c r="K1465" i="34"/>
  <c r="K1466" i="34"/>
  <c r="K1467" i="34"/>
  <c r="K1468" i="34"/>
  <c r="K1469" i="34"/>
  <c r="K1470" i="34"/>
  <c r="K1471" i="34"/>
  <c r="K1472" i="34"/>
  <c r="K1473" i="34"/>
  <c r="K1474" i="34"/>
  <c r="K1475" i="34"/>
  <c r="K1476" i="34"/>
  <c r="K1477" i="34"/>
  <c r="K1478" i="34"/>
  <c r="K1479" i="34"/>
  <c r="K1480" i="34"/>
  <c r="K1481" i="34"/>
  <c r="K1482" i="34"/>
  <c r="K1483" i="34"/>
  <c r="K1484" i="34"/>
  <c r="K1485" i="34"/>
  <c r="K1486" i="34"/>
  <c r="K1487" i="34"/>
  <c r="K1488" i="34"/>
  <c r="K1489" i="34"/>
  <c r="K1490" i="34"/>
  <c r="K1491" i="34"/>
  <c r="K1492" i="34"/>
  <c r="K1493" i="34"/>
  <c r="K1494" i="34"/>
  <c r="K1495" i="34"/>
  <c r="K1496" i="34"/>
  <c r="K1497" i="34"/>
  <c r="K1498" i="34"/>
  <c r="K1499" i="34"/>
  <c r="K1500" i="34"/>
  <c r="K1501" i="34"/>
  <c r="K1502" i="34"/>
  <c r="K1503" i="34"/>
  <c r="K1504" i="34"/>
  <c r="K1505" i="34"/>
  <c r="K1506" i="34"/>
  <c r="K1507" i="34"/>
  <c r="K1508" i="34"/>
  <c r="K1509" i="34"/>
  <c r="K1510" i="34"/>
  <c r="K1511" i="34"/>
  <c r="K1512" i="34"/>
  <c r="K1513" i="34"/>
  <c r="K1514" i="34"/>
  <c r="K1515" i="34"/>
  <c r="K1516" i="34"/>
  <c r="K1517" i="34"/>
  <c r="K1518" i="34"/>
  <c r="K1519" i="34"/>
  <c r="K1520" i="34"/>
  <c r="K1521" i="34"/>
  <c r="K1522" i="34"/>
  <c r="K1523" i="34"/>
  <c r="K1524" i="34"/>
  <c r="K1525" i="34"/>
  <c r="K1526" i="34"/>
  <c r="K1527" i="34"/>
  <c r="K1528" i="34"/>
  <c r="K1529" i="34"/>
  <c r="K1530" i="34"/>
  <c r="K1531" i="34"/>
  <c r="K1532" i="34"/>
  <c r="K1533" i="34"/>
  <c r="K1534" i="34"/>
  <c r="K1535" i="34"/>
  <c r="K1536" i="34"/>
  <c r="K1537" i="34"/>
  <c r="K1538" i="34"/>
  <c r="K1539" i="34"/>
  <c r="K1540" i="34"/>
  <c r="K1541" i="34"/>
  <c r="K1542" i="34"/>
  <c r="K1543" i="34"/>
  <c r="K1544" i="34"/>
  <c r="K1545" i="34"/>
  <c r="K1546" i="34"/>
  <c r="K1547" i="34"/>
  <c r="K1548" i="34"/>
  <c r="K1549" i="34"/>
  <c r="K1550" i="34"/>
  <c r="K1551" i="34"/>
  <c r="K1552" i="34"/>
  <c r="K1553" i="34"/>
  <c r="K1554" i="34"/>
  <c r="K1555" i="34"/>
  <c r="K1556" i="34"/>
  <c r="K1557" i="34"/>
  <c r="K1558" i="34"/>
  <c r="K1559" i="34"/>
  <c r="K1560" i="34"/>
  <c r="K1561" i="34"/>
  <c r="K1562" i="34"/>
  <c r="K1563" i="34"/>
  <c r="K1564" i="34"/>
  <c r="K1565" i="34"/>
  <c r="K1566" i="34"/>
  <c r="K1567" i="34"/>
  <c r="K1568" i="34"/>
  <c r="K1569" i="34"/>
  <c r="K1570" i="34"/>
  <c r="K1571" i="34"/>
  <c r="K1572" i="34"/>
  <c r="K1573" i="34"/>
  <c r="K1574" i="34"/>
  <c r="K1575" i="34"/>
  <c r="K1576" i="34"/>
  <c r="K1577" i="34"/>
  <c r="K1578" i="34"/>
  <c r="K1579" i="34"/>
  <c r="K1580" i="34"/>
  <c r="K1581" i="34"/>
  <c r="K1582" i="34"/>
  <c r="K1583" i="34"/>
  <c r="K1584" i="34"/>
  <c r="K1585" i="34"/>
  <c r="K1586" i="34"/>
  <c r="K1587" i="34"/>
  <c r="K1588" i="34"/>
  <c r="K1589" i="34"/>
  <c r="K1590" i="34"/>
  <c r="K1591" i="34"/>
  <c r="K1592" i="34"/>
  <c r="K1593" i="34"/>
  <c r="K1594" i="34"/>
  <c r="K1595" i="34"/>
  <c r="K1596" i="34"/>
  <c r="K1597" i="34"/>
  <c r="K1598" i="34"/>
  <c r="K1599" i="34"/>
  <c r="K1600" i="34"/>
  <c r="K1601" i="34"/>
  <c r="K1602" i="34"/>
  <c r="K1603" i="34"/>
  <c r="K1604" i="34"/>
  <c r="K1605" i="34"/>
  <c r="K1606" i="34"/>
  <c r="K1607" i="34"/>
  <c r="K1608" i="34"/>
  <c r="K1609" i="34"/>
  <c r="K1610" i="34"/>
  <c r="K1611" i="34"/>
  <c r="K1612" i="34"/>
  <c r="K1613" i="34"/>
  <c r="K1614" i="34"/>
  <c r="K1615" i="34"/>
  <c r="K1616" i="34"/>
  <c r="K1617" i="34"/>
  <c r="K1618" i="34"/>
  <c r="K1619" i="34"/>
  <c r="K1620" i="34"/>
  <c r="K1621" i="34"/>
  <c r="K1622" i="34"/>
  <c r="K1030" i="34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8" i="60"/>
  <c r="N7" i="60"/>
  <c r="N6" i="60"/>
  <c r="C1031" i="34"/>
  <c r="C1032" i="34"/>
  <c r="C1033" i="34"/>
  <c r="C1034" i="34"/>
  <c r="C1035" i="34"/>
  <c r="C1036" i="34"/>
  <c r="C1037" i="34"/>
  <c r="C1038" i="34"/>
  <c r="C1039" i="34"/>
  <c r="C1040" i="34"/>
  <c r="C1041" i="34"/>
  <c r="C1042" i="34"/>
  <c r="C1043" i="34"/>
  <c r="C1044" i="34"/>
  <c r="C1045" i="34"/>
  <c r="C1046" i="34"/>
  <c r="C1047" i="34"/>
  <c r="C1048" i="34"/>
  <c r="C1049" i="34"/>
  <c r="C1050" i="34"/>
  <c r="C1051" i="34"/>
  <c r="C1052" i="34"/>
  <c r="C1053" i="34"/>
  <c r="C1054" i="34"/>
  <c r="C1055" i="34"/>
  <c r="C1056" i="34"/>
  <c r="C1057" i="34"/>
  <c r="C1058" i="34"/>
  <c r="C1059" i="34"/>
  <c r="C1060" i="34"/>
  <c r="C1061" i="34"/>
  <c r="C1062" i="34"/>
  <c r="C1063" i="34"/>
  <c r="C1064" i="34"/>
  <c r="C1065" i="34"/>
  <c r="C1066" i="34"/>
  <c r="C1067" i="34"/>
  <c r="C1068" i="34"/>
  <c r="C1069" i="34"/>
  <c r="C1070" i="34"/>
  <c r="C1071" i="34"/>
  <c r="C1072" i="34"/>
  <c r="C1073" i="34"/>
  <c r="C1074" i="34"/>
  <c r="C1075" i="34"/>
  <c r="C1076" i="34"/>
  <c r="C1077" i="34"/>
  <c r="C1078" i="34"/>
  <c r="C1079" i="34"/>
  <c r="C1080" i="34"/>
  <c r="C1081" i="34"/>
  <c r="C1082" i="34"/>
  <c r="C1083" i="34"/>
  <c r="C1084" i="34"/>
  <c r="C1085" i="34"/>
  <c r="C1086" i="34"/>
  <c r="C1087" i="34"/>
  <c r="C1088" i="34"/>
  <c r="C1089" i="34"/>
  <c r="C1090" i="34"/>
  <c r="C1091" i="34"/>
  <c r="C1092" i="34"/>
  <c r="C1093" i="34"/>
  <c r="C1094" i="34"/>
  <c r="C1095" i="34"/>
  <c r="C1096" i="34"/>
  <c r="C1097" i="34"/>
  <c r="C1098" i="34"/>
  <c r="C1099" i="34"/>
  <c r="C1100" i="34"/>
  <c r="C1101" i="34"/>
  <c r="C1102" i="34"/>
  <c r="C1103" i="34"/>
  <c r="C1104" i="34"/>
  <c r="C1105" i="34"/>
  <c r="C1106" i="34"/>
  <c r="C1107" i="34"/>
  <c r="C1108" i="34"/>
  <c r="C1109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C1122" i="34"/>
  <c r="C1123" i="34"/>
  <c r="C1124" i="34"/>
  <c r="C1125" i="34"/>
  <c r="C1126" i="34"/>
  <c r="C1127" i="34"/>
  <c r="C1128" i="34"/>
  <c r="C1129" i="34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2" i="34"/>
  <c r="C1143" i="34"/>
  <c r="C1144" i="34"/>
  <c r="C1145" i="34"/>
  <c r="C1146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7" i="34"/>
  <c r="C1298" i="34"/>
  <c r="C1299" i="34"/>
  <c r="C1300" i="34"/>
  <c r="C1301" i="34"/>
  <c r="C1302" i="34"/>
  <c r="C1303" i="34"/>
  <c r="C1304" i="34"/>
  <c r="C1305" i="34"/>
  <c r="C1306" i="34"/>
  <c r="C1307" i="34"/>
  <c r="C1308" i="34"/>
  <c r="C1309" i="34"/>
  <c r="C1310" i="34"/>
  <c r="C1311" i="34"/>
  <c r="C1312" i="34"/>
  <c r="C1313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C1337" i="34"/>
  <c r="C1338" i="34"/>
  <c r="C1339" i="34"/>
  <c r="C1340" i="34"/>
  <c r="C1341" i="34"/>
  <c r="C1342" i="34"/>
  <c r="C1343" i="34"/>
  <c r="C1344" i="34"/>
  <c r="C1345" i="34"/>
  <c r="C1346" i="34"/>
  <c r="C1347" i="34"/>
  <c r="C1348" i="34"/>
  <c r="C1349" i="34"/>
  <c r="C1350" i="34"/>
  <c r="C1351" i="34"/>
  <c r="C1352" i="34"/>
  <c r="C1353" i="34"/>
  <c r="C1354" i="34"/>
  <c r="C1355" i="34"/>
  <c r="C1356" i="34"/>
  <c r="C1357" i="34"/>
  <c r="C1358" i="34"/>
  <c r="C1359" i="34"/>
  <c r="C1360" i="34"/>
  <c r="C1361" i="34"/>
  <c r="C1362" i="34"/>
  <c r="C1363" i="34"/>
  <c r="C1364" i="34"/>
  <c r="C1365" i="34"/>
  <c r="C1366" i="34"/>
  <c r="C1367" i="34"/>
  <c r="C1368" i="34"/>
  <c r="C1369" i="34"/>
  <c r="C1370" i="34"/>
  <c r="C1371" i="34"/>
  <c r="C1372" i="34"/>
  <c r="C1373" i="34"/>
  <c r="C1374" i="34"/>
  <c r="C1375" i="34"/>
  <c r="C1376" i="34"/>
  <c r="C1377" i="34"/>
  <c r="C1378" i="34"/>
  <c r="C1379" i="34"/>
  <c r="C1380" i="34"/>
  <c r="C1381" i="34"/>
  <c r="C1382" i="34"/>
  <c r="C1383" i="34"/>
  <c r="C1384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C1423" i="34"/>
  <c r="C1424" i="34"/>
  <c r="C1425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60" i="34"/>
  <c r="C1461" i="34"/>
  <c r="C1462" i="34"/>
  <c r="C1463" i="34"/>
  <c r="C1464" i="34"/>
  <c r="C1465" i="34"/>
  <c r="C1466" i="34"/>
  <c r="C1467" i="34"/>
  <c r="C1468" i="34"/>
  <c r="C1469" i="34"/>
  <c r="C1470" i="34"/>
  <c r="C1471" i="34"/>
  <c r="C1472" i="34"/>
  <c r="C1473" i="34"/>
  <c r="C1474" i="34"/>
  <c r="C1475" i="34"/>
  <c r="C1476" i="34"/>
  <c r="C1477" i="34"/>
  <c r="C1478" i="34"/>
  <c r="C1479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48" i="34"/>
  <c r="C1549" i="34"/>
  <c r="C1550" i="34"/>
  <c r="C1551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4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C176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03" i="34"/>
  <c r="C1804" i="34"/>
  <c r="C1805" i="34"/>
  <c r="C1806" i="34"/>
  <c r="C1807" i="34"/>
  <c r="C1808" i="34"/>
  <c r="C1809" i="34"/>
  <c r="C1810" i="34"/>
  <c r="C1811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030" i="34"/>
  <c r="C53" i="34" l="1"/>
  <c r="C54" i="34"/>
  <c r="C55" i="34"/>
  <c r="F55" i="34"/>
  <c r="K55" i="34"/>
  <c r="C56" i="34"/>
  <c r="C57" i="34"/>
  <c r="C58" i="34"/>
  <c r="F58" i="34"/>
  <c r="K58" i="34"/>
  <c r="C59" i="34"/>
  <c r="C60" i="34"/>
  <c r="C61" i="34"/>
  <c r="F61" i="34"/>
  <c r="K61" i="34"/>
  <c r="C41" i="34"/>
  <c r="C42" i="34"/>
  <c r="C43" i="34"/>
  <c r="F43" i="34"/>
  <c r="K43" i="34"/>
  <c r="C44" i="34"/>
  <c r="C45" i="34"/>
  <c r="C46" i="34"/>
  <c r="F46" i="34"/>
  <c r="K46" i="34"/>
  <c r="C47" i="34"/>
  <c r="C48" i="34"/>
  <c r="C49" i="34"/>
  <c r="F49" i="34"/>
  <c r="K49" i="34"/>
  <c r="C50" i="34"/>
  <c r="C51" i="34"/>
  <c r="C52" i="34"/>
  <c r="F52" i="34"/>
  <c r="K52" i="34"/>
  <c r="C29" i="34"/>
  <c r="C30" i="34"/>
  <c r="C31" i="34"/>
  <c r="F31" i="34"/>
  <c r="K31" i="34"/>
  <c r="C32" i="34"/>
  <c r="C33" i="34"/>
  <c r="C34" i="34"/>
  <c r="F34" i="34"/>
  <c r="K34" i="34"/>
  <c r="C35" i="34"/>
  <c r="C36" i="34"/>
  <c r="C37" i="34"/>
  <c r="F37" i="34"/>
  <c r="K37" i="34"/>
  <c r="C38" i="34"/>
  <c r="C39" i="34"/>
  <c r="C40" i="34"/>
  <c r="F40" i="34"/>
  <c r="K40" i="34"/>
  <c r="C27" i="34"/>
  <c r="C28" i="34"/>
  <c r="C26" i="34"/>
  <c r="F28" i="34"/>
  <c r="K28" i="34"/>
  <c r="B62" i="34" l="1"/>
  <c r="A62" i="34" s="1"/>
  <c r="B63" i="34"/>
  <c r="A63" i="34" s="1"/>
  <c r="B64" i="34"/>
  <c r="A64" i="34" s="1"/>
  <c r="B65" i="34"/>
  <c r="A65" i="34" s="1"/>
  <c r="C23" i="34"/>
  <c r="B23" i="34" s="1"/>
  <c r="A23" i="34" s="1"/>
  <c r="C24" i="34"/>
  <c r="B24" i="34" s="1"/>
  <c r="A24" i="34" s="1"/>
  <c r="C25" i="34"/>
  <c r="B25" i="34" s="1"/>
  <c r="A25" i="34" s="1"/>
  <c r="C22" i="34"/>
  <c r="B22" i="34" s="1"/>
  <c r="A22" i="34" s="1"/>
  <c r="K1023" i="34" l="1"/>
  <c r="K1024" i="34"/>
  <c r="K1025" i="34"/>
  <c r="K1026" i="34"/>
  <c r="K1027" i="34"/>
  <c r="K1028" i="34"/>
  <c r="K1029" i="34"/>
  <c r="K1022" i="34"/>
  <c r="K1008" i="34"/>
  <c r="C1029" i="34"/>
  <c r="C1028" i="34"/>
  <c r="C1027" i="34"/>
  <c r="C1026" i="34"/>
  <c r="C1025" i="34"/>
  <c r="C1024" i="34"/>
  <c r="C1022" i="34"/>
  <c r="C1023" i="34"/>
  <c r="A7" i="60"/>
  <c r="A8" i="60"/>
  <c r="A9" i="60"/>
  <c r="A10" i="60"/>
  <c r="A11" i="60"/>
  <c r="A12" i="60"/>
  <c r="A13" i="60"/>
  <c r="A14" i="60"/>
  <c r="A15" i="60"/>
  <c r="A16" i="60"/>
  <c r="A17" i="60"/>
  <c r="A18" i="60"/>
  <c r="A19" i="60"/>
  <c r="A20" i="60"/>
  <c r="A21" i="60"/>
  <c r="A22" i="60"/>
  <c r="A23" i="60"/>
  <c r="A24" i="60"/>
  <c r="A25" i="60"/>
  <c r="A26" i="60"/>
  <c r="A27" i="60"/>
  <c r="A28" i="60"/>
  <c r="A29" i="60"/>
  <c r="A30" i="60"/>
  <c r="A31" i="60"/>
  <c r="A32" i="60"/>
  <c r="A33" i="60"/>
  <c r="A34" i="60"/>
  <c r="A35" i="60"/>
  <c r="A36" i="60"/>
  <c r="A37" i="60"/>
  <c r="A38" i="60"/>
  <c r="A39" i="60"/>
  <c r="A40" i="60"/>
  <c r="A41" i="60"/>
  <c r="A42" i="60"/>
  <c r="A43" i="60"/>
  <c r="A44" i="60"/>
  <c r="A45" i="60"/>
  <c r="A46" i="60"/>
  <c r="A47" i="60"/>
  <c r="A48" i="60"/>
  <c r="A49" i="60"/>
  <c r="A50" i="60"/>
  <c r="A51" i="60"/>
  <c r="A52" i="60"/>
  <c r="A53" i="60"/>
  <c r="A54" i="60"/>
  <c r="A6" i="60"/>
  <c r="I81" i="55" l="1" a="1"/>
  <c r="I81" i="55" s="1"/>
  <c r="G81" i="55" a="1"/>
  <c r="G81" i="55" s="1"/>
  <c r="B81" i="55"/>
  <c r="A81" i="55"/>
  <c r="I80" i="55" a="1"/>
  <c r="I80" i="55" s="1"/>
  <c r="G80" i="55" a="1"/>
  <c r="G80" i="55" s="1"/>
  <c r="B80" i="55"/>
  <c r="A80" i="55" s="1"/>
  <c r="I79" i="55" a="1"/>
  <c r="I79" i="55" s="1"/>
  <c r="G79" i="55" a="1"/>
  <c r="G79" i="55" s="1"/>
  <c r="B79" i="55"/>
  <c r="A79" i="55"/>
  <c r="I78" i="55" a="1"/>
  <c r="I78" i="55" s="1"/>
  <c r="G78" i="55" a="1"/>
  <c r="G78" i="55" s="1"/>
  <c r="B78" i="55"/>
  <c r="A78" i="55" s="1"/>
  <c r="I77" i="55" a="1"/>
  <c r="I77" i="55" s="1"/>
  <c r="G77" i="55" a="1"/>
  <c r="G77" i="55" s="1"/>
  <c r="B77" i="55"/>
  <c r="A77" i="55" s="1"/>
  <c r="I76" i="55" a="1"/>
  <c r="I76" i="55" s="1"/>
  <c r="G76" i="55" a="1"/>
  <c r="G76" i="55" s="1"/>
  <c r="B76" i="55"/>
  <c r="A76" i="55" s="1"/>
  <c r="I75" i="55" a="1"/>
  <c r="I75" i="55" s="1"/>
  <c r="G75" i="55" a="1"/>
  <c r="G75" i="55" s="1"/>
  <c r="B75" i="55"/>
  <c r="A75" i="55" s="1"/>
  <c r="I74" i="55" a="1"/>
  <c r="I74" i="55" s="1"/>
  <c r="G74" i="55" a="1"/>
  <c r="G74" i="55" s="1"/>
  <c r="B74" i="55"/>
  <c r="A74" i="55" s="1"/>
  <c r="I73" i="55" a="1"/>
  <c r="I73" i="55" s="1"/>
  <c r="G73" i="55" a="1"/>
  <c r="G73" i="55" s="1"/>
  <c r="B73" i="55"/>
  <c r="A73" i="55"/>
  <c r="I72" i="55" a="1"/>
  <c r="I72" i="55" s="1"/>
  <c r="G72" i="55" a="1"/>
  <c r="G72" i="55" s="1"/>
  <c r="B72" i="55"/>
  <c r="A72" i="55" s="1"/>
  <c r="I71" i="55" a="1"/>
  <c r="I71" i="55" s="1"/>
  <c r="G71" i="55" a="1"/>
  <c r="G71" i="55" s="1"/>
  <c r="B71" i="55"/>
  <c r="A71" i="55"/>
  <c r="I70" i="55" a="1"/>
  <c r="I70" i="55" s="1"/>
  <c r="G70" i="55" a="1"/>
  <c r="G70" i="55" s="1"/>
  <c r="B70" i="55"/>
  <c r="A70" i="55" s="1"/>
  <c r="I69" i="55" a="1"/>
  <c r="I69" i="55" s="1"/>
  <c r="G69" i="55" a="1"/>
  <c r="G69" i="55" s="1"/>
  <c r="B69" i="55"/>
  <c r="A69" i="55" s="1"/>
  <c r="I68" i="55" a="1"/>
  <c r="I68" i="55" s="1"/>
  <c r="G68" i="55" a="1"/>
  <c r="G68" i="55" s="1"/>
  <c r="B68" i="55"/>
  <c r="A68" i="55" s="1"/>
  <c r="I67" i="55" a="1"/>
  <c r="I67" i="55" s="1"/>
  <c r="G67" i="55" a="1"/>
  <c r="G67" i="55" s="1"/>
  <c r="B67" i="55"/>
  <c r="A67" i="55" s="1"/>
  <c r="I66" i="55" a="1"/>
  <c r="I66" i="55" s="1"/>
  <c r="G66" i="55" a="1"/>
  <c r="G66" i="55" s="1"/>
  <c r="B66" i="55"/>
  <c r="A66" i="55" s="1"/>
  <c r="I65" i="55" a="1"/>
  <c r="I65" i="55" s="1"/>
  <c r="G65" i="55" a="1"/>
  <c r="G65" i="55" s="1"/>
  <c r="B65" i="55"/>
  <c r="A65" i="55"/>
  <c r="I64" i="55" a="1"/>
  <c r="I64" i="55" s="1"/>
  <c r="G64" i="55" a="1"/>
  <c r="G64" i="55" s="1"/>
  <c r="B64" i="55"/>
  <c r="A64" i="55" s="1"/>
  <c r="I63" i="55" a="1"/>
  <c r="I63" i="55" s="1"/>
  <c r="G63" i="55" a="1"/>
  <c r="G63" i="55" s="1"/>
  <c r="B63" i="55"/>
  <c r="A63" i="55" s="1"/>
  <c r="I62" i="55" a="1"/>
  <c r="I62" i="55" s="1"/>
  <c r="G62" i="55" a="1"/>
  <c r="G62" i="55" s="1"/>
  <c r="B62" i="55"/>
  <c r="A62" i="55" s="1"/>
  <c r="I61" i="55" a="1"/>
  <c r="I61" i="55" s="1"/>
  <c r="G61" i="55" a="1"/>
  <c r="G61" i="55" s="1"/>
  <c r="B61" i="55"/>
  <c r="A61" i="55" s="1"/>
  <c r="I60" i="55" a="1"/>
  <c r="I60" i="55" s="1"/>
  <c r="G60" i="55" a="1"/>
  <c r="G60" i="55" s="1"/>
  <c r="B60" i="55"/>
  <c r="A60" i="55" s="1"/>
  <c r="I59" i="55" a="1"/>
  <c r="I59" i="55" s="1"/>
  <c r="G59" i="55" a="1"/>
  <c r="G59" i="55" s="1"/>
  <c r="B59" i="55"/>
  <c r="A59" i="55" s="1"/>
  <c r="I58" i="55" a="1"/>
  <c r="I58" i="55" s="1"/>
  <c r="G58" i="55" a="1"/>
  <c r="G58" i="55" s="1"/>
  <c r="B58" i="55"/>
  <c r="A58" i="55" s="1"/>
  <c r="I57" i="55" a="1"/>
  <c r="I57" i="55" s="1"/>
  <c r="G57" i="55" a="1"/>
  <c r="G57" i="55" s="1"/>
  <c r="B57" i="55"/>
  <c r="A57" i="55" s="1"/>
  <c r="I56" i="55" a="1"/>
  <c r="I56" i="55" s="1"/>
  <c r="G56" i="55" a="1"/>
  <c r="G56" i="55" s="1"/>
  <c r="B56" i="55"/>
  <c r="A56" i="55" s="1"/>
  <c r="I55" i="55" a="1"/>
  <c r="I55" i="55" s="1"/>
  <c r="G55" i="55" a="1"/>
  <c r="G55" i="55" s="1"/>
  <c r="B55" i="55"/>
  <c r="A55" i="55" s="1"/>
  <c r="I54" i="55" a="1"/>
  <c r="I54" i="55" s="1"/>
  <c r="G54" i="55" a="1"/>
  <c r="G54" i="55" s="1"/>
  <c r="B54" i="55"/>
  <c r="A54" i="55" s="1"/>
  <c r="I53" i="55" a="1"/>
  <c r="I53" i="55" s="1"/>
  <c r="G53" i="55" a="1"/>
  <c r="G53" i="55" s="1"/>
  <c r="B53" i="55"/>
  <c r="A53" i="55" s="1"/>
  <c r="I52" i="55" a="1"/>
  <c r="I52" i="55" s="1"/>
  <c r="G52" i="55" a="1"/>
  <c r="G52" i="55" s="1"/>
  <c r="B52" i="55"/>
  <c r="A52" i="55" s="1"/>
  <c r="I51" i="55" a="1"/>
  <c r="I51" i="55" s="1"/>
  <c r="G51" i="55" a="1"/>
  <c r="G51" i="55" s="1"/>
  <c r="B51" i="55"/>
  <c r="A51" i="55" s="1"/>
  <c r="I50" i="55" a="1"/>
  <c r="I50" i="55" s="1"/>
  <c r="G50" i="55" a="1"/>
  <c r="G50" i="55" s="1"/>
  <c r="B50" i="55"/>
  <c r="A50" i="55" s="1"/>
  <c r="I49" i="55" a="1"/>
  <c r="I49" i="55" s="1"/>
  <c r="G49" i="55" a="1"/>
  <c r="G49" i="55" s="1"/>
  <c r="B49" i="55"/>
  <c r="A49" i="55" s="1"/>
  <c r="I48" i="55" a="1"/>
  <c r="I48" i="55" s="1"/>
  <c r="G48" i="55" a="1"/>
  <c r="G48" i="55" s="1"/>
  <c r="B48" i="55"/>
  <c r="A48" i="55" s="1"/>
  <c r="I47" i="55" a="1"/>
  <c r="I47" i="55" s="1"/>
  <c r="G47" i="55" a="1"/>
  <c r="G47" i="55" s="1"/>
  <c r="B47" i="55"/>
  <c r="A47" i="55" s="1"/>
  <c r="I46" i="55" a="1"/>
  <c r="I46" i="55" s="1"/>
  <c r="G46" i="55" a="1"/>
  <c r="G46" i="55" s="1"/>
  <c r="B46" i="55"/>
  <c r="A46" i="55"/>
  <c r="I45" i="55" a="1"/>
  <c r="I45" i="55" s="1"/>
  <c r="G45" i="55" a="1"/>
  <c r="G45" i="55" s="1"/>
  <c r="B45" i="55"/>
  <c r="A45" i="55" s="1"/>
  <c r="I44" i="55" a="1"/>
  <c r="I44" i="55" s="1"/>
  <c r="G44" i="55" a="1"/>
  <c r="G44" i="55" s="1"/>
  <c r="B44" i="55"/>
  <c r="A44" i="55"/>
  <c r="I43" i="55" a="1"/>
  <c r="I43" i="55" s="1"/>
  <c r="G43" i="55" a="1"/>
  <c r="G43" i="55" s="1"/>
  <c r="B43" i="55"/>
  <c r="A43" i="55" s="1"/>
  <c r="I42" i="55" a="1"/>
  <c r="I42" i="55" s="1"/>
  <c r="G42" i="55" a="1"/>
  <c r="G42" i="55" s="1"/>
  <c r="B42" i="55"/>
  <c r="A42" i="55" s="1"/>
  <c r="I41" i="55" a="1"/>
  <c r="I41" i="55" s="1"/>
  <c r="G41" i="55" a="1"/>
  <c r="G41" i="55" s="1"/>
  <c r="B41" i="55"/>
  <c r="A41" i="55" s="1"/>
  <c r="I40" i="55" a="1"/>
  <c r="I40" i="55" s="1"/>
  <c r="G40" i="55" a="1"/>
  <c r="G40" i="55" s="1"/>
  <c r="B40" i="55"/>
  <c r="A40" i="55" s="1"/>
  <c r="I39" i="55" a="1"/>
  <c r="I39" i="55" s="1"/>
  <c r="G39" i="55" a="1"/>
  <c r="G39" i="55" s="1"/>
  <c r="B39" i="55"/>
  <c r="A39" i="55" s="1"/>
  <c r="I38" i="55" a="1"/>
  <c r="I38" i="55" s="1"/>
  <c r="G38" i="55" a="1"/>
  <c r="G38" i="55" s="1"/>
  <c r="B38" i="55"/>
  <c r="A38" i="55"/>
  <c r="I37" i="55" a="1"/>
  <c r="I37" i="55" s="1"/>
  <c r="G37" i="55" a="1"/>
  <c r="G37" i="55" s="1"/>
  <c r="B37" i="55"/>
  <c r="A37" i="55" s="1"/>
  <c r="I36" i="55" a="1"/>
  <c r="I36" i="55" s="1"/>
  <c r="G36" i="55" a="1"/>
  <c r="G36" i="55" s="1"/>
  <c r="B36" i="55"/>
  <c r="A36" i="55"/>
  <c r="I35" i="55" a="1"/>
  <c r="I35" i="55" s="1"/>
  <c r="G35" i="55" a="1"/>
  <c r="G35" i="55" s="1"/>
  <c r="B35" i="55"/>
  <c r="A35" i="55" s="1"/>
  <c r="I34" i="55" a="1"/>
  <c r="I34" i="55" s="1"/>
  <c r="G34" i="55" a="1"/>
  <c r="G34" i="55" s="1"/>
  <c r="B34" i="55"/>
  <c r="A34" i="55" s="1"/>
  <c r="I33" i="55" a="1"/>
  <c r="I33" i="55" s="1"/>
  <c r="G33" i="55" a="1"/>
  <c r="G33" i="55" s="1"/>
  <c r="B33" i="55"/>
  <c r="A33" i="55" s="1"/>
  <c r="I32" i="55" a="1"/>
  <c r="I32" i="55" s="1"/>
  <c r="G32" i="55" a="1"/>
  <c r="G32" i="55" s="1"/>
  <c r="B32" i="55"/>
  <c r="A32" i="55" s="1"/>
  <c r="I31" i="55" a="1"/>
  <c r="I31" i="55" s="1"/>
  <c r="G31" i="55" a="1"/>
  <c r="G31" i="55" s="1"/>
  <c r="B31" i="55"/>
  <c r="A31" i="55" s="1"/>
  <c r="I30" i="55" a="1"/>
  <c r="I30" i="55" s="1"/>
  <c r="G30" i="55" a="1"/>
  <c r="G30" i="55" s="1"/>
  <c r="B30" i="55"/>
  <c r="A30" i="55"/>
  <c r="I29" i="55" a="1"/>
  <c r="I29" i="55" s="1"/>
  <c r="G29" i="55" a="1"/>
  <c r="G29" i="55" s="1"/>
  <c r="B29" i="55"/>
  <c r="A29" i="55" s="1"/>
  <c r="I28" i="55" a="1"/>
  <c r="I28" i="55" s="1"/>
  <c r="G28" i="55" a="1"/>
  <c r="G28" i="55" s="1"/>
  <c r="B28" i="55"/>
  <c r="A28" i="55"/>
  <c r="I132" i="55" a="1"/>
  <c r="I132" i="55" s="1"/>
  <c r="G132" i="55" a="1"/>
  <c r="G132" i="55" s="1"/>
  <c r="B132" i="55"/>
  <c r="A132" i="55" s="1"/>
  <c r="I131" i="55" a="1"/>
  <c r="I131" i="55" s="1"/>
  <c r="G131" i="55" a="1"/>
  <c r="G131" i="55" s="1"/>
  <c r="K131" i="55" s="1"/>
  <c r="B131" i="55"/>
  <c r="A131" i="55" s="1"/>
  <c r="I130" i="55" a="1"/>
  <c r="I130" i="55" s="1"/>
  <c r="G130" i="55" a="1"/>
  <c r="G130" i="55" s="1"/>
  <c r="B130" i="55"/>
  <c r="A130" i="55" s="1"/>
  <c r="I129" i="55" a="1"/>
  <c r="I129" i="55" s="1"/>
  <c r="G129" i="55" a="1"/>
  <c r="G129" i="55" s="1"/>
  <c r="B129" i="55"/>
  <c r="A129" i="55" s="1"/>
  <c r="I128" i="55" a="1"/>
  <c r="I128" i="55" s="1"/>
  <c r="G128" i="55" a="1"/>
  <c r="G128" i="55" s="1"/>
  <c r="B128" i="55"/>
  <c r="A128" i="55" s="1"/>
  <c r="I127" i="55" a="1"/>
  <c r="I127" i="55" s="1"/>
  <c r="G127" i="55" a="1"/>
  <c r="G127" i="55" s="1"/>
  <c r="B127" i="55"/>
  <c r="A127" i="55" s="1"/>
  <c r="I126" i="55" a="1"/>
  <c r="I126" i="55" s="1"/>
  <c r="G126" i="55" a="1"/>
  <c r="G126" i="55" s="1"/>
  <c r="B126" i="55"/>
  <c r="A126" i="55"/>
  <c r="I125" i="55" a="1"/>
  <c r="I125" i="55" s="1"/>
  <c r="G125" i="55" a="1"/>
  <c r="G125" i="55" s="1"/>
  <c r="B125" i="55"/>
  <c r="A125" i="55" s="1"/>
  <c r="I124" i="55" a="1"/>
  <c r="I124" i="55" s="1"/>
  <c r="G124" i="55" a="1"/>
  <c r="G124" i="55" s="1"/>
  <c r="B124" i="55"/>
  <c r="A124" i="55" s="1"/>
  <c r="I123" i="55" a="1"/>
  <c r="I123" i="55" s="1"/>
  <c r="G123" i="55" a="1"/>
  <c r="G123" i="55" s="1"/>
  <c r="B123" i="55"/>
  <c r="A123" i="55"/>
  <c r="I122" i="55" a="1"/>
  <c r="I122" i="55" s="1"/>
  <c r="G122" i="55" a="1"/>
  <c r="G122" i="55" s="1"/>
  <c r="K122" i="55" s="1"/>
  <c r="B122" i="55"/>
  <c r="A122" i="55" s="1"/>
  <c r="I121" i="55" a="1"/>
  <c r="I121" i="55" s="1"/>
  <c r="G121" i="55" a="1"/>
  <c r="G121" i="55" s="1"/>
  <c r="B121" i="55"/>
  <c r="A121" i="55" s="1"/>
  <c r="I120" i="55" a="1"/>
  <c r="I120" i="55" s="1"/>
  <c r="G120" i="55" a="1"/>
  <c r="G120" i="55" s="1"/>
  <c r="B120" i="55"/>
  <c r="A120" i="55" s="1"/>
  <c r="I119" i="55" a="1"/>
  <c r="I119" i="55" s="1"/>
  <c r="G119" i="55" a="1"/>
  <c r="G119" i="55" s="1"/>
  <c r="B119" i="55"/>
  <c r="A119" i="55"/>
  <c r="I118" i="55" a="1"/>
  <c r="I118" i="55" s="1"/>
  <c r="G118" i="55" a="1"/>
  <c r="G118" i="55" s="1"/>
  <c r="B118" i="55"/>
  <c r="A118" i="55" s="1"/>
  <c r="I117" i="55" a="1"/>
  <c r="I117" i="55" s="1"/>
  <c r="G117" i="55" a="1"/>
  <c r="G117" i="55" s="1"/>
  <c r="B117" i="55"/>
  <c r="A117" i="55" s="1"/>
  <c r="I116" i="55" a="1"/>
  <c r="I116" i="55" s="1"/>
  <c r="G116" i="55" a="1"/>
  <c r="G116" i="55" s="1"/>
  <c r="B116" i="55"/>
  <c r="A116" i="55" s="1"/>
  <c r="I115" i="55" a="1"/>
  <c r="I115" i="55" s="1"/>
  <c r="G115" i="55" a="1"/>
  <c r="G115" i="55" s="1"/>
  <c r="B115" i="55"/>
  <c r="A115" i="55" s="1"/>
  <c r="I114" i="55" a="1"/>
  <c r="I114" i="55" s="1"/>
  <c r="G114" i="55" a="1"/>
  <c r="G114" i="55" s="1"/>
  <c r="B114" i="55"/>
  <c r="A114" i="55" s="1"/>
  <c r="I113" i="55" a="1"/>
  <c r="I113" i="55" s="1"/>
  <c r="G113" i="55" a="1"/>
  <c r="G113" i="55" s="1"/>
  <c r="B113" i="55"/>
  <c r="A113" i="55" s="1"/>
  <c r="I112" i="55" a="1"/>
  <c r="I112" i="55" s="1"/>
  <c r="G112" i="55" a="1"/>
  <c r="G112" i="55" s="1"/>
  <c r="B112" i="55"/>
  <c r="A112" i="55" s="1"/>
  <c r="I111" i="55" a="1"/>
  <c r="I111" i="55" s="1"/>
  <c r="G111" i="55" a="1"/>
  <c r="G111" i="55" s="1"/>
  <c r="B111" i="55"/>
  <c r="A111" i="55"/>
  <c r="I110" i="55" a="1"/>
  <c r="I110" i="55" s="1"/>
  <c r="G110" i="55" a="1"/>
  <c r="G110" i="55" s="1"/>
  <c r="B110" i="55"/>
  <c r="A110" i="55" s="1"/>
  <c r="I109" i="55" a="1"/>
  <c r="I109" i="55" s="1"/>
  <c r="G109" i="55" a="1"/>
  <c r="G109" i="55" s="1"/>
  <c r="B109" i="55"/>
  <c r="A109" i="55" s="1"/>
  <c r="I108" i="55" a="1"/>
  <c r="I108" i="55" s="1"/>
  <c r="G108" i="55" a="1"/>
  <c r="G108" i="55" s="1"/>
  <c r="B108" i="55"/>
  <c r="A108" i="55" s="1"/>
  <c r="I107" i="55" a="1"/>
  <c r="I107" i="55" s="1"/>
  <c r="G107" i="55" a="1"/>
  <c r="G107" i="55" s="1"/>
  <c r="B107" i="55"/>
  <c r="A107" i="55" s="1"/>
  <c r="I106" i="55" a="1"/>
  <c r="I106" i="55" s="1"/>
  <c r="G106" i="55" a="1"/>
  <c r="G106" i="55" s="1"/>
  <c r="B106" i="55"/>
  <c r="A106" i="55" s="1"/>
  <c r="I105" i="55" a="1"/>
  <c r="I105" i="55" s="1"/>
  <c r="G105" i="55" a="1"/>
  <c r="G105" i="55" s="1"/>
  <c r="B105" i="55"/>
  <c r="A105" i="55" s="1"/>
  <c r="I104" i="55" a="1"/>
  <c r="I104" i="55" s="1"/>
  <c r="G104" i="55" a="1"/>
  <c r="G104" i="55" s="1"/>
  <c r="B104" i="55"/>
  <c r="A104" i="55" s="1"/>
  <c r="I103" i="55" a="1"/>
  <c r="I103" i="55" s="1"/>
  <c r="G103" i="55" a="1"/>
  <c r="G103" i="55" s="1"/>
  <c r="B103" i="55"/>
  <c r="A103" i="55" s="1"/>
  <c r="I102" i="55" a="1"/>
  <c r="I102" i="55" s="1"/>
  <c r="G102" i="55" a="1"/>
  <c r="G102" i="55" s="1"/>
  <c r="B102" i="55"/>
  <c r="A102" i="55" s="1"/>
  <c r="I101" i="55" a="1"/>
  <c r="I101" i="55" s="1"/>
  <c r="G101" i="55" a="1"/>
  <c r="G101" i="55" s="1"/>
  <c r="B101" i="55"/>
  <c r="A101" i="55" s="1"/>
  <c r="I100" i="55" a="1"/>
  <c r="I100" i="55" s="1"/>
  <c r="G100" i="55" a="1"/>
  <c r="G100" i="55" s="1"/>
  <c r="B100" i="55"/>
  <c r="A100" i="55" s="1"/>
  <c r="I99" i="55" a="1"/>
  <c r="I99" i="55" s="1"/>
  <c r="G99" i="55" a="1"/>
  <c r="G99" i="55" s="1"/>
  <c r="B99" i="55"/>
  <c r="A99" i="55" s="1"/>
  <c r="I98" i="55" a="1"/>
  <c r="I98" i="55" s="1"/>
  <c r="G98" i="55" a="1"/>
  <c r="G98" i="55" s="1"/>
  <c r="B98" i="55"/>
  <c r="A98" i="55" s="1"/>
  <c r="I97" i="55" a="1"/>
  <c r="I97" i="55" s="1"/>
  <c r="G97" i="55" a="1"/>
  <c r="G97" i="55" s="1"/>
  <c r="B97" i="55"/>
  <c r="A97" i="55" s="1"/>
  <c r="I96" i="55" a="1"/>
  <c r="I96" i="55" s="1"/>
  <c r="G96" i="55" a="1"/>
  <c r="G96" i="55" s="1"/>
  <c r="B96" i="55"/>
  <c r="A96" i="55" s="1"/>
  <c r="I95" i="55" a="1"/>
  <c r="I95" i="55" s="1"/>
  <c r="G95" i="55" a="1"/>
  <c r="G95" i="55" s="1"/>
  <c r="B95" i="55"/>
  <c r="A95" i="55" s="1"/>
  <c r="I94" i="55" a="1"/>
  <c r="I94" i="55" s="1"/>
  <c r="G94" i="55" a="1"/>
  <c r="G94" i="55" s="1"/>
  <c r="B94" i="55"/>
  <c r="A94" i="55" s="1"/>
  <c r="I93" i="55" a="1"/>
  <c r="I93" i="55" s="1"/>
  <c r="G93" i="55" a="1"/>
  <c r="G93" i="55" s="1"/>
  <c r="B93" i="55"/>
  <c r="A93" i="55"/>
  <c r="I92" i="55" a="1"/>
  <c r="I92" i="55" s="1"/>
  <c r="G92" i="55" a="1"/>
  <c r="G92" i="55" s="1"/>
  <c r="B92" i="55"/>
  <c r="A92" i="55" s="1"/>
  <c r="I91" i="55" a="1"/>
  <c r="I91" i="55" s="1"/>
  <c r="G91" i="55" a="1"/>
  <c r="G91" i="55" s="1"/>
  <c r="B91" i="55"/>
  <c r="A91" i="55" s="1"/>
  <c r="I90" i="55" a="1"/>
  <c r="I90" i="55" s="1"/>
  <c r="G90" i="55" a="1"/>
  <c r="G90" i="55" s="1"/>
  <c r="B90" i="55"/>
  <c r="A90" i="55" s="1"/>
  <c r="I89" i="55" a="1"/>
  <c r="I89" i="55" s="1"/>
  <c r="G89" i="55" a="1"/>
  <c r="G89" i="55" s="1"/>
  <c r="B89" i="55"/>
  <c r="A89" i="55" s="1"/>
  <c r="I88" i="55" a="1"/>
  <c r="I88" i="55" s="1"/>
  <c r="G88" i="55" a="1"/>
  <c r="G88" i="55" s="1"/>
  <c r="B88" i="55"/>
  <c r="A88" i="55" s="1"/>
  <c r="I87" i="55" a="1"/>
  <c r="I87" i="55" s="1"/>
  <c r="G87" i="55" a="1"/>
  <c r="G87" i="55" s="1"/>
  <c r="B87" i="55"/>
  <c r="A87" i="55"/>
  <c r="I86" i="55" a="1"/>
  <c r="I86" i="55" s="1"/>
  <c r="G86" i="55" a="1"/>
  <c r="G86" i="55" s="1"/>
  <c r="B86" i="55"/>
  <c r="A86" i="55" s="1"/>
  <c r="I85" i="55" a="1"/>
  <c r="I85" i="55" s="1"/>
  <c r="G85" i="55" a="1"/>
  <c r="G85" i="55" s="1"/>
  <c r="B85" i="55"/>
  <c r="A85" i="55"/>
  <c r="I84" i="55" a="1"/>
  <c r="I84" i="55" s="1"/>
  <c r="G84" i="55" a="1"/>
  <c r="G84" i="55" s="1"/>
  <c r="B84" i="55"/>
  <c r="A84" i="55" s="1"/>
  <c r="I83" i="55" a="1"/>
  <c r="I83" i="55" s="1"/>
  <c r="G83" i="55" a="1"/>
  <c r="G83" i="55" s="1"/>
  <c r="B83" i="55"/>
  <c r="A83" i="55" s="1"/>
  <c r="I82" i="55" a="1"/>
  <c r="I82" i="55" s="1"/>
  <c r="G82" i="55" a="1"/>
  <c r="G82" i="55" s="1"/>
  <c r="B82" i="55"/>
  <c r="A82" i="55" s="1"/>
  <c r="B18" i="55"/>
  <c r="B19" i="55"/>
  <c r="B20" i="55"/>
  <c r="B21" i="55"/>
  <c r="B22" i="55"/>
  <c r="B23" i="55"/>
  <c r="B24" i="55"/>
  <c r="B25" i="55"/>
  <c r="B26" i="55"/>
  <c r="B27" i="55"/>
  <c r="B133" i="55"/>
  <c r="B134" i="55"/>
  <c r="B135" i="55"/>
  <c r="B136" i="55"/>
  <c r="B137" i="55"/>
  <c r="B138" i="55"/>
  <c r="B139" i="55"/>
  <c r="B140" i="55"/>
  <c r="B141" i="55"/>
  <c r="B142" i="55"/>
  <c r="B143" i="55"/>
  <c r="B144" i="55"/>
  <c r="B145" i="55"/>
  <c r="B146" i="55"/>
  <c r="B147" i="55"/>
  <c r="B148" i="55"/>
  <c r="B149" i="55"/>
  <c r="B150" i="55"/>
  <c r="B151" i="55"/>
  <c r="B152" i="55"/>
  <c r="B153" i="55"/>
  <c r="B154" i="55"/>
  <c r="B155" i="55"/>
  <c r="B156" i="55"/>
  <c r="B157" i="55"/>
  <c r="B158" i="55"/>
  <c r="B159" i="55"/>
  <c r="B160" i="55"/>
  <c r="B161" i="55"/>
  <c r="B162" i="55"/>
  <c r="B163" i="55"/>
  <c r="B164" i="55"/>
  <c r="B165" i="55"/>
  <c r="B166" i="55"/>
  <c r="B167" i="55"/>
  <c r="B168" i="55"/>
  <c r="B169" i="55"/>
  <c r="B170" i="55"/>
  <c r="B171" i="55"/>
  <c r="B172" i="55"/>
  <c r="B173" i="55"/>
  <c r="B174" i="55"/>
  <c r="B175" i="55"/>
  <c r="B176" i="55"/>
  <c r="B177" i="55"/>
  <c r="B178" i="55"/>
  <c r="B179" i="55"/>
  <c r="B180" i="55"/>
  <c r="K60" i="55" l="1"/>
  <c r="K64" i="55"/>
  <c r="K81" i="55"/>
  <c r="K79" i="55"/>
  <c r="K69" i="55"/>
  <c r="K124" i="55"/>
  <c r="K111" i="55"/>
  <c r="K113" i="55"/>
  <c r="K118" i="55"/>
  <c r="K120" i="55"/>
  <c r="K130" i="55"/>
  <c r="K54" i="55"/>
  <c r="K61" i="55"/>
  <c r="K77" i="55"/>
  <c r="K86" i="55"/>
  <c r="K116" i="55"/>
  <c r="K58" i="55"/>
  <c r="K71" i="55"/>
  <c r="K114" i="55"/>
  <c r="K56" i="55"/>
  <c r="K63" i="55"/>
  <c r="K104" i="55"/>
  <c r="K51" i="55"/>
  <c r="K67" i="55"/>
  <c r="K75" i="55"/>
  <c r="K96" i="55"/>
  <c r="K100" i="55"/>
  <c r="K88" i="55"/>
  <c r="K94" i="55"/>
  <c r="K125" i="55"/>
  <c r="K126" i="55"/>
  <c r="K59" i="55"/>
  <c r="K65" i="55"/>
  <c r="K73" i="55"/>
  <c r="K84" i="55"/>
  <c r="K98" i="55"/>
  <c r="K117" i="55"/>
  <c r="K121" i="55"/>
  <c r="K127" i="55"/>
  <c r="K53" i="55"/>
  <c r="K55" i="55"/>
  <c r="K57" i="55"/>
  <c r="K66" i="55"/>
  <c r="K68" i="55"/>
  <c r="K70" i="55"/>
  <c r="K72" i="55"/>
  <c r="K74" i="55"/>
  <c r="K76" i="55"/>
  <c r="K78" i="55"/>
  <c r="K80" i="55"/>
  <c r="K92" i="55"/>
  <c r="K102" i="55"/>
  <c r="K82" i="55"/>
  <c r="K90" i="55"/>
  <c r="K110" i="55"/>
  <c r="K119" i="55"/>
  <c r="K28" i="55"/>
  <c r="K30" i="55"/>
  <c r="K32" i="55"/>
  <c r="K34" i="55"/>
  <c r="K36" i="55"/>
  <c r="K38" i="55"/>
  <c r="K40" i="55"/>
  <c r="K42" i="55"/>
  <c r="K44" i="55"/>
  <c r="K46" i="55"/>
  <c r="K48" i="55"/>
  <c r="K50" i="55"/>
  <c r="K62" i="55"/>
  <c r="K29" i="55"/>
  <c r="K31" i="55"/>
  <c r="K33" i="55"/>
  <c r="K35" i="55"/>
  <c r="K37" i="55"/>
  <c r="K39" i="55"/>
  <c r="K41" i="55"/>
  <c r="K43" i="55"/>
  <c r="K45" i="55"/>
  <c r="K47" i="55"/>
  <c r="K49" i="55"/>
  <c r="K52" i="55"/>
  <c r="K106" i="55"/>
  <c r="K112" i="55"/>
  <c r="K123" i="55"/>
  <c r="K132" i="55"/>
  <c r="K108" i="55"/>
  <c r="K109" i="55"/>
  <c r="K115" i="55"/>
  <c r="K128" i="55"/>
  <c r="K129" i="55"/>
  <c r="K83" i="55"/>
  <c r="K89" i="55"/>
  <c r="K91" i="55"/>
  <c r="K93" i="55"/>
  <c r="K97" i="55"/>
  <c r="K99" i="55"/>
  <c r="K107" i="55"/>
  <c r="K85" i="55"/>
  <c r="K87" i="55"/>
  <c r="K95" i="55"/>
  <c r="K101" i="55"/>
  <c r="K103" i="55"/>
  <c r="K105" i="55"/>
  <c r="I27" i="55" l="1" a="1"/>
  <c r="I27" i="55" s="1"/>
  <c r="G27" i="55" a="1"/>
  <c r="G27" i="55" s="1"/>
  <c r="A27" i="55"/>
  <c r="I26" i="55" a="1"/>
  <c r="I26" i="55" s="1"/>
  <c r="G26" i="55" a="1"/>
  <c r="G26" i="55" s="1"/>
  <c r="A26" i="55"/>
  <c r="I25" i="55" a="1"/>
  <c r="I25" i="55" s="1"/>
  <c r="G25" i="55" a="1"/>
  <c r="G25" i="55" s="1"/>
  <c r="A25" i="55"/>
  <c r="I24" i="55" a="1"/>
  <c r="I24" i="55" s="1"/>
  <c r="G24" i="55" a="1"/>
  <c r="G24" i="55" s="1"/>
  <c r="A24" i="55"/>
  <c r="I23" i="55" a="1"/>
  <c r="I23" i="55" s="1"/>
  <c r="G23" i="55" a="1"/>
  <c r="G23" i="55" s="1"/>
  <c r="A23" i="55"/>
  <c r="I22" i="55" a="1"/>
  <c r="I22" i="55" s="1"/>
  <c r="G22" i="55" a="1"/>
  <c r="G22" i="55" s="1"/>
  <c r="A22" i="55"/>
  <c r="I21" i="55" a="1"/>
  <c r="I21" i="55" s="1"/>
  <c r="G21" i="55" a="1"/>
  <c r="G21" i="55" s="1"/>
  <c r="A21" i="55"/>
  <c r="I20" i="55" a="1"/>
  <c r="I20" i="55" s="1"/>
  <c r="G20" i="55" a="1"/>
  <c r="G20" i="55" s="1"/>
  <c r="A20" i="55"/>
  <c r="I19" i="55" a="1"/>
  <c r="I19" i="55" s="1"/>
  <c r="G19" i="55" a="1"/>
  <c r="G19" i="55" s="1"/>
  <c r="A19" i="55"/>
  <c r="B213" i="55"/>
  <c r="A213" i="55" s="1"/>
  <c r="B214" i="55"/>
  <c r="A214" i="55" s="1"/>
  <c r="B215" i="55"/>
  <c r="A215" i="55" s="1"/>
  <c r="B216" i="55"/>
  <c r="A216" i="55" s="1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B181" i="55"/>
  <c r="A181" i="55" s="1"/>
  <c r="B182" i="55"/>
  <c r="A182" i="55" s="1"/>
  <c r="B183" i="55"/>
  <c r="A183" i="55" s="1"/>
  <c r="B184" i="55"/>
  <c r="A184" i="55" s="1"/>
  <c r="B185" i="55"/>
  <c r="A185" i="55" s="1"/>
  <c r="B186" i="55"/>
  <c r="A186" i="55" s="1"/>
  <c r="B187" i="55"/>
  <c r="A187" i="55" s="1"/>
  <c r="B188" i="55"/>
  <c r="A188" i="55" s="1"/>
  <c r="B189" i="55"/>
  <c r="A189" i="55" s="1"/>
  <c r="B190" i="55"/>
  <c r="A190" i="55" s="1"/>
  <c r="B191" i="55"/>
  <c r="A191" i="55" s="1"/>
  <c r="B192" i="55"/>
  <c r="A192" i="55" s="1"/>
  <c r="B193" i="55"/>
  <c r="A193" i="55" s="1"/>
  <c r="B194" i="55"/>
  <c r="A194" i="55" s="1"/>
  <c r="B195" i="55"/>
  <c r="A195" i="55" s="1"/>
  <c r="B196" i="55"/>
  <c r="A196" i="55" s="1"/>
  <c r="B197" i="55"/>
  <c r="A197" i="55" s="1"/>
  <c r="B198" i="55"/>
  <c r="A198" i="55" s="1"/>
  <c r="B199" i="55"/>
  <c r="A199" i="55" s="1"/>
  <c r="B200" i="55"/>
  <c r="A200" i="55" s="1"/>
  <c r="B201" i="55"/>
  <c r="A201" i="55" s="1"/>
  <c r="B202" i="55"/>
  <c r="A202" i="55" s="1"/>
  <c r="B203" i="55"/>
  <c r="A203" i="55" s="1"/>
  <c r="B204" i="55"/>
  <c r="A204" i="55" s="1"/>
  <c r="B205" i="55"/>
  <c r="A205" i="55" s="1"/>
  <c r="B206" i="55"/>
  <c r="A206" i="55" s="1"/>
  <c r="B207" i="55"/>
  <c r="A207" i="55" s="1"/>
  <c r="B208" i="55"/>
  <c r="A208" i="55" s="1"/>
  <c r="B209" i="55"/>
  <c r="A209" i="55" s="1"/>
  <c r="B210" i="55"/>
  <c r="A210" i="55" s="1"/>
  <c r="B211" i="55"/>
  <c r="A211" i="55" s="1"/>
  <c r="B212" i="55"/>
  <c r="A212" i="55" s="1"/>
  <c r="G133" i="55" a="1"/>
  <c r="G133" i="55" s="1"/>
  <c r="I133" i="55" a="1"/>
  <c r="I133" i="55" s="1"/>
  <c r="G134" i="55" a="1"/>
  <c r="G134" i="55" s="1"/>
  <c r="I134" i="55" a="1"/>
  <c r="I134" i="55" s="1"/>
  <c r="K21" i="55" l="1"/>
  <c r="K25" i="55"/>
  <c r="K22" i="55"/>
  <c r="K26" i="55"/>
  <c r="K19" i="55"/>
  <c r="K23" i="55"/>
  <c r="K27" i="55"/>
  <c r="K20" i="55"/>
  <c r="K24" i="55"/>
  <c r="A18" i="55"/>
  <c r="K134" i="55"/>
  <c r="K133" i="55"/>
  <c r="A64" i="60" l="1"/>
  <c r="A65" i="60"/>
  <c r="A66" i="60"/>
  <c r="A67" i="60"/>
  <c r="A68" i="60"/>
  <c r="A69" i="60"/>
  <c r="A70" i="60"/>
  <c r="A71" i="60"/>
  <c r="A72" i="60"/>
  <c r="A73" i="60"/>
  <c r="A74" i="60"/>
  <c r="A75" i="60"/>
  <c r="A76" i="60"/>
  <c r="A77" i="60"/>
  <c r="A78" i="60"/>
  <c r="A79" i="60"/>
  <c r="A80" i="60"/>
  <c r="A81" i="60"/>
  <c r="A82" i="60"/>
  <c r="A83" i="60"/>
  <c r="A84" i="60"/>
  <c r="A85" i="60"/>
  <c r="A86" i="60"/>
  <c r="A87" i="60"/>
  <c r="A88" i="60"/>
  <c r="A89" i="60"/>
  <c r="A90" i="60"/>
  <c r="A91" i="60"/>
  <c r="A92" i="60"/>
  <c r="A93" i="60"/>
  <c r="A94" i="60"/>
  <c r="A95" i="60"/>
  <c r="A96" i="60"/>
  <c r="A97" i="60"/>
  <c r="A98" i="60"/>
  <c r="A99" i="60"/>
  <c r="A100" i="60"/>
  <c r="A101" i="60"/>
  <c r="A102" i="60"/>
  <c r="A103" i="60"/>
  <c r="A104" i="60"/>
  <c r="A105" i="60"/>
  <c r="A106" i="60"/>
  <c r="A107" i="60"/>
  <c r="A108" i="60"/>
  <c r="A109" i="60"/>
  <c r="A110" i="60"/>
  <c r="A111" i="60"/>
  <c r="A112" i="60"/>
  <c r="A113" i="60"/>
  <c r="A114" i="60"/>
  <c r="A115" i="60"/>
  <c r="A116" i="60"/>
  <c r="A117" i="60"/>
  <c r="A118" i="60"/>
  <c r="A119" i="60"/>
  <c r="A120" i="60"/>
  <c r="A121" i="60"/>
  <c r="A122" i="60"/>
  <c r="A123" i="60"/>
  <c r="A124" i="60"/>
  <c r="A125" i="60"/>
  <c r="A126" i="60"/>
  <c r="A127" i="60"/>
  <c r="A128" i="60"/>
  <c r="A129" i="60"/>
  <c r="A130" i="60"/>
  <c r="A131" i="60"/>
  <c r="A132" i="60"/>
  <c r="A133" i="60"/>
  <c r="A134" i="60"/>
  <c r="A63" i="60"/>
  <c r="S8" i="60"/>
  <c r="S9" i="60"/>
  <c r="C9" i="60" s="1"/>
  <c r="S10" i="60"/>
  <c r="C10" i="60" s="1"/>
  <c r="S11" i="60"/>
  <c r="S12" i="60"/>
  <c r="C12" i="60" s="1"/>
  <c r="S13" i="60"/>
  <c r="C13" i="60" s="1"/>
  <c r="S14" i="60"/>
  <c r="C14" i="60" s="1"/>
  <c r="S15" i="60"/>
  <c r="S16" i="60"/>
  <c r="C16" i="60" s="1"/>
  <c r="S17" i="60"/>
  <c r="C17" i="60" s="1"/>
  <c r="S18" i="60"/>
  <c r="C18" i="60" s="1"/>
  <c r="S19" i="60"/>
  <c r="S20" i="60"/>
  <c r="C20" i="60" s="1"/>
  <c r="S21" i="60"/>
  <c r="C21" i="60" s="1"/>
  <c r="S22" i="60"/>
  <c r="C22" i="60" s="1"/>
  <c r="S23" i="60"/>
  <c r="S24" i="60"/>
  <c r="C24" i="60" s="1"/>
  <c r="S25" i="60"/>
  <c r="C25" i="60" s="1"/>
  <c r="S26" i="60"/>
  <c r="C26" i="60" s="1"/>
  <c r="S27" i="60"/>
  <c r="S28" i="60"/>
  <c r="C28" i="60" s="1"/>
  <c r="S29" i="60"/>
  <c r="C29" i="60" s="1"/>
  <c r="S30" i="60"/>
  <c r="C30" i="60" s="1"/>
  <c r="S31" i="60"/>
  <c r="S32" i="60"/>
  <c r="C32" i="60" s="1"/>
  <c r="S33" i="60"/>
  <c r="C33" i="60" s="1"/>
  <c r="S34" i="60"/>
  <c r="C34" i="60" s="1"/>
  <c r="S35" i="60"/>
  <c r="S36" i="60"/>
  <c r="C36" i="60" s="1"/>
  <c r="S37" i="60"/>
  <c r="C37" i="60" s="1"/>
  <c r="S38" i="60"/>
  <c r="C38" i="60" s="1"/>
  <c r="S39" i="60"/>
  <c r="S40" i="60"/>
  <c r="C40" i="60" s="1"/>
  <c r="S41" i="60"/>
  <c r="C41" i="60" s="1"/>
  <c r="S42" i="60"/>
  <c r="C42" i="60" s="1"/>
  <c r="S43" i="60"/>
  <c r="S44" i="60"/>
  <c r="S45" i="60"/>
  <c r="C45" i="60" s="1"/>
  <c r="S46" i="60"/>
  <c r="C46" i="60" s="1"/>
  <c r="S47" i="60"/>
  <c r="S48" i="60"/>
  <c r="C48" i="60" s="1"/>
  <c r="S49" i="60"/>
  <c r="C49" i="60" s="1"/>
  <c r="S50" i="60"/>
  <c r="C50" i="60" s="1"/>
  <c r="S51" i="60"/>
  <c r="S52" i="60"/>
  <c r="C52" i="60" s="1"/>
  <c r="S53" i="60"/>
  <c r="C53" i="60" s="1"/>
  <c r="S54" i="60"/>
  <c r="C54" i="60" s="1"/>
  <c r="C51" i="60"/>
  <c r="C8" i="60"/>
  <c r="C11" i="60"/>
  <c r="C15" i="60"/>
  <c r="C19" i="60"/>
  <c r="C23" i="60"/>
  <c r="C27" i="60"/>
  <c r="C31" i="60"/>
  <c r="C35" i="60"/>
  <c r="C39" i="60"/>
  <c r="C43" i="60"/>
  <c r="C44" i="60"/>
  <c r="C47" i="60"/>
  <c r="I7" i="12" l="1"/>
  <c r="A7" i="12"/>
  <c r="Y287" i="34"/>
  <c r="X287" i="34"/>
  <c r="T287" i="34"/>
  <c r="S287" i="34"/>
  <c r="R287" i="34"/>
  <c r="N287" i="34"/>
  <c r="C287" i="34"/>
  <c r="E16" i="55"/>
  <c r="B287" i="34" l="1"/>
  <c r="A287" i="34" s="1"/>
  <c r="J18" i="64"/>
  <c r="K18" i="64"/>
  <c r="H18" i="64"/>
  <c r="W287" i="34" l="1"/>
  <c r="P287" i="34"/>
  <c r="O287" i="34"/>
  <c r="U287" i="34"/>
  <c r="Q287" i="34"/>
  <c r="Z287" i="34"/>
  <c r="K64" i="34"/>
  <c r="Y63" i="34"/>
  <c r="X63" i="34"/>
  <c r="T63" i="34"/>
  <c r="S63" i="34"/>
  <c r="R63" i="34"/>
  <c r="N63" i="34"/>
  <c r="Z63" i="34"/>
  <c r="Y817" i="34"/>
  <c r="X817" i="34"/>
  <c r="T817" i="34"/>
  <c r="S817" i="34"/>
  <c r="R817" i="34"/>
  <c r="N817" i="34"/>
  <c r="K817" i="34"/>
  <c r="C817" i="34"/>
  <c r="B817" i="34" s="1"/>
  <c r="Y816" i="34"/>
  <c r="X816" i="34"/>
  <c r="T816" i="34"/>
  <c r="S816" i="34"/>
  <c r="R816" i="34"/>
  <c r="N816" i="34"/>
  <c r="K816" i="34"/>
  <c r="C816" i="34"/>
  <c r="B816" i="34" s="1"/>
  <c r="Y818" i="34"/>
  <c r="X818" i="34"/>
  <c r="T818" i="34"/>
  <c r="S818" i="34"/>
  <c r="R818" i="34"/>
  <c r="N818" i="34"/>
  <c r="K818" i="34"/>
  <c r="C818" i="34"/>
  <c r="B818" i="34" s="1"/>
  <c r="AC820" i="34"/>
  <c r="Y820" i="34"/>
  <c r="X820" i="34"/>
  <c r="T820" i="34"/>
  <c r="S820" i="34"/>
  <c r="R820" i="34"/>
  <c r="N820" i="34"/>
  <c r="C820" i="34"/>
  <c r="B820" i="34" s="1"/>
  <c r="A820" i="34" s="1"/>
  <c r="Y819" i="34"/>
  <c r="X819" i="34"/>
  <c r="T819" i="34"/>
  <c r="S819" i="34"/>
  <c r="R819" i="34"/>
  <c r="N819" i="34"/>
  <c r="K819" i="34"/>
  <c r="C819" i="34"/>
  <c r="B819" i="34" s="1"/>
  <c r="A819" i="34" s="1"/>
  <c r="AC800" i="34"/>
  <c r="Y800" i="34"/>
  <c r="X800" i="34"/>
  <c r="T800" i="34"/>
  <c r="S800" i="34"/>
  <c r="R800" i="34"/>
  <c r="N800" i="34"/>
  <c r="C800" i="34"/>
  <c r="B800" i="34" s="1"/>
  <c r="A800" i="34" s="1"/>
  <c r="Y799" i="34"/>
  <c r="X799" i="34"/>
  <c r="T799" i="34"/>
  <c r="S799" i="34"/>
  <c r="R799" i="34"/>
  <c r="N799" i="34"/>
  <c r="K799" i="34"/>
  <c r="C799" i="34"/>
  <c r="B799" i="34" s="1"/>
  <c r="Y798" i="34"/>
  <c r="X798" i="34"/>
  <c r="T798" i="34"/>
  <c r="S798" i="34"/>
  <c r="R798" i="34"/>
  <c r="N798" i="34"/>
  <c r="K798" i="34"/>
  <c r="C798" i="34"/>
  <c r="B798" i="34" s="1"/>
  <c r="AC797" i="34"/>
  <c r="Y797" i="34"/>
  <c r="X797" i="34"/>
  <c r="T797" i="34"/>
  <c r="S797" i="34"/>
  <c r="R797" i="34"/>
  <c r="N797" i="34"/>
  <c r="C797" i="34"/>
  <c r="B797" i="34" s="1"/>
  <c r="A797" i="34" s="1"/>
  <c r="Y796" i="34"/>
  <c r="X796" i="34"/>
  <c r="T796" i="34"/>
  <c r="S796" i="34"/>
  <c r="R796" i="34"/>
  <c r="N796" i="34"/>
  <c r="K796" i="34"/>
  <c r="C796" i="34"/>
  <c r="B796" i="34" s="1"/>
  <c r="AC795" i="34"/>
  <c r="Y795" i="34"/>
  <c r="X795" i="34"/>
  <c r="T795" i="34"/>
  <c r="S795" i="34"/>
  <c r="R795" i="34"/>
  <c r="N795" i="34"/>
  <c r="C795" i="34"/>
  <c r="B795" i="34" s="1"/>
  <c r="A795" i="34" s="1"/>
  <c r="Y794" i="34"/>
  <c r="X794" i="34"/>
  <c r="T794" i="34"/>
  <c r="S794" i="34"/>
  <c r="R794" i="34"/>
  <c r="N794" i="34"/>
  <c r="K794" i="34"/>
  <c r="C794" i="34"/>
  <c r="B794" i="34" s="1"/>
  <c r="AC793" i="34"/>
  <c r="Y793" i="34"/>
  <c r="X793" i="34"/>
  <c r="T793" i="34"/>
  <c r="S793" i="34"/>
  <c r="R793" i="34"/>
  <c r="N793" i="34"/>
  <c r="C793" i="34"/>
  <c r="B793" i="34" s="1"/>
  <c r="A793" i="34" s="1"/>
  <c r="Y792" i="34"/>
  <c r="X792" i="34"/>
  <c r="T792" i="34"/>
  <c r="S792" i="34"/>
  <c r="R792" i="34"/>
  <c r="N792" i="34"/>
  <c r="K792" i="34"/>
  <c r="C792" i="34"/>
  <c r="B792" i="34" s="1"/>
  <c r="Y791" i="34"/>
  <c r="X791" i="34"/>
  <c r="T791" i="34"/>
  <c r="S791" i="34"/>
  <c r="R791" i="34"/>
  <c r="N791" i="34"/>
  <c r="K791" i="34"/>
  <c r="C791" i="34"/>
  <c r="B791" i="34" s="1"/>
  <c r="A791" i="34" s="1"/>
  <c r="AC790" i="34"/>
  <c r="Y790" i="34"/>
  <c r="X790" i="34"/>
  <c r="T790" i="34"/>
  <c r="S790" i="34"/>
  <c r="R790" i="34"/>
  <c r="N790" i="34"/>
  <c r="C790" i="34"/>
  <c r="B790" i="34" s="1"/>
  <c r="Y789" i="34"/>
  <c r="X789" i="34"/>
  <c r="T789" i="34"/>
  <c r="S789" i="34"/>
  <c r="R789" i="34"/>
  <c r="N789" i="34"/>
  <c r="K789" i="34"/>
  <c r="C789" i="34"/>
  <c r="B789" i="34" s="1"/>
  <c r="AC788" i="34"/>
  <c r="Y788" i="34"/>
  <c r="X788" i="34"/>
  <c r="T788" i="34"/>
  <c r="S788" i="34"/>
  <c r="R788" i="34"/>
  <c r="N788" i="34"/>
  <c r="C788" i="34"/>
  <c r="B788" i="34" s="1"/>
  <c r="A788" i="34" s="1"/>
  <c r="Y787" i="34"/>
  <c r="X787" i="34"/>
  <c r="T787" i="34"/>
  <c r="S787" i="34"/>
  <c r="R787" i="34"/>
  <c r="N787" i="34"/>
  <c r="K787" i="34"/>
  <c r="C787" i="34"/>
  <c r="B787" i="34" s="1"/>
  <c r="A787" i="34" s="1"/>
  <c r="Y786" i="34"/>
  <c r="X786" i="34"/>
  <c r="T786" i="34"/>
  <c r="S786" i="34"/>
  <c r="R786" i="34"/>
  <c r="N786" i="34"/>
  <c r="K786" i="34"/>
  <c r="C786" i="34"/>
  <c r="B786" i="34" s="1"/>
  <c r="A786" i="34" s="1"/>
  <c r="Y784" i="34"/>
  <c r="X784" i="34"/>
  <c r="T784" i="34"/>
  <c r="S784" i="34"/>
  <c r="R784" i="34"/>
  <c r="N784" i="34"/>
  <c r="K784" i="34"/>
  <c r="C784" i="34"/>
  <c r="B784" i="34" s="1"/>
  <c r="AC785" i="34"/>
  <c r="Y785" i="34"/>
  <c r="X785" i="34"/>
  <c r="T785" i="34"/>
  <c r="S785" i="34"/>
  <c r="R785" i="34"/>
  <c r="N785" i="34"/>
  <c r="C785" i="34"/>
  <c r="B785" i="34" s="1"/>
  <c r="A785" i="34" s="1"/>
  <c r="Y783" i="34"/>
  <c r="X783" i="34"/>
  <c r="T783" i="34"/>
  <c r="S783" i="34"/>
  <c r="R783" i="34"/>
  <c r="N783" i="34"/>
  <c r="K783" i="34"/>
  <c r="C783" i="34"/>
  <c r="B783" i="34" s="1"/>
  <c r="A783" i="34" s="1"/>
  <c r="Y782" i="34"/>
  <c r="X782" i="34"/>
  <c r="T782" i="34"/>
  <c r="S782" i="34"/>
  <c r="R782" i="34"/>
  <c r="N782" i="34"/>
  <c r="K782" i="34"/>
  <c r="C782" i="34"/>
  <c r="B782" i="34" s="1"/>
  <c r="A782" i="34" s="1"/>
  <c r="AC781" i="34"/>
  <c r="Y781" i="34"/>
  <c r="X781" i="34"/>
  <c r="T781" i="34"/>
  <c r="S781" i="34"/>
  <c r="R781" i="34"/>
  <c r="N781" i="34"/>
  <c r="C781" i="34"/>
  <c r="B781" i="34" s="1"/>
  <c r="A781" i="34" s="1"/>
  <c r="Y780" i="34"/>
  <c r="X780" i="34"/>
  <c r="T780" i="34"/>
  <c r="S780" i="34"/>
  <c r="R780" i="34"/>
  <c r="N780" i="34"/>
  <c r="K780" i="34"/>
  <c r="C780" i="34"/>
  <c r="B780" i="34" s="1"/>
  <c r="Y779" i="34"/>
  <c r="X779" i="34"/>
  <c r="T779" i="34"/>
  <c r="S779" i="34"/>
  <c r="R779" i="34"/>
  <c r="N779" i="34"/>
  <c r="K779" i="34"/>
  <c r="C779" i="34"/>
  <c r="B779" i="34" s="1"/>
  <c r="Z779" i="34" l="1"/>
  <c r="A779" i="34"/>
  <c r="P780" i="34"/>
  <c r="A780" i="34"/>
  <c r="Z784" i="34"/>
  <c r="A784" i="34"/>
  <c r="P789" i="34"/>
  <c r="A789" i="34"/>
  <c r="Z790" i="34"/>
  <c r="A790" i="34"/>
  <c r="P792" i="34"/>
  <c r="A792" i="34"/>
  <c r="P794" i="34"/>
  <c r="A794" i="34"/>
  <c r="P796" i="34"/>
  <c r="A796" i="34"/>
  <c r="Z798" i="34"/>
  <c r="A798" i="34"/>
  <c r="P799" i="34"/>
  <c r="A799" i="34"/>
  <c r="W818" i="34"/>
  <c r="A818" i="34"/>
  <c r="U816" i="34"/>
  <c r="A816" i="34"/>
  <c r="W817" i="34"/>
  <c r="A817" i="34"/>
  <c r="O63" i="34"/>
  <c r="W63" i="34"/>
  <c r="P63" i="34"/>
  <c r="Q63" i="34"/>
  <c r="U63" i="34"/>
  <c r="Z816" i="34"/>
  <c r="P817" i="34"/>
  <c r="O816" i="34"/>
  <c r="W816" i="34"/>
  <c r="Q817" i="34"/>
  <c r="U817" i="34"/>
  <c r="P816" i="34"/>
  <c r="Z817" i="34"/>
  <c r="Q816" i="34"/>
  <c r="O817" i="34"/>
  <c r="P818" i="34"/>
  <c r="Q818" i="34"/>
  <c r="U818" i="34"/>
  <c r="Z818" i="34"/>
  <c r="O818" i="34"/>
  <c r="P819" i="34"/>
  <c r="W819" i="34"/>
  <c r="O819" i="34"/>
  <c r="Z819" i="34"/>
  <c r="U819" i="34"/>
  <c r="Q819" i="34"/>
  <c r="W820" i="34"/>
  <c r="O820" i="34"/>
  <c r="Z820" i="34"/>
  <c r="U820" i="34"/>
  <c r="Q820" i="34"/>
  <c r="P820" i="34"/>
  <c r="U798" i="34"/>
  <c r="Q798" i="34"/>
  <c r="W800" i="34"/>
  <c r="O800" i="34"/>
  <c r="Z800" i="34"/>
  <c r="U800" i="34"/>
  <c r="Q800" i="34"/>
  <c r="P800" i="34"/>
  <c r="O798" i="34"/>
  <c r="W798" i="34"/>
  <c r="Q799" i="34"/>
  <c r="U799" i="34"/>
  <c r="P798" i="34"/>
  <c r="Z799" i="34"/>
  <c r="O799" i="34"/>
  <c r="W799" i="34"/>
  <c r="W797" i="34"/>
  <c r="O797" i="34"/>
  <c r="Z797" i="34"/>
  <c r="U797" i="34"/>
  <c r="Q797" i="34"/>
  <c r="P797" i="34"/>
  <c r="Q796" i="34"/>
  <c r="U796" i="34"/>
  <c r="Z796" i="34"/>
  <c r="O796" i="34"/>
  <c r="W796" i="34"/>
  <c r="W795" i="34"/>
  <c r="O795" i="34"/>
  <c r="Z795" i="34"/>
  <c r="U795" i="34"/>
  <c r="Q795" i="34"/>
  <c r="P795" i="34"/>
  <c r="Q794" i="34"/>
  <c r="U794" i="34"/>
  <c r="Z794" i="34"/>
  <c r="O794" i="34"/>
  <c r="W794" i="34"/>
  <c r="Z791" i="34"/>
  <c r="U791" i="34"/>
  <c r="Q791" i="34"/>
  <c r="P791" i="34"/>
  <c r="W791" i="34"/>
  <c r="O791" i="34"/>
  <c r="W793" i="34"/>
  <c r="O793" i="34"/>
  <c r="Z793" i="34"/>
  <c r="U793" i="34"/>
  <c r="Q793" i="34"/>
  <c r="P793" i="34"/>
  <c r="Q792" i="34"/>
  <c r="U792" i="34"/>
  <c r="Z792" i="34"/>
  <c r="O792" i="34"/>
  <c r="W792" i="34"/>
  <c r="O790" i="34"/>
  <c r="W790" i="34"/>
  <c r="Q789" i="34"/>
  <c r="U789" i="34"/>
  <c r="P790" i="34"/>
  <c r="Z789" i="34"/>
  <c r="Q790" i="34"/>
  <c r="U790" i="34"/>
  <c r="O789" i="34"/>
  <c r="W789" i="34"/>
  <c r="W788" i="34"/>
  <c r="O788" i="34"/>
  <c r="Z788" i="34"/>
  <c r="U788" i="34"/>
  <c r="Q788" i="34"/>
  <c r="P788" i="34"/>
  <c r="P787" i="34"/>
  <c r="W787" i="34"/>
  <c r="O787" i="34"/>
  <c r="Z787" i="34"/>
  <c r="U787" i="34"/>
  <c r="Q787" i="34"/>
  <c r="Z786" i="34"/>
  <c r="U786" i="34"/>
  <c r="Q786" i="34"/>
  <c r="P786" i="34"/>
  <c r="W786" i="34"/>
  <c r="O786" i="34"/>
  <c r="P783" i="34"/>
  <c r="O784" i="34"/>
  <c r="P784" i="34"/>
  <c r="Q784" i="34"/>
  <c r="U784" i="34"/>
  <c r="W784" i="34"/>
  <c r="W785" i="34"/>
  <c r="O785" i="34"/>
  <c r="Z785" i="34"/>
  <c r="U785" i="34"/>
  <c r="Q785" i="34"/>
  <c r="P785" i="34"/>
  <c r="Z782" i="34"/>
  <c r="U782" i="34"/>
  <c r="Q782" i="34"/>
  <c r="P782" i="34"/>
  <c r="W782" i="34"/>
  <c r="O782" i="34"/>
  <c r="Q783" i="34"/>
  <c r="U783" i="34"/>
  <c r="Z783" i="34"/>
  <c r="O783" i="34"/>
  <c r="W783" i="34"/>
  <c r="W781" i="34"/>
  <c r="O781" i="34"/>
  <c r="Z781" i="34"/>
  <c r="U781" i="34"/>
  <c r="Q781" i="34"/>
  <c r="P781" i="34"/>
  <c r="O779" i="34"/>
  <c r="W779" i="34"/>
  <c r="Q780" i="34"/>
  <c r="U780" i="34"/>
  <c r="P779" i="34"/>
  <c r="Z780" i="34"/>
  <c r="O780" i="34"/>
  <c r="W780" i="34"/>
  <c r="Q779" i="34"/>
  <c r="U779" i="34"/>
  <c r="C33" i="15"/>
  <c r="D27" i="15"/>
  <c r="C27" i="15"/>
  <c r="Y434" i="34" l="1"/>
  <c r="X434" i="34"/>
  <c r="T434" i="34"/>
  <c r="S434" i="34"/>
  <c r="R434" i="34"/>
  <c r="N434" i="34"/>
  <c r="C434" i="34"/>
  <c r="B434" i="34" l="1"/>
  <c r="A434" i="34" s="1"/>
  <c r="Y376" i="34"/>
  <c r="X376" i="34"/>
  <c r="T376" i="34"/>
  <c r="S376" i="34"/>
  <c r="R376" i="34"/>
  <c r="N376" i="34"/>
  <c r="C376" i="34"/>
  <c r="A9" i="12"/>
  <c r="A10" i="12"/>
  <c r="A11" i="12"/>
  <c r="A12" i="12"/>
  <c r="U434" i="34" l="1"/>
  <c r="Q434" i="34"/>
  <c r="O434" i="34"/>
  <c r="P434" i="34"/>
  <c r="B376" i="34"/>
  <c r="A376" i="34" s="1"/>
  <c r="W434" i="34"/>
  <c r="Z434" i="34"/>
  <c r="Y424" i="34"/>
  <c r="X424" i="34"/>
  <c r="T424" i="34"/>
  <c r="S424" i="34"/>
  <c r="R424" i="34"/>
  <c r="N424" i="34"/>
  <c r="C424" i="34"/>
  <c r="Y490" i="34"/>
  <c r="X490" i="34"/>
  <c r="T490" i="34"/>
  <c r="S490" i="34"/>
  <c r="R490" i="34"/>
  <c r="N490" i="34"/>
  <c r="C490" i="34"/>
  <c r="B490" i="34" s="1"/>
  <c r="Y487" i="34"/>
  <c r="X487" i="34"/>
  <c r="T487" i="34"/>
  <c r="S487" i="34"/>
  <c r="R487" i="34"/>
  <c r="N487" i="34"/>
  <c r="C487" i="34"/>
  <c r="B487" i="34" s="1"/>
  <c r="A487" i="34" s="1"/>
  <c r="Y484" i="34"/>
  <c r="X484" i="34"/>
  <c r="T484" i="34"/>
  <c r="S484" i="34"/>
  <c r="R484" i="34"/>
  <c r="N484" i="34"/>
  <c r="C484" i="34"/>
  <c r="B484" i="34" s="1"/>
  <c r="Y481" i="34"/>
  <c r="X481" i="34"/>
  <c r="T481" i="34"/>
  <c r="S481" i="34"/>
  <c r="R481" i="34"/>
  <c r="N481" i="34"/>
  <c r="C481" i="34"/>
  <c r="B481" i="34" s="1"/>
  <c r="A481" i="34" s="1"/>
  <c r="Y478" i="34"/>
  <c r="X478" i="34"/>
  <c r="T478" i="34"/>
  <c r="S478" i="34"/>
  <c r="R478" i="34"/>
  <c r="N478" i="34"/>
  <c r="C478" i="34"/>
  <c r="B478" i="34" s="1"/>
  <c r="Y475" i="34"/>
  <c r="X475" i="34"/>
  <c r="T475" i="34"/>
  <c r="S475" i="34"/>
  <c r="R475" i="34"/>
  <c r="N475" i="34"/>
  <c r="C475" i="34"/>
  <c r="B475" i="34" s="1"/>
  <c r="Y472" i="34"/>
  <c r="X472" i="34"/>
  <c r="T472" i="34"/>
  <c r="S472" i="34"/>
  <c r="R472" i="34"/>
  <c r="N472" i="34"/>
  <c r="C472" i="34"/>
  <c r="B472" i="34" s="1"/>
  <c r="A472" i="34" s="1"/>
  <c r="Y469" i="34"/>
  <c r="X469" i="34"/>
  <c r="T469" i="34"/>
  <c r="S469" i="34"/>
  <c r="R469" i="34"/>
  <c r="N469" i="34"/>
  <c r="C469" i="34"/>
  <c r="B469" i="34" s="1"/>
  <c r="Y465" i="34"/>
  <c r="X465" i="34"/>
  <c r="T465" i="34"/>
  <c r="S465" i="34"/>
  <c r="R465" i="34"/>
  <c r="N465" i="34"/>
  <c r="C465" i="34"/>
  <c r="B465" i="34" s="1"/>
  <c r="Y462" i="34"/>
  <c r="X462" i="34"/>
  <c r="T462" i="34"/>
  <c r="S462" i="34"/>
  <c r="R462" i="34"/>
  <c r="N462" i="34"/>
  <c r="C462" i="34"/>
  <c r="B462" i="34" s="1"/>
  <c r="Y458" i="34"/>
  <c r="X458" i="34"/>
  <c r="T458" i="34"/>
  <c r="S458" i="34"/>
  <c r="R458" i="34"/>
  <c r="N458" i="34"/>
  <c r="C458" i="34"/>
  <c r="B458" i="34" s="1"/>
  <c r="A458" i="34" s="1"/>
  <c r="Y453" i="34"/>
  <c r="X453" i="34"/>
  <c r="T453" i="34"/>
  <c r="S453" i="34"/>
  <c r="R453" i="34"/>
  <c r="N453" i="34"/>
  <c r="C453" i="34"/>
  <c r="B453" i="34" s="1"/>
  <c r="A453" i="34" s="1"/>
  <c r="Y449" i="34"/>
  <c r="X449" i="34"/>
  <c r="T449" i="34"/>
  <c r="S449" i="34"/>
  <c r="R449" i="34"/>
  <c r="N449" i="34"/>
  <c r="C449" i="34"/>
  <c r="B449" i="34" s="1"/>
  <c r="A449" i="34" s="1"/>
  <c r="Y446" i="34"/>
  <c r="X446" i="34"/>
  <c r="T446" i="34"/>
  <c r="S446" i="34"/>
  <c r="R446" i="34"/>
  <c r="N446" i="34"/>
  <c r="C446" i="34"/>
  <c r="B446" i="34" s="1"/>
  <c r="Y443" i="34"/>
  <c r="X443" i="34"/>
  <c r="T443" i="34"/>
  <c r="S443" i="34"/>
  <c r="R443" i="34"/>
  <c r="N443" i="34"/>
  <c r="C443" i="34"/>
  <c r="B443" i="34" s="1"/>
  <c r="Y440" i="34"/>
  <c r="X440" i="34"/>
  <c r="T440" i="34"/>
  <c r="S440" i="34"/>
  <c r="R440" i="34"/>
  <c r="N440" i="34"/>
  <c r="C440" i="34"/>
  <c r="B440" i="34" s="1"/>
  <c r="Y437" i="34"/>
  <c r="X437" i="34"/>
  <c r="T437" i="34"/>
  <c r="S437" i="34"/>
  <c r="R437" i="34"/>
  <c r="N437" i="34"/>
  <c r="C437" i="34"/>
  <c r="Y433" i="34"/>
  <c r="X433" i="34"/>
  <c r="T433" i="34"/>
  <c r="S433" i="34"/>
  <c r="R433" i="34"/>
  <c r="N433" i="34"/>
  <c r="C433" i="34"/>
  <c r="Y430" i="34"/>
  <c r="X430" i="34"/>
  <c r="T430" i="34"/>
  <c r="S430" i="34"/>
  <c r="R430" i="34"/>
  <c r="N430" i="34"/>
  <c r="C430" i="34"/>
  <c r="Y427" i="34"/>
  <c r="X427" i="34"/>
  <c r="T427" i="34"/>
  <c r="S427" i="34"/>
  <c r="R427" i="34"/>
  <c r="N427" i="34"/>
  <c r="C427" i="34"/>
  <c r="Y421" i="34"/>
  <c r="X421" i="34"/>
  <c r="T421" i="34"/>
  <c r="S421" i="34"/>
  <c r="R421" i="34"/>
  <c r="N421" i="34"/>
  <c r="C421" i="34"/>
  <c r="B421" i="34" s="1"/>
  <c r="A421" i="34" s="1"/>
  <c r="Y418" i="34"/>
  <c r="X418" i="34"/>
  <c r="T418" i="34"/>
  <c r="S418" i="34"/>
  <c r="R418" i="34"/>
  <c r="N418" i="34"/>
  <c r="C418" i="34"/>
  <c r="Y414" i="34"/>
  <c r="X414" i="34"/>
  <c r="T414" i="34"/>
  <c r="S414" i="34"/>
  <c r="R414" i="34"/>
  <c r="N414" i="34"/>
  <c r="N416" i="34"/>
  <c r="R416" i="34"/>
  <c r="S416" i="34"/>
  <c r="T416" i="34"/>
  <c r="X416" i="34"/>
  <c r="Y416" i="34"/>
  <c r="C414" i="34"/>
  <c r="B414" i="34" s="1"/>
  <c r="A414" i="34" s="1"/>
  <c r="Y410" i="34"/>
  <c r="X410" i="34"/>
  <c r="T410" i="34"/>
  <c r="S410" i="34"/>
  <c r="R410" i="34"/>
  <c r="N410" i="34"/>
  <c r="C410" i="34"/>
  <c r="Y406" i="34"/>
  <c r="X406" i="34"/>
  <c r="T406" i="34"/>
  <c r="S406" i="34"/>
  <c r="R406" i="34"/>
  <c r="N406" i="34"/>
  <c r="C406" i="34"/>
  <c r="Y399" i="34"/>
  <c r="X399" i="34"/>
  <c r="T399" i="34"/>
  <c r="S399" i="34"/>
  <c r="R399" i="34"/>
  <c r="N399" i="34"/>
  <c r="C399" i="34"/>
  <c r="Y396" i="34"/>
  <c r="X396" i="34"/>
  <c r="T396" i="34"/>
  <c r="S396" i="34"/>
  <c r="R396" i="34"/>
  <c r="N396" i="34"/>
  <c r="C396" i="34"/>
  <c r="B396" i="34" s="1"/>
  <c r="A396" i="34" s="1"/>
  <c r="Y387" i="34"/>
  <c r="X387" i="34"/>
  <c r="T387" i="34"/>
  <c r="S387" i="34"/>
  <c r="R387" i="34"/>
  <c r="N387" i="34"/>
  <c r="C387" i="34"/>
  <c r="Y381" i="34"/>
  <c r="X381" i="34"/>
  <c r="T381" i="34"/>
  <c r="S381" i="34"/>
  <c r="R381" i="34"/>
  <c r="N381" i="34"/>
  <c r="C381" i="34"/>
  <c r="Y375" i="34"/>
  <c r="X375" i="34"/>
  <c r="T375" i="34"/>
  <c r="S375" i="34"/>
  <c r="R375" i="34"/>
  <c r="N375" i="34"/>
  <c r="C375" i="34"/>
  <c r="Y372" i="34"/>
  <c r="X372" i="34"/>
  <c r="T372" i="34"/>
  <c r="S372" i="34"/>
  <c r="R372" i="34"/>
  <c r="N372" i="34"/>
  <c r="C372" i="34"/>
  <c r="Y368" i="34"/>
  <c r="X368" i="34"/>
  <c r="T368" i="34"/>
  <c r="S368" i="34"/>
  <c r="R368" i="34"/>
  <c r="N368" i="34"/>
  <c r="C368" i="34"/>
  <c r="Y365" i="34"/>
  <c r="X365" i="34"/>
  <c r="T365" i="34"/>
  <c r="S365" i="34"/>
  <c r="R365" i="34"/>
  <c r="N365" i="34"/>
  <c r="C365" i="34"/>
  <c r="Y359" i="34"/>
  <c r="X359" i="34"/>
  <c r="T359" i="34"/>
  <c r="S359" i="34"/>
  <c r="R359" i="34"/>
  <c r="N359" i="34"/>
  <c r="C359" i="34"/>
  <c r="Y355" i="34"/>
  <c r="X355" i="34"/>
  <c r="T355" i="34"/>
  <c r="S355" i="34"/>
  <c r="R355" i="34"/>
  <c r="N355" i="34"/>
  <c r="C355" i="34"/>
  <c r="Y351" i="34"/>
  <c r="X351" i="34"/>
  <c r="T351" i="34"/>
  <c r="S351" i="34"/>
  <c r="R351" i="34"/>
  <c r="N351" i="34"/>
  <c r="C351" i="34"/>
  <c r="B351" i="34" s="1"/>
  <c r="A351" i="34" s="1"/>
  <c r="Y347" i="34"/>
  <c r="X347" i="34"/>
  <c r="T347" i="34"/>
  <c r="S347" i="34"/>
  <c r="R347" i="34"/>
  <c r="N347" i="34"/>
  <c r="C347" i="34"/>
  <c r="Y341" i="34"/>
  <c r="X341" i="34"/>
  <c r="T341" i="34"/>
  <c r="S341" i="34"/>
  <c r="R341" i="34"/>
  <c r="N341" i="34"/>
  <c r="C341" i="34"/>
  <c r="Y332" i="34"/>
  <c r="X332" i="34"/>
  <c r="T332" i="34"/>
  <c r="S332" i="34"/>
  <c r="R332" i="34"/>
  <c r="N332" i="34"/>
  <c r="C332" i="34"/>
  <c r="B332" i="34" s="1"/>
  <c r="A332" i="34" s="1"/>
  <c r="Y327" i="34"/>
  <c r="X327" i="34"/>
  <c r="T327" i="34"/>
  <c r="S327" i="34"/>
  <c r="R327" i="34"/>
  <c r="N327" i="34"/>
  <c r="C327" i="34"/>
  <c r="B327" i="34" s="1"/>
  <c r="A327" i="34" s="1"/>
  <c r="Y323" i="34"/>
  <c r="X323" i="34"/>
  <c r="T323" i="34"/>
  <c r="S323" i="34"/>
  <c r="R323" i="34"/>
  <c r="N323" i="34"/>
  <c r="C323" i="34"/>
  <c r="B323" i="34" s="1"/>
  <c r="A323" i="34" s="1"/>
  <c r="Y318" i="34"/>
  <c r="X318" i="34"/>
  <c r="T318" i="34"/>
  <c r="S318" i="34"/>
  <c r="R318" i="34"/>
  <c r="N318" i="34"/>
  <c r="C318" i="34"/>
  <c r="B318" i="34" s="1"/>
  <c r="A318" i="34" s="1"/>
  <c r="Y313" i="34"/>
  <c r="X313" i="34"/>
  <c r="T313" i="34"/>
  <c r="S313" i="34"/>
  <c r="R313" i="34"/>
  <c r="N313" i="34"/>
  <c r="C313" i="34"/>
  <c r="Y306" i="34"/>
  <c r="X306" i="34"/>
  <c r="T306" i="34"/>
  <c r="S306" i="34"/>
  <c r="R306" i="34"/>
  <c r="N306" i="34"/>
  <c r="C306" i="34"/>
  <c r="Y300" i="34"/>
  <c r="X300" i="34"/>
  <c r="T300" i="34"/>
  <c r="S300" i="34"/>
  <c r="R300" i="34"/>
  <c r="N300" i="34"/>
  <c r="C300" i="34"/>
  <c r="W376" i="34" l="1"/>
  <c r="O376" i="34"/>
  <c r="B306" i="34"/>
  <c r="A306" i="34" s="1"/>
  <c r="B368" i="34"/>
  <c r="A368" i="34" s="1"/>
  <c r="B387" i="34"/>
  <c r="A387" i="34" s="1"/>
  <c r="B410" i="34"/>
  <c r="A410" i="34" s="1"/>
  <c r="B418" i="34"/>
  <c r="A418" i="34" s="1"/>
  <c r="B433" i="34"/>
  <c r="A433" i="34" s="1"/>
  <c r="W446" i="34"/>
  <c r="A446" i="34"/>
  <c r="O462" i="34"/>
  <c r="A462" i="34"/>
  <c r="W475" i="34"/>
  <c r="A475" i="34"/>
  <c r="B300" i="34"/>
  <c r="A300" i="34" s="1"/>
  <c r="B347" i="34"/>
  <c r="A347" i="34" s="1"/>
  <c r="B365" i="34"/>
  <c r="A365" i="34" s="1"/>
  <c r="B381" i="34"/>
  <c r="A381" i="34" s="1"/>
  <c r="B406" i="34"/>
  <c r="A406" i="34" s="1"/>
  <c r="B430" i="34"/>
  <c r="A430" i="34" s="1"/>
  <c r="P443" i="34"/>
  <c r="A443" i="34"/>
  <c r="Z484" i="34"/>
  <c r="A484" i="34"/>
  <c r="U376" i="34"/>
  <c r="Q376" i="34"/>
  <c r="Z376" i="34"/>
  <c r="B341" i="34"/>
  <c r="A341" i="34" s="1"/>
  <c r="B359" i="34"/>
  <c r="A359" i="34" s="1"/>
  <c r="B375" i="34"/>
  <c r="A375" i="34" s="1"/>
  <c r="B399" i="34"/>
  <c r="A399" i="34" s="1"/>
  <c r="B427" i="34"/>
  <c r="A427" i="34" s="1"/>
  <c r="W440" i="34"/>
  <c r="A440" i="34"/>
  <c r="Z469" i="34"/>
  <c r="A469" i="34"/>
  <c r="B424" i="34"/>
  <c r="A424" i="34" s="1"/>
  <c r="P376" i="34"/>
  <c r="B313" i="34"/>
  <c r="A313" i="34" s="1"/>
  <c r="B355" i="34"/>
  <c r="A355" i="34" s="1"/>
  <c r="B372" i="34"/>
  <c r="A372" i="34" s="1"/>
  <c r="B437" i="34"/>
  <c r="A437" i="34" s="1"/>
  <c r="W465" i="34"/>
  <c r="A465" i="34"/>
  <c r="Z478" i="34"/>
  <c r="A478" i="34"/>
  <c r="Z490" i="34"/>
  <c r="A490" i="34"/>
  <c r="O424" i="34"/>
  <c r="O313" i="34"/>
  <c r="P449" i="34"/>
  <c r="W449" i="34"/>
  <c r="O449" i="34"/>
  <c r="P458" i="34"/>
  <c r="W458" i="34"/>
  <c r="O458" i="34"/>
  <c r="W462" i="34"/>
  <c r="O469" i="34"/>
  <c r="P478" i="34"/>
  <c r="O443" i="34"/>
  <c r="W443" i="34"/>
  <c r="P469" i="34"/>
  <c r="W430" i="34"/>
  <c r="O478" i="34"/>
  <c r="Z414" i="34"/>
  <c r="W414" i="34"/>
  <c r="Z421" i="34"/>
  <c r="W421" i="34"/>
  <c r="W453" i="34"/>
  <c r="Z453" i="34"/>
  <c r="U453" i="34"/>
  <c r="Q453" i="34"/>
  <c r="P453" i="34"/>
  <c r="O453" i="34"/>
  <c r="W332" i="34"/>
  <c r="O332" i="34"/>
  <c r="O487" i="34"/>
  <c r="W487" i="34"/>
  <c r="Z487" i="34"/>
  <c r="U487" i="34"/>
  <c r="Q487" i="34"/>
  <c r="P487" i="34"/>
  <c r="O481" i="34"/>
  <c r="W481" i="34"/>
  <c r="Z481" i="34"/>
  <c r="U481" i="34"/>
  <c r="Q481" i="34"/>
  <c r="P481" i="34"/>
  <c r="W323" i="34"/>
  <c r="O323" i="34"/>
  <c r="O472" i="34"/>
  <c r="W472" i="34"/>
  <c r="Z472" i="34"/>
  <c r="U472" i="34"/>
  <c r="Q472" i="34"/>
  <c r="P472" i="34"/>
  <c r="P355" i="34"/>
  <c r="O359" i="34"/>
  <c r="W381" i="34"/>
  <c r="P399" i="34"/>
  <c r="W399" i="34"/>
  <c r="P410" i="34"/>
  <c r="W410" i="34"/>
  <c r="Q430" i="34"/>
  <c r="O440" i="34"/>
  <c r="Q443" i="34"/>
  <c r="U443" i="34"/>
  <c r="Z443" i="34"/>
  <c r="O446" i="34"/>
  <c r="Q449" i="34"/>
  <c r="U449" i="34"/>
  <c r="Z449" i="34"/>
  <c r="Q458" i="34"/>
  <c r="U458" i="34"/>
  <c r="Z458" i="34"/>
  <c r="P462" i="34"/>
  <c r="O465" i="34"/>
  <c r="W469" i="34"/>
  <c r="O475" i="34"/>
  <c r="W478" i="34"/>
  <c r="W484" i="34"/>
  <c r="O490" i="34"/>
  <c r="W490" i="34"/>
  <c r="P440" i="34"/>
  <c r="P446" i="34"/>
  <c r="Q462" i="34"/>
  <c r="U462" i="34"/>
  <c r="Z462" i="34"/>
  <c r="P465" i="34"/>
  <c r="P475" i="34"/>
  <c r="O484" i="34"/>
  <c r="P490" i="34"/>
  <c r="P365" i="34"/>
  <c r="W365" i="34"/>
  <c r="Q433" i="34"/>
  <c r="Q440" i="34"/>
  <c r="U440" i="34"/>
  <c r="Z440" i="34"/>
  <c r="Q446" i="34"/>
  <c r="U446" i="34"/>
  <c r="Z446" i="34"/>
  <c r="Q465" i="34"/>
  <c r="U465" i="34"/>
  <c r="Z465" i="34"/>
  <c r="Q475" i="34"/>
  <c r="U475" i="34"/>
  <c r="Z475" i="34"/>
  <c r="P484" i="34"/>
  <c r="Q490" i="34"/>
  <c r="U490" i="34"/>
  <c r="P313" i="34"/>
  <c r="W372" i="34"/>
  <c r="O399" i="34"/>
  <c r="Q469" i="34"/>
  <c r="U469" i="34"/>
  <c r="Q478" i="34"/>
  <c r="U478" i="34"/>
  <c r="Q484" i="34"/>
  <c r="U484" i="34"/>
  <c r="W396" i="34"/>
  <c r="Z396" i="34"/>
  <c r="U396" i="34"/>
  <c r="Q396" i="34"/>
  <c r="P396" i="34"/>
  <c r="O396" i="34"/>
  <c r="P351" i="34"/>
  <c r="O351" i="34"/>
  <c r="W351" i="34"/>
  <c r="Q351" i="34"/>
  <c r="Z351" i="34"/>
  <c r="U351" i="34"/>
  <c r="P318" i="34"/>
  <c r="O318" i="34"/>
  <c r="W318" i="34"/>
  <c r="Z318" i="34"/>
  <c r="Q318" i="34"/>
  <c r="U318" i="34"/>
  <c r="P327" i="34"/>
  <c r="O327" i="34"/>
  <c r="Z327" i="34"/>
  <c r="Q327" i="34"/>
  <c r="W327" i="34"/>
  <c r="U327" i="34"/>
  <c r="P375" i="34"/>
  <c r="Q387" i="34"/>
  <c r="U387" i="34"/>
  <c r="Z387" i="34"/>
  <c r="Q406" i="34"/>
  <c r="U406" i="34"/>
  <c r="Z406" i="34"/>
  <c r="P418" i="34"/>
  <c r="Z306" i="34"/>
  <c r="P332" i="34"/>
  <c r="Q355" i="34"/>
  <c r="U368" i="34"/>
  <c r="O372" i="34"/>
  <c r="Q375" i="34"/>
  <c r="U375" i="34"/>
  <c r="Z375" i="34"/>
  <c r="O381" i="34"/>
  <c r="W387" i="34"/>
  <c r="W406" i="34"/>
  <c r="Q410" i="34"/>
  <c r="U410" i="34"/>
  <c r="Z410" i="34"/>
  <c r="O414" i="34"/>
  <c r="Q418" i="34"/>
  <c r="U418" i="34"/>
  <c r="Z418" i="34"/>
  <c r="O421" i="34"/>
  <c r="P306" i="34"/>
  <c r="Q306" i="34"/>
  <c r="P323" i="34"/>
  <c r="U313" i="34"/>
  <c r="Z313" i="34"/>
  <c r="Q323" i="34"/>
  <c r="U323" i="34"/>
  <c r="Z323" i="34"/>
  <c r="Q332" i="34"/>
  <c r="U332" i="34"/>
  <c r="Z332" i="34"/>
  <c r="W347" i="34"/>
  <c r="Q359" i="34"/>
  <c r="U359" i="34"/>
  <c r="Z359" i="34"/>
  <c r="P372" i="34"/>
  <c r="W375" i="34"/>
  <c r="P381" i="34"/>
  <c r="O387" i="34"/>
  <c r="O406" i="34"/>
  <c r="P414" i="34"/>
  <c r="W418" i="34"/>
  <c r="P421" i="34"/>
  <c r="U306" i="34"/>
  <c r="W306" i="34"/>
  <c r="Q313" i="34"/>
  <c r="Q365" i="34"/>
  <c r="U365" i="34"/>
  <c r="Q372" i="34"/>
  <c r="U372" i="34"/>
  <c r="Q381" i="34"/>
  <c r="U381" i="34"/>
  <c r="Q399" i="34"/>
  <c r="U399" i="34"/>
  <c r="Q414" i="34"/>
  <c r="U414" i="34"/>
  <c r="Q421" i="34"/>
  <c r="U421" i="34"/>
  <c r="O300" i="34"/>
  <c r="W300" i="34"/>
  <c r="Q300" i="34"/>
  <c r="U300" i="34"/>
  <c r="P300" i="34"/>
  <c r="A37" i="70"/>
  <c r="U341" i="34" l="1"/>
  <c r="Q368" i="34"/>
  <c r="Z347" i="34"/>
  <c r="U427" i="34"/>
  <c r="O341" i="34"/>
  <c r="P427" i="34"/>
  <c r="P433" i="34"/>
  <c r="O433" i="34"/>
  <c r="W427" i="34"/>
  <c r="W341" i="34"/>
  <c r="P430" i="34"/>
  <c r="Q341" i="34"/>
  <c r="P347" i="34"/>
  <c r="Z355" i="34"/>
  <c r="U347" i="34"/>
  <c r="P368" i="34"/>
  <c r="Q427" i="34"/>
  <c r="Z433" i="34"/>
  <c r="Z430" i="34"/>
  <c r="P341" i="34"/>
  <c r="W368" i="34"/>
  <c r="W355" i="34"/>
  <c r="Z368" i="34"/>
  <c r="U355" i="34"/>
  <c r="Q347" i="34"/>
  <c r="U433" i="34"/>
  <c r="U430" i="34"/>
  <c r="U437" i="34"/>
  <c r="O437" i="34"/>
  <c r="Z437" i="34"/>
  <c r="O365" i="34"/>
  <c r="Q437" i="34"/>
  <c r="O375" i="34"/>
  <c r="U424" i="34"/>
  <c r="O427" i="34"/>
  <c r="W424" i="34"/>
  <c r="Z341" i="34"/>
  <c r="Z427" i="34"/>
  <c r="P359" i="34"/>
  <c r="P424" i="34"/>
  <c r="Q424" i="34"/>
  <c r="Z424" i="34"/>
  <c r="Z399" i="34"/>
  <c r="W359" i="34"/>
  <c r="W437" i="34"/>
  <c r="Z372" i="34"/>
  <c r="W313" i="34"/>
  <c r="P406" i="34"/>
  <c r="Z365" i="34"/>
  <c r="Z300" i="34"/>
  <c r="W433" i="34"/>
  <c r="O410" i="34"/>
  <c r="O368" i="34"/>
  <c r="P437" i="34"/>
  <c r="O355" i="34"/>
  <c r="O430" i="34"/>
  <c r="Z381" i="34"/>
  <c r="O347" i="34"/>
  <c r="O418" i="34"/>
  <c r="P387" i="34"/>
  <c r="O306" i="34"/>
  <c r="A41" i="70"/>
  <c r="A8" i="70"/>
  <c r="A32" i="70"/>
  <c r="A33" i="70"/>
  <c r="A9" i="70"/>
  <c r="A26" i="70"/>
  <c r="A10" i="70"/>
  <c r="A24" i="70"/>
  <c r="A39" i="70"/>
  <c r="A40" i="70"/>
  <c r="A34" i="70"/>
  <c r="A6" i="70"/>
  <c r="A16" i="70"/>
  <c r="A28" i="70"/>
  <c r="A22" i="70"/>
  <c r="A29" i="70"/>
  <c r="A23" i="70"/>
  <c r="A20" i="70"/>
  <c r="C43" i="70"/>
  <c r="A36" i="70"/>
  <c r="A30" i="70"/>
  <c r="AC493" i="34"/>
  <c r="AC496" i="34"/>
  <c r="AC498" i="34"/>
  <c r="AC506" i="34"/>
  <c r="AC508" i="34"/>
  <c r="AC510" i="34"/>
  <c r="AC512" i="34"/>
  <c r="AC515" i="34"/>
  <c r="AC520" i="34"/>
  <c r="AC522" i="34"/>
  <c r="AC525" i="34"/>
  <c r="AC527" i="34"/>
  <c r="AC529" i="34"/>
  <c r="AC531" i="34"/>
  <c r="AC533" i="34"/>
  <c r="AC535" i="34"/>
  <c r="AC537" i="34"/>
  <c r="AC541" i="34"/>
  <c r="AC543" i="34"/>
  <c r="AC546" i="34"/>
  <c r="AC548" i="34"/>
  <c r="AC550" i="34"/>
  <c r="AC552" i="34"/>
  <c r="AC555" i="34"/>
  <c r="AC557" i="34"/>
  <c r="AC563" i="34"/>
  <c r="AC565" i="34"/>
  <c r="AC567" i="34"/>
  <c r="AC569" i="34"/>
  <c r="AC571" i="34"/>
  <c r="AC573" i="34"/>
  <c r="AC575" i="34"/>
  <c r="AC577" i="34"/>
  <c r="AC580" i="34"/>
  <c r="AC583" i="34"/>
  <c r="AC587" i="34"/>
  <c r="AC590" i="34"/>
  <c r="AC592" i="34"/>
  <c r="AC594" i="34"/>
  <c r="AC596" i="34"/>
  <c r="AC599" i="34"/>
  <c r="AC602" i="34"/>
  <c r="AC605" i="34"/>
  <c r="AC607" i="34"/>
  <c r="AC610" i="34"/>
  <c r="AC613" i="34"/>
  <c r="AC615" i="34"/>
  <c r="AC620" i="34"/>
  <c r="AC622" i="34"/>
  <c r="AC624" i="34"/>
  <c r="AC626" i="34"/>
  <c r="AC628" i="34"/>
  <c r="AC630" i="34"/>
  <c r="AC636" i="34"/>
  <c r="AC638" i="34"/>
  <c r="AC640" i="34"/>
  <c r="AC642" i="34"/>
  <c r="AC645" i="34"/>
  <c r="AC650" i="34"/>
  <c r="AC655" i="34"/>
  <c r="AC657" i="34"/>
  <c r="AC659" i="34"/>
  <c r="AC661" i="34"/>
  <c r="AC663" i="34"/>
  <c r="AC665" i="34"/>
  <c r="AC668" i="34"/>
  <c r="AC671" i="34"/>
  <c r="AC675" i="34"/>
  <c r="AC677" i="34"/>
  <c r="AC679" i="34"/>
  <c r="AC681" i="34"/>
  <c r="AC683" i="34"/>
  <c r="AC686" i="34"/>
  <c r="AC689" i="34"/>
  <c r="AC694" i="34"/>
  <c r="AC696" i="34"/>
  <c r="AC698" i="34"/>
  <c r="AC701" i="34"/>
  <c r="AC708" i="34"/>
  <c r="AC712" i="34"/>
  <c r="AC717" i="34"/>
  <c r="AC719" i="34"/>
  <c r="AC721" i="34"/>
  <c r="AC723" i="34"/>
  <c r="AC725" i="34"/>
  <c r="AC727" i="34"/>
  <c r="AC729" i="34"/>
  <c r="AC731" i="34"/>
  <c r="AC733" i="34"/>
  <c r="AC736" i="34"/>
  <c r="AC739" i="34"/>
  <c r="AC741" i="34"/>
  <c r="AC743" i="34"/>
  <c r="AC745" i="34"/>
  <c r="AC748" i="34"/>
  <c r="AC750" i="34"/>
  <c r="AC754" i="34"/>
  <c r="AC756" i="34"/>
  <c r="AC758" i="34"/>
  <c r="AC760" i="34"/>
  <c r="AC762" i="34"/>
  <c r="AC764" i="34"/>
  <c r="AC766" i="34"/>
  <c r="AC768" i="34"/>
  <c r="AC770" i="34"/>
  <c r="AC775" i="34"/>
  <c r="AC778" i="34"/>
  <c r="AC802" i="34"/>
  <c r="AC805" i="34"/>
  <c r="AC807" i="34"/>
  <c r="AC809" i="34"/>
  <c r="AC811" i="34"/>
  <c r="AC813" i="34"/>
  <c r="AC815" i="34"/>
  <c r="AC822" i="34"/>
  <c r="AC824" i="34"/>
  <c r="AC826" i="34"/>
  <c r="AC828" i="34"/>
  <c r="AC830" i="34"/>
  <c r="AC833" i="34"/>
  <c r="AC838" i="34"/>
  <c r="AC840" i="34"/>
  <c r="AC843" i="34"/>
  <c r="AC846" i="34"/>
  <c r="AC848" i="34"/>
  <c r="AC850" i="34"/>
  <c r="AC853" i="34"/>
  <c r="AC856" i="34"/>
  <c r="AC858" i="34"/>
  <c r="AC860" i="34"/>
  <c r="AC862" i="34"/>
  <c r="AC864" i="34"/>
  <c r="AC866" i="34"/>
  <c r="AC868" i="34"/>
  <c r="AC870" i="34"/>
  <c r="AC873" i="34"/>
  <c r="AC875" i="34"/>
  <c r="AC882" i="34"/>
  <c r="AC891" i="34"/>
  <c r="AC900" i="34"/>
  <c r="AC902" i="34"/>
  <c r="AC905" i="34"/>
  <c r="AC907" i="34"/>
  <c r="AC911" i="34"/>
  <c r="AC913" i="34"/>
  <c r="AC916" i="34"/>
  <c r="AC918" i="34"/>
  <c r="AC920" i="34"/>
  <c r="AC922" i="34"/>
  <c r="AC924" i="34"/>
  <c r="AC926" i="34"/>
  <c r="AC929" i="34"/>
  <c r="AC931" i="34"/>
  <c r="AC933" i="34"/>
  <c r="AC936" i="34"/>
  <c r="AC940" i="34"/>
  <c r="AC942" i="34"/>
  <c r="AC944" i="34"/>
  <c r="AC946" i="34"/>
  <c r="AC948" i="34"/>
  <c r="AC950" i="34"/>
  <c r="AC952" i="34"/>
  <c r="AC954" i="34"/>
  <c r="AC959" i="34"/>
  <c r="AC963" i="34"/>
  <c r="AC965" i="34"/>
  <c r="AC969" i="34"/>
  <c r="AC972" i="34"/>
  <c r="AC974" i="34"/>
  <c r="AC978" i="34"/>
  <c r="AC980" i="34"/>
  <c r="AC983" i="34"/>
  <c r="AC986" i="34"/>
  <c r="AC988" i="34"/>
  <c r="AC990" i="34"/>
  <c r="AC992" i="34"/>
  <c r="AC994" i="34"/>
  <c r="AC996" i="34"/>
  <c r="AC998" i="34"/>
  <c r="AC1007" i="34"/>
  <c r="AC1009" i="34"/>
  <c r="AC1011" i="34"/>
  <c r="AC1015" i="34"/>
  <c r="AC1017" i="34"/>
  <c r="AC1019" i="34"/>
  <c r="I8" i="12" l="1"/>
  <c r="I10" i="12"/>
  <c r="I11" i="12"/>
  <c r="I12" i="12"/>
  <c r="I13" i="12"/>
  <c r="I14" i="12"/>
  <c r="I15" i="12"/>
  <c r="I16" i="12"/>
  <c r="I6" i="12"/>
  <c r="I11" i="70"/>
  <c r="I13" i="70"/>
  <c r="I14" i="70"/>
  <c r="I18" i="70"/>
  <c r="I25" i="70"/>
  <c r="I31" i="70"/>
  <c r="I27" i="70"/>
  <c r="I35" i="70"/>
  <c r="I21" i="70"/>
  <c r="I12" i="70"/>
  <c r="I15" i="70"/>
  <c r="I17" i="70"/>
  <c r="I7" i="70"/>
  <c r="I19" i="70"/>
  <c r="I38" i="70"/>
  <c r="I42" i="70"/>
  <c r="D16" i="15" l="1"/>
  <c r="C16" i="15"/>
  <c r="D13" i="15"/>
  <c r="C13" i="15"/>
  <c r="D11" i="15"/>
  <c r="C11" i="15"/>
  <c r="C1021" i="34"/>
  <c r="C1020" i="34"/>
  <c r="C1019" i="34"/>
  <c r="K1018" i="34"/>
  <c r="C1018" i="34"/>
  <c r="C1017" i="34"/>
  <c r="K1016" i="34"/>
  <c r="C1016" i="34"/>
  <c r="C1015" i="34"/>
  <c r="K1014" i="34"/>
  <c r="C1014" i="34"/>
  <c r="K1013" i="34"/>
  <c r="C1013" i="34"/>
  <c r="K1012" i="34"/>
  <c r="C1012" i="34"/>
  <c r="C1011" i="34"/>
  <c r="K1010" i="34"/>
  <c r="C1010" i="34"/>
  <c r="C1009" i="34"/>
  <c r="C1008" i="34"/>
  <c r="C1007" i="34"/>
  <c r="K1006" i="34"/>
  <c r="C1006" i="34"/>
  <c r="K1005" i="34"/>
  <c r="C1005" i="34"/>
  <c r="K1004" i="34"/>
  <c r="C1004" i="34"/>
  <c r="K1003" i="34"/>
  <c r="C1003" i="34"/>
  <c r="K1002" i="34"/>
  <c r="C1002" i="34"/>
  <c r="K1001" i="34"/>
  <c r="C1001" i="34"/>
  <c r="K1000" i="34"/>
  <c r="C1000" i="34"/>
  <c r="K999" i="34"/>
  <c r="C999" i="34"/>
  <c r="C998" i="34"/>
  <c r="K997" i="34"/>
  <c r="C997" i="34"/>
  <c r="C996" i="34"/>
  <c r="K995" i="34"/>
  <c r="C995" i="34"/>
  <c r="C994" i="34"/>
  <c r="K993" i="34"/>
  <c r="C993" i="34"/>
  <c r="C992" i="34"/>
  <c r="K991" i="34"/>
  <c r="C991" i="34"/>
  <c r="C990" i="34"/>
  <c r="K989" i="34"/>
  <c r="C989" i="34"/>
  <c r="C988" i="34"/>
  <c r="K987" i="34"/>
  <c r="C987" i="34"/>
  <c r="C986" i="34"/>
  <c r="K985" i="34"/>
  <c r="C985" i="34"/>
  <c r="K984" i="34"/>
  <c r="C984" i="34"/>
  <c r="C983" i="34"/>
  <c r="K982" i="34"/>
  <c r="C982" i="34"/>
  <c r="K981" i="34"/>
  <c r="C981" i="34"/>
  <c r="C980" i="34"/>
  <c r="K979" i="34"/>
  <c r="C979" i="34"/>
  <c r="C978" i="34"/>
  <c r="K977" i="34"/>
  <c r="C977" i="34"/>
  <c r="K976" i="34"/>
  <c r="C976" i="34"/>
  <c r="K975" i="34"/>
  <c r="C975" i="34"/>
  <c r="C974" i="34"/>
  <c r="K973" i="34"/>
  <c r="C973" i="34"/>
  <c r="C972" i="34"/>
  <c r="K971" i="34"/>
  <c r="C971" i="34"/>
  <c r="K970" i="34"/>
  <c r="C970" i="34"/>
  <c r="C969" i="34"/>
  <c r="K968" i="34"/>
  <c r="C968" i="34"/>
  <c r="K967" i="34"/>
  <c r="C967" i="34"/>
  <c r="K966" i="34"/>
  <c r="C966" i="34"/>
  <c r="C965" i="34"/>
  <c r="K964" i="34"/>
  <c r="C964" i="34"/>
  <c r="C963" i="34"/>
  <c r="K962" i="34"/>
  <c r="C962" i="34"/>
  <c r="K961" i="34"/>
  <c r="C961" i="34"/>
  <c r="K960" i="34"/>
  <c r="C960" i="34"/>
  <c r="C959" i="34"/>
  <c r="K958" i="34"/>
  <c r="C958" i="34"/>
  <c r="K957" i="34"/>
  <c r="C957" i="34"/>
  <c r="K956" i="34"/>
  <c r="C956" i="34"/>
  <c r="K955" i="34"/>
  <c r="C955" i="34"/>
  <c r="C954" i="34"/>
  <c r="K953" i="34"/>
  <c r="C953" i="34"/>
  <c r="C952" i="34"/>
  <c r="K951" i="34"/>
  <c r="C951" i="34"/>
  <c r="C950" i="34"/>
  <c r="K949" i="34"/>
  <c r="C949" i="34"/>
  <c r="C948" i="34"/>
  <c r="K947" i="34"/>
  <c r="C947" i="34"/>
  <c r="C946" i="34"/>
  <c r="K945" i="34"/>
  <c r="C945" i="34"/>
  <c r="C944" i="34"/>
  <c r="K943" i="34"/>
  <c r="C943" i="34"/>
  <c r="C942" i="34"/>
  <c r="K941" i="34"/>
  <c r="C941" i="34"/>
  <c r="C940" i="34"/>
  <c r="K939" i="34"/>
  <c r="C939" i="34"/>
  <c r="K938" i="34"/>
  <c r="C938" i="34"/>
  <c r="K937" i="34"/>
  <c r="C937" i="34"/>
  <c r="C936" i="34"/>
  <c r="K935" i="34"/>
  <c r="C935" i="34"/>
  <c r="K934" i="34"/>
  <c r="C934" i="34"/>
  <c r="C933" i="34"/>
  <c r="K932" i="34"/>
  <c r="C932" i="34"/>
  <c r="C931" i="34"/>
  <c r="K930" i="34"/>
  <c r="C930" i="34"/>
  <c r="C929" i="34"/>
  <c r="K928" i="34"/>
  <c r="C928" i="34"/>
  <c r="K927" i="34"/>
  <c r="C927" i="34"/>
  <c r="C926" i="34"/>
  <c r="K925" i="34"/>
  <c r="C925" i="34"/>
  <c r="C924" i="34"/>
  <c r="K923" i="34"/>
  <c r="C923" i="34"/>
  <c r="C922" i="34"/>
  <c r="K921" i="34"/>
  <c r="C921" i="34"/>
  <c r="C920" i="34"/>
  <c r="K919" i="34"/>
  <c r="C919" i="34"/>
  <c r="C918" i="34"/>
  <c r="K917" i="34"/>
  <c r="C917" i="34"/>
  <c r="C916" i="34"/>
  <c r="K915" i="34"/>
  <c r="C915" i="34"/>
  <c r="K914" i="34"/>
  <c r="C914" i="34"/>
  <c r="C913" i="34"/>
  <c r="K912" i="34"/>
  <c r="C912" i="34"/>
  <c r="C911" i="34"/>
  <c r="K910" i="34"/>
  <c r="C910" i="34"/>
  <c r="K909" i="34"/>
  <c r="C909" i="34"/>
  <c r="K908" i="34"/>
  <c r="C908" i="34"/>
  <c r="C907" i="34"/>
  <c r="K906" i="34"/>
  <c r="C906" i="34"/>
  <c r="C905" i="34"/>
  <c r="K904" i="34"/>
  <c r="C904" i="34"/>
  <c r="K903" i="34"/>
  <c r="C903" i="34"/>
  <c r="C902" i="34"/>
  <c r="K901" i="34"/>
  <c r="C901" i="34"/>
  <c r="C900" i="34"/>
  <c r="K899" i="34"/>
  <c r="C899" i="34"/>
  <c r="K898" i="34"/>
  <c r="C898" i="34"/>
  <c r="K897" i="34"/>
  <c r="C897" i="34"/>
  <c r="K896" i="34"/>
  <c r="C896" i="34"/>
  <c r="K895" i="34"/>
  <c r="C895" i="34"/>
  <c r="K894" i="34"/>
  <c r="C894" i="34"/>
  <c r="K893" i="34"/>
  <c r="C893" i="34"/>
  <c r="K892" i="34"/>
  <c r="C892" i="34"/>
  <c r="C891" i="34"/>
  <c r="K890" i="34"/>
  <c r="C890" i="34"/>
  <c r="K889" i="34"/>
  <c r="C889" i="34"/>
  <c r="K888" i="34"/>
  <c r="C888" i="34"/>
  <c r="K887" i="34"/>
  <c r="C887" i="34"/>
  <c r="K886" i="34"/>
  <c r="C886" i="34"/>
  <c r="K885" i="34"/>
  <c r="C885" i="34"/>
  <c r="K884" i="34"/>
  <c r="C884" i="34"/>
  <c r="K883" i="34"/>
  <c r="C883" i="34"/>
  <c r="C882" i="34"/>
  <c r="K881" i="34"/>
  <c r="C881" i="34"/>
  <c r="K880" i="34"/>
  <c r="C880" i="34"/>
  <c r="K879" i="34"/>
  <c r="C879" i="34"/>
  <c r="K878" i="34"/>
  <c r="C878" i="34"/>
  <c r="K877" i="34"/>
  <c r="C877" i="34"/>
  <c r="K876" i="34"/>
  <c r="C876" i="34"/>
  <c r="C875" i="34"/>
  <c r="K874" i="34"/>
  <c r="C874" i="34"/>
  <c r="C873" i="34"/>
  <c r="K872" i="34"/>
  <c r="C872" i="34"/>
  <c r="K871" i="34"/>
  <c r="C871" i="34"/>
  <c r="C870" i="34"/>
  <c r="K869" i="34"/>
  <c r="C869" i="34"/>
  <c r="C868" i="34"/>
  <c r="K867" i="34"/>
  <c r="C867" i="34"/>
  <c r="C866" i="34"/>
  <c r="K865" i="34"/>
  <c r="C865" i="34"/>
  <c r="C864" i="34"/>
  <c r="K863" i="34"/>
  <c r="C863" i="34"/>
  <c r="C862" i="34"/>
  <c r="K861" i="34"/>
  <c r="C861" i="34"/>
  <c r="C860" i="34"/>
  <c r="K859" i="34"/>
  <c r="C859" i="34"/>
  <c r="C858" i="34"/>
  <c r="K857" i="34"/>
  <c r="C857" i="34"/>
  <c r="C856" i="34"/>
  <c r="K855" i="34"/>
  <c r="C855" i="34"/>
  <c r="K854" i="34"/>
  <c r="C854" i="34"/>
  <c r="C853" i="34"/>
  <c r="K852" i="34"/>
  <c r="C852" i="34"/>
  <c r="K851" i="34"/>
  <c r="C851" i="34"/>
  <c r="C850" i="34"/>
  <c r="K849" i="34"/>
  <c r="C849" i="34"/>
  <c r="C848" i="34"/>
  <c r="K847" i="34"/>
  <c r="C847" i="34"/>
  <c r="C846" i="34"/>
  <c r="K845" i="34"/>
  <c r="C845" i="34"/>
  <c r="K844" i="34"/>
  <c r="C844" i="34"/>
  <c r="C843" i="34"/>
  <c r="K842" i="34"/>
  <c r="C842" i="34"/>
  <c r="K841" i="34"/>
  <c r="C841" i="34"/>
  <c r="C840" i="34"/>
  <c r="K839" i="34"/>
  <c r="C839" i="34"/>
  <c r="C838" i="34"/>
  <c r="K837" i="34"/>
  <c r="C837" i="34"/>
  <c r="K836" i="34"/>
  <c r="C836" i="34"/>
  <c r="K835" i="34"/>
  <c r="C835" i="34"/>
  <c r="K834" i="34"/>
  <c r="C834" i="34"/>
  <c r="C833" i="34"/>
  <c r="K832" i="34"/>
  <c r="C832" i="34"/>
  <c r="K831" i="34"/>
  <c r="C831" i="34"/>
  <c r="C830" i="34"/>
  <c r="K829" i="34"/>
  <c r="C829" i="34"/>
  <c r="C828" i="34"/>
  <c r="K827" i="34"/>
  <c r="C827" i="34"/>
  <c r="C826" i="34"/>
  <c r="K825" i="34"/>
  <c r="C825" i="34"/>
  <c r="C824" i="34"/>
  <c r="K823" i="34"/>
  <c r="C823" i="34"/>
  <c r="C822" i="34"/>
  <c r="K821" i="34"/>
  <c r="C821" i="34"/>
  <c r="C815" i="34"/>
  <c r="K814" i="34"/>
  <c r="C814" i="34"/>
  <c r="C813" i="34"/>
  <c r="K812" i="34"/>
  <c r="C812" i="34"/>
  <c r="C811" i="34"/>
  <c r="K810" i="34"/>
  <c r="C810" i="34"/>
  <c r="C809" i="34"/>
  <c r="K808" i="34"/>
  <c r="C808" i="34"/>
  <c r="C807" i="34"/>
  <c r="K806" i="34"/>
  <c r="C806" i="34"/>
  <c r="C805" i="34"/>
  <c r="K804" i="34"/>
  <c r="C804" i="34"/>
  <c r="K803" i="34"/>
  <c r="C803" i="34"/>
  <c r="C802" i="34"/>
  <c r="K801" i="34"/>
  <c r="C801" i="34"/>
  <c r="C778" i="34"/>
  <c r="K777" i="34"/>
  <c r="C777" i="34"/>
  <c r="K776" i="34"/>
  <c r="C776" i="34"/>
  <c r="C775" i="34"/>
  <c r="K774" i="34"/>
  <c r="C774" i="34"/>
  <c r="K773" i="34"/>
  <c r="C773" i="34"/>
  <c r="K772" i="34"/>
  <c r="C772" i="34"/>
  <c r="K771" i="34"/>
  <c r="C771" i="34"/>
  <c r="C770" i="34"/>
  <c r="K769" i="34"/>
  <c r="C769" i="34"/>
  <c r="C768" i="34"/>
  <c r="K767" i="34"/>
  <c r="C767" i="34"/>
  <c r="C766" i="34"/>
  <c r="K765" i="34"/>
  <c r="C765" i="34"/>
  <c r="C764" i="34"/>
  <c r="K763" i="34"/>
  <c r="C763" i="34"/>
  <c r="C762" i="34"/>
  <c r="K761" i="34"/>
  <c r="C761" i="34"/>
  <c r="C760" i="34"/>
  <c r="K759" i="34"/>
  <c r="C759" i="34"/>
  <c r="C758" i="34"/>
  <c r="K757" i="34"/>
  <c r="C757" i="34"/>
  <c r="C756" i="34"/>
  <c r="K755" i="34"/>
  <c r="C755" i="34"/>
  <c r="C754" i="34"/>
  <c r="K753" i="34"/>
  <c r="C753" i="34"/>
  <c r="K752" i="34"/>
  <c r="C752" i="34"/>
  <c r="K751" i="34"/>
  <c r="C751" i="34"/>
  <c r="C750" i="34"/>
  <c r="K749" i="34"/>
  <c r="C749" i="34"/>
  <c r="C748" i="34"/>
  <c r="K747" i="34"/>
  <c r="C747" i="34"/>
  <c r="K746" i="34"/>
  <c r="C746" i="34"/>
  <c r="C745" i="34"/>
  <c r="K744" i="34"/>
  <c r="C744" i="34"/>
  <c r="C743" i="34"/>
  <c r="K742" i="34"/>
  <c r="C742" i="34"/>
  <c r="C741" i="34"/>
  <c r="K740" i="34"/>
  <c r="C740" i="34"/>
  <c r="C739" i="34"/>
  <c r="K738" i="34"/>
  <c r="C738" i="34"/>
  <c r="K737" i="34"/>
  <c r="C737" i="34"/>
  <c r="C736" i="34"/>
  <c r="K735" i="34"/>
  <c r="C735" i="34"/>
  <c r="K734" i="34"/>
  <c r="C734" i="34"/>
  <c r="C733" i="34"/>
  <c r="K732" i="34"/>
  <c r="C732" i="34"/>
  <c r="C731" i="34"/>
  <c r="K730" i="34"/>
  <c r="C730" i="34"/>
  <c r="C729" i="34"/>
  <c r="K728" i="34"/>
  <c r="C728" i="34"/>
  <c r="C727" i="34"/>
  <c r="K726" i="34"/>
  <c r="C726" i="34"/>
  <c r="C725" i="34"/>
  <c r="K724" i="34"/>
  <c r="C724" i="34"/>
  <c r="C723" i="34"/>
  <c r="K722" i="34"/>
  <c r="C722" i="34"/>
  <c r="C721" i="34"/>
  <c r="K720" i="34"/>
  <c r="C720" i="34"/>
  <c r="C719" i="34"/>
  <c r="K718" i="34"/>
  <c r="C718" i="34"/>
  <c r="C717" i="34"/>
  <c r="K716" i="34"/>
  <c r="C716" i="34"/>
  <c r="K715" i="34"/>
  <c r="C715" i="34"/>
  <c r="K714" i="34"/>
  <c r="C714" i="34"/>
  <c r="K713" i="34"/>
  <c r="C713" i="34"/>
  <c r="C712" i="34"/>
  <c r="K711" i="34"/>
  <c r="C711" i="34"/>
  <c r="K710" i="34"/>
  <c r="C710" i="34"/>
  <c r="K709" i="34"/>
  <c r="C709" i="34"/>
  <c r="C708" i="34"/>
  <c r="K707" i="34"/>
  <c r="C707" i="34"/>
  <c r="K706" i="34"/>
  <c r="C706" i="34"/>
  <c r="K705" i="34"/>
  <c r="C705" i="34"/>
  <c r="K704" i="34"/>
  <c r="C704" i="34"/>
  <c r="K703" i="34"/>
  <c r="C703" i="34"/>
  <c r="K702" i="34"/>
  <c r="C702" i="34"/>
  <c r="C701" i="34"/>
  <c r="K700" i="34"/>
  <c r="C700" i="34"/>
  <c r="K699" i="34"/>
  <c r="C699" i="34"/>
  <c r="C698" i="34"/>
  <c r="K697" i="34"/>
  <c r="C697" i="34"/>
  <c r="C696" i="34"/>
  <c r="K695" i="34"/>
  <c r="C695" i="34"/>
  <c r="C694" i="34"/>
  <c r="K693" i="34"/>
  <c r="C693" i="34"/>
  <c r="K692" i="34"/>
  <c r="C692" i="34"/>
  <c r="K691" i="34"/>
  <c r="C691" i="34"/>
  <c r="K690" i="34"/>
  <c r="C690" i="34"/>
  <c r="C689" i="34"/>
  <c r="K688" i="34"/>
  <c r="C688" i="34"/>
  <c r="K687" i="34"/>
  <c r="C687" i="34"/>
  <c r="C686" i="34"/>
  <c r="K685" i="34"/>
  <c r="C685" i="34"/>
  <c r="K684" i="34"/>
  <c r="C684" i="34"/>
  <c r="C683" i="34"/>
  <c r="K682" i="34"/>
  <c r="C682" i="34"/>
  <c r="C681" i="34"/>
  <c r="K680" i="34"/>
  <c r="C680" i="34"/>
  <c r="C679" i="34"/>
  <c r="K678" i="34"/>
  <c r="C678" i="34"/>
  <c r="C677" i="34"/>
  <c r="K676" i="34"/>
  <c r="C676" i="34"/>
  <c r="C675" i="34"/>
  <c r="K674" i="34"/>
  <c r="C674" i="34"/>
  <c r="K673" i="34"/>
  <c r="C673" i="34"/>
  <c r="K672" i="34"/>
  <c r="C672" i="34"/>
  <c r="C671" i="34"/>
  <c r="K670" i="34"/>
  <c r="C670" i="34"/>
  <c r="K669" i="34"/>
  <c r="C669" i="34"/>
  <c r="C668" i="34"/>
  <c r="K667" i="34"/>
  <c r="C667" i="34"/>
  <c r="K666" i="34"/>
  <c r="C666" i="34"/>
  <c r="C665" i="34"/>
  <c r="K664" i="34"/>
  <c r="C664" i="34"/>
  <c r="C663" i="34"/>
  <c r="K662" i="34"/>
  <c r="C662" i="34"/>
  <c r="C661" i="34"/>
  <c r="K660" i="34"/>
  <c r="C660" i="34"/>
  <c r="C659" i="34"/>
  <c r="K658" i="34"/>
  <c r="C658" i="34"/>
  <c r="C657" i="34"/>
  <c r="K656" i="34"/>
  <c r="C656" i="34"/>
  <c r="C655" i="34"/>
  <c r="K654" i="34"/>
  <c r="C654" i="34"/>
  <c r="K653" i="34"/>
  <c r="C653" i="34"/>
  <c r="K652" i="34"/>
  <c r="C652" i="34"/>
  <c r="K651" i="34"/>
  <c r="C651" i="34"/>
  <c r="C650" i="34"/>
  <c r="K649" i="34"/>
  <c r="C649" i="34"/>
  <c r="K648" i="34"/>
  <c r="C648" i="34"/>
  <c r="K647" i="34"/>
  <c r="C647" i="34"/>
  <c r="K646" i="34"/>
  <c r="C646" i="34"/>
  <c r="C645" i="34"/>
  <c r="K644" i="34"/>
  <c r="C644" i="34"/>
  <c r="K643" i="34"/>
  <c r="C643" i="34"/>
  <c r="C642" i="34"/>
  <c r="K641" i="34"/>
  <c r="C641" i="34"/>
  <c r="C640" i="34"/>
  <c r="K639" i="34"/>
  <c r="C639" i="34"/>
  <c r="C638" i="34"/>
  <c r="K637" i="34"/>
  <c r="C637" i="34"/>
  <c r="C636" i="34"/>
  <c r="K635" i="34"/>
  <c r="C635" i="34"/>
  <c r="K634" i="34"/>
  <c r="C634" i="34"/>
  <c r="K633" i="34"/>
  <c r="C633" i="34"/>
  <c r="K632" i="34"/>
  <c r="C632" i="34"/>
  <c r="K631" i="34"/>
  <c r="C631" i="34"/>
  <c r="C630" i="34"/>
  <c r="K629" i="34"/>
  <c r="C629" i="34"/>
  <c r="C628" i="34"/>
  <c r="K627" i="34"/>
  <c r="C627" i="34"/>
  <c r="C626" i="34"/>
  <c r="K625" i="34"/>
  <c r="C625" i="34"/>
  <c r="C624" i="34"/>
  <c r="K623" i="34"/>
  <c r="C623" i="34"/>
  <c r="C622" i="34"/>
  <c r="K621" i="34"/>
  <c r="C621" i="34"/>
  <c r="C620" i="34"/>
  <c r="K619" i="34"/>
  <c r="C619" i="34"/>
  <c r="K618" i="34"/>
  <c r="C618" i="34"/>
  <c r="K617" i="34"/>
  <c r="C617" i="34"/>
  <c r="K616" i="34"/>
  <c r="C616" i="34"/>
  <c r="C615" i="34"/>
  <c r="K614" i="34"/>
  <c r="C614" i="34"/>
  <c r="C613" i="34"/>
  <c r="K612" i="34"/>
  <c r="C612" i="34"/>
  <c r="K611" i="34"/>
  <c r="C611" i="34"/>
  <c r="C610" i="34"/>
  <c r="K609" i="34"/>
  <c r="C609" i="34"/>
  <c r="K608" i="34"/>
  <c r="C608" i="34"/>
  <c r="C607" i="34"/>
  <c r="K606" i="34"/>
  <c r="C606" i="34"/>
  <c r="C605" i="34"/>
  <c r="K604" i="34"/>
  <c r="C604" i="34"/>
  <c r="K603" i="34"/>
  <c r="C603" i="34"/>
  <c r="C602" i="34"/>
  <c r="K601" i="34"/>
  <c r="C601" i="34"/>
  <c r="K600" i="34"/>
  <c r="C600" i="34"/>
  <c r="C599" i="34"/>
  <c r="K598" i="34"/>
  <c r="C598" i="34"/>
  <c r="K597" i="34"/>
  <c r="C597" i="34"/>
  <c r="C596" i="34"/>
  <c r="K595" i="34"/>
  <c r="C595" i="34"/>
  <c r="C594" i="34"/>
  <c r="K593" i="34"/>
  <c r="C593" i="34"/>
  <c r="C592" i="34"/>
  <c r="K591" i="34"/>
  <c r="C591" i="34"/>
  <c r="C590" i="34"/>
  <c r="K589" i="34"/>
  <c r="C589" i="34"/>
  <c r="K588" i="34"/>
  <c r="C588" i="34"/>
  <c r="C587" i="34"/>
  <c r="K586" i="34"/>
  <c r="C586" i="34"/>
  <c r="K585" i="34"/>
  <c r="C585" i="34"/>
  <c r="K584" i="34"/>
  <c r="C584" i="34"/>
  <c r="C583" i="34"/>
  <c r="K582" i="34"/>
  <c r="C582" i="34"/>
  <c r="K581" i="34"/>
  <c r="C581" i="34"/>
  <c r="C580" i="34"/>
  <c r="K579" i="34"/>
  <c r="C579" i="34"/>
  <c r="K578" i="34"/>
  <c r="C578" i="34"/>
  <c r="C577" i="34"/>
  <c r="K576" i="34"/>
  <c r="C576" i="34"/>
  <c r="C575" i="34"/>
  <c r="K574" i="34"/>
  <c r="C574" i="34"/>
  <c r="C573" i="34"/>
  <c r="K572" i="34"/>
  <c r="C572" i="34"/>
  <c r="C571" i="34"/>
  <c r="K570" i="34"/>
  <c r="C570" i="34"/>
  <c r="C569" i="34"/>
  <c r="K568" i="34"/>
  <c r="C568" i="34"/>
  <c r="C567" i="34"/>
  <c r="K566" i="34"/>
  <c r="C566" i="34"/>
  <c r="C565" i="34"/>
  <c r="K564" i="34"/>
  <c r="C564" i="34"/>
  <c r="C563" i="34"/>
  <c r="K562" i="34"/>
  <c r="C562" i="34"/>
  <c r="K561" i="34"/>
  <c r="C561" i="34"/>
  <c r="K560" i="34"/>
  <c r="C560" i="34"/>
  <c r="K559" i="34"/>
  <c r="C559" i="34"/>
  <c r="K558" i="34"/>
  <c r="C558" i="34"/>
  <c r="C557" i="34"/>
  <c r="K556" i="34"/>
  <c r="C556" i="34"/>
  <c r="C555" i="34"/>
  <c r="K554" i="34"/>
  <c r="C554" i="34"/>
  <c r="K553" i="34"/>
  <c r="C553" i="34"/>
  <c r="C552" i="34"/>
  <c r="K551" i="34"/>
  <c r="C551" i="34"/>
  <c r="C550" i="34"/>
  <c r="K549" i="34"/>
  <c r="C549" i="34"/>
  <c r="C548" i="34"/>
  <c r="K547" i="34"/>
  <c r="C547" i="34"/>
  <c r="C546" i="34"/>
  <c r="K545" i="34"/>
  <c r="C545" i="34"/>
  <c r="K544" i="34"/>
  <c r="C544" i="34"/>
  <c r="C543" i="34"/>
  <c r="K542" i="34"/>
  <c r="C542" i="34"/>
  <c r="C541" i="34"/>
  <c r="K540" i="34"/>
  <c r="C540" i="34"/>
  <c r="K539" i="34"/>
  <c r="C539" i="34"/>
  <c r="K538" i="34"/>
  <c r="C538" i="34"/>
  <c r="C537" i="34"/>
  <c r="K536" i="34"/>
  <c r="C536" i="34"/>
  <c r="C535" i="34"/>
  <c r="K534" i="34"/>
  <c r="C534" i="34"/>
  <c r="C533" i="34"/>
  <c r="K532" i="34"/>
  <c r="C532" i="34"/>
  <c r="C531" i="34"/>
  <c r="K530" i="34"/>
  <c r="C530" i="34"/>
  <c r="C529" i="34"/>
  <c r="K528" i="34"/>
  <c r="C528" i="34"/>
  <c r="C527" i="34"/>
  <c r="K526" i="34"/>
  <c r="C526" i="34"/>
  <c r="C525" i="34"/>
  <c r="K524" i="34"/>
  <c r="C524" i="34"/>
  <c r="K523" i="34"/>
  <c r="C523" i="34"/>
  <c r="C522" i="34"/>
  <c r="K521" i="34"/>
  <c r="C521" i="34"/>
  <c r="C520" i="34"/>
  <c r="K519" i="34"/>
  <c r="C519" i="34"/>
  <c r="K518" i="34"/>
  <c r="C518" i="34"/>
  <c r="K517" i="34"/>
  <c r="C517" i="34"/>
  <c r="K516" i="34"/>
  <c r="C516" i="34"/>
  <c r="C515" i="34"/>
  <c r="K514" i="34"/>
  <c r="C514" i="34"/>
  <c r="K513" i="34"/>
  <c r="C513" i="34"/>
  <c r="C512" i="34"/>
  <c r="K511" i="34"/>
  <c r="C511" i="34"/>
  <c r="C510" i="34"/>
  <c r="K509" i="34"/>
  <c r="C509" i="34"/>
  <c r="C508" i="34"/>
  <c r="K507" i="34"/>
  <c r="C507" i="34"/>
  <c r="C506" i="34"/>
  <c r="K505" i="34"/>
  <c r="C505" i="34"/>
  <c r="K504" i="34"/>
  <c r="C504" i="34"/>
  <c r="K503" i="34"/>
  <c r="C503" i="34"/>
  <c r="K502" i="34"/>
  <c r="C502" i="34"/>
  <c r="K501" i="34"/>
  <c r="C501" i="34"/>
  <c r="K500" i="34"/>
  <c r="C500" i="34"/>
  <c r="K499" i="34"/>
  <c r="C499" i="34"/>
  <c r="C498" i="34"/>
  <c r="K497" i="34"/>
  <c r="C497" i="34"/>
  <c r="C496" i="34"/>
  <c r="K495" i="34"/>
  <c r="C495" i="34"/>
  <c r="K494" i="34"/>
  <c r="C494" i="34"/>
  <c r="C493" i="34"/>
  <c r="K492" i="34"/>
  <c r="C492" i="34"/>
  <c r="K491" i="34"/>
  <c r="C491" i="34"/>
  <c r="C489" i="34"/>
  <c r="K488" i="34"/>
  <c r="C488" i="34"/>
  <c r="C486" i="34"/>
  <c r="K485" i="34"/>
  <c r="C485" i="34"/>
  <c r="C483" i="34"/>
  <c r="K482" i="34"/>
  <c r="C482" i="34"/>
  <c r="C480" i="34"/>
  <c r="K479" i="34"/>
  <c r="C479" i="34"/>
  <c r="C477" i="34"/>
  <c r="K476" i="34"/>
  <c r="C476" i="34"/>
  <c r="C474" i="34"/>
  <c r="K473" i="34"/>
  <c r="C473" i="34"/>
  <c r="C471" i="34"/>
  <c r="K470" i="34"/>
  <c r="C470" i="34"/>
  <c r="C468" i="34"/>
  <c r="K467" i="34"/>
  <c r="C467" i="34"/>
  <c r="K466" i="34"/>
  <c r="C466" i="34"/>
  <c r="C464" i="34"/>
  <c r="K463" i="34"/>
  <c r="C463" i="34"/>
  <c r="C461" i="34"/>
  <c r="K460" i="34"/>
  <c r="C460" i="34"/>
  <c r="K459" i="34"/>
  <c r="C459" i="34"/>
  <c r="C457" i="34"/>
  <c r="K456" i="34"/>
  <c r="C456" i="34"/>
  <c r="K455" i="34"/>
  <c r="C455" i="34"/>
  <c r="K454" i="34"/>
  <c r="C454" i="34"/>
  <c r="C452" i="34"/>
  <c r="K451" i="34"/>
  <c r="C451" i="34"/>
  <c r="K450" i="34"/>
  <c r="C450" i="34"/>
  <c r="C448" i="34"/>
  <c r="K447" i="34"/>
  <c r="C447" i="34"/>
  <c r="C445" i="34"/>
  <c r="K444" i="34"/>
  <c r="C444" i="34"/>
  <c r="C442" i="34"/>
  <c r="K441" i="34"/>
  <c r="C441" i="34"/>
  <c r="C439" i="34"/>
  <c r="K438" i="34"/>
  <c r="K440" i="34" s="1"/>
  <c r="C438" i="34"/>
  <c r="C436" i="34"/>
  <c r="B436" i="34" s="1"/>
  <c r="A436" i="34" s="1"/>
  <c r="K435" i="34"/>
  <c r="C435" i="34"/>
  <c r="B435" i="34" s="1"/>
  <c r="A435" i="34" s="1"/>
  <c r="C432" i="34"/>
  <c r="B432" i="34" s="1"/>
  <c r="A432" i="34" s="1"/>
  <c r="K431" i="34"/>
  <c r="C431" i="34"/>
  <c r="B431" i="34" s="1"/>
  <c r="A431" i="34" s="1"/>
  <c r="C429" i="34"/>
  <c r="B429" i="34" s="1"/>
  <c r="A429" i="34" s="1"/>
  <c r="K428" i="34"/>
  <c r="C428" i="34"/>
  <c r="B428" i="34" s="1"/>
  <c r="A428" i="34" s="1"/>
  <c r="C426" i="34"/>
  <c r="B426" i="34" s="1"/>
  <c r="A426" i="34" s="1"/>
  <c r="K425" i="34"/>
  <c r="C425" i="34"/>
  <c r="B425" i="34" s="1"/>
  <c r="A425" i="34" s="1"/>
  <c r="C423" i="34"/>
  <c r="B423" i="34" s="1"/>
  <c r="A423" i="34" s="1"/>
  <c r="K422" i="34"/>
  <c r="K424" i="34" s="1"/>
  <c r="C422" i="34"/>
  <c r="B422" i="34" s="1"/>
  <c r="A422" i="34" s="1"/>
  <c r="C420" i="34"/>
  <c r="B420" i="34" s="1"/>
  <c r="A420" i="34" s="1"/>
  <c r="K419" i="34"/>
  <c r="C419" i="34"/>
  <c r="B419" i="34" s="1"/>
  <c r="A419" i="34" s="1"/>
  <c r="C417" i="34"/>
  <c r="B417" i="34" s="1"/>
  <c r="A417" i="34" s="1"/>
  <c r="K416" i="34"/>
  <c r="C416" i="34"/>
  <c r="B416" i="34" s="1"/>
  <c r="A416" i="34" s="1"/>
  <c r="K415" i="34"/>
  <c r="C415" i="34"/>
  <c r="B415" i="34" s="1"/>
  <c r="A415" i="34" s="1"/>
  <c r="C413" i="34"/>
  <c r="B413" i="34" s="1"/>
  <c r="A413" i="34" s="1"/>
  <c r="K412" i="34"/>
  <c r="C412" i="34"/>
  <c r="B412" i="34" s="1"/>
  <c r="A412" i="34" s="1"/>
  <c r="K411" i="34"/>
  <c r="C411" i="34"/>
  <c r="B411" i="34" s="1"/>
  <c r="A411" i="34" s="1"/>
  <c r="C409" i="34"/>
  <c r="B409" i="34" s="1"/>
  <c r="A409" i="34" s="1"/>
  <c r="K408" i="34"/>
  <c r="C408" i="34"/>
  <c r="B408" i="34" s="1"/>
  <c r="A408" i="34" s="1"/>
  <c r="K407" i="34"/>
  <c r="C407" i="34"/>
  <c r="B407" i="34" s="1"/>
  <c r="A407" i="34" s="1"/>
  <c r="C405" i="34"/>
  <c r="B405" i="34" s="1"/>
  <c r="A405" i="34" s="1"/>
  <c r="K404" i="34"/>
  <c r="C404" i="34"/>
  <c r="B404" i="34" s="1"/>
  <c r="A404" i="34" s="1"/>
  <c r="K403" i="34"/>
  <c r="C403" i="34"/>
  <c r="B403" i="34" s="1"/>
  <c r="A403" i="34" s="1"/>
  <c r="K402" i="34"/>
  <c r="C402" i="34"/>
  <c r="B402" i="34" s="1"/>
  <c r="A402" i="34" s="1"/>
  <c r="K401" i="34"/>
  <c r="C401" i="34"/>
  <c r="B401" i="34" s="1"/>
  <c r="A401" i="34" s="1"/>
  <c r="K400" i="34"/>
  <c r="C400" i="34"/>
  <c r="B400" i="34" s="1"/>
  <c r="A400" i="34" s="1"/>
  <c r="C398" i="34"/>
  <c r="B398" i="34" s="1"/>
  <c r="A398" i="34" s="1"/>
  <c r="K397" i="34"/>
  <c r="C397" i="34"/>
  <c r="B397" i="34" s="1"/>
  <c r="A397" i="34" s="1"/>
  <c r="C395" i="34"/>
  <c r="B395" i="34" s="1"/>
  <c r="A395" i="34" s="1"/>
  <c r="K394" i="34"/>
  <c r="C394" i="34"/>
  <c r="B394" i="34" s="1"/>
  <c r="A394" i="34" s="1"/>
  <c r="K393" i="34"/>
  <c r="C393" i="34"/>
  <c r="B393" i="34" s="1"/>
  <c r="A393" i="34" s="1"/>
  <c r="K392" i="34"/>
  <c r="C392" i="34"/>
  <c r="B392" i="34" s="1"/>
  <c r="A392" i="34" s="1"/>
  <c r="K391" i="34"/>
  <c r="C391" i="34"/>
  <c r="B391" i="34" s="1"/>
  <c r="A391" i="34" s="1"/>
  <c r="K390" i="34"/>
  <c r="C390" i="34"/>
  <c r="B390" i="34" s="1"/>
  <c r="A390" i="34" s="1"/>
  <c r="K389" i="34"/>
  <c r="C389" i="34"/>
  <c r="B389" i="34" s="1"/>
  <c r="A389" i="34" s="1"/>
  <c r="K388" i="34"/>
  <c r="C388" i="34"/>
  <c r="B388" i="34" s="1"/>
  <c r="A388" i="34" s="1"/>
  <c r="C386" i="34"/>
  <c r="B386" i="34" s="1"/>
  <c r="A386" i="34" s="1"/>
  <c r="K385" i="34"/>
  <c r="C385" i="34"/>
  <c r="B385" i="34" s="1"/>
  <c r="A385" i="34" s="1"/>
  <c r="K384" i="34"/>
  <c r="C384" i="34"/>
  <c r="B384" i="34" s="1"/>
  <c r="A384" i="34" s="1"/>
  <c r="K383" i="34"/>
  <c r="C383" i="34"/>
  <c r="B383" i="34" s="1"/>
  <c r="A383" i="34" s="1"/>
  <c r="K382" i="34"/>
  <c r="C382" i="34"/>
  <c r="B382" i="34" s="1"/>
  <c r="A382" i="34" s="1"/>
  <c r="C380" i="34"/>
  <c r="B380" i="34" s="1"/>
  <c r="A380" i="34" s="1"/>
  <c r="K379" i="34"/>
  <c r="C379" i="34"/>
  <c r="B379" i="34" s="1"/>
  <c r="A379" i="34" s="1"/>
  <c r="K378" i="34"/>
  <c r="C378" i="34"/>
  <c r="B378" i="34" s="1"/>
  <c r="A378" i="34" s="1"/>
  <c r="K377" i="34"/>
  <c r="C377" i="34"/>
  <c r="B377" i="34" s="1"/>
  <c r="A377" i="34" s="1"/>
  <c r="C374" i="34"/>
  <c r="B374" i="34" s="1"/>
  <c r="A374" i="34" s="1"/>
  <c r="K373" i="34"/>
  <c r="C373" i="34"/>
  <c r="B373" i="34" s="1"/>
  <c r="A373" i="34" s="1"/>
  <c r="C371" i="34"/>
  <c r="B371" i="34" s="1"/>
  <c r="A371" i="34" s="1"/>
  <c r="K370" i="34"/>
  <c r="C370" i="34"/>
  <c r="B370" i="34" s="1"/>
  <c r="A370" i="34" s="1"/>
  <c r="K369" i="34"/>
  <c r="C369" i="34"/>
  <c r="B369" i="34" s="1"/>
  <c r="A369" i="34" s="1"/>
  <c r="C367" i="34"/>
  <c r="B367" i="34" s="1"/>
  <c r="A367" i="34" s="1"/>
  <c r="K366" i="34"/>
  <c r="C366" i="34"/>
  <c r="B366" i="34" s="1"/>
  <c r="A366" i="34" s="1"/>
  <c r="C364" i="34"/>
  <c r="B364" i="34" s="1"/>
  <c r="A364" i="34" s="1"/>
  <c r="K363" i="34"/>
  <c r="C363" i="34"/>
  <c r="B363" i="34" s="1"/>
  <c r="A363" i="34" s="1"/>
  <c r="K362" i="34"/>
  <c r="C362" i="34"/>
  <c r="B362" i="34" s="1"/>
  <c r="A362" i="34" s="1"/>
  <c r="K361" i="34"/>
  <c r="C361" i="34"/>
  <c r="B361" i="34" s="1"/>
  <c r="A361" i="34" s="1"/>
  <c r="K360" i="34"/>
  <c r="C360" i="34"/>
  <c r="B360" i="34" s="1"/>
  <c r="A360" i="34" s="1"/>
  <c r="C358" i="34"/>
  <c r="B358" i="34" s="1"/>
  <c r="A358" i="34" s="1"/>
  <c r="K357" i="34"/>
  <c r="C357" i="34"/>
  <c r="B357" i="34" s="1"/>
  <c r="A357" i="34" s="1"/>
  <c r="K356" i="34"/>
  <c r="C356" i="34"/>
  <c r="B356" i="34" s="1"/>
  <c r="A356" i="34" s="1"/>
  <c r="C354" i="34"/>
  <c r="B354" i="34" s="1"/>
  <c r="A354" i="34" s="1"/>
  <c r="K353" i="34"/>
  <c r="C353" i="34"/>
  <c r="B353" i="34" s="1"/>
  <c r="A353" i="34" s="1"/>
  <c r="K352" i="34"/>
  <c r="C352" i="34"/>
  <c r="B352" i="34" s="1"/>
  <c r="A352" i="34" s="1"/>
  <c r="C350" i="34"/>
  <c r="B350" i="34" s="1"/>
  <c r="A350" i="34" s="1"/>
  <c r="K349" i="34"/>
  <c r="C349" i="34"/>
  <c r="B349" i="34" s="1"/>
  <c r="A349" i="34" s="1"/>
  <c r="K348" i="34"/>
  <c r="C348" i="34"/>
  <c r="B348" i="34" s="1"/>
  <c r="A348" i="34" s="1"/>
  <c r="C346" i="34"/>
  <c r="B346" i="34" s="1"/>
  <c r="A346" i="34" s="1"/>
  <c r="K345" i="34"/>
  <c r="C345" i="34"/>
  <c r="B345" i="34" s="1"/>
  <c r="A345" i="34" s="1"/>
  <c r="K344" i="34"/>
  <c r="C344" i="34"/>
  <c r="B344" i="34" s="1"/>
  <c r="A344" i="34" s="1"/>
  <c r="K343" i="34"/>
  <c r="C343" i="34"/>
  <c r="B343" i="34" s="1"/>
  <c r="A343" i="34" s="1"/>
  <c r="K342" i="34"/>
  <c r="C342" i="34"/>
  <c r="B342" i="34" s="1"/>
  <c r="A342" i="34" s="1"/>
  <c r="C340" i="34"/>
  <c r="B340" i="34" s="1"/>
  <c r="A340" i="34" s="1"/>
  <c r="K339" i="34"/>
  <c r="C339" i="34"/>
  <c r="B339" i="34" s="1"/>
  <c r="A339" i="34" s="1"/>
  <c r="K338" i="34"/>
  <c r="C338" i="34"/>
  <c r="B338" i="34" s="1"/>
  <c r="A338" i="34" s="1"/>
  <c r="K337" i="34"/>
  <c r="C337" i="34"/>
  <c r="B337" i="34" s="1"/>
  <c r="A337" i="34" s="1"/>
  <c r="K336" i="34"/>
  <c r="C336" i="34"/>
  <c r="B336" i="34" s="1"/>
  <c r="A336" i="34" s="1"/>
  <c r="K335" i="34"/>
  <c r="C335" i="34"/>
  <c r="B335" i="34" s="1"/>
  <c r="A335" i="34" s="1"/>
  <c r="K334" i="34"/>
  <c r="C334" i="34"/>
  <c r="B334" i="34" s="1"/>
  <c r="A334" i="34" s="1"/>
  <c r="K333" i="34"/>
  <c r="C333" i="34"/>
  <c r="B333" i="34" s="1"/>
  <c r="A333" i="34" s="1"/>
  <c r="C331" i="34"/>
  <c r="B331" i="34" s="1"/>
  <c r="A331" i="34" s="1"/>
  <c r="K330" i="34"/>
  <c r="C330" i="34"/>
  <c r="B330" i="34" s="1"/>
  <c r="A330" i="34" s="1"/>
  <c r="K329" i="34"/>
  <c r="C329" i="34"/>
  <c r="B329" i="34" s="1"/>
  <c r="A329" i="34" s="1"/>
  <c r="K328" i="34"/>
  <c r="C328" i="34"/>
  <c r="B328" i="34" s="1"/>
  <c r="A328" i="34" s="1"/>
  <c r="C326" i="34"/>
  <c r="B326" i="34" s="1"/>
  <c r="A326" i="34" s="1"/>
  <c r="K325" i="34"/>
  <c r="C325" i="34"/>
  <c r="B325" i="34" s="1"/>
  <c r="A325" i="34" s="1"/>
  <c r="K324" i="34"/>
  <c r="C324" i="34"/>
  <c r="B324" i="34" s="1"/>
  <c r="A324" i="34" s="1"/>
  <c r="C322" i="34"/>
  <c r="B322" i="34" s="1"/>
  <c r="A322" i="34" s="1"/>
  <c r="K321" i="34"/>
  <c r="C321" i="34"/>
  <c r="B321" i="34" s="1"/>
  <c r="A321" i="34" s="1"/>
  <c r="K320" i="34"/>
  <c r="C320" i="34"/>
  <c r="B320" i="34" s="1"/>
  <c r="A320" i="34" s="1"/>
  <c r="K319" i="34"/>
  <c r="C319" i="34"/>
  <c r="B319" i="34" s="1"/>
  <c r="A319" i="34" s="1"/>
  <c r="C317" i="34"/>
  <c r="B317" i="34" s="1"/>
  <c r="A317" i="34" s="1"/>
  <c r="K316" i="34"/>
  <c r="C316" i="34"/>
  <c r="B316" i="34" s="1"/>
  <c r="A316" i="34" s="1"/>
  <c r="K315" i="34"/>
  <c r="C315" i="34"/>
  <c r="B315" i="34" s="1"/>
  <c r="A315" i="34" s="1"/>
  <c r="K314" i="34"/>
  <c r="C314" i="34"/>
  <c r="B314" i="34" s="1"/>
  <c r="A314" i="34" s="1"/>
  <c r="C312" i="34"/>
  <c r="B312" i="34" s="1"/>
  <c r="A312" i="34" s="1"/>
  <c r="K311" i="34"/>
  <c r="C311" i="34"/>
  <c r="B311" i="34" s="1"/>
  <c r="A311" i="34" s="1"/>
  <c r="K310" i="34"/>
  <c r="C310" i="34"/>
  <c r="B310" i="34" s="1"/>
  <c r="A310" i="34" s="1"/>
  <c r="K309" i="34"/>
  <c r="C309" i="34"/>
  <c r="B309" i="34" s="1"/>
  <c r="A309" i="34" s="1"/>
  <c r="K308" i="34"/>
  <c r="C308" i="34"/>
  <c r="B308" i="34" s="1"/>
  <c r="A308" i="34" s="1"/>
  <c r="K307" i="34"/>
  <c r="C307" i="34"/>
  <c r="B307" i="34" s="1"/>
  <c r="A307" i="34" s="1"/>
  <c r="C305" i="34"/>
  <c r="B305" i="34" s="1"/>
  <c r="A305" i="34" s="1"/>
  <c r="K304" i="34"/>
  <c r="C304" i="34"/>
  <c r="B304" i="34" s="1"/>
  <c r="A304" i="34" s="1"/>
  <c r="C303" i="34"/>
  <c r="B303" i="34" s="1"/>
  <c r="A303" i="34" s="1"/>
  <c r="K302" i="34"/>
  <c r="C302" i="34"/>
  <c r="B302" i="34" s="1"/>
  <c r="A302" i="34" s="1"/>
  <c r="K301" i="34"/>
  <c r="C301" i="34"/>
  <c r="B301" i="34" s="1"/>
  <c r="A301" i="34" s="1"/>
  <c r="C299" i="34"/>
  <c r="B299" i="34" s="1"/>
  <c r="A299" i="34" s="1"/>
  <c r="K298" i="34"/>
  <c r="C298" i="34"/>
  <c r="B298" i="34" s="1"/>
  <c r="A298" i="34" s="1"/>
  <c r="K297" i="34"/>
  <c r="C297" i="34"/>
  <c r="B297" i="34" s="1"/>
  <c r="A297" i="34" s="1"/>
  <c r="K296" i="34"/>
  <c r="C296" i="34"/>
  <c r="B296" i="34" s="1"/>
  <c r="A296" i="34" s="1"/>
  <c r="C295" i="34"/>
  <c r="B295" i="34" s="1"/>
  <c r="A295" i="34" s="1"/>
  <c r="C294" i="34"/>
  <c r="B294" i="34" s="1"/>
  <c r="A294" i="34" s="1"/>
  <c r="C293" i="34"/>
  <c r="B293" i="34" s="1"/>
  <c r="A293" i="34" s="1"/>
  <c r="C292" i="34"/>
  <c r="B292" i="34" s="1"/>
  <c r="A292" i="34" s="1"/>
  <c r="C291" i="34"/>
  <c r="B291" i="34" s="1"/>
  <c r="A291" i="34" s="1"/>
  <c r="C290" i="34"/>
  <c r="B290" i="34" s="1"/>
  <c r="A290" i="34" s="1"/>
  <c r="C289" i="34"/>
  <c r="B289" i="34" s="1"/>
  <c r="A289" i="34" s="1"/>
  <c r="C288" i="34"/>
  <c r="B288" i="34" s="1"/>
  <c r="A288" i="34" s="1"/>
  <c r="C286" i="34"/>
  <c r="B286" i="34" s="1"/>
  <c r="A286" i="34" s="1"/>
  <c r="K285" i="34"/>
  <c r="C285" i="34"/>
  <c r="B285" i="34" s="1"/>
  <c r="A285" i="34" s="1"/>
  <c r="C284" i="34"/>
  <c r="B284" i="34" s="1"/>
  <c r="A284" i="34" s="1"/>
  <c r="C283" i="34"/>
  <c r="B283" i="34" s="1"/>
  <c r="A283" i="34" s="1"/>
  <c r="C282" i="34"/>
  <c r="B282" i="34" s="1"/>
  <c r="A282" i="34" s="1"/>
  <c r="C281" i="34"/>
  <c r="B281" i="34" s="1"/>
  <c r="A281" i="34" s="1"/>
  <c r="C280" i="34"/>
  <c r="B280" i="34" s="1"/>
  <c r="A280" i="34" s="1"/>
  <c r="C279" i="34"/>
  <c r="B279" i="34" s="1"/>
  <c r="A279" i="34" s="1"/>
  <c r="C278" i="34"/>
  <c r="B278" i="34" s="1"/>
  <c r="A278" i="34" s="1"/>
  <c r="C277" i="34"/>
  <c r="B277" i="34" s="1"/>
  <c r="A277" i="34" s="1"/>
  <c r="C276" i="34"/>
  <c r="B276" i="34" s="1"/>
  <c r="A276" i="34" s="1"/>
  <c r="C275" i="34"/>
  <c r="B275" i="34" s="1"/>
  <c r="A275" i="34" s="1"/>
  <c r="C274" i="34"/>
  <c r="B274" i="34" s="1"/>
  <c r="A274" i="34" s="1"/>
  <c r="C273" i="34"/>
  <c r="B273" i="34" s="1"/>
  <c r="A273" i="34" s="1"/>
  <c r="C272" i="34"/>
  <c r="B272" i="34" s="1"/>
  <c r="A272" i="34" s="1"/>
  <c r="C271" i="34"/>
  <c r="B271" i="34" s="1"/>
  <c r="A271" i="34" s="1"/>
  <c r="K270" i="34"/>
  <c r="C270" i="34"/>
  <c r="B270" i="34" s="1"/>
  <c r="A270" i="34" s="1"/>
  <c r="C269" i="34"/>
  <c r="B269" i="34" s="1"/>
  <c r="A269" i="34" s="1"/>
  <c r="C268" i="34"/>
  <c r="B268" i="34" s="1"/>
  <c r="A268" i="34" s="1"/>
  <c r="C267" i="34"/>
  <c r="B267" i="34" s="1"/>
  <c r="A267" i="34" s="1"/>
  <c r="K266" i="34"/>
  <c r="C266" i="34"/>
  <c r="B266" i="34" s="1"/>
  <c r="A266" i="34" s="1"/>
  <c r="C265" i="34"/>
  <c r="B265" i="34" s="1"/>
  <c r="A265" i="34" s="1"/>
  <c r="C264" i="34"/>
  <c r="B264" i="34" s="1"/>
  <c r="A264" i="34" s="1"/>
  <c r="C263" i="34"/>
  <c r="B263" i="34" s="1"/>
  <c r="A263" i="34" s="1"/>
  <c r="C262" i="34"/>
  <c r="B262" i="34" s="1"/>
  <c r="A262" i="34" s="1"/>
  <c r="C261" i="34"/>
  <c r="B261" i="34" s="1"/>
  <c r="A261" i="34" s="1"/>
  <c r="C260" i="34"/>
  <c r="B260" i="34" s="1"/>
  <c r="A260" i="34" s="1"/>
  <c r="C259" i="34"/>
  <c r="B259" i="34" s="1"/>
  <c r="A259" i="34" s="1"/>
  <c r="C258" i="34"/>
  <c r="B258" i="34" s="1"/>
  <c r="A258" i="34" s="1"/>
  <c r="C257" i="34"/>
  <c r="B257" i="34" s="1"/>
  <c r="A257" i="34" s="1"/>
  <c r="C256" i="34"/>
  <c r="B256" i="34" s="1"/>
  <c r="A256" i="34" s="1"/>
  <c r="C255" i="34"/>
  <c r="B255" i="34" s="1"/>
  <c r="A255" i="34" s="1"/>
  <c r="C254" i="34"/>
  <c r="B254" i="34" s="1"/>
  <c r="A254" i="34" s="1"/>
  <c r="C253" i="34"/>
  <c r="B253" i="34" s="1"/>
  <c r="A253" i="34" s="1"/>
  <c r="C252" i="34"/>
  <c r="B252" i="34" s="1"/>
  <c r="A252" i="34" s="1"/>
  <c r="K251" i="34"/>
  <c r="C251" i="34"/>
  <c r="B251" i="34" s="1"/>
  <c r="A251" i="34" s="1"/>
  <c r="K250" i="34"/>
  <c r="C250" i="34"/>
  <c r="B250" i="34" s="1"/>
  <c r="A250" i="34" s="1"/>
  <c r="C249" i="34"/>
  <c r="B249" i="34" s="1"/>
  <c r="A249" i="34" s="1"/>
  <c r="C248" i="34"/>
  <c r="B248" i="34" s="1"/>
  <c r="A248" i="34" s="1"/>
  <c r="C247" i="34"/>
  <c r="B247" i="34" s="1"/>
  <c r="A247" i="34" s="1"/>
  <c r="C246" i="34"/>
  <c r="B246" i="34" s="1"/>
  <c r="A246" i="34" s="1"/>
  <c r="C245" i="34"/>
  <c r="B245" i="34" s="1"/>
  <c r="A245" i="34" s="1"/>
  <c r="C244" i="34"/>
  <c r="B244" i="34" s="1"/>
  <c r="A244" i="34" s="1"/>
  <c r="C243" i="34"/>
  <c r="B243" i="34" s="1"/>
  <c r="A243" i="34" s="1"/>
  <c r="C242" i="34"/>
  <c r="B242" i="34" s="1"/>
  <c r="A242" i="34" s="1"/>
  <c r="C241" i="34"/>
  <c r="B241" i="34" s="1"/>
  <c r="A241" i="34" s="1"/>
  <c r="C240" i="34"/>
  <c r="B240" i="34" s="1"/>
  <c r="A240" i="34" s="1"/>
  <c r="C239" i="34"/>
  <c r="B239" i="34" s="1"/>
  <c r="A239" i="34" s="1"/>
  <c r="C238" i="34"/>
  <c r="B238" i="34" s="1"/>
  <c r="A238" i="34" s="1"/>
  <c r="C237" i="34"/>
  <c r="B237" i="34" s="1"/>
  <c r="A237" i="34" s="1"/>
  <c r="C236" i="34"/>
  <c r="B236" i="34" s="1"/>
  <c r="A236" i="34" s="1"/>
  <c r="C235" i="34"/>
  <c r="B235" i="34" s="1"/>
  <c r="A235" i="34" s="1"/>
  <c r="C234" i="34"/>
  <c r="B234" i="34" s="1"/>
  <c r="A234" i="34" s="1"/>
  <c r="C233" i="34"/>
  <c r="B233" i="34" s="1"/>
  <c r="A233" i="34" s="1"/>
  <c r="C232" i="34"/>
  <c r="B232" i="34" s="1"/>
  <c r="A232" i="34" s="1"/>
  <c r="C231" i="34"/>
  <c r="B231" i="34" s="1"/>
  <c r="A231" i="34" s="1"/>
  <c r="C230" i="34"/>
  <c r="B230" i="34" s="1"/>
  <c r="A230" i="34" s="1"/>
  <c r="C229" i="34"/>
  <c r="B229" i="34" s="1"/>
  <c r="A229" i="34" s="1"/>
  <c r="C228" i="34"/>
  <c r="B228" i="34" s="1"/>
  <c r="A228" i="34" s="1"/>
  <c r="C227" i="34"/>
  <c r="B227" i="34" s="1"/>
  <c r="A227" i="34" s="1"/>
  <c r="C226" i="34"/>
  <c r="B226" i="34" s="1"/>
  <c r="A226" i="34" s="1"/>
  <c r="C225" i="34"/>
  <c r="B225" i="34" s="1"/>
  <c r="A225" i="34" s="1"/>
  <c r="C224" i="34"/>
  <c r="B224" i="34" s="1"/>
  <c r="A224" i="34" s="1"/>
  <c r="C223" i="34"/>
  <c r="B223" i="34" s="1"/>
  <c r="A223" i="34" s="1"/>
  <c r="C222" i="34"/>
  <c r="B222" i="34" s="1"/>
  <c r="A222" i="34" s="1"/>
  <c r="C221" i="34"/>
  <c r="B221" i="34" s="1"/>
  <c r="A221" i="34" s="1"/>
  <c r="C220" i="34"/>
  <c r="B220" i="34" s="1"/>
  <c r="A220" i="34" s="1"/>
  <c r="C219" i="34"/>
  <c r="B219" i="34" s="1"/>
  <c r="A219" i="34" s="1"/>
  <c r="C218" i="34"/>
  <c r="B218" i="34" s="1"/>
  <c r="A218" i="34" s="1"/>
  <c r="C217" i="34"/>
  <c r="B217" i="34" s="1"/>
  <c r="A217" i="34" s="1"/>
  <c r="C216" i="34"/>
  <c r="B216" i="34" s="1"/>
  <c r="A216" i="34" s="1"/>
  <c r="C215" i="34"/>
  <c r="B215" i="34" s="1"/>
  <c r="A215" i="34" s="1"/>
  <c r="K214" i="34"/>
  <c r="C214" i="34"/>
  <c r="B214" i="34" s="1"/>
  <c r="A214" i="34" s="1"/>
  <c r="K213" i="34"/>
  <c r="C213" i="34"/>
  <c r="B213" i="34" s="1"/>
  <c r="A213" i="34" s="1"/>
  <c r="C212" i="34"/>
  <c r="B212" i="34" s="1"/>
  <c r="A212" i="34" s="1"/>
  <c r="C211" i="34"/>
  <c r="B211" i="34" s="1"/>
  <c r="A211" i="34" s="1"/>
  <c r="C210" i="34"/>
  <c r="B210" i="34" s="1"/>
  <c r="A210" i="34" s="1"/>
  <c r="C209" i="34"/>
  <c r="B209" i="34" s="1"/>
  <c r="A209" i="34" s="1"/>
  <c r="C208" i="34"/>
  <c r="B208" i="34" s="1"/>
  <c r="A208" i="34" s="1"/>
  <c r="C207" i="34"/>
  <c r="B207" i="34" s="1"/>
  <c r="A207" i="34" s="1"/>
  <c r="C206" i="34"/>
  <c r="B206" i="34" s="1"/>
  <c r="A206" i="34" s="1"/>
  <c r="C205" i="34"/>
  <c r="B205" i="34" s="1"/>
  <c r="A205" i="34" s="1"/>
  <c r="C204" i="34"/>
  <c r="B204" i="34" s="1"/>
  <c r="A204" i="34" s="1"/>
  <c r="C203" i="34"/>
  <c r="B203" i="34" s="1"/>
  <c r="A203" i="34" s="1"/>
  <c r="C202" i="34"/>
  <c r="B202" i="34" s="1"/>
  <c r="A202" i="34" s="1"/>
  <c r="C201" i="34"/>
  <c r="B201" i="34" s="1"/>
  <c r="A201" i="34" s="1"/>
  <c r="C200" i="34"/>
  <c r="B200" i="34" s="1"/>
  <c r="A200" i="34" s="1"/>
  <c r="C199" i="34"/>
  <c r="B199" i="34" s="1"/>
  <c r="A199" i="34" s="1"/>
  <c r="C198" i="34"/>
  <c r="B198" i="34" s="1"/>
  <c r="A198" i="34" s="1"/>
  <c r="C197" i="34"/>
  <c r="B197" i="34" s="1"/>
  <c r="A197" i="34" s="1"/>
  <c r="C196" i="34"/>
  <c r="B196" i="34" s="1"/>
  <c r="A196" i="34" s="1"/>
  <c r="C195" i="34"/>
  <c r="B195" i="34" s="1"/>
  <c r="A195" i="34" s="1"/>
  <c r="C194" i="34"/>
  <c r="B194" i="34" s="1"/>
  <c r="A194" i="34" s="1"/>
  <c r="C193" i="34"/>
  <c r="B193" i="34" s="1"/>
  <c r="A193" i="34" s="1"/>
  <c r="C192" i="34"/>
  <c r="B192" i="34" s="1"/>
  <c r="A192" i="34" s="1"/>
  <c r="K191" i="34"/>
  <c r="C191" i="34"/>
  <c r="B191" i="34" s="1"/>
  <c r="A191" i="34" s="1"/>
  <c r="K190" i="34"/>
  <c r="C190" i="34"/>
  <c r="B190" i="34" s="1"/>
  <c r="A190" i="34" s="1"/>
  <c r="C189" i="34"/>
  <c r="B189" i="34" s="1"/>
  <c r="A189" i="34" s="1"/>
  <c r="C188" i="34"/>
  <c r="B188" i="34" s="1"/>
  <c r="A188" i="34" s="1"/>
  <c r="C187" i="34"/>
  <c r="B187" i="34" s="1"/>
  <c r="A187" i="34" s="1"/>
  <c r="C186" i="34"/>
  <c r="B186" i="34" s="1"/>
  <c r="A186" i="34" s="1"/>
  <c r="C185" i="34"/>
  <c r="B185" i="34" s="1"/>
  <c r="A185" i="34" s="1"/>
  <c r="C184" i="34"/>
  <c r="B184" i="34" s="1"/>
  <c r="A184" i="34" s="1"/>
  <c r="C183" i="34"/>
  <c r="B183" i="34" s="1"/>
  <c r="A183" i="34" s="1"/>
  <c r="C182" i="34"/>
  <c r="B182" i="34" s="1"/>
  <c r="A182" i="34" s="1"/>
  <c r="C181" i="34"/>
  <c r="B181" i="34" s="1"/>
  <c r="A181" i="34" s="1"/>
  <c r="C180" i="34"/>
  <c r="B180" i="34" s="1"/>
  <c r="A180" i="34" s="1"/>
  <c r="C179" i="34"/>
  <c r="B179" i="34" s="1"/>
  <c r="A179" i="34" s="1"/>
  <c r="C178" i="34"/>
  <c r="B178" i="34" s="1"/>
  <c r="A178" i="34" s="1"/>
  <c r="C177" i="34"/>
  <c r="B177" i="34" s="1"/>
  <c r="A177" i="34" s="1"/>
  <c r="C176" i="34"/>
  <c r="B176" i="34" s="1"/>
  <c r="A176" i="34" s="1"/>
  <c r="C175" i="34"/>
  <c r="B175" i="34" s="1"/>
  <c r="A175" i="34" s="1"/>
  <c r="C174" i="34"/>
  <c r="B174" i="34" s="1"/>
  <c r="A174" i="34" s="1"/>
  <c r="C173" i="34"/>
  <c r="B173" i="34" s="1"/>
  <c r="A173" i="34" s="1"/>
  <c r="C172" i="34"/>
  <c r="B172" i="34" s="1"/>
  <c r="A172" i="34" s="1"/>
  <c r="C171" i="34"/>
  <c r="B171" i="34" s="1"/>
  <c r="A171" i="34" s="1"/>
  <c r="C170" i="34"/>
  <c r="B170" i="34" s="1"/>
  <c r="A170" i="34" s="1"/>
  <c r="C169" i="34"/>
  <c r="B169" i="34" s="1"/>
  <c r="A169" i="34" s="1"/>
  <c r="C168" i="34"/>
  <c r="B168" i="34" s="1"/>
  <c r="A168" i="34" s="1"/>
  <c r="C167" i="34"/>
  <c r="B167" i="34" s="1"/>
  <c r="A167" i="34" s="1"/>
  <c r="C166" i="34"/>
  <c r="B166" i="34" s="1"/>
  <c r="A166" i="34" s="1"/>
  <c r="C165" i="34"/>
  <c r="B165" i="34" s="1"/>
  <c r="A165" i="34" s="1"/>
  <c r="C164" i="34"/>
  <c r="B164" i="34" s="1"/>
  <c r="A164" i="34" s="1"/>
  <c r="C163" i="34"/>
  <c r="B163" i="34" s="1"/>
  <c r="A163" i="34" s="1"/>
  <c r="C162" i="34"/>
  <c r="B162" i="34" s="1"/>
  <c r="A162" i="34" s="1"/>
  <c r="C161" i="34"/>
  <c r="B161" i="34" s="1"/>
  <c r="A161" i="34" s="1"/>
  <c r="C160" i="34"/>
  <c r="B160" i="34" s="1"/>
  <c r="A160" i="34" s="1"/>
  <c r="C159" i="34"/>
  <c r="B159" i="34" s="1"/>
  <c r="A159" i="34" s="1"/>
  <c r="C158" i="34"/>
  <c r="B158" i="34" s="1"/>
  <c r="A158" i="34" s="1"/>
  <c r="C157" i="34"/>
  <c r="B157" i="34" s="1"/>
  <c r="A157" i="34" s="1"/>
  <c r="C156" i="34"/>
  <c r="B156" i="34" s="1"/>
  <c r="A156" i="34" s="1"/>
  <c r="C155" i="34"/>
  <c r="B155" i="34" s="1"/>
  <c r="A155" i="34" s="1"/>
  <c r="C154" i="34"/>
  <c r="B154" i="34" s="1"/>
  <c r="A154" i="34" s="1"/>
  <c r="C153" i="34"/>
  <c r="B153" i="34" s="1"/>
  <c r="A153" i="34" s="1"/>
  <c r="K152" i="34"/>
  <c r="C152" i="34"/>
  <c r="B152" i="34" s="1"/>
  <c r="A152" i="34" s="1"/>
  <c r="K151" i="34"/>
  <c r="C151" i="34"/>
  <c r="B151" i="34" s="1"/>
  <c r="A151" i="34" s="1"/>
  <c r="C150" i="34"/>
  <c r="B150" i="34" s="1"/>
  <c r="A150" i="34" s="1"/>
  <c r="C149" i="34"/>
  <c r="B149" i="34" s="1"/>
  <c r="A149" i="34" s="1"/>
  <c r="C148" i="34"/>
  <c r="B148" i="34" s="1"/>
  <c r="A148" i="34" s="1"/>
  <c r="C147" i="34"/>
  <c r="B147" i="34" s="1"/>
  <c r="A147" i="34" s="1"/>
  <c r="C146" i="34"/>
  <c r="B146" i="34" s="1"/>
  <c r="A146" i="34" s="1"/>
  <c r="C145" i="34"/>
  <c r="B145" i="34" s="1"/>
  <c r="A145" i="34" s="1"/>
  <c r="C144" i="34"/>
  <c r="B144" i="34" s="1"/>
  <c r="A144" i="34" s="1"/>
  <c r="C143" i="34"/>
  <c r="B143" i="34" s="1"/>
  <c r="A143" i="34" s="1"/>
  <c r="C142" i="34"/>
  <c r="B142" i="34" s="1"/>
  <c r="A142" i="34" s="1"/>
  <c r="C141" i="34"/>
  <c r="B141" i="34" s="1"/>
  <c r="A141" i="34" s="1"/>
  <c r="C140" i="34"/>
  <c r="B140" i="34" s="1"/>
  <c r="A140" i="34" s="1"/>
  <c r="C139" i="34"/>
  <c r="B139" i="34" s="1"/>
  <c r="A139" i="34" s="1"/>
  <c r="C138" i="34"/>
  <c r="B138" i="34" s="1"/>
  <c r="A138" i="34" s="1"/>
  <c r="C137" i="34"/>
  <c r="B137" i="34" s="1"/>
  <c r="A137" i="34" s="1"/>
  <c r="C136" i="34"/>
  <c r="B136" i="34" s="1"/>
  <c r="A136" i="34" s="1"/>
  <c r="C135" i="34"/>
  <c r="B135" i="34" s="1"/>
  <c r="A135" i="34" s="1"/>
  <c r="C134" i="34"/>
  <c r="B134" i="34" s="1"/>
  <c r="A134" i="34" s="1"/>
  <c r="C133" i="34"/>
  <c r="B133" i="34" s="1"/>
  <c r="A133" i="34" s="1"/>
  <c r="C132" i="34"/>
  <c r="B132" i="34" s="1"/>
  <c r="A132" i="34" s="1"/>
  <c r="C131" i="34"/>
  <c r="B131" i="34" s="1"/>
  <c r="A131" i="34" s="1"/>
  <c r="C130" i="34"/>
  <c r="B130" i="34" s="1"/>
  <c r="A130" i="34" s="1"/>
  <c r="C129" i="34"/>
  <c r="B129" i="34" s="1"/>
  <c r="A129" i="34" s="1"/>
  <c r="C128" i="34"/>
  <c r="B128" i="34" s="1"/>
  <c r="A128" i="34" s="1"/>
  <c r="C127" i="34"/>
  <c r="B127" i="34" s="1"/>
  <c r="A127" i="34" s="1"/>
  <c r="C126" i="34"/>
  <c r="B126" i="34" s="1"/>
  <c r="A126" i="34" s="1"/>
  <c r="C125" i="34"/>
  <c r="B125" i="34" s="1"/>
  <c r="A125" i="34" s="1"/>
  <c r="C124" i="34"/>
  <c r="B124" i="34" s="1"/>
  <c r="A124" i="34" s="1"/>
  <c r="C123" i="34"/>
  <c r="B123" i="34" s="1"/>
  <c r="A123" i="34" s="1"/>
  <c r="C122" i="34"/>
  <c r="B122" i="34" s="1"/>
  <c r="A122" i="34" s="1"/>
  <c r="C121" i="34"/>
  <c r="B121" i="34" s="1"/>
  <c r="A121" i="34" s="1"/>
  <c r="C120" i="34"/>
  <c r="B120" i="34" s="1"/>
  <c r="A120" i="34" s="1"/>
  <c r="C119" i="34"/>
  <c r="B119" i="34" s="1"/>
  <c r="A119" i="34" s="1"/>
  <c r="C118" i="34"/>
  <c r="B118" i="34" s="1"/>
  <c r="A118" i="34" s="1"/>
  <c r="C117" i="34"/>
  <c r="B117" i="34" s="1"/>
  <c r="A117" i="34" s="1"/>
  <c r="C116" i="34"/>
  <c r="B116" i="34" s="1"/>
  <c r="A116" i="34" s="1"/>
  <c r="C115" i="34"/>
  <c r="B115" i="34" s="1"/>
  <c r="A115" i="34" s="1"/>
  <c r="C114" i="34"/>
  <c r="B114" i="34" s="1"/>
  <c r="A114" i="34" s="1"/>
  <c r="C113" i="34"/>
  <c r="B113" i="34" s="1"/>
  <c r="A113" i="34" s="1"/>
  <c r="C112" i="34"/>
  <c r="B112" i="34" s="1"/>
  <c r="A112" i="34" s="1"/>
  <c r="C111" i="34"/>
  <c r="B111" i="34" s="1"/>
  <c r="A111" i="34" s="1"/>
  <c r="C110" i="34"/>
  <c r="B110" i="34" s="1"/>
  <c r="A110" i="34" s="1"/>
  <c r="C109" i="34"/>
  <c r="B109" i="34" s="1"/>
  <c r="A109" i="34" s="1"/>
  <c r="C108" i="34"/>
  <c r="B108" i="34" s="1"/>
  <c r="A108" i="34" s="1"/>
  <c r="C107" i="34"/>
  <c r="B107" i="34" s="1"/>
  <c r="A107" i="34" s="1"/>
  <c r="C106" i="34"/>
  <c r="B106" i="34" s="1"/>
  <c r="A106" i="34" s="1"/>
  <c r="C105" i="34"/>
  <c r="B105" i="34" s="1"/>
  <c r="A105" i="34" s="1"/>
  <c r="C104" i="34"/>
  <c r="B104" i="34" s="1"/>
  <c r="A104" i="34" s="1"/>
  <c r="C103" i="34"/>
  <c r="B103" i="34" s="1"/>
  <c r="A103" i="34" s="1"/>
  <c r="C102" i="34"/>
  <c r="B102" i="34" s="1"/>
  <c r="A102" i="34" s="1"/>
  <c r="C101" i="34"/>
  <c r="B101" i="34" s="1"/>
  <c r="A101" i="34" s="1"/>
  <c r="C100" i="34"/>
  <c r="B100" i="34" s="1"/>
  <c r="A100" i="34" s="1"/>
  <c r="C99" i="34"/>
  <c r="B99" i="34" s="1"/>
  <c r="A99" i="34" s="1"/>
  <c r="C98" i="34"/>
  <c r="B98" i="34" s="1"/>
  <c r="A98" i="34" s="1"/>
  <c r="C97" i="34"/>
  <c r="B97" i="34" s="1"/>
  <c r="A97" i="34" s="1"/>
  <c r="C96" i="34"/>
  <c r="B96" i="34" s="1"/>
  <c r="A96" i="34" s="1"/>
  <c r="C95" i="34"/>
  <c r="B95" i="34" s="1"/>
  <c r="A95" i="34" s="1"/>
  <c r="C94" i="34"/>
  <c r="B94" i="34" s="1"/>
  <c r="A94" i="34" s="1"/>
  <c r="C93" i="34"/>
  <c r="B93" i="34" s="1"/>
  <c r="A93" i="34" s="1"/>
  <c r="C92" i="34"/>
  <c r="B92" i="34" s="1"/>
  <c r="A92" i="34" s="1"/>
  <c r="C91" i="34"/>
  <c r="B91" i="34" s="1"/>
  <c r="A91" i="34" s="1"/>
  <c r="C90" i="34"/>
  <c r="B90" i="34" s="1"/>
  <c r="A90" i="34" s="1"/>
  <c r="C89" i="34"/>
  <c r="B89" i="34" s="1"/>
  <c r="A89" i="34" s="1"/>
  <c r="C88" i="34"/>
  <c r="B88" i="34" s="1"/>
  <c r="A88" i="34" s="1"/>
  <c r="C87" i="34"/>
  <c r="B87" i="34" s="1"/>
  <c r="A87" i="34" s="1"/>
  <c r="C86" i="34"/>
  <c r="B86" i="34" s="1"/>
  <c r="A86" i="34" s="1"/>
  <c r="C85" i="34"/>
  <c r="B85" i="34" s="1"/>
  <c r="A85" i="34" s="1"/>
  <c r="C84" i="34"/>
  <c r="B84" i="34" s="1"/>
  <c r="A84" i="34" s="1"/>
  <c r="C83" i="34"/>
  <c r="B83" i="34" s="1"/>
  <c r="A83" i="34" s="1"/>
  <c r="C82" i="34"/>
  <c r="B82" i="34" s="1"/>
  <c r="A82" i="34" s="1"/>
  <c r="C81" i="34"/>
  <c r="B81" i="34" s="1"/>
  <c r="A81" i="34" s="1"/>
  <c r="C80" i="34"/>
  <c r="B80" i="34" s="1"/>
  <c r="A80" i="34" s="1"/>
  <c r="C79" i="34"/>
  <c r="B79" i="34" s="1"/>
  <c r="A79" i="34" s="1"/>
  <c r="C78" i="34"/>
  <c r="B78" i="34" s="1"/>
  <c r="A78" i="34" s="1"/>
  <c r="C77" i="34"/>
  <c r="B77" i="34" s="1"/>
  <c r="A77" i="34" s="1"/>
  <c r="C76" i="34"/>
  <c r="B76" i="34" s="1"/>
  <c r="A76" i="34" s="1"/>
  <c r="C75" i="34"/>
  <c r="B75" i="34" s="1"/>
  <c r="A75" i="34" s="1"/>
  <c r="C74" i="34"/>
  <c r="B74" i="34" s="1"/>
  <c r="A74" i="34" s="1"/>
  <c r="C73" i="34"/>
  <c r="B73" i="34" s="1"/>
  <c r="A73" i="34" s="1"/>
  <c r="C72" i="34"/>
  <c r="B72" i="34" s="1"/>
  <c r="A72" i="34" s="1"/>
  <c r="C71" i="34"/>
  <c r="B71" i="34" s="1"/>
  <c r="A71" i="34" s="1"/>
  <c r="K70" i="34"/>
  <c r="C70" i="34"/>
  <c r="B70" i="34" s="1"/>
  <c r="A70" i="34" s="1"/>
  <c r="C69" i="34"/>
  <c r="B69" i="34" s="1"/>
  <c r="A69" i="34" s="1"/>
  <c r="C68" i="34"/>
  <c r="B68" i="34" s="1"/>
  <c r="A68" i="34" s="1"/>
  <c r="C67" i="34"/>
  <c r="B67" i="34" s="1"/>
  <c r="A67" i="34" s="1"/>
  <c r="C66" i="34"/>
  <c r="B66" i="34" s="1"/>
  <c r="A66" i="34" s="1"/>
  <c r="K62" i="34"/>
  <c r="A3" i="54" l="1"/>
  <c r="A2" i="54"/>
  <c r="C22" i="54"/>
  <c r="B2" i="55" l="1"/>
  <c r="B1" i="55"/>
  <c r="A8" i="12"/>
  <c r="A13" i="12"/>
  <c r="A14" i="12"/>
  <c r="A15" i="12"/>
  <c r="A6" i="12"/>
  <c r="A14" i="70"/>
  <c r="A18" i="70"/>
  <c r="A25" i="70"/>
  <c r="A31" i="70"/>
  <c r="A27" i="70"/>
  <c r="A35" i="70"/>
  <c r="A21" i="70"/>
  <c r="A12" i="70"/>
  <c r="A15" i="70"/>
  <c r="A17" i="70"/>
  <c r="A7" i="70"/>
  <c r="A19" i="70"/>
  <c r="A38" i="70"/>
  <c r="A13" i="70"/>
  <c r="A11" i="70"/>
  <c r="A2" i="12"/>
  <c r="A1" i="12"/>
  <c r="A2" i="70"/>
  <c r="A1" i="70"/>
  <c r="A246" i="60" l="1"/>
  <c r="A140" i="60"/>
  <c r="A59" i="60"/>
  <c r="A2" i="60"/>
  <c r="K14" i="34" l="1"/>
  <c r="Y14" i="34"/>
  <c r="X14" i="34"/>
  <c r="T14" i="34"/>
  <c r="S14" i="34"/>
  <c r="R14" i="34"/>
  <c r="N14" i="34"/>
  <c r="C14" i="34"/>
  <c r="B14" i="34" s="1"/>
  <c r="A14" i="34" s="1"/>
  <c r="W14" i="34" l="1"/>
  <c r="U14" i="34"/>
  <c r="N62" i="34" l="1"/>
  <c r="R62" i="34"/>
  <c r="S62" i="34"/>
  <c r="T62" i="34"/>
  <c r="X62" i="34"/>
  <c r="Y62" i="34"/>
  <c r="N64" i="34"/>
  <c r="R64" i="34"/>
  <c r="S64" i="34"/>
  <c r="T64" i="34"/>
  <c r="X64" i="34"/>
  <c r="Y64" i="34"/>
  <c r="N65" i="34"/>
  <c r="R65" i="34"/>
  <c r="S65" i="34"/>
  <c r="T65" i="34"/>
  <c r="X65" i="34"/>
  <c r="Y65" i="34"/>
  <c r="N66" i="34"/>
  <c r="X66" i="34"/>
  <c r="Y66" i="34"/>
  <c r="N67" i="34"/>
  <c r="X67" i="34"/>
  <c r="Y67" i="34"/>
  <c r="N68" i="34"/>
  <c r="X68" i="34"/>
  <c r="Y68" i="34"/>
  <c r="N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R72" i="34"/>
  <c r="S72" i="34"/>
  <c r="T72" i="34"/>
  <c r="X72" i="34"/>
  <c r="Y72" i="34"/>
  <c r="N73" i="34"/>
  <c r="X73" i="34"/>
  <c r="Y73" i="34"/>
  <c r="N74" i="34"/>
  <c r="X74" i="34"/>
  <c r="Y74" i="34"/>
  <c r="N75" i="34"/>
  <c r="X75" i="34"/>
  <c r="Y75" i="34"/>
  <c r="N76" i="34"/>
  <c r="X76" i="34"/>
  <c r="Y76" i="34"/>
  <c r="N77" i="34"/>
  <c r="X77" i="34"/>
  <c r="Y77" i="34"/>
  <c r="N78" i="34"/>
  <c r="X78" i="34"/>
  <c r="Y78" i="34"/>
  <c r="N79" i="34"/>
  <c r="X79" i="34"/>
  <c r="Y79" i="34"/>
  <c r="N80" i="34"/>
  <c r="X80" i="34"/>
  <c r="Y80" i="34"/>
  <c r="N81" i="34"/>
  <c r="X81" i="34"/>
  <c r="Y81" i="34"/>
  <c r="N82" i="34"/>
  <c r="X82" i="34"/>
  <c r="Y82" i="34"/>
  <c r="N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X86" i="34"/>
  <c r="Y86" i="34"/>
  <c r="N87" i="34"/>
  <c r="X87" i="34"/>
  <c r="Y87" i="34"/>
  <c r="N88" i="34"/>
  <c r="X88" i="34"/>
  <c r="Y88" i="34"/>
  <c r="N89" i="34"/>
  <c r="X89" i="34"/>
  <c r="Y89" i="34"/>
  <c r="N90" i="34"/>
  <c r="X90" i="34"/>
  <c r="Y90" i="34"/>
  <c r="N91" i="34"/>
  <c r="X91" i="34"/>
  <c r="Y91" i="34"/>
  <c r="N92" i="34"/>
  <c r="X92" i="34"/>
  <c r="Y92" i="34"/>
  <c r="N93" i="34"/>
  <c r="X93" i="34"/>
  <c r="Y93" i="34"/>
  <c r="N94" i="34"/>
  <c r="X94" i="34"/>
  <c r="Y94" i="34"/>
  <c r="N95" i="34"/>
  <c r="X95" i="34"/>
  <c r="Y95" i="34"/>
  <c r="N96" i="34"/>
  <c r="X96" i="34"/>
  <c r="Y96" i="34"/>
  <c r="N97" i="34"/>
  <c r="X97" i="34"/>
  <c r="Y97" i="34"/>
  <c r="N98" i="34"/>
  <c r="X98" i="34"/>
  <c r="Y98" i="34"/>
  <c r="N99" i="34"/>
  <c r="X99" i="34"/>
  <c r="Y99" i="34"/>
  <c r="N100" i="34"/>
  <c r="X100" i="34"/>
  <c r="Y100" i="34"/>
  <c r="N101" i="34"/>
  <c r="X101" i="34"/>
  <c r="Y101" i="34"/>
  <c r="N102" i="34"/>
  <c r="X102" i="34"/>
  <c r="Y102" i="34"/>
  <c r="N103" i="34"/>
  <c r="X103" i="34"/>
  <c r="Y103" i="34"/>
  <c r="N104" i="34"/>
  <c r="R104" i="34"/>
  <c r="S104" i="34"/>
  <c r="T104" i="34"/>
  <c r="X104" i="34"/>
  <c r="Y104" i="34"/>
  <c r="N105" i="34"/>
  <c r="X105" i="34"/>
  <c r="Y105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R109" i="34"/>
  <c r="S109" i="34"/>
  <c r="T109" i="34"/>
  <c r="X109" i="34"/>
  <c r="Y109" i="34"/>
  <c r="N110" i="34"/>
  <c r="X110" i="34"/>
  <c r="Y110" i="34"/>
  <c r="N111" i="34"/>
  <c r="X111" i="34"/>
  <c r="Y111" i="34"/>
  <c r="N112" i="34"/>
  <c r="X112" i="34"/>
  <c r="Y112" i="34"/>
  <c r="N113" i="34"/>
  <c r="X113" i="34"/>
  <c r="Y113" i="34"/>
  <c r="N114" i="34"/>
  <c r="X114" i="34"/>
  <c r="Y114" i="34"/>
  <c r="N115" i="34"/>
  <c r="X115" i="34"/>
  <c r="Y115" i="34"/>
  <c r="N116" i="34"/>
  <c r="X116" i="34"/>
  <c r="Y116" i="34"/>
  <c r="N117" i="34"/>
  <c r="X117" i="34"/>
  <c r="Y117" i="34"/>
  <c r="N118" i="34"/>
  <c r="X118" i="34"/>
  <c r="Y118" i="34"/>
  <c r="N119" i="34"/>
  <c r="X119" i="34"/>
  <c r="Y119" i="34"/>
  <c r="N120" i="34"/>
  <c r="X120" i="34"/>
  <c r="Y120" i="34"/>
  <c r="N121" i="34"/>
  <c r="X121" i="34"/>
  <c r="Y121" i="34"/>
  <c r="N122" i="34"/>
  <c r="X122" i="34"/>
  <c r="Y122" i="34"/>
  <c r="N123" i="34"/>
  <c r="X123" i="34"/>
  <c r="Y123" i="34"/>
  <c r="N124" i="34"/>
  <c r="R124" i="34"/>
  <c r="S124" i="34"/>
  <c r="T124" i="34"/>
  <c r="X124" i="34"/>
  <c r="Y124" i="34"/>
  <c r="N125" i="34"/>
  <c r="R125" i="34"/>
  <c r="S125" i="34"/>
  <c r="T125" i="34"/>
  <c r="X125" i="34"/>
  <c r="Y125" i="34"/>
  <c r="N126" i="34"/>
  <c r="R126" i="34"/>
  <c r="S126" i="34"/>
  <c r="T126" i="34"/>
  <c r="X126" i="34"/>
  <c r="Y126" i="34"/>
  <c r="N127" i="34"/>
  <c r="R127" i="34"/>
  <c r="S127" i="34"/>
  <c r="T127" i="34"/>
  <c r="X127" i="34"/>
  <c r="Y127" i="34"/>
  <c r="N128" i="34"/>
  <c r="R128" i="34"/>
  <c r="S128" i="34"/>
  <c r="T128" i="34"/>
  <c r="X128" i="34"/>
  <c r="Y128" i="34"/>
  <c r="N129" i="34"/>
  <c r="X129" i="34"/>
  <c r="Y129" i="34"/>
  <c r="N130" i="34"/>
  <c r="X130" i="34"/>
  <c r="Y130" i="34"/>
  <c r="N131" i="34"/>
  <c r="X131" i="34"/>
  <c r="Y131" i="34"/>
  <c r="N132" i="34"/>
  <c r="X132" i="34"/>
  <c r="Y132" i="34"/>
  <c r="N133" i="34"/>
  <c r="X133" i="34"/>
  <c r="Y133" i="34"/>
  <c r="N134" i="34"/>
  <c r="X134" i="34"/>
  <c r="Y134" i="34"/>
  <c r="N135" i="34"/>
  <c r="X135" i="34"/>
  <c r="Y135" i="34"/>
  <c r="N136" i="34"/>
  <c r="X136" i="34"/>
  <c r="Y136" i="34"/>
  <c r="N137" i="34"/>
  <c r="X137" i="34"/>
  <c r="Y137" i="34"/>
  <c r="N138" i="34"/>
  <c r="X138" i="34"/>
  <c r="Y138" i="34"/>
  <c r="N139" i="34"/>
  <c r="X139" i="34"/>
  <c r="Y139" i="34"/>
  <c r="N140" i="34"/>
  <c r="R140" i="34"/>
  <c r="S140" i="34"/>
  <c r="T140" i="34"/>
  <c r="X140" i="34"/>
  <c r="Y140" i="34"/>
  <c r="N141" i="34"/>
  <c r="R141" i="34"/>
  <c r="S141" i="34"/>
  <c r="T141" i="34"/>
  <c r="X141" i="34"/>
  <c r="Y141" i="34"/>
  <c r="N142" i="34"/>
  <c r="R142" i="34"/>
  <c r="S142" i="34"/>
  <c r="T142" i="34"/>
  <c r="X142" i="34"/>
  <c r="Y142" i="34"/>
  <c r="N143" i="34"/>
  <c r="R143" i="34"/>
  <c r="S143" i="34"/>
  <c r="T143" i="34"/>
  <c r="X143" i="34"/>
  <c r="Y143" i="34"/>
  <c r="N144" i="34"/>
  <c r="X144" i="34"/>
  <c r="Y144" i="34"/>
  <c r="N145" i="34"/>
  <c r="X145" i="34"/>
  <c r="Y145" i="34"/>
  <c r="N146" i="34"/>
  <c r="X146" i="34"/>
  <c r="Y146" i="34"/>
  <c r="N147" i="34"/>
  <c r="X147" i="34"/>
  <c r="Y147" i="34"/>
  <c r="N148" i="34"/>
  <c r="X148" i="34"/>
  <c r="Y148" i="34"/>
  <c r="N149" i="34"/>
  <c r="X149" i="34"/>
  <c r="Y149" i="34"/>
  <c r="N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X153" i="34"/>
  <c r="Y153" i="34"/>
  <c r="N154" i="34"/>
  <c r="X154" i="34"/>
  <c r="Y154" i="34"/>
  <c r="N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X158" i="34"/>
  <c r="Y158" i="34"/>
  <c r="N159" i="34"/>
  <c r="X159" i="34"/>
  <c r="Y159" i="34"/>
  <c r="N160" i="34"/>
  <c r="R160" i="34"/>
  <c r="S160" i="34"/>
  <c r="T160" i="34"/>
  <c r="X160" i="34"/>
  <c r="Y160" i="34"/>
  <c r="N161" i="34"/>
  <c r="R161" i="34"/>
  <c r="S161" i="34"/>
  <c r="T161" i="34"/>
  <c r="X161" i="34"/>
  <c r="Y161" i="34"/>
  <c r="N162" i="34"/>
  <c r="X162" i="34"/>
  <c r="Y162" i="34"/>
  <c r="N163" i="34"/>
  <c r="X163" i="34"/>
  <c r="Y163" i="34"/>
  <c r="N164" i="34"/>
  <c r="R164" i="34"/>
  <c r="S164" i="34"/>
  <c r="T164" i="34"/>
  <c r="X164" i="34"/>
  <c r="Y164" i="34"/>
  <c r="N165" i="34"/>
  <c r="X165" i="34"/>
  <c r="Y165" i="34"/>
  <c r="N166" i="34"/>
  <c r="X166" i="34"/>
  <c r="Y166" i="34"/>
  <c r="N167" i="34"/>
  <c r="X167" i="34"/>
  <c r="Y167" i="34"/>
  <c r="N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X173" i="34"/>
  <c r="Y173" i="34"/>
  <c r="N174" i="34"/>
  <c r="X174" i="34"/>
  <c r="Y174" i="34"/>
  <c r="N175" i="34"/>
  <c r="X175" i="34"/>
  <c r="Y175" i="34"/>
  <c r="N176" i="34"/>
  <c r="X176" i="34"/>
  <c r="Y176" i="34"/>
  <c r="N177" i="34"/>
  <c r="X177" i="34"/>
  <c r="Y177" i="34"/>
  <c r="N178" i="34"/>
  <c r="X178" i="34"/>
  <c r="Y178" i="34"/>
  <c r="N179" i="34"/>
  <c r="X179" i="34"/>
  <c r="Y179" i="34"/>
  <c r="N180" i="34"/>
  <c r="X180" i="34"/>
  <c r="Y180" i="34"/>
  <c r="N181" i="34"/>
  <c r="X181" i="34"/>
  <c r="Y181" i="34"/>
  <c r="N182" i="34"/>
  <c r="X182" i="34"/>
  <c r="Y182" i="34"/>
  <c r="N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86" i="34"/>
  <c r="X186" i="34"/>
  <c r="Y186" i="34"/>
  <c r="N187" i="34"/>
  <c r="X187" i="34"/>
  <c r="Y187" i="34"/>
  <c r="N188" i="34"/>
  <c r="X188" i="34"/>
  <c r="Y188" i="34"/>
  <c r="N189" i="34"/>
  <c r="X189" i="34"/>
  <c r="Y189" i="34"/>
  <c r="N190" i="34"/>
  <c r="R190" i="34"/>
  <c r="S190" i="34"/>
  <c r="T190" i="34"/>
  <c r="X190" i="34"/>
  <c r="Y190" i="34"/>
  <c r="N191" i="34"/>
  <c r="R191" i="34"/>
  <c r="S191" i="34"/>
  <c r="T191" i="34"/>
  <c r="X191" i="34"/>
  <c r="Y191" i="34"/>
  <c r="N192" i="34"/>
  <c r="X192" i="34"/>
  <c r="Y192" i="34"/>
  <c r="N193" i="34"/>
  <c r="X193" i="34"/>
  <c r="Y193" i="34"/>
  <c r="N194" i="34"/>
  <c r="X194" i="34"/>
  <c r="Y194" i="34"/>
  <c r="N195" i="34"/>
  <c r="X195" i="34"/>
  <c r="Y195" i="34"/>
  <c r="N196" i="34"/>
  <c r="X196" i="34"/>
  <c r="Y196" i="34"/>
  <c r="N197" i="34"/>
  <c r="X197" i="34"/>
  <c r="Y197" i="34"/>
  <c r="N198" i="34"/>
  <c r="X198" i="34"/>
  <c r="Y198" i="34"/>
  <c r="N199" i="34"/>
  <c r="X199" i="34"/>
  <c r="Y199" i="34"/>
  <c r="N200" i="34"/>
  <c r="X200" i="34"/>
  <c r="Y200" i="34"/>
  <c r="N201" i="34"/>
  <c r="X201" i="34"/>
  <c r="Y201" i="34"/>
  <c r="N202" i="34"/>
  <c r="X202" i="34"/>
  <c r="Y202" i="34"/>
  <c r="N203" i="34"/>
  <c r="X203" i="34"/>
  <c r="Y203" i="34"/>
  <c r="N204" i="34"/>
  <c r="X204" i="34"/>
  <c r="Y204" i="34"/>
  <c r="N205" i="34"/>
  <c r="X205" i="34"/>
  <c r="Y205" i="34"/>
  <c r="N206" i="34"/>
  <c r="R206" i="34"/>
  <c r="S206" i="34"/>
  <c r="T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X215" i="34"/>
  <c r="Y215" i="34"/>
  <c r="N216" i="34"/>
  <c r="X216" i="34"/>
  <c r="Y216" i="34"/>
  <c r="N217" i="34"/>
  <c r="X217" i="34"/>
  <c r="Y217" i="34"/>
  <c r="N218" i="34"/>
  <c r="X218" i="34"/>
  <c r="Y218" i="34"/>
  <c r="N219" i="34"/>
  <c r="X219" i="34"/>
  <c r="Y219" i="34"/>
  <c r="N220" i="34"/>
  <c r="X220" i="34"/>
  <c r="Y220" i="34"/>
  <c r="N221" i="34"/>
  <c r="X221" i="34"/>
  <c r="Y221" i="34"/>
  <c r="N222" i="34"/>
  <c r="X222" i="34"/>
  <c r="Y222" i="34"/>
  <c r="N223" i="34"/>
  <c r="X223" i="34"/>
  <c r="Y223" i="34"/>
  <c r="N224" i="34"/>
  <c r="X224" i="34"/>
  <c r="Y224" i="34"/>
  <c r="N225" i="34"/>
  <c r="X225" i="34"/>
  <c r="Y225" i="34"/>
  <c r="N226" i="34"/>
  <c r="X226" i="34"/>
  <c r="Y226" i="34"/>
  <c r="N227" i="34"/>
  <c r="X227" i="34"/>
  <c r="Y227" i="34"/>
  <c r="N228" i="34"/>
  <c r="X228" i="34"/>
  <c r="Y228" i="34"/>
  <c r="N229" i="34"/>
  <c r="X229" i="34"/>
  <c r="Y229" i="34"/>
  <c r="N230" i="34"/>
  <c r="X230" i="34"/>
  <c r="Y230" i="34"/>
  <c r="N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X236" i="34"/>
  <c r="Y236" i="34"/>
  <c r="N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X240" i="34"/>
  <c r="Y240" i="34"/>
  <c r="N241" i="34"/>
  <c r="X241" i="34"/>
  <c r="Y241" i="34"/>
  <c r="N242" i="34"/>
  <c r="X242" i="34"/>
  <c r="Y242" i="34"/>
  <c r="N243" i="34"/>
  <c r="X243" i="34"/>
  <c r="Y243" i="34"/>
  <c r="N244" i="34"/>
  <c r="X244" i="34"/>
  <c r="Y244" i="34"/>
  <c r="N245" i="34"/>
  <c r="X245" i="34"/>
  <c r="Y245" i="34"/>
  <c r="N246" i="34"/>
  <c r="X246" i="34"/>
  <c r="Y246" i="34"/>
  <c r="N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X254" i="34"/>
  <c r="Y254" i="34"/>
  <c r="N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X258" i="34"/>
  <c r="Y258" i="34"/>
  <c r="N259" i="34"/>
  <c r="X259" i="34"/>
  <c r="Y259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X262" i="34"/>
  <c r="Y262" i="34"/>
  <c r="N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X266" i="34"/>
  <c r="Y266" i="34"/>
  <c r="N267" i="34"/>
  <c r="R267" i="34"/>
  <c r="S267" i="34"/>
  <c r="T267" i="34"/>
  <c r="X267" i="34"/>
  <c r="Y267" i="34"/>
  <c r="N268" i="34"/>
  <c r="X268" i="34"/>
  <c r="Y268" i="34"/>
  <c r="N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X273" i="34"/>
  <c r="Y273" i="34"/>
  <c r="N274" i="34"/>
  <c r="X274" i="34"/>
  <c r="Y274" i="34"/>
  <c r="N275" i="34"/>
  <c r="X275" i="34"/>
  <c r="Y275" i="34"/>
  <c r="N276" i="34"/>
  <c r="X276" i="34"/>
  <c r="Y276" i="34"/>
  <c r="N277" i="34"/>
  <c r="R277" i="34"/>
  <c r="S277" i="34"/>
  <c r="T277" i="34"/>
  <c r="X277" i="34"/>
  <c r="Y277" i="34"/>
  <c r="N278" i="34"/>
  <c r="X278" i="34"/>
  <c r="Y278" i="34"/>
  <c r="N279" i="34"/>
  <c r="X279" i="34"/>
  <c r="Y279" i="34"/>
  <c r="N280" i="34"/>
  <c r="X280" i="34"/>
  <c r="Y280" i="34"/>
  <c r="N281" i="34"/>
  <c r="X281" i="34"/>
  <c r="Y281" i="34"/>
  <c r="N282" i="34"/>
  <c r="X282" i="34"/>
  <c r="Y282" i="34"/>
  <c r="N283" i="34"/>
  <c r="X283" i="34"/>
  <c r="Y283" i="34"/>
  <c r="N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X290" i="34"/>
  <c r="Y290" i="34"/>
  <c r="N291" i="34"/>
  <c r="X291" i="34"/>
  <c r="Y291" i="34"/>
  <c r="N292" i="34"/>
  <c r="X292" i="34"/>
  <c r="Y292" i="34"/>
  <c r="N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5" i="34"/>
  <c r="R415" i="34"/>
  <c r="S415" i="34"/>
  <c r="T415" i="34"/>
  <c r="X415" i="34"/>
  <c r="Y415" i="34"/>
  <c r="N417" i="34"/>
  <c r="R417" i="34"/>
  <c r="S417" i="34"/>
  <c r="T417" i="34"/>
  <c r="X417" i="34"/>
  <c r="Y417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X630" i="34"/>
  <c r="Y630" i="34"/>
  <c r="N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R664" i="34"/>
  <c r="S664" i="34"/>
  <c r="T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X696" i="34"/>
  <c r="Y696" i="34"/>
  <c r="N697" i="34"/>
  <c r="R697" i="34"/>
  <c r="S697" i="34"/>
  <c r="T697" i="34"/>
  <c r="X697" i="34"/>
  <c r="Y697" i="34"/>
  <c r="N698" i="34"/>
  <c r="X698" i="34"/>
  <c r="Y698" i="34"/>
  <c r="N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X720" i="34"/>
  <c r="Y720" i="34"/>
  <c r="N721" i="34"/>
  <c r="X721" i="34"/>
  <c r="Y721" i="34"/>
  <c r="N722" i="34"/>
  <c r="X722" i="34"/>
  <c r="Y722" i="34"/>
  <c r="N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X740" i="34"/>
  <c r="Y740" i="34"/>
  <c r="N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22" i="34"/>
  <c r="R22" i="34"/>
  <c r="S22" i="34"/>
  <c r="T22" i="34"/>
  <c r="X22" i="34"/>
  <c r="Y22" i="34"/>
  <c r="N23" i="34"/>
  <c r="R23" i="34"/>
  <c r="S23" i="34"/>
  <c r="T23" i="34"/>
  <c r="X23" i="34"/>
  <c r="Y23" i="34"/>
  <c r="N24" i="34"/>
  <c r="R24" i="34"/>
  <c r="S24" i="34"/>
  <c r="T24" i="34"/>
  <c r="X24" i="34"/>
  <c r="Y24" i="34"/>
  <c r="N25" i="34"/>
  <c r="R25" i="34"/>
  <c r="S25" i="34"/>
  <c r="T25" i="34"/>
  <c r="X25" i="34"/>
  <c r="Y25" i="34"/>
  <c r="N26" i="34"/>
  <c r="R26" i="34"/>
  <c r="S26" i="34"/>
  <c r="T26" i="34"/>
  <c r="X26" i="34"/>
  <c r="Y26" i="34"/>
  <c r="N27" i="34"/>
  <c r="R27" i="34"/>
  <c r="S27" i="34"/>
  <c r="T27" i="34"/>
  <c r="X27" i="34"/>
  <c r="Y27" i="34"/>
  <c r="N28" i="34"/>
  <c r="R28" i="34"/>
  <c r="S28" i="34"/>
  <c r="T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R41" i="34"/>
  <c r="S41" i="34"/>
  <c r="T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R44" i="34"/>
  <c r="S44" i="34"/>
  <c r="T44" i="34"/>
  <c r="X44" i="34"/>
  <c r="Y44" i="34"/>
  <c r="N45" i="34"/>
  <c r="R45" i="34"/>
  <c r="S45" i="34"/>
  <c r="T45" i="34"/>
  <c r="X45" i="34"/>
  <c r="Y45" i="34"/>
  <c r="N46" i="34"/>
  <c r="R46" i="34"/>
  <c r="S46" i="34"/>
  <c r="T46" i="34"/>
  <c r="X46" i="34"/>
  <c r="Y46" i="34"/>
  <c r="N47" i="34"/>
  <c r="R47" i="34"/>
  <c r="S47" i="34"/>
  <c r="T47" i="34"/>
  <c r="X47" i="34"/>
  <c r="Y47" i="34"/>
  <c r="N48" i="34"/>
  <c r="R48" i="34"/>
  <c r="S48" i="34"/>
  <c r="T48" i="34"/>
  <c r="X48" i="34"/>
  <c r="Y48" i="34"/>
  <c r="N49" i="34"/>
  <c r="R49" i="34"/>
  <c r="S49" i="34"/>
  <c r="T49" i="34"/>
  <c r="X49" i="34"/>
  <c r="Y49" i="34"/>
  <c r="N50" i="34"/>
  <c r="R50" i="34"/>
  <c r="S50" i="34"/>
  <c r="T50" i="34"/>
  <c r="X50" i="34"/>
  <c r="Y50" i="34"/>
  <c r="N51" i="34"/>
  <c r="R51" i="34"/>
  <c r="S51" i="34"/>
  <c r="T51" i="34"/>
  <c r="X51" i="34"/>
  <c r="Y51" i="34"/>
  <c r="N52" i="34"/>
  <c r="R52" i="34"/>
  <c r="S52" i="34"/>
  <c r="T52" i="34"/>
  <c r="X52" i="34"/>
  <c r="Y52" i="34"/>
  <c r="N53" i="34"/>
  <c r="R53" i="34"/>
  <c r="S53" i="34"/>
  <c r="T53" i="34"/>
  <c r="X53" i="34"/>
  <c r="Y53" i="34"/>
  <c r="N54" i="34"/>
  <c r="R54" i="34"/>
  <c r="S54" i="34"/>
  <c r="T54" i="34"/>
  <c r="X54" i="34"/>
  <c r="Y54" i="34"/>
  <c r="N55" i="34"/>
  <c r="R55" i="34"/>
  <c r="S55" i="34"/>
  <c r="T55" i="34"/>
  <c r="X55" i="34"/>
  <c r="Y55" i="34"/>
  <c r="N56" i="34"/>
  <c r="R56" i="34"/>
  <c r="S56" i="34"/>
  <c r="T56" i="34"/>
  <c r="X56" i="34"/>
  <c r="Y56" i="34"/>
  <c r="N57" i="34"/>
  <c r="R57" i="34"/>
  <c r="S57" i="34"/>
  <c r="T57" i="34"/>
  <c r="X57" i="34"/>
  <c r="Y57" i="34"/>
  <c r="N58" i="34"/>
  <c r="R58" i="34"/>
  <c r="S58" i="34"/>
  <c r="T58" i="34"/>
  <c r="X58" i="34"/>
  <c r="Y58" i="34"/>
  <c r="N59" i="34"/>
  <c r="R59" i="34"/>
  <c r="S59" i="34"/>
  <c r="T59" i="34"/>
  <c r="X59" i="34"/>
  <c r="Y59" i="34"/>
  <c r="N60" i="34"/>
  <c r="R60" i="34"/>
  <c r="S60" i="34"/>
  <c r="T60" i="34"/>
  <c r="X60" i="34"/>
  <c r="Y60" i="34"/>
  <c r="N61" i="34"/>
  <c r="R61" i="34"/>
  <c r="S61" i="34"/>
  <c r="T61" i="34"/>
  <c r="X61" i="34"/>
  <c r="Y61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X1097" i="34"/>
  <c r="Y1097" i="34"/>
  <c r="N1098" i="34"/>
  <c r="X1098" i="34"/>
  <c r="Y1098" i="34"/>
  <c r="N1099" i="34"/>
  <c r="X1099" i="34"/>
  <c r="Y1099" i="34"/>
  <c r="N1100" i="34"/>
  <c r="X1100" i="34"/>
  <c r="Y1100" i="34"/>
  <c r="N1101" i="34"/>
  <c r="X1101" i="34"/>
  <c r="Y1101" i="34"/>
  <c r="N1102" i="34"/>
  <c r="X1102" i="34"/>
  <c r="Y1102" i="34"/>
  <c r="N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X1114" i="34"/>
  <c r="Y1114" i="34"/>
  <c r="N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X1405" i="34"/>
  <c r="Y1405" i="34"/>
  <c r="N1406" i="34"/>
  <c r="X1406" i="34"/>
  <c r="Y1406" i="34"/>
  <c r="N1407" i="34"/>
  <c r="X1407" i="34"/>
  <c r="Y1407" i="34"/>
  <c r="N1408" i="34"/>
  <c r="X1408" i="34"/>
  <c r="Y1408" i="34"/>
  <c r="N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X1602" i="34"/>
  <c r="Y1602" i="34"/>
  <c r="N1603" i="34"/>
  <c r="X1603" i="34"/>
  <c r="Y1603" i="34"/>
  <c r="N1604" i="34"/>
  <c r="X1604" i="34"/>
  <c r="Y1604" i="34"/>
  <c r="N1605" i="34"/>
  <c r="X1605" i="34"/>
  <c r="Y1605" i="34"/>
  <c r="N1606" i="34"/>
  <c r="X1606" i="34"/>
  <c r="Y1606" i="34"/>
  <c r="N1607" i="34"/>
  <c r="X1607" i="34"/>
  <c r="Y1607" i="34"/>
  <c r="N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X1800" i="34"/>
  <c r="Y1800" i="34"/>
  <c r="N1801" i="34"/>
  <c r="X1801" i="34"/>
  <c r="Y1801" i="34"/>
  <c r="N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X1908" i="34"/>
  <c r="Y1908" i="34"/>
  <c r="N1909" i="34"/>
  <c r="X1909" i="34"/>
  <c r="Y1909" i="34"/>
  <c r="N1910" i="34"/>
  <c r="X1910" i="34"/>
  <c r="Y1910" i="34"/>
  <c r="N1911" i="34"/>
  <c r="X1911" i="34"/>
  <c r="Y1911" i="34"/>
  <c r="N1912" i="34"/>
  <c r="X1912" i="34"/>
  <c r="Y1912" i="34"/>
  <c r="N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X2027" i="34"/>
  <c r="Y2027" i="34"/>
  <c r="N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E23" i="54" l="1"/>
  <c r="E16" i="6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1913" i="34" l="1"/>
  <c r="B1911" i="34"/>
  <c r="B1802" i="34"/>
  <c r="B1608" i="34"/>
  <c r="B1606" i="34"/>
  <c r="B1408" i="34"/>
  <c r="B1066" i="34"/>
  <c r="A1066" i="34" s="1"/>
  <c r="S1911" i="34" l="1"/>
  <c r="W1911" i="34"/>
  <c r="T1911" i="34"/>
  <c r="U1911" i="34"/>
  <c r="R1911" i="34"/>
  <c r="A1911" i="34"/>
  <c r="T1608" i="34"/>
  <c r="U1608" i="34"/>
  <c r="R1608" i="34"/>
  <c r="S1608" i="34"/>
  <c r="W1608" i="34"/>
  <c r="A1608" i="34"/>
  <c r="W1066" i="34"/>
  <c r="U1066" i="34"/>
  <c r="T1802" i="34"/>
  <c r="U1802" i="34"/>
  <c r="R1802" i="34"/>
  <c r="S1802" i="34"/>
  <c r="W1802" i="34"/>
  <c r="A1802" i="34"/>
  <c r="S1408" i="34"/>
  <c r="W1408" i="34"/>
  <c r="T1408" i="34"/>
  <c r="U1408" i="34"/>
  <c r="R1408" i="34"/>
  <c r="A1408" i="34"/>
  <c r="R1606" i="34"/>
  <c r="S1606" i="34"/>
  <c r="W1606" i="34"/>
  <c r="T1606" i="34"/>
  <c r="U1606" i="34"/>
  <c r="A1606" i="34"/>
  <c r="U1913" i="34"/>
  <c r="R1913" i="34"/>
  <c r="S1913" i="34"/>
  <c r="W1913" i="34"/>
  <c r="T1913" i="34"/>
  <c r="A1913" i="34"/>
  <c r="N2040" i="34"/>
  <c r="R2040" i="34"/>
  <c r="S2040" i="34"/>
  <c r="T2040" i="34"/>
  <c r="X2040" i="34"/>
  <c r="Y2040" i="34"/>
  <c r="B1243" i="34"/>
  <c r="B1242" i="34"/>
  <c r="B1241" i="34"/>
  <c r="B1240" i="34"/>
  <c r="B1239" i="34"/>
  <c r="B1238" i="34"/>
  <c r="B1237" i="34"/>
  <c r="B1236" i="34"/>
  <c r="B1235" i="34"/>
  <c r="B1234" i="34"/>
  <c r="B1233" i="34"/>
  <c r="B1232" i="34"/>
  <c r="B1231" i="34"/>
  <c r="B1230" i="34"/>
  <c r="B1229" i="34"/>
  <c r="B1201" i="34"/>
  <c r="B1200" i="34"/>
  <c r="B1199" i="34"/>
  <c r="B1198" i="34"/>
  <c r="B1197" i="34"/>
  <c r="B1196" i="34"/>
  <c r="B1195" i="34"/>
  <c r="B1194" i="34"/>
  <c r="B1193" i="34"/>
  <c r="B1160" i="34"/>
  <c r="A1160" i="34" s="1"/>
  <c r="B1159" i="34"/>
  <c r="A1159" i="34" s="1"/>
  <c r="B1158" i="34"/>
  <c r="A1158" i="34" s="1"/>
  <c r="B1157" i="34"/>
  <c r="A1157" i="34" s="1"/>
  <c r="B1156" i="34"/>
  <c r="A1156" i="34" s="1"/>
  <c r="B1155" i="34"/>
  <c r="A1155" i="34" s="1"/>
  <c r="B1154" i="34"/>
  <c r="A1154" i="34" s="1"/>
  <c r="B1153" i="34"/>
  <c r="A1153" i="34" s="1"/>
  <c r="B1152" i="34"/>
  <c r="A1152" i="34" s="1"/>
  <c r="B1124" i="34"/>
  <c r="A1124" i="34" s="1"/>
  <c r="B1123" i="34"/>
  <c r="A1123" i="34" s="1"/>
  <c r="B1122" i="34"/>
  <c r="A1122" i="34" s="1"/>
  <c r="B1121" i="34"/>
  <c r="A1121" i="34" s="1"/>
  <c r="B1120" i="34"/>
  <c r="A1120" i="34" s="1"/>
  <c r="B1119" i="34"/>
  <c r="A1119" i="34" s="1"/>
  <c r="B1118" i="34"/>
  <c r="A1118" i="34" s="1"/>
  <c r="B1117" i="34"/>
  <c r="A1117" i="34" s="1"/>
  <c r="B1116" i="34"/>
  <c r="A1116" i="34" s="1"/>
  <c r="B1619" i="34"/>
  <c r="B1599" i="34"/>
  <c r="B1598" i="34"/>
  <c r="B1498" i="34"/>
  <c r="B1497" i="34"/>
  <c r="B1431" i="34"/>
  <c r="B1430" i="34"/>
  <c r="B1402" i="34"/>
  <c r="B1401" i="34"/>
  <c r="B1367" i="34"/>
  <c r="B1366" i="34"/>
  <c r="B1359" i="34"/>
  <c r="B1358" i="34"/>
  <c r="B1357" i="34"/>
  <c r="B1356" i="34"/>
  <c r="B1343" i="34"/>
  <c r="B1342" i="34"/>
  <c r="B1341" i="34"/>
  <c r="B1340" i="34"/>
  <c r="B1339" i="34"/>
  <c r="B1338" i="34"/>
  <c r="B1318" i="34"/>
  <c r="B1317" i="34"/>
  <c r="B1316" i="34"/>
  <c r="B1315" i="34"/>
  <c r="B1314" i="34"/>
  <c r="B1313" i="34"/>
  <c r="B1312" i="34"/>
  <c r="B1311" i="34"/>
  <c r="B1310" i="34"/>
  <c r="B1288" i="34"/>
  <c r="B1287" i="34"/>
  <c r="B1286" i="34"/>
  <c r="B1285" i="34"/>
  <c r="B1284" i="34"/>
  <c r="B1283" i="34"/>
  <c r="B1282" i="34"/>
  <c r="B1281" i="34"/>
  <c r="B1280" i="34"/>
  <c r="B1246" i="34"/>
  <c r="B1245" i="34"/>
  <c r="B1244" i="34"/>
  <c r="B1760" i="34"/>
  <c r="B1759" i="34"/>
  <c r="B1758" i="34"/>
  <c r="B1740" i="34"/>
  <c r="B1739" i="34"/>
  <c r="B1738" i="34"/>
  <c r="B1737" i="34"/>
  <c r="B1736" i="34"/>
  <c r="B1735" i="34"/>
  <c r="B1734" i="34"/>
  <c r="B1733" i="34"/>
  <c r="B1732" i="34"/>
  <c r="B1711" i="34"/>
  <c r="B1710" i="34"/>
  <c r="B1709" i="34"/>
  <c r="B1708" i="34"/>
  <c r="B1707" i="34"/>
  <c r="B1706" i="34"/>
  <c r="B1705" i="34"/>
  <c r="B1704" i="34"/>
  <c r="B1703" i="34"/>
  <c r="B1684" i="34"/>
  <c r="B1683" i="34"/>
  <c r="B1682" i="34"/>
  <c r="B1681" i="34"/>
  <c r="B1680" i="34"/>
  <c r="B1679" i="34"/>
  <c r="B1678" i="34"/>
  <c r="B1677" i="34"/>
  <c r="B1676" i="34"/>
  <c r="B1675" i="34"/>
  <c r="B1674" i="34"/>
  <c r="B1662" i="34"/>
  <c r="B1661" i="34"/>
  <c r="B1627" i="34"/>
  <c r="B1626" i="34"/>
  <c r="B1625" i="34"/>
  <c r="B1624" i="34"/>
  <c r="B1623" i="34"/>
  <c r="B1622" i="34"/>
  <c r="B1621" i="34"/>
  <c r="B1620" i="34"/>
  <c r="B1513" i="34"/>
  <c r="B1512" i="34"/>
  <c r="B1511" i="34"/>
  <c r="B1510" i="34"/>
  <c r="B1509" i="34"/>
  <c r="B1508" i="34"/>
  <c r="B1507" i="34"/>
  <c r="B1506" i="34"/>
  <c r="B1505" i="34"/>
  <c r="B1504" i="34"/>
  <c r="B1503" i="34"/>
  <c r="B1502" i="34"/>
  <c r="B1501" i="34"/>
  <c r="B1467" i="34"/>
  <c r="B1466" i="34"/>
  <c r="B1465" i="34"/>
  <c r="B1464" i="34"/>
  <c r="B1463" i="34"/>
  <c r="B1462" i="34"/>
  <c r="B1461" i="34"/>
  <c r="B1460" i="34"/>
  <c r="B1459" i="34"/>
  <c r="B1440" i="34"/>
  <c r="B1439" i="34"/>
  <c r="B1438" i="34"/>
  <c r="B1437" i="34"/>
  <c r="B1436" i="34"/>
  <c r="B1435" i="34"/>
  <c r="B1434" i="34"/>
  <c r="B1433" i="34"/>
  <c r="B1432" i="34"/>
  <c r="B1771" i="34"/>
  <c r="B1770" i="34"/>
  <c r="B1769" i="34"/>
  <c r="B1768" i="34"/>
  <c r="B1767" i="34"/>
  <c r="B1766" i="34"/>
  <c r="B1765" i="34"/>
  <c r="B1764" i="34"/>
  <c r="B1763" i="34"/>
  <c r="B1762" i="34"/>
  <c r="B1761" i="34"/>
  <c r="B1555" i="34"/>
  <c r="B1554" i="34"/>
  <c r="B1553" i="34"/>
  <c r="B1552" i="34"/>
  <c r="B1551" i="34"/>
  <c r="B1550" i="34"/>
  <c r="B1549" i="34"/>
  <c r="B1548" i="34"/>
  <c r="B1517" i="34"/>
  <c r="B1516" i="34"/>
  <c r="B1515" i="34"/>
  <c r="B1514" i="34"/>
  <c r="A42" i="70"/>
  <c r="B596" i="34"/>
  <c r="A596" i="34" s="1"/>
  <c r="W1517" i="34" l="1"/>
  <c r="U1517" i="34"/>
  <c r="A1517" i="34"/>
  <c r="U1555" i="34"/>
  <c r="W1555" i="34"/>
  <c r="A1555" i="34"/>
  <c r="W1764" i="34"/>
  <c r="U1764" i="34"/>
  <c r="A1764" i="34"/>
  <c r="W1768" i="34"/>
  <c r="U1768" i="34"/>
  <c r="A1768" i="34"/>
  <c r="U1432" i="34"/>
  <c r="W1432" i="34"/>
  <c r="A1432" i="34"/>
  <c r="U1436" i="34"/>
  <c r="W1436" i="34"/>
  <c r="A1436" i="34"/>
  <c r="U1440" i="34"/>
  <c r="W1440" i="34"/>
  <c r="A1440" i="34"/>
  <c r="W1462" i="34"/>
  <c r="U1462" i="34"/>
  <c r="A1462" i="34"/>
  <c r="W1466" i="34"/>
  <c r="U1466" i="34"/>
  <c r="A1466" i="34"/>
  <c r="U1503" i="34"/>
  <c r="W1503" i="34"/>
  <c r="A1503" i="34"/>
  <c r="U1507" i="34"/>
  <c r="W1507" i="34"/>
  <c r="A1507" i="34"/>
  <c r="U1511" i="34"/>
  <c r="W1511" i="34"/>
  <c r="A1511" i="34"/>
  <c r="W1621" i="34"/>
  <c r="U1621" i="34"/>
  <c r="A1621" i="34"/>
  <c r="W1625" i="34"/>
  <c r="U1625" i="34"/>
  <c r="A1625" i="34"/>
  <c r="U1662" i="34"/>
  <c r="W1662" i="34"/>
  <c r="A1662" i="34"/>
  <c r="U1677" i="34"/>
  <c r="W1677" i="34"/>
  <c r="A1677" i="34"/>
  <c r="U1681" i="34"/>
  <c r="W1681" i="34"/>
  <c r="A1681" i="34"/>
  <c r="W1703" i="34"/>
  <c r="U1703" i="34"/>
  <c r="A1703" i="34"/>
  <c r="W1707" i="34"/>
  <c r="U1707" i="34"/>
  <c r="A1707" i="34"/>
  <c r="W1711" i="34"/>
  <c r="U1711" i="34"/>
  <c r="A1711" i="34"/>
  <c r="W1735" i="34"/>
  <c r="U1735" i="34"/>
  <c r="A1735" i="34"/>
  <c r="W1739" i="34"/>
  <c r="U1739" i="34"/>
  <c r="A1739" i="34"/>
  <c r="W1760" i="34"/>
  <c r="U1760" i="34"/>
  <c r="A1760" i="34"/>
  <c r="W1280" i="34"/>
  <c r="U1280" i="34"/>
  <c r="A1280" i="34"/>
  <c r="W1284" i="34"/>
  <c r="U1284" i="34"/>
  <c r="A1284" i="34"/>
  <c r="W1288" i="34"/>
  <c r="U1288" i="34"/>
  <c r="A1288" i="34"/>
  <c r="W1313" i="34"/>
  <c r="U1313" i="34"/>
  <c r="A1313" i="34"/>
  <c r="W1317" i="34"/>
  <c r="U1317" i="34"/>
  <c r="A1317" i="34"/>
  <c r="W1340" i="34"/>
  <c r="U1340" i="34"/>
  <c r="A1340" i="34"/>
  <c r="W1356" i="34"/>
  <c r="U1356" i="34"/>
  <c r="A1356" i="34"/>
  <c r="U1366" i="34"/>
  <c r="W1366" i="34"/>
  <c r="A1366" i="34"/>
  <c r="W1430" i="34"/>
  <c r="U1430" i="34"/>
  <c r="A1430" i="34"/>
  <c r="W1598" i="34"/>
  <c r="U1598" i="34"/>
  <c r="A1598" i="34"/>
  <c r="U1117" i="34"/>
  <c r="W1117" i="34"/>
  <c r="U1121" i="34"/>
  <c r="W1121" i="34"/>
  <c r="U1152" i="34"/>
  <c r="W1152" i="34"/>
  <c r="U1156" i="34"/>
  <c r="W1156" i="34"/>
  <c r="U1160" i="34"/>
  <c r="W1160" i="34"/>
  <c r="W1196" i="34"/>
  <c r="U1196" i="34"/>
  <c r="A1196" i="34"/>
  <c r="W1200" i="34"/>
  <c r="U1200" i="34"/>
  <c r="A1200" i="34"/>
  <c r="U1231" i="34"/>
  <c r="W1231" i="34"/>
  <c r="A1231" i="34"/>
  <c r="U1235" i="34"/>
  <c r="W1235" i="34"/>
  <c r="A1235" i="34"/>
  <c r="U1239" i="34"/>
  <c r="W1239" i="34"/>
  <c r="A1239" i="34"/>
  <c r="U1243" i="34"/>
  <c r="W1243" i="34"/>
  <c r="A1243" i="34"/>
  <c r="U1516" i="34"/>
  <c r="W1516" i="34"/>
  <c r="A1516" i="34"/>
  <c r="U1551" i="34"/>
  <c r="W1551" i="34"/>
  <c r="A1551" i="34"/>
  <c r="W1514" i="34"/>
  <c r="U1514" i="34"/>
  <c r="A1514" i="34"/>
  <c r="U1548" i="34"/>
  <c r="W1548" i="34"/>
  <c r="A1548" i="34"/>
  <c r="U1552" i="34"/>
  <c r="W1552" i="34"/>
  <c r="A1552" i="34"/>
  <c r="U1761" i="34"/>
  <c r="W1761" i="34"/>
  <c r="A1761" i="34"/>
  <c r="U1765" i="34"/>
  <c r="W1765" i="34"/>
  <c r="A1765" i="34"/>
  <c r="U1769" i="34"/>
  <c r="W1769" i="34"/>
  <c r="A1769" i="34"/>
  <c r="W1433" i="34"/>
  <c r="U1433" i="34"/>
  <c r="A1433" i="34"/>
  <c r="W1437" i="34"/>
  <c r="U1437" i="34"/>
  <c r="A1437" i="34"/>
  <c r="U1459" i="34"/>
  <c r="W1459" i="34"/>
  <c r="A1459" i="34"/>
  <c r="U1463" i="34"/>
  <c r="W1463" i="34"/>
  <c r="A1463" i="34"/>
  <c r="U1467" i="34"/>
  <c r="W1467" i="34"/>
  <c r="A1467" i="34"/>
  <c r="U1504" i="34"/>
  <c r="W1504" i="34"/>
  <c r="A1504" i="34"/>
  <c r="U1508" i="34"/>
  <c r="W1508" i="34"/>
  <c r="A1508" i="34"/>
  <c r="U1512" i="34"/>
  <c r="W1512" i="34"/>
  <c r="A1512" i="34"/>
  <c r="W1622" i="34"/>
  <c r="U1622" i="34"/>
  <c r="A1622" i="34"/>
  <c r="W1626" i="34"/>
  <c r="U1626" i="34"/>
  <c r="A1626" i="34"/>
  <c r="U1674" i="34"/>
  <c r="W1674" i="34"/>
  <c r="A1674" i="34"/>
  <c r="U1678" i="34"/>
  <c r="W1678" i="34"/>
  <c r="A1678" i="34"/>
  <c r="U1682" i="34"/>
  <c r="W1682" i="34"/>
  <c r="A1682" i="34"/>
  <c r="W1704" i="34"/>
  <c r="U1704" i="34"/>
  <c r="A1704" i="34"/>
  <c r="W1708" i="34"/>
  <c r="U1708" i="34"/>
  <c r="A1708" i="34"/>
  <c r="W1732" i="34"/>
  <c r="U1732" i="34"/>
  <c r="A1732" i="34"/>
  <c r="W1736" i="34"/>
  <c r="U1736" i="34"/>
  <c r="A1736" i="34"/>
  <c r="W1740" i="34"/>
  <c r="U1740" i="34"/>
  <c r="A1740" i="34"/>
  <c r="W1244" i="34"/>
  <c r="U1244" i="34"/>
  <c r="A1244" i="34"/>
  <c r="W1281" i="34"/>
  <c r="U1281" i="34"/>
  <c r="A1281" i="34"/>
  <c r="W1285" i="34"/>
  <c r="U1285" i="34"/>
  <c r="A1285" i="34"/>
  <c r="U1310" i="34"/>
  <c r="W1310" i="34"/>
  <c r="A1310" i="34"/>
  <c r="U1314" i="34"/>
  <c r="W1314" i="34"/>
  <c r="A1314" i="34"/>
  <c r="U1318" i="34"/>
  <c r="W1318" i="34"/>
  <c r="A1318" i="34"/>
  <c r="W1341" i="34"/>
  <c r="U1341" i="34"/>
  <c r="A1341" i="34"/>
  <c r="W1357" i="34"/>
  <c r="U1357" i="34"/>
  <c r="A1357" i="34"/>
  <c r="U1367" i="34"/>
  <c r="W1367" i="34"/>
  <c r="A1367" i="34"/>
  <c r="U1431" i="34"/>
  <c r="W1431" i="34"/>
  <c r="A1431" i="34"/>
  <c r="U1599" i="34"/>
  <c r="W1599" i="34"/>
  <c r="A1599" i="34"/>
  <c r="W1118" i="34"/>
  <c r="U1118" i="34"/>
  <c r="W1122" i="34"/>
  <c r="U1122" i="34"/>
  <c r="U1153" i="34"/>
  <c r="W1153" i="34"/>
  <c r="U1157" i="34"/>
  <c r="W1157" i="34"/>
  <c r="W1193" i="34"/>
  <c r="U1193" i="34"/>
  <c r="A1193" i="34"/>
  <c r="W1197" i="34"/>
  <c r="U1197" i="34"/>
  <c r="A1197" i="34"/>
  <c r="W1201" i="34"/>
  <c r="U1201" i="34"/>
  <c r="A1201" i="34"/>
  <c r="W1232" i="34"/>
  <c r="U1232" i="34"/>
  <c r="A1232" i="34"/>
  <c r="W1236" i="34"/>
  <c r="U1236" i="34"/>
  <c r="A1236" i="34"/>
  <c r="W1240" i="34"/>
  <c r="U1240" i="34"/>
  <c r="A1240" i="34"/>
  <c r="U1515" i="34"/>
  <c r="W1515" i="34"/>
  <c r="A1515" i="34"/>
  <c r="W1549" i="34"/>
  <c r="U1549" i="34"/>
  <c r="A1549" i="34"/>
  <c r="W1553" i="34"/>
  <c r="U1553" i="34"/>
  <c r="A1553" i="34"/>
  <c r="U1762" i="34"/>
  <c r="W1762" i="34"/>
  <c r="A1762" i="34"/>
  <c r="U1766" i="34"/>
  <c r="W1766" i="34"/>
  <c r="A1766" i="34"/>
  <c r="U1770" i="34"/>
  <c r="W1770" i="34"/>
  <c r="A1770" i="34"/>
  <c r="W1434" i="34"/>
  <c r="U1434" i="34"/>
  <c r="A1434" i="34"/>
  <c r="W1438" i="34"/>
  <c r="U1438" i="34"/>
  <c r="A1438" i="34"/>
  <c r="U1460" i="34"/>
  <c r="W1460" i="34"/>
  <c r="A1460" i="34"/>
  <c r="U1464" i="34"/>
  <c r="W1464" i="34"/>
  <c r="A1464" i="34"/>
  <c r="W1501" i="34"/>
  <c r="U1501" i="34"/>
  <c r="A1501" i="34"/>
  <c r="W1505" i="34"/>
  <c r="U1505" i="34"/>
  <c r="A1505" i="34"/>
  <c r="W1509" i="34"/>
  <c r="U1509" i="34"/>
  <c r="A1509" i="34"/>
  <c r="W1513" i="34"/>
  <c r="U1513" i="34"/>
  <c r="A1513" i="34"/>
  <c r="U1623" i="34"/>
  <c r="W1623" i="34"/>
  <c r="A1623" i="34"/>
  <c r="U1627" i="34"/>
  <c r="W1627" i="34"/>
  <c r="A1627" i="34"/>
  <c r="W1675" i="34"/>
  <c r="U1675" i="34"/>
  <c r="A1675" i="34"/>
  <c r="W1679" i="34"/>
  <c r="U1679" i="34"/>
  <c r="A1679" i="34"/>
  <c r="W1683" i="34"/>
  <c r="U1683" i="34"/>
  <c r="A1683" i="34"/>
  <c r="U1705" i="34"/>
  <c r="W1705" i="34"/>
  <c r="A1705" i="34"/>
  <c r="U1709" i="34"/>
  <c r="W1709" i="34"/>
  <c r="A1709" i="34"/>
  <c r="U1733" i="34"/>
  <c r="W1733" i="34"/>
  <c r="A1733" i="34"/>
  <c r="U1737" i="34"/>
  <c r="W1737" i="34"/>
  <c r="A1737" i="34"/>
  <c r="U1758" i="34"/>
  <c r="W1758" i="34"/>
  <c r="A1758" i="34"/>
  <c r="W1245" i="34"/>
  <c r="U1245" i="34"/>
  <c r="A1245" i="34"/>
  <c r="U1282" i="34"/>
  <c r="W1282" i="34"/>
  <c r="A1282" i="34"/>
  <c r="U1286" i="34"/>
  <c r="W1286" i="34"/>
  <c r="A1286" i="34"/>
  <c r="U1311" i="34"/>
  <c r="W1311" i="34"/>
  <c r="A1311" i="34"/>
  <c r="U1315" i="34"/>
  <c r="W1315" i="34"/>
  <c r="A1315" i="34"/>
  <c r="U1338" i="34"/>
  <c r="W1338" i="34"/>
  <c r="A1338" i="34"/>
  <c r="U1342" i="34"/>
  <c r="W1342" i="34"/>
  <c r="A1342" i="34"/>
  <c r="U1358" i="34"/>
  <c r="W1358" i="34"/>
  <c r="A1358" i="34"/>
  <c r="W1401" i="34"/>
  <c r="U1401" i="34"/>
  <c r="A1401" i="34"/>
  <c r="W1497" i="34"/>
  <c r="U1497" i="34"/>
  <c r="A1497" i="34"/>
  <c r="U1619" i="34"/>
  <c r="W1619" i="34"/>
  <c r="A1619" i="34"/>
  <c r="W1119" i="34"/>
  <c r="U1119" i="34"/>
  <c r="W1123" i="34"/>
  <c r="U1123" i="34"/>
  <c r="W1154" i="34"/>
  <c r="U1154" i="34"/>
  <c r="W1158" i="34"/>
  <c r="U1158" i="34"/>
  <c r="U1194" i="34"/>
  <c r="W1194" i="34"/>
  <c r="A1194" i="34"/>
  <c r="U1198" i="34"/>
  <c r="W1198" i="34"/>
  <c r="A1198" i="34"/>
  <c r="W1229" i="34"/>
  <c r="U1229" i="34"/>
  <c r="A1229" i="34"/>
  <c r="W1233" i="34"/>
  <c r="U1233" i="34"/>
  <c r="A1233" i="34"/>
  <c r="W1237" i="34"/>
  <c r="U1237" i="34"/>
  <c r="A1237" i="34"/>
  <c r="W1241" i="34"/>
  <c r="U1241" i="34"/>
  <c r="A1241" i="34"/>
  <c r="U596" i="34"/>
  <c r="W596" i="34"/>
  <c r="W1550" i="34"/>
  <c r="U1550" i="34"/>
  <c r="A1550" i="34"/>
  <c r="W1554" i="34"/>
  <c r="U1554" i="34"/>
  <c r="A1554" i="34"/>
  <c r="W1763" i="34"/>
  <c r="U1763" i="34"/>
  <c r="A1763" i="34"/>
  <c r="W1767" i="34"/>
  <c r="U1767" i="34"/>
  <c r="A1767" i="34"/>
  <c r="W1771" i="34"/>
  <c r="U1771" i="34"/>
  <c r="A1771" i="34"/>
  <c r="U1435" i="34"/>
  <c r="W1435" i="34"/>
  <c r="A1435" i="34"/>
  <c r="U1439" i="34"/>
  <c r="W1439" i="34"/>
  <c r="A1439" i="34"/>
  <c r="W1461" i="34"/>
  <c r="U1461" i="34"/>
  <c r="A1461" i="34"/>
  <c r="W1465" i="34"/>
  <c r="U1465" i="34"/>
  <c r="A1465" i="34"/>
  <c r="W1502" i="34"/>
  <c r="U1502" i="34"/>
  <c r="A1502" i="34"/>
  <c r="W1506" i="34"/>
  <c r="U1506" i="34"/>
  <c r="A1506" i="34"/>
  <c r="W1510" i="34"/>
  <c r="U1510" i="34"/>
  <c r="A1510" i="34"/>
  <c r="U1620" i="34"/>
  <c r="W1620" i="34"/>
  <c r="A1620" i="34"/>
  <c r="U1624" i="34"/>
  <c r="W1624" i="34"/>
  <c r="A1624" i="34"/>
  <c r="U1661" i="34"/>
  <c r="W1661" i="34"/>
  <c r="A1661" i="34"/>
  <c r="W1676" i="34"/>
  <c r="U1676" i="34"/>
  <c r="A1676" i="34"/>
  <c r="W1680" i="34"/>
  <c r="U1680" i="34"/>
  <c r="A1680" i="34"/>
  <c r="W1684" i="34"/>
  <c r="U1684" i="34"/>
  <c r="A1684" i="34"/>
  <c r="U1706" i="34"/>
  <c r="W1706" i="34"/>
  <c r="A1706" i="34"/>
  <c r="U1710" i="34"/>
  <c r="W1710" i="34"/>
  <c r="A1710" i="34"/>
  <c r="U1734" i="34"/>
  <c r="W1734" i="34"/>
  <c r="A1734" i="34"/>
  <c r="U1738" i="34"/>
  <c r="W1738" i="34"/>
  <c r="A1738" i="34"/>
  <c r="W1759" i="34"/>
  <c r="U1759" i="34"/>
  <c r="A1759" i="34"/>
  <c r="U1246" i="34"/>
  <c r="W1246" i="34"/>
  <c r="A1246" i="34"/>
  <c r="U1283" i="34"/>
  <c r="W1283" i="34"/>
  <c r="A1283" i="34"/>
  <c r="U1287" i="34"/>
  <c r="W1287" i="34"/>
  <c r="A1287" i="34"/>
  <c r="W1312" i="34"/>
  <c r="U1312" i="34"/>
  <c r="A1312" i="34"/>
  <c r="W1316" i="34"/>
  <c r="U1316" i="34"/>
  <c r="A1316" i="34"/>
  <c r="U1339" i="34"/>
  <c r="W1339" i="34"/>
  <c r="A1339" i="34"/>
  <c r="U1343" i="34"/>
  <c r="W1343" i="34"/>
  <c r="A1343" i="34"/>
  <c r="U1359" i="34"/>
  <c r="W1359" i="34"/>
  <c r="A1359" i="34"/>
  <c r="U1402" i="34"/>
  <c r="W1402" i="34"/>
  <c r="A1402" i="34"/>
  <c r="W1498" i="34"/>
  <c r="U1498" i="34"/>
  <c r="A1498" i="34"/>
  <c r="U1116" i="34"/>
  <c r="W1116" i="34"/>
  <c r="U1120" i="34"/>
  <c r="W1120" i="34"/>
  <c r="U1124" i="34"/>
  <c r="W1124" i="34"/>
  <c r="W1155" i="34"/>
  <c r="U1155" i="34"/>
  <c r="W1159" i="34"/>
  <c r="U1159" i="34"/>
  <c r="U1195" i="34"/>
  <c r="W1195" i="34"/>
  <c r="A1195" i="34"/>
  <c r="U1199" i="34"/>
  <c r="W1199" i="34"/>
  <c r="A1199" i="34"/>
  <c r="U1230" i="34"/>
  <c r="W1230" i="34"/>
  <c r="A1230" i="34"/>
  <c r="U1234" i="34"/>
  <c r="W1234" i="34"/>
  <c r="A1234" i="34"/>
  <c r="U1238" i="34"/>
  <c r="W1238" i="34"/>
  <c r="A1238" i="34"/>
  <c r="U1242" i="34"/>
  <c r="W1242" i="34"/>
  <c r="A1242" i="34"/>
  <c r="B611" i="34"/>
  <c r="A611" i="34" s="1"/>
  <c r="B610" i="34"/>
  <c r="A610" i="34" s="1"/>
  <c r="B609" i="34"/>
  <c r="A609" i="34" s="1"/>
  <c r="B486" i="34"/>
  <c r="A486" i="34" s="1"/>
  <c r="B485" i="34"/>
  <c r="A485" i="34" s="1"/>
  <c r="B483" i="34"/>
  <c r="A483" i="34" s="1"/>
  <c r="B482" i="34"/>
  <c r="A482" i="34" s="1"/>
  <c r="B480" i="34"/>
  <c r="A480" i="34" s="1"/>
  <c r="B479" i="34"/>
  <c r="A479" i="34" s="1"/>
  <c r="B477" i="34"/>
  <c r="A477" i="34" s="1"/>
  <c r="B476" i="34"/>
  <c r="A476" i="34" s="1"/>
  <c r="B474" i="34"/>
  <c r="A474" i="34" s="1"/>
  <c r="B473" i="34"/>
  <c r="A473" i="34" s="1"/>
  <c r="B471" i="34"/>
  <c r="A471" i="34" s="1"/>
  <c r="B470" i="34"/>
  <c r="A470" i="34" s="1"/>
  <c r="B468" i="34"/>
  <c r="A468" i="34" s="1"/>
  <c r="B467" i="34"/>
  <c r="A467" i="34" s="1"/>
  <c r="B466" i="34"/>
  <c r="A466" i="34" s="1"/>
  <c r="B464" i="34"/>
  <c r="A464" i="34" s="1"/>
  <c r="B463" i="34"/>
  <c r="A463" i="34" s="1"/>
  <c r="B461" i="34"/>
  <c r="A461" i="34" s="1"/>
  <c r="B460" i="34"/>
  <c r="A460" i="34" s="1"/>
  <c r="B459" i="34"/>
  <c r="A459" i="34" s="1"/>
  <c r="B457" i="34"/>
  <c r="A457" i="34" s="1"/>
  <c r="B456" i="34"/>
  <c r="A456" i="34" s="1"/>
  <c r="B455" i="34"/>
  <c r="A455" i="34" s="1"/>
  <c r="B454" i="34"/>
  <c r="A454" i="34" s="1"/>
  <c r="B452" i="34"/>
  <c r="A452" i="34" s="1"/>
  <c r="B451" i="34"/>
  <c r="A451" i="34" s="1"/>
  <c r="B450" i="34"/>
  <c r="A450" i="34" s="1"/>
  <c r="B448" i="34"/>
  <c r="A448" i="34" s="1"/>
  <c r="B447" i="34"/>
  <c r="A447" i="34" s="1"/>
  <c r="B445" i="34"/>
  <c r="A445" i="34" s="1"/>
  <c r="B444" i="34"/>
  <c r="A444" i="34" s="1"/>
  <c r="B442" i="34"/>
  <c r="A442" i="34" s="1"/>
  <c r="B441" i="34"/>
  <c r="A441" i="34" s="1"/>
  <c r="B439" i="34"/>
  <c r="A439" i="34" s="1"/>
  <c r="B438" i="34"/>
  <c r="A438" i="34" s="1"/>
  <c r="B889" i="34"/>
  <c r="A889" i="34" s="1"/>
  <c r="B888" i="34"/>
  <c r="A888" i="34" s="1"/>
  <c r="B887" i="34"/>
  <c r="A887" i="34" s="1"/>
  <c r="B886" i="34"/>
  <c r="A886" i="34" s="1"/>
  <c r="B885" i="34"/>
  <c r="A885" i="34" s="1"/>
  <c r="B884" i="34"/>
  <c r="A884" i="34" s="1"/>
  <c r="B883" i="34"/>
  <c r="A883" i="34" s="1"/>
  <c r="B882" i="34"/>
  <c r="A882" i="34" s="1"/>
  <c r="B881" i="34"/>
  <c r="A881" i="34" s="1"/>
  <c r="B880" i="34"/>
  <c r="A880" i="34" s="1"/>
  <c r="B879" i="34"/>
  <c r="A879" i="34" s="1"/>
  <c r="B878" i="34"/>
  <c r="A878" i="34" s="1"/>
  <c r="B877" i="34"/>
  <c r="A877" i="34" s="1"/>
  <c r="B876" i="34"/>
  <c r="A876" i="34" s="1"/>
  <c r="B875" i="34"/>
  <c r="A875" i="34" s="1"/>
  <c r="B874" i="34"/>
  <c r="A874" i="34" s="1"/>
  <c r="B873" i="34"/>
  <c r="A873" i="34" s="1"/>
  <c r="B872" i="34"/>
  <c r="A872" i="34" s="1"/>
  <c r="B871" i="34"/>
  <c r="A871" i="34" s="1"/>
  <c r="B870" i="34"/>
  <c r="A870" i="34" s="1"/>
  <c r="B869" i="34"/>
  <c r="A869" i="34" s="1"/>
  <c r="B868" i="34"/>
  <c r="A868" i="34" s="1"/>
  <c r="B867" i="34"/>
  <c r="A867" i="34" s="1"/>
  <c r="B866" i="34"/>
  <c r="A866" i="34" s="1"/>
  <c r="B865" i="34"/>
  <c r="A865" i="34" s="1"/>
  <c r="B864" i="34"/>
  <c r="A864" i="34" s="1"/>
  <c r="B863" i="34"/>
  <c r="A863" i="34" s="1"/>
  <c r="B862" i="34"/>
  <c r="A862" i="34" s="1"/>
  <c r="B861" i="34"/>
  <c r="A861" i="34" s="1"/>
  <c r="B860" i="34"/>
  <c r="A860" i="34" s="1"/>
  <c r="B859" i="34"/>
  <c r="A859" i="34" s="1"/>
  <c r="B858" i="34"/>
  <c r="A858" i="34" s="1"/>
  <c r="B857" i="34"/>
  <c r="A857" i="34" s="1"/>
  <c r="B601" i="34"/>
  <c r="A601" i="34" s="1"/>
  <c r="B600" i="34"/>
  <c r="A600" i="34" s="1"/>
  <c r="B599" i="34"/>
  <c r="A599" i="34" s="1"/>
  <c r="B598" i="34"/>
  <c r="A598" i="34" s="1"/>
  <c r="B597" i="34"/>
  <c r="A597" i="34" s="1"/>
  <c r="B494" i="34"/>
  <c r="A494" i="34" s="1"/>
  <c r="B493" i="34"/>
  <c r="A493" i="34" s="1"/>
  <c r="B492" i="34"/>
  <c r="A492" i="34" s="1"/>
  <c r="B491" i="34"/>
  <c r="A491" i="34" s="1"/>
  <c r="B489" i="34"/>
  <c r="A489" i="34" s="1"/>
  <c r="B488" i="34"/>
  <c r="A488" i="34" s="1"/>
  <c r="B933" i="34"/>
  <c r="A933" i="34" s="1"/>
  <c r="B932" i="34"/>
  <c r="A932" i="34" s="1"/>
  <c r="B931" i="34"/>
  <c r="A931" i="34" s="1"/>
  <c r="B930" i="34"/>
  <c r="A930" i="34" s="1"/>
  <c r="B929" i="34"/>
  <c r="A929" i="34" s="1"/>
  <c r="B928" i="34"/>
  <c r="A928" i="34" s="1"/>
  <c r="B927" i="34"/>
  <c r="A927" i="34" s="1"/>
  <c r="B926" i="34"/>
  <c r="A926" i="34" s="1"/>
  <c r="B925" i="34"/>
  <c r="A925" i="34" s="1"/>
  <c r="B924" i="34"/>
  <c r="A924" i="34" s="1"/>
  <c r="B923" i="34"/>
  <c r="A923" i="34" s="1"/>
  <c r="B922" i="34"/>
  <c r="A922" i="34" s="1"/>
  <c r="B921" i="34"/>
  <c r="A921" i="34" s="1"/>
  <c r="B920" i="34"/>
  <c r="A920" i="34" s="1"/>
  <c r="B919" i="34"/>
  <c r="A919" i="34" s="1"/>
  <c r="B918" i="34"/>
  <c r="A918" i="34" s="1"/>
  <c r="B917" i="34"/>
  <c r="A917" i="34" s="1"/>
  <c r="B916" i="34"/>
  <c r="A916" i="34" s="1"/>
  <c r="B915" i="34"/>
  <c r="A915" i="34" s="1"/>
  <c r="B914" i="34"/>
  <c r="A914" i="34" s="1"/>
  <c r="B913" i="34"/>
  <c r="A913" i="34" s="1"/>
  <c r="B912" i="34"/>
  <c r="A912" i="34" s="1"/>
  <c r="B911" i="34"/>
  <c r="A911" i="34" s="1"/>
  <c r="B910" i="34"/>
  <c r="A910" i="34" s="1"/>
  <c r="B909" i="34"/>
  <c r="A909" i="34" s="1"/>
  <c r="B908" i="34"/>
  <c r="A908" i="34" s="1"/>
  <c r="B907" i="34"/>
  <c r="A907" i="34" s="1"/>
  <c r="B906" i="34"/>
  <c r="A906" i="34" s="1"/>
  <c r="B905" i="34"/>
  <c r="A905" i="34" s="1"/>
  <c r="B904" i="34"/>
  <c r="A904" i="34" s="1"/>
  <c r="B903" i="34"/>
  <c r="A903" i="34" s="1"/>
  <c r="B902" i="34"/>
  <c r="A902" i="34" s="1"/>
  <c r="B901" i="34"/>
  <c r="A901" i="34" s="1"/>
  <c r="B900" i="34"/>
  <c r="A900" i="34" s="1"/>
  <c r="B899" i="34"/>
  <c r="A899" i="34" s="1"/>
  <c r="B898" i="34"/>
  <c r="A898" i="34" s="1"/>
  <c r="B897" i="34"/>
  <c r="A897" i="34" s="1"/>
  <c r="B896" i="34"/>
  <c r="A896" i="34" s="1"/>
  <c r="B895" i="34"/>
  <c r="A895" i="34" s="1"/>
  <c r="B894" i="34"/>
  <c r="A894" i="34" s="1"/>
  <c r="B893" i="34"/>
  <c r="A893" i="34" s="1"/>
  <c r="B892" i="34"/>
  <c r="A892" i="34" s="1"/>
  <c r="B891" i="34"/>
  <c r="A891" i="34" s="1"/>
  <c r="B890" i="34"/>
  <c r="A890" i="34" s="1"/>
  <c r="B1071" i="34"/>
  <c r="A1071" i="34" s="1"/>
  <c r="B1070" i="34"/>
  <c r="A1070" i="34" s="1"/>
  <c r="B945" i="34"/>
  <c r="A945" i="34" s="1"/>
  <c r="B944" i="34"/>
  <c r="A944" i="34" s="1"/>
  <c r="B943" i="34"/>
  <c r="A943" i="34" s="1"/>
  <c r="B942" i="34"/>
  <c r="A942" i="34" s="1"/>
  <c r="B941" i="34"/>
  <c r="A941" i="34" s="1"/>
  <c r="B940" i="34"/>
  <c r="A940" i="34" s="1"/>
  <c r="B939" i="34"/>
  <c r="A939" i="34" s="1"/>
  <c r="B938" i="34"/>
  <c r="A938" i="34" s="1"/>
  <c r="B937" i="34"/>
  <c r="A937" i="34" s="1"/>
  <c r="B936" i="34"/>
  <c r="A936" i="34" s="1"/>
  <c r="B935" i="34"/>
  <c r="A935" i="34" s="1"/>
  <c r="B934" i="34"/>
  <c r="A934" i="34" s="1"/>
  <c r="W1071" i="34" l="1"/>
  <c r="U1071" i="34"/>
  <c r="W909" i="34"/>
  <c r="U909" i="34"/>
  <c r="W929" i="34"/>
  <c r="U929" i="34"/>
  <c r="W598" i="34"/>
  <c r="U598" i="34"/>
  <c r="U936" i="34"/>
  <c r="W936" i="34"/>
  <c r="W890" i="34"/>
  <c r="U890" i="34"/>
  <c r="W902" i="34"/>
  <c r="U902" i="34"/>
  <c r="W941" i="34"/>
  <c r="U941" i="34"/>
  <c r="U891" i="34"/>
  <c r="W891" i="34"/>
  <c r="U895" i="34"/>
  <c r="W895" i="34"/>
  <c r="U899" i="34"/>
  <c r="W899" i="34"/>
  <c r="U903" i="34"/>
  <c r="W903" i="34"/>
  <c r="U907" i="34"/>
  <c r="W907" i="34"/>
  <c r="U911" i="34"/>
  <c r="W911" i="34"/>
  <c r="U915" i="34"/>
  <c r="W915" i="34"/>
  <c r="U919" i="34"/>
  <c r="W919" i="34"/>
  <c r="U923" i="34"/>
  <c r="W923" i="34"/>
  <c r="U927" i="34"/>
  <c r="W927" i="34"/>
  <c r="U931" i="34"/>
  <c r="W931" i="34"/>
  <c r="U489" i="34"/>
  <c r="W489" i="34"/>
  <c r="U494" i="34"/>
  <c r="W494" i="34"/>
  <c r="U600" i="34"/>
  <c r="W600" i="34"/>
  <c r="U859" i="34"/>
  <c r="W859" i="34"/>
  <c r="U863" i="34"/>
  <c r="W863" i="34"/>
  <c r="U867" i="34"/>
  <c r="W867" i="34"/>
  <c r="U871" i="34"/>
  <c r="W871" i="34"/>
  <c r="U875" i="34"/>
  <c r="W875" i="34"/>
  <c r="U879" i="34"/>
  <c r="W879" i="34"/>
  <c r="U883" i="34"/>
  <c r="W883" i="34"/>
  <c r="U887" i="34"/>
  <c r="W887" i="34"/>
  <c r="U425" i="34"/>
  <c r="W425" i="34"/>
  <c r="U431" i="34"/>
  <c r="W431" i="34"/>
  <c r="U438" i="34"/>
  <c r="W438" i="34"/>
  <c r="U444" i="34"/>
  <c r="W444" i="34"/>
  <c r="U450" i="34"/>
  <c r="W450" i="34"/>
  <c r="U455" i="34"/>
  <c r="W455" i="34"/>
  <c r="U460" i="34"/>
  <c r="W460" i="34"/>
  <c r="U466" i="34"/>
  <c r="W466" i="34"/>
  <c r="U471" i="34"/>
  <c r="W471" i="34"/>
  <c r="U477" i="34"/>
  <c r="W477" i="34"/>
  <c r="U483" i="34"/>
  <c r="W483" i="34"/>
  <c r="W610" i="34"/>
  <c r="U610" i="34"/>
  <c r="U279" i="34"/>
  <c r="W279" i="34"/>
  <c r="U283" i="34"/>
  <c r="W283" i="34"/>
  <c r="U288" i="34"/>
  <c r="W288" i="34"/>
  <c r="U292" i="34"/>
  <c r="W292" i="34"/>
  <c r="U296" i="34"/>
  <c r="W296" i="34"/>
  <c r="U301" i="34"/>
  <c r="W301" i="34"/>
  <c r="U305" i="34"/>
  <c r="W305" i="34"/>
  <c r="U310" i="34"/>
  <c r="W310" i="34"/>
  <c r="U315" i="34"/>
  <c r="W315" i="34"/>
  <c r="U320" i="34"/>
  <c r="W320" i="34"/>
  <c r="U943" i="34"/>
  <c r="W943" i="34"/>
  <c r="W897" i="34"/>
  <c r="U897" i="34"/>
  <c r="W913" i="34"/>
  <c r="U913" i="34"/>
  <c r="W925" i="34"/>
  <c r="U925" i="34"/>
  <c r="W861" i="34"/>
  <c r="U861" i="34"/>
  <c r="U940" i="34"/>
  <c r="W940" i="34"/>
  <c r="W894" i="34"/>
  <c r="U894" i="34"/>
  <c r="W937" i="34"/>
  <c r="U937" i="34"/>
  <c r="W945" i="34"/>
  <c r="U945" i="34"/>
  <c r="W934" i="34"/>
  <c r="U934" i="34"/>
  <c r="W938" i="34"/>
  <c r="U938" i="34"/>
  <c r="W942" i="34"/>
  <c r="U942" i="34"/>
  <c r="W1070" i="34"/>
  <c r="U1070" i="34"/>
  <c r="U892" i="34"/>
  <c r="W892" i="34"/>
  <c r="U896" i="34"/>
  <c r="W896" i="34"/>
  <c r="U900" i="34"/>
  <c r="W900" i="34"/>
  <c r="U904" i="34"/>
  <c r="W904" i="34"/>
  <c r="U908" i="34"/>
  <c r="W908" i="34"/>
  <c r="U912" i="34"/>
  <c r="W912" i="34"/>
  <c r="U916" i="34"/>
  <c r="W916" i="34"/>
  <c r="U920" i="34"/>
  <c r="W920" i="34"/>
  <c r="U924" i="34"/>
  <c r="W924" i="34"/>
  <c r="U928" i="34"/>
  <c r="W928" i="34"/>
  <c r="U932" i="34"/>
  <c r="W932" i="34"/>
  <c r="W491" i="34"/>
  <c r="U491" i="34"/>
  <c r="W597" i="34"/>
  <c r="U597" i="34"/>
  <c r="W601" i="34"/>
  <c r="U601" i="34"/>
  <c r="U860" i="34"/>
  <c r="W860" i="34"/>
  <c r="U864" i="34"/>
  <c r="W864" i="34"/>
  <c r="U868" i="34"/>
  <c r="W868" i="34"/>
  <c r="U872" i="34"/>
  <c r="W872" i="34"/>
  <c r="U876" i="34"/>
  <c r="W876" i="34"/>
  <c r="U880" i="34"/>
  <c r="W880" i="34"/>
  <c r="U884" i="34"/>
  <c r="W884" i="34"/>
  <c r="U888" i="34"/>
  <c r="W888" i="34"/>
  <c r="W426" i="34"/>
  <c r="U426" i="34"/>
  <c r="W432" i="34"/>
  <c r="U432" i="34"/>
  <c r="W439" i="34"/>
  <c r="U439" i="34"/>
  <c r="W445" i="34"/>
  <c r="U445" i="34"/>
  <c r="W451" i="34"/>
  <c r="U451" i="34"/>
  <c r="W456" i="34"/>
  <c r="U456" i="34"/>
  <c r="W461" i="34"/>
  <c r="U461" i="34"/>
  <c r="W467" i="34"/>
  <c r="U467" i="34"/>
  <c r="W473" i="34"/>
  <c r="U473" i="34"/>
  <c r="W479" i="34"/>
  <c r="U479" i="34"/>
  <c r="W485" i="34"/>
  <c r="U485" i="34"/>
  <c r="U611" i="34"/>
  <c r="W611" i="34"/>
  <c r="W280" i="34"/>
  <c r="U280" i="34"/>
  <c r="W284" i="34"/>
  <c r="U284" i="34"/>
  <c r="W289" i="34"/>
  <c r="U289" i="34"/>
  <c r="U293" i="34"/>
  <c r="W293" i="34"/>
  <c r="U297" i="34"/>
  <c r="W297" i="34"/>
  <c r="U302" i="34"/>
  <c r="W302" i="34"/>
  <c r="U307" i="34"/>
  <c r="W307" i="34"/>
  <c r="U311" i="34"/>
  <c r="W311" i="34"/>
  <c r="U316" i="34"/>
  <c r="W316" i="34"/>
  <c r="U321" i="34"/>
  <c r="W321" i="34"/>
  <c r="U939" i="34"/>
  <c r="W939" i="34"/>
  <c r="W901" i="34"/>
  <c r="U901" i="34"/>
  <c r="W921" i="34"/>
  <c r="U921" i="34"/>
  <c r="W492" i="34"/>
  <c r="U492" i="34"/>
  <c r="W865" i="34"/>
  <c r="U865" i="34"/>
  <c r="W869" i="34"/>
  <c r="U869" i="34"/>
  <c r="W873" i="34"/>
  <c r="U873" i="34"/>
  <c r="W877" i="34"/>
  <c r="U877" i="34"/>
  <c r="W881" i="34"/>
  <c r="U881" i="34"/>
  <c r="W885" i="34"/>
  <c r="U885" i="34"/>
  <c r="W889" i="34"/>
  <c r="U889" i="34"/>
  <c r="W428" i="34"/>
  <c r="U428" i="34"/>
  <c r="W435" i="34"/>
  <c r="U435" i="34"/>
  <c r="W441" i="34"/>
  <c r="U441" i="34"/>
  <c r="W447" i="34"/>
  <c r="U447" i="34"/>
  <c r="W452" i="34"/>
  <c r="U452" i="34"/>
  <c r="W457" i="34"/>
  <c r="U457" i="34"/>
  <c r="W463" i="34"/>
  <c r="U463" i="34"/>
  <c r="W468" i="34"/>
  <c r="U468" i="34"/>
  <c r="W474" i="34"/>
  <c r="U474" i="34"/>
  <c r="W480" i="34"/>
  <c r="U480" i="34"/>
  <c r="W486" i="34"/>
  <c r="U486" i="34"/>
  <c r="W277" i="34"/>
  <c r="U277" i="34"/>
  <c r="W281" i="34"/>
  <c r="U281" i="34"/>
  <c r="W285" i="34"/>
  <c r="U285" i="34"/>
  <c r="W290" i="34"/>
  <c r="U290" i="34"/>
  <c r="W294" i="34"/>
  <c r="U294" i="34"/>
  <c r="W298" i="34"/>
  <c r="U298" i="34"/>
  <c r="W303" i="34"/>
  <c r="U303" i="34"/>
  <c r="W308" i="34"/>
  <c r="U308" i="34"/>
  <c r="W312" i="34"/>
  <c r="U312" i="34"/>
  <c r="W317" i="34"/>
  <c r="U317" i="34"/>
  <c r="W322" i="34"/>
  <c r="U322" i="34"/>
  <c r="U935" i="34"/>
  <c r="W935" i="34"/>
  <c r="W893" i="34"/>
  <c r="U893" i="34"/>
  <c r="W905" i="34"/>
  <c r="U905" i="34"/>
  <c r="W917" i="34"/>
  <c r="U917" i="34"/>
  <c r="W933" i="34"/>
  <c r="U933" i="34"/>
  <c r="W857" i="34"/>
  <c r="U857" i="34"/>
  <c r="U944" i="34"/>
  <c r="W944" i="34"/>
  <c r="W898" i="34"/>
  <c r="U898" i="34"/>
  <c r="W906" i="34"/>
  <c r="U906" i="34"/>
  <c r="W910" i="34"/>
  <c r="U910" i="34"/>
  <c r="W914" i="34"/>
  <c r="U914" i="34"/>
  <c r="W918" i="34"/>
  <c r="U918" i="34"/>
  <c r="W922" i="34"/>
  <c r="U922" i="34"/>
  <c r="W926" i="34"/>
  <c r="U926" i="34"/>
  <c r="W930" i="34"/>
  <c r="U930" i="34"/>
  <c r="U488" i="34"/>
  <c r="W488" i="34"/>
  <c r="U493" i="34"/>
  <c r="W493" i="34"/>
  <c r="U599" i="34"/>
  <c r="W599" i="34"/>
  <c r="W858" i="34"/>
  <c r="U858" i="34"/>
  <c r="W862" i="34"/>
  <c r="U862" i="34"/>
  <c r="W866" i="34"/>
  <c r="U866" i="34"/>
  <c r="W870" i="34"/>
  <c r="U870" i="34"/>
  <c r="W874" i="34"/>
  <c r="U874" i="34"/>
  <c r="W878" i="34"/>
  <c r="U878" i="34"/>
  <c r="W882" i="34"/>
  <c r="U882" i="34"/>
  <c r="W886" i="34"/>
  <c r="U886" i="34"/>
  <c r="U423" i="34"/>
  <c r="W423" i="34"/>
  <c r="U429" i="34"/>
  <c r="W429" i="34"/>
  <c r="U436" i="34"/>
  <c r="W436" i="34"/>
  <c r="U442" i="34"/>
  <c r="W442" i="34"/>
  <c r="U448" i="34"/>
  <c r="W448" i="34"/>
  <c r="U454" i="34"/>
  <c r="W454" i="34"/>
  <c r="U459" i="34"/>
  <c r="W459" i="34"/>
  <c r="U464" i="34"/>
  <c r="W464" i="34"/>
  <c r="U470" i="34"/>
  <c r="W470" i="34"/>
  <c r="U476" i="34"/>
  <c r="W476" i="34"/>
  <c r="U482" i="34"/>
  <c r="W482" i="34"/>
  <c r="W609" i="34"/>
  <c r="U609" i="34"/>
  <c r="U278" i="34"/>
  <c r="W278" i="34"/>
  <c r="U282" i="34"/>
  <c r="W282" i="34"/>
  <c r="U286" i="34"/>
  <c r="W286" i="34"/>
  <c r="W291" i="34"/>
  <c r="U291" i="34"/>
  <c r="W295" i="34"/>
  <c r="U295" i="34"/>
  <c r="W299" i="34"/>
  <c r="U299" i="34"/>
  <c r="W304" i="34"/>
  <c r="U304" i="34"/>
  <c r="W309" i="34"/>
  <c r="U309" i="34"/>
  <c r="W314" i="34"/>
  <c r="U314" i="34"/>
  <c r="W319" i="34"/>
  <c r="U319" i="34"/>
  <c r="W142" i="34" l="1"/>
  <c r="U142" i="34"/>
  <c r="U143" i="34"/>
  <c r="W143" i="34"/>
  <c r="B1610" i="34" l="1"/>
  <c r="W1610" i="34" l="1"/>
  <c r="U1610" i="34"/>
  <c r="A1610" i="34"/>
  <c r="U84" i="34" l="1"/>
  <c r="W84" i="34"/>
  <c r="S345" i="60"/>
  <c r="C345" i="60" s="1"/>
  <c r="S344" i="60"/>
  <c r="C344" i="60" s="1"/>
  <c r="S342" i="60"/>
  <c r="C342" i="60" s="1"/>
  <c r="S357" i="60"/>
  <c r="C357" i="60" s="1"/>
  <c r="S330" i="60"/>
  <c r="C330" i="60" s="1"/>
  <c r="S355" i="60"/>
  <c r="C355" i="60" s="1"/>
  <c r="S349" i="60"/>
  <c r="C349" i="60" s="1"/>
  <c r="S332" i="60"/>
  <c r="C332" i="60" s="1"/>
  <c r="S341" i="60"/>
  <c r="C341" i="60" s="1"/>
  <c r="S340" i="60"/>
  <c r="C340" i="60" s="1"/>
  <c r="S306" i="60"/>
  <c r="C306" i="60" s="1"/>
  <c r="S365" i="60"/>
  <c r="C365" i="60" s="1"/>
  <c r="S361" i="60"/>
  <c r="C361" i="60" s="1"/>
  <c r="S335" i="60"/>
  <c r="C335" i="60" s="1"/>
  <c r="S318" i="60"/>
  <c r="C318" i="60" s="1"/>
  <c r="S317" i="60"/>
  <c r="C317" i="60" s="1"/>
  <c r="S338" i="60"/>
  <c r="C338" i="60" s="1"/>
  <c r="S324" i="60"/>
  <c r="C324" i="60" s="1"/>
  <c r="S308" i="60"/>
  <c r="C308" i="60" s="1"/>
  <c r="S354" i="60"/>
  <c r="C354" i="60" s="1"/>
  <c r="S337" i="60"/>
  <c r="C337" i="60" s="1"/>
  <c r="S320" i="60"/>
  <c r="C320" i="60" s="1"/>
  <c r="S364" i="60"/>
  <c r="C364" i="60" s="1"/>
  <c r="S311" i="60"/>
  <c r="C311" i="60" s="1"/>
  <c r="S319" i="60"/>
  <c r="C319" i="60" s="1"/>
  <c r="S334" i="60"/>
  <c r="C334" i="60" s="1"/>
  <c r="S350" i="60"/>
  <c r="C350" i="60" s="1"/>
  <c r="S352" i="60"/>
  <c r="C352" i="60" s="1"/>
  <c r="S310" i="60"/>
  <c r="C310" i="60" s="1"/>
  <c r="S351" i="60"/>
  <c r="C351" i="60" s="1"/>
  <c r="S347" i="60"/>
  <c r="C347" i="60" s="1"/>
  <c r="S326" i="60"/>
  <c r="C326" i="60" s="1"/>
  <c r="S313" i="60"/>
  <c r="C313" i="60" s="1"/>
  <c r="S309" i="60"/>
  <c r="C309" i="60" s="1"/>
  <c r="S327" i="60"/>
  <c r="C327" i="60" s="1"/>
  <c r="S325" i="60"/>
  <c r="C325" i="60" s="1"/>
  <c r="S303" i="60"/>
  <c r="C303" i="60" s="1"/>
  <c r="S362" i="60"/>
  <c r="C362" i="60" s="1"/>
  <c r="S316" i="60"/>
  <c r="C316" i="60" s="1"/>
  <c r="S360" i="60"/>
  <c r="C360" i="60" s="1"/>
  <c r="S333" i="60"/>
  <c r="C333" i="60" s="1"/>
  <c r="S329" i="60"/>
  <c r="C329" i="60" s="1"/>
  <c r="S323" i="60"/>
  <c r="C323" i="60" s="1"/>
  <c r="S321" i="60"/>
  <c r="C321" i="60" s="1"/>
  <c r="S315" i="60"/>
  <c r="C315" i="60" s="1"/>
  <c r="S356" i="60"/>
  <c r="C356" i="60" s="1"/>
  <c r="S359" i="60"/>
  <c r="C359" i="60" s="1"/>
  <c r="X338" i="60"/>
  <c r="X337" i="60"/>
  <c r="X336" i="60"/>
  <c r="S336" i="60"/>
  <c r="C336" i="60" s="1"/>
  <c r="X335" i="60"/>
  <c r="X334" i="60"/>
  <c r="X333" i="60"/>
  <c r="X332" i="60"/>
  <c r="X331" i="60"/>
  <c r="S331" i="60"/>
  <c r="C331" i="60" s="1"/>
  <c r="X330" i="60"/>
  <c r="X329" i="60"/>
  <c r="X328" i="60"/>
  <c r="S328" i="60"/>
  <c r="C328" i="60" s="1"/>
  <c r="X327" i="60"/>
  <c r="X326" i="60"/>
  <c r="X325" i="60"/>
  <c r="X324" i="60"/>
  <c r="X323" i="60"/>
  <c r="X322" i="60"/>
  <c r="S322" i="60"/>
  <c r="C322" i="60" s="1"/>
  <c r="X321" i="60"/>
  <c r="X320" i="60"/>
  <c r="X319" i="60"/>
  <c r="X318" i="60"/>
  <c r="X317" i="60"/>
  <c r="X316" i="60"/>
  <c r="X315" i="60"/>
  <c r="X314" i="60"/>
  <c r="S314" i="60"/>
  <c r="C314" i="60" s="1"/>
  <c r="X313" i="60"/>
  <c r="X312" i="60"/>
  <c r="S312" i="60"/>
  <c r="C312" i="60" s="1"/>
  <c r="X311" i="60"/>
  <c r="X310" i="60"/>
  <c r="X309" i="60"/>
  <c r="X308" i="60"/>
  <c r="X307" i="60"/>
  <c r="S307" i="60"/>
  <c r="C307" i="60" s="1"/>
  <c r="X306" i="60"/>
  <c r="X305" i="60"/>
  <c r="S305" i="60"/>
  <c r="C305" i="60" s="1"/>
  <c r="X365" i="60"/>
  <c r="X364" i="60"/>
  <c r="X363" i="60"/>
  <c r="S363" i="60"/>
  <c r="C363" i="60" s="1"/>
  <c r="X362" i="60"/>
  <c r="X361" i="60"/>
  <c r="X360" i="60"/>
  <c r="X359" i="60"/>
  <c r="X358" i="60"/>
  <c r="S358" i="60"/>
  <c r="C358" i="60" s="1"/>
  <c r="X357" i="60"/>
  <c r="X356" i="60"/>
  <c r="X355" i="60"/>
  <c r="X354" i="60"/>
  <c r="X353" i="60"/>
  <c r="S353" i="60"/>
  <c r="C353" i="60" s="1"/>
  <c r="X352" i="60"/>
  <c r="X351" i="60"/>
  <c r="X350" i="60"/>
  <c r="X349" i="60"/>
  <c r="X348" i="60"/>
  <c r="S348" i="60"/>
  <c r="C348" i="60" s="1"/>
  <c r="X347" i="60"/>
  <c r="X346" i="60"/>
  <c r="S346" i="60"/>
  <c r="C346" i="60" s="1"/>
  <c r="X345" i="60"/>
  <c r="X344" i="60"/>
  <c r="X343" i="60"/>
  <c r="S343" i="60"/>
  <c r="C343" i="60" s="1"/>
  <c r="X342" i="60"/>
  <c r="X341" i="60"/>
  <c r="X340" i="60"/>
  <c r="X339" i="60"/>
  <c r="S339" i="60"/>
  <c r="C339" i="60" s="1"/>
  <c r="A251" i="60"/>
  <c r="X284" i="60" l="1"/>
  <c r="S284" i="60"/>
  <c r="C284" i="60" s="1"/>
  <c r="X283" i="60"/>
  <c r="S283" i="60"/>
  <c r="C283" i="60" s="1"/>
  <c r="X282" i="60"/>
  <c r="S282" i="60"/>
  <c r="C282" i="60" s="1"/>
  <c r="X281" i="60"/>
  <c r="S281" i="60"/>
  <c r="C281" i="60" s="1"/>
  <c r="X280" i="60"/>
  <c r="S280" i="60"/>
  <c r="C280" i="60" s="1"/>
  <c r="X279" i="60"/>
  <c r="S279" i="60"/>
  <c r="C279" i="60" s="1"/>
  <c r="X278" i="60"/>
  <c r="S278" i="60"/>
  <c r="C278" i="60" s="1"/>
  <c r="X277" i="60"/>
  <c r="S277" i="60"/>
  <c r="C277" i="60" s="1"/>
  <c r="X276" i="60"/>
  <c r="S276" i="60"/>
  <c r="C276" i="60" s="1"/>
  <c r="X275" i="60"/>
  <c r="S275" i="60"/>
  <c r="C275" i="60" s="1"/>
  <c r="X274" i="60"/>
  <c r="S274" i="60"/>
  <c r="C274" i="60" s="1"/>
  <c r="X273" i="60"/>
  <c r="S273" i="60"/>
  <c r="C273" i="60" s="1"/>
  <c r="X272" i="60"/>
  <c r="S272" i="60"/>
  <c r="C272" i="60" s="1"/>
  <c r="X271" i="60"/>
  <c r="S271" i="60"/>
  <c r="C271" i="60" s="1"/>
  <c r="X270" i="60"/>
  <c r="S270" i="60"/>
  <c r="C270" i="60" s="1"/>
  <c r="X269" i="60"/>
  <c r="S269" i="60"/>
  <c r="C269" i="60" s="1"/>
  <c r="X268" i="60"/>
  <c r="S268" i="60"/>
  <c r="C268" i="60" s="1"/>
  <c r="X267" i="60"/>
  <c r="S267" i="60"/>
  <c r="C267" i="60" s="1"/>
  <c r="X266" i="60"/>
  <c r="S266" i="60"/>
  <c r="C266" i="60" s="1"/>
  <c r="X265" i="60"/>
  <c r="S265" i="60"/>
  <c r="C265" i="60" s="1"/>
  <c r="X264" i="60"/>
  <c r="S264" i="60"/>
  <c r="C264" i="60" s="1"/>
  <c r="X263" i="60"/>
  <c r="S263" i="60"/>
  <c r="C263" i="60" s="1"/>
  <c r="X262" i="60"/>
  <c r="S262" i="60"/>
  <c r="C262" i="60" s="1"/>
  <c r="X261" i="60"/>
  <c r="S261" i="60"/>
  <c r="C261" i="60" s="1"/>
  <c r="X260" i="60"/>
  <c r="S260" i="60"/>
  <c r="C260" i="60" s="1"/>
  <c r="X259" i="60"/>
  <c r="S259" i="60"/>
  <c r="C259" i="60" s="1"/>
  <c r="X258" i="60"/>
  <c r="S258" i="60"/>
  <c r="C258" i="60" s="1"/>
  <c r="X257" i="60"/>
  <c r="S257" i="60"/>
  <c r="C257" i="60" s="1"/>
  <c r="X256" i="60"/>
  <c r="S256" i="60"/>
  <c r="C256" i="60" s="1"/>
  <c r="X304" i="60"/>
  <c r="S304" i="60"/>
  <c r="C304" i="60" s="1"/>
  <c r="X303" i="60"/>
  <c r="X302" i="60"/>
  <c r="S302" i="60"/>
  <c r="C302" i="60" s="1"/>
  <c r="X301" i="60"/>
  <c r="S301" i="60"/>
  <c r="C301" i="60" s="1"/>
  <c r="X300" i="60"/>
  <c r="S300" i="60"/>
  <c r="C300" i="60" s="1"/>
  <c r="X299" i="60"/>
  <c r="S299" i="60"/>
  <c r="C299" i="60" s="1"/>
  <c r="X298" i="60"/>
  <c r="S298" i="60"/>
  <c r="C298" i="60" s="1"/>
  <c r="X297" i="60"/>
  <c r="S297" i="60"/>
  <c r="C297" i="60" s="1"/>
  <c r="X296" i="60"/>
  <c r="S296" i="60"/>
  <c r="C296" i="60" s="1"/>
  <c r="X295" i="60"/>
  <c r="S295" i="60"/>
  <c r="C295" i="60" s="1"/>
  <c r="X294" i="60"/>
  <c r="S294" i="60"/>
  <c r="C294" i="60" s="1"/>
  <c r="X293" i="60"/>
  <c r="S293" i="60"/>
  <c r="C293" i="60" s="1"/>
  <c r="X292" i="60"/>
  <c r="S292" i="60"/>
  <c r="C292" i="60" s="1"/>
  <c r="X291" i="60"/>
  <c r="S291" i="60"/>
  <c r="C291" i="60" s="1"/>
  <c r="X290" i="60"/>
  <c r="S290" i="60"/>
  <c r="C290" i="60" s="1"/>
  <c r="X289" i="60"/>
  <c r="S289" i="60"/>
  <c r="C289" i="60" s="1"/>
  <c r="X288" i="60"/>
  <c r="S288" i="60"/>
  <c r="C288" i="60" s="1"/>
  <c r="X287" i="60"/>
  <c r="S287" i="60"/>
  <c r="C287" i="60" s="1"/>
  <c r="X286" i="60"/>
  <c r="S286" i="60"/>
  <c r="C286" i="60" s="1"/>
  <c r="X285" i="60"/>
  <c r="S285" i="60"/>
  <c r="C285" i="60" s="1"/>
  <c r="B1997" i="34" l="1"/>
  <c r="B1996" i="34"/>
  <c r="B1995" i="34"/>
  <c r="B1974" i="34"/>
  <c r="B1999" i="34"/>
  <c r="B1998" i="34"/>
  <c r="B2000" i="34"/>
  <c r="B1969" i="34"/>
  <c r="B1968" i="34"/>
  <c r="B1967" i="34"/>
  <c r="B1966" i="34"/>
  <c r="B1971" i="34"/>
  <c r="B1970" i="34"/>
  <c r="B1972" i="34"/>
  <c r="B1932" i="34"/>
  <c r="B1931" i="34"/>
  <c r="B1930" i="34"/>
  <c r="B1964" i="34"/>
  <c r="B1933" i="34"/>
  <c r="B2032" i="34"/>
  <c r="W1932" i="34" l="1"/>
  <c r="U1932" i="34"/>
  <c r="A1932" i="34"/>
  <c r="W1964" i="34"/>
  <c r="U1964" i="34"/>
  <c r="A1964" i="34"/>
  <c r="W1972" i="34"/>
  <c r="U1972" i="34"/>
  <c r="A1972" i="34"/>
  <c r="W1996" i="34"/>
  <c r="U1996" i="34"/>
  <c r="A1996" i="34"/>
  <c r="U1930" i="34"/>
  <c r="W1930" i="34"/>
  <c r="A1930" i="34"/>
  <c r="U1970" i="34"/>
  <c r="W1970" i="34"/>
  <c r="A1970" i="34"/>
  <c r="W1968" i="34"/>
  <c r="U1968" i="34"/>
  <c r="A1968" i="34"/>
  <c r="U1997" i="34"/>
  <c r="W1997" i="34"/>
  <c r="A1997" i="34"/>
  <c r="W1931" i="34"/>
  <c r="U1931" i="34"/>
  <c r="A1931" i="34"/>
  <c r="W1971" i="34"/>
  <c r="U1971" i="34"/>
  <c r="A1971" i="34"/>
  <c r="U1969" i="34"/>
  <c r="W1969" i="34"/>
  <c r="A1969" i="34"/>
  <c r="U1974" i="34"/>
  <c r="W1974" i="34"/>
  <c r="A1974" i="34"/>
  <c r="U1933" i="34"/>
  <c r="W1933" i="34"/>
  <c r="A1933" i="34"/>
  <c r="U1966" i="34"/>
  <c r="W1966" i="34"/>
  <c r="A1966" i="34"/>
  <c r="W2000" i="34"/>
  <c r="U2000" i="34"/>
  <c r="A2000" i="34"/>
  <c r="W1995" i="34"/>
  <c r="U1995" i="34"/>
  <c r="A1995" i="34"/>
  <c r="U1998" i="34"/>
  <c r="W1998" i="34"/>
  <c r="A1998" i="34"/>
  <c r="W2032" i="34"/>
  <c r="U2032" i="34"/>
  <c r="A2032" i="34"/>
  <c r="W1967" i="34"/>
  <c r="U1967" i="34"/>
  <c r="A1967" i="34"/>
  <c r="W1999" i="34"/>
  <c r="U1999" i="34"/>
  <c r="A1999" i="34"/>
  <c r="B1793" i="34"/>
  <c r="B1792" i="34"/>
  <c r="B1791" i="34"/>
  <c r="B1790" i="34"/>
  <c r="B1789" i="34"/>
  <c r="B1788" i="34"/>
  <c r="B1787" i="34"/>
  <c r="B1786" i="34"/>
  <c r="B1785" i="34"/>
  <c r="B1784" i="34"/>
  <c r="B1783" i="34"/>
  <c r="B1756" i="34"/>
  <c r="B1755" i="34"/>
  <c r="B1754" i="34"/>
  <c r="B1753" i="34"/>
  <c r="B1752" i="34"/>
  <c r="B1751" i="34"/>
  <c r="B1750" i="34"/>
  <c r="B1749" i="34"/>
  <c r="B1731" i="34"/>
  <c r="B1730" i="34"/>
  <c r="B1729" i="34"/>
  <c r="B1728" i="34"/>
  <c r="B1727" i="34"/>
  <c r="B1726" i="34"/>
  <c r="B1725" i="34"/>
  <c r="B1724" i="34"/>
  <c r="B1702" i="34"/>
  <c r="B1701" i="34"/>
  <c r="B1700" i="34"/>
  <c r="B1699" i="34"/>
  <c r="B1698" i="34"/>
  <c r="B1697" i="34"/>
  <c r="B1696" i="34"/>
  <c r="B1695" i="34"/>
  <c r="B1694" i="34"/>
  <c r="B1671" i="34"/>
  <c r="B1643" i="34"/>
  <c r="B1642" i="34"/>
  <c r="B1641" i="34"/>
  <c r="B1640" i="34"/>
  <c r="B1639" i="34"/>
  <c r="B1638" i="34"/>
  <c r="B1637" i="34"/>
  <c r="B1636" i="34"/>
  <c r="B1601" i="34"/>
  <c r="B1569" i="34"/>
  <c r="B1568" i="34"/>
  <c r="B1567" i="34"/>
  <c r="B1566" i="34"/>
  <c r="B1565" i="34"/>
  <c r="B1564" i="34"/>
  <c r="B1563" i="34"/>
  <c r="B1547" i="34"/>
  <c r="B1546" i="34"/>
  <c r="B1545" i="34"/>
  <c r="B1544" i="34"/>
  <c r="B1543" i="34"/>
  <c r="B1542" i="34"/>
  <c r="B1541" i="34"/>
  <c r="B1540" i="34"/>
  <c r="B1539" i="34"/>
  <c r="B1538" i="34"/>
  <c r="B1537" i="34"/>
  <c r="B1536" i="34"/>
  <c r="B1535" i="34"/>
  <c r="B1534" i="34"/>
  <c r="B1533" i="34"/>
  <c r="B1500" i="34"/>
  <c r="B1483" i="34"/>
  <c r="B1482" i="34"/>
  <c r="B1481" i="34"/>
  <c r="B1480" i="34"/>
  <c r="B1479" i="34"/>
  <c r="B1478" i="34"/>
  <c r="B1477" i="34"/>
  <c r="B1476" i="34"/>
  <c r="B1458" i="34"/>
  <c r="B1457" i="34"/>
  <c r="B1456" i="34"/>
  <c r="B1455" i="34"/>
  <c r="B1454" i="34"/>
  <c r="B1453" i="34"/>
  <c r="B1452" i="34"/>
  <c r="B1451" i="34"/>
  <c r="B1450" i="34"/>
  <c r="B1404" i="34"/>
  <c r="B1369" i="34"/>
  <c r="B1365" i="34"/>
  <c r="B1364" i="34"/>
  <c r="B1363" i="34"/>
  <c r="B1354" i="34"/>
  <c r="B1353" i="34"/>
  <c r="B1352" i="34"/>
  <c r="B1351" i="34"/>
  <c r="B1350" i="34"/>
  <c r="B1337" i="34"/>
  <c r="B1336" i="34"/>
  <c r="B1335" i="34"/>
  <c r="B1334" i="34"/>
  <c r="B1333" i="34"/>
  <c r="B1332" i="34"/>
  <c r="B1331" i="34"/>
  <c r="B1330" i="34"/>
  <c r="B1309" i="34"/>
  <c r="B1308" i="34"/>
  <c r="B1307" i="34"/>
  <c r="B1306" i="34"/>
  <c r="B1305" i="34"/>
  <c r="B1304" i="34"/>
  <c r="B1303" i="34"/>
  <c r="B1302" i="34"/>
  <c r="B1279" i="34"/>
  <c r="B1278" i="34"/>
  <c r="B1277" i="34"/>
  <c r="B1276" i="34"/>
  <c r="B1275" i="34"/>
  <c r="B1274" i="34"/>
  <c r="B1273" i="34"/>
  <c r="B1272" i="34"/>
  <c r="B1271" i="34"/>
  <c r="B1270" i="34"/>
  <c r="B1269" i="34"/>
  <c r="B1268" i="34"/>
  <c r="B1267" i="34"/>
  <c r="B1266" i="34"/>
  <c r="B1265" i="34"/>
  <c r="B1264" i="34"/>
  <c r="B1225" i="34"/>
  <c r="B1224" i="34"/>
  <c r="B1223" i="34"/>
  <c r="B1222" i="34"/>
  <c r="B1221" i="34"/>
  <c r="B1220" i="34"/>
  <c r="B1219" i="34"/>
  <c r="B1218" i="34"/>
  <c r="B1182" i="34"/>
  <c r="B1181" i="34"/>
  <c r="B1180" i="34"/>
  <c r="B1179" i="34"/>
  <c r="B1178" i="34"/>
  <c r="B1177" i="34"/>
  <c r="B1176" i="34"/>
  <c r="B1175" i="34"/>
  <c r="B1150" i="34"/>
  <c r="A1150" i="34" s="1"/>
  <c r="B1149" i="34"/>
  <c r="A1149" i="34" s="1"/>
  <c r="B1946" i="34"/>
  <c r="B1945" i="34"/>
  <c r="B1944" i="34"/>
  <c r="B1943" i="34"/>
  <c r="B1942" i="34"/>
  <c r="B1941" i="34"/>
  <c r="B1940" i="34"/>
  <c r="B1939" i="34"/>
  <c r="B1938" i="34"/>
  <c r="B1937" i="34"/>
  <c r="B1936" i="34"/>
  <c r="B1895" i="34"/>
  <c r="B1894" i="34"/>
  <c r="B1893" i="34"/>
  <c r="B1892" i="34"/>
  <c r="B1891" i="34"/>
  <c r="B1890" i="34"/>
  <c r="B1889" i="34"/>
  <c r="B1888" i="34"/>
  <c r="B1887" i="34"/>
  <c r="B1886" i="34"/>
  <c r="B1885" i="34"/>
  <c r="B1884" i="34"/>
  <c r="B1851" i="34"/>
  <c r="B1814" i="34"/>
  <c r="B1935" i="34"/>
  <c r="B1934" i="34"/>
  <c r="B1860" i="34"/>
  <c r="B1859" i="34"/>
  <c r="B1858" i="34"/>
  <c r="B1857" i="34"/>
  <c r="B1856" i="34"/>
  <c r="B1855" i="34"/>
  <c r="B1854" i="34"/>
  <c r="B1853" i="34"/>
  <c r="B1883" i="34"/>
  <c r="B1882" i="34"/>
  <c r="B1881" i="34"/>
  <c r="B1880" i="34"/>
  <c r="B1879" i="34"/>
  <c r="B1878" i="34"/>
  <c r="B1877" i="34"/>
  <c r="B1876" i="34"/>
  <c r="B1875" i="34"/>
  <c r="B1874" i="34"/>
  <c r="B1850" i="34"/>
  <c r="B1849" i="34"/>
  <c r="B1848" i="34"/>
  <c r="B1847" i="34"/>
  <c r="B1846" i="34"/>
  <c r="B1845" i="34"/>
  <c r="B1844" i="34"/>
  <c r="B1843" i="34"/>
  <c r="B1839" i="34"/>
  <c r="B1838" i="34"/>
  <c r="B1837" i="34"/>
  <c r="B1836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42" i="34"/>
  <c r="B1841" i="34"/>
  <c r="B1813" i="34"/>
  <c r="B1812" i="34"/>
  <c r="B1824" i="34"/>
  <c r="B1823" i="34"/>
  <c r="B1822" i="34"/>
  <c r="B1808" i="34"/>
  <c r="B1807" i="34"/>
  <c r="B2022" i="34"/>
  <c r="B2021" i="34"/>
  <c r="B2020" i="34"/>
  <c r="B2003" i="34"/>
  <c r="B2002" i="34"/>
  <c r="B2001" i="34"/>
  <c r="B1973" i="34"/>
  <c r="B1965" i="34"/>
  <c r="B1929" i="34"/>
  <c r="B1928" i="34"/>
  <c r="B1927" i="34"/>
  <c r="B1926" i="34"/>
  <c r="B1925" i="34"/>
  <c r="B1924" i="34"/>
  <c r="B1923" i="34"/>
  <c r="B1922" i="34"/>
  <c r="B1921" i="34"/>
  <c r="B1920" i="34"/>
  <c r="B1919" i="34"/>
  <c r="B1873" i="34"/>
  <c r="B1872" i="34"/>
  <c r="B1871" i="34"/>
  <c r="B1870" i="34"/>
  <c r="B1869" i="34"/>
  <c r="B1868" i="34"/>
  <c r="B1867" i="34"/>
  <c r="B1866" i="34"/>
  <c r="B1865" i="34"/>
  <c r="B1864" i="34"/>
  <c r="B1863" i="34"/>
  <c r="B1862" i="34"/>
  <c r="B1861" i="34"/>
  <c r="B2034" i="34"/>
  <c r="B2030" i="34"/>
  <c r="B2029" i="34"/>
  <c r="B2028" i="34"/>
  <c r="B2027" i="34"/>
  <c r="B1918" i="34"/>
  <c r="B1917" i="34"/>
  <c r="B1916" i="34"/>
  <c r="B1915" i="34"/>
  <c r="B1914" i="34"/>
  <c r="B1912" i="34"/>
  <c r="B1910" i="34"/>
  <c r="B1909" i="34"/>
  <c r="B1908" i="34"/>
  <c r="B1840" i="34"/>
  <c r="B1820" i="34"/>
  <c r="B1819" i="34"/>
  <c r="B1818" i="34"/>
  <c r="B1817" i="34"/>
  <c r="B1816" i="34"/>
  <c r="B1811" i="34"/>
  <c r="B1810" i="34"/>
  <c r="B1809" i="34"/>
  <c r="B2033" i="34"/>
  <c r="B2031" i="34"/>
  <c r="B1804" i="34"/>
  <c r="B1803" i="34"/>
  <c r="B2026" i="34"/>
  <c r="B2025" i="34"/>
  <c r="B2019" i="34"/>
  <c r="B2018" i="34"/>
  <c r="B2017" i="34"/>
  <c r="B2016" i="34"/>
  <c r="B2015" i="34"/>
  <c r="B2014" i="34"/>
  <c r="B2013" i="34"/>
  <c r="B2012" i="34"/>
  <c r="B1994" i="34"/>
  <c r="B1993" i="34"/>
  <c r="B1992" i="34"/>
  <c r="B1991" i="34"/>
  <c r="B1990" i="34"/>
  <c r="B1989" i="34"/>
  <c r="B1988" i="34"/>
  <c r="B1987" i="34"/>
  <c r="B1986" i="34"/>
  <c r="B1985" i="34"/>
  <c r="B1963" i="34"/>
  <c r="B1962" i="34"/>
  <c r="B1961" i="34"/>
  <c r="B1960" i="34"/>
  <c r="B1959" i="34"/>
  <c r="B1958" i="34"/>
  <c r="B1957" i="34"/>
  <c r="B1956" i="34"/>
  <c r="B1955" i="34"/>
  <c r="B1954" i="34"/>
  <c r="B1953" i="34"/>
  <c r="B1952" i="34"/>
  <c r="B1951" i="34"/>
  <c r="B1950" i="34"/>
  <c r="B1907" i="34"/>
  <c r="B1906" i="34"/>
  <c r="B1905" i="34"/>
  <c r="B1904" i="34"/>
  <c r="B1903" i="34"/>
  <c r="B1902" i="34"/>
  <c r="B1901" i="34"/>
  <c r="B1900" i="34"/>
  <c r="B1899" i="34"/>
  <c r="B1898" i="34"/>
  <c r="B1897" i="34"/>
  <c r="B1896" i="34"/>
  <c r="B1852" i="34"/>
  <c r="B1815" i="34"/>
  <c r="B2024" i="34"/>
  <c r="B2023" i="34"/>
  <c r="B2011" i="34"/>
  <c r="B2010" i="34"/>
  <c r="B2009" i="34"/>
  <c r="B2008" i="34"/>
  <c r="B2007" i="34"/>
  <c r="B2006" i="34"/>
  <c r="B2005" i="34"/>
  <c r="B2004" i="34"/>
  <c r="B1984" i="34"/>
  <c r="B1983" i="34"/>
  <c r="B1982" i="34"/>
  <c r="B1981" i="34"/>
  <c r="B1980" i="34"/>
  <c r="B1979" i="34"/>
  <c r="B1978" i="34"/>
  <c r="B1977" i="34"/>
  <c r="B1976" i="34"/>
  <c r="B1975" i="34"/>
  <c r="B1949" i="34"/>
  <c r="B1948" i="34"/>
  <c r="B1947" i="34"/>
  <c r="W1947" i="34" l="1"/>
  <c r="U1947" i="34"/>
  <c r="A1947" i="34"/>
  <c r="W1976" i="34"/>
  <c r="U1976" i="34"/>
  <c r="A1976" i="34"/>
  <c r="W1980" i="34"/>
  <c r="U1980" i="34"/>
  <c r="A1980" i="34"/>
  <c r="W1984" i="34"/>
  <c r="U1984" i="34"/>
  <c r="A1984" i="34"/>
  <c r="W2007" i="34"/>
  <c r="U2007" i="34"/>
  <c r="A2007" i="34"/>
  <c r="W2011" i="34"/>
  <c r="U2011" i="34"/>
  <c r="A2011" i="34"/>
  <c r="W1852" i="34"/>
  <c r="U1852" i="34"/>
  <c r="A1852" i="34"/>
  <c r="W1899" i="34"/>
  <c r="U1899" i="34"/>
  <c r="A1899" i="34"/>
  <c r="W1903" i="34"/>
  <c r="U1903" i="34"/>
  <c r="A1903" i="34"/>
  <c r="W1907" i="34"/>
  <c r="U1907" i="34"/>
  <c r="A1907" i="34"/>
  <c r="U1953" i="34"/>
  <c r="W1953" i="34"/>
  <c r="A1953" i="34"/>
  <c r="U1957" i="34"/>
  <c r="W1957" i="34"/>
  <c r="A1957" i="34"/>
  <c r="U1961" i="34"/>
  <c r="W1961" i="34"/>
  <c r="A1961" i="34"/>
  <c r="U1986" i="34"/>
  <c r="W1986" i="34"/>
  <c r="A1986" i="34"/>
  <c r="U1990" i="34"/>
  <c r="W1990" i="34"/>
  <c r="A1990" i="34"/>
  <c r="U1994" i="34"/>
  <c r="W1994" i="34"/>
  <c r="A1994" i="34"/>
  <c r="W2015" i="34"/>
  <c r="U2015" i="34"/>
  <c r="A2015" i="34"/>
  <c r="W2019" i="34"/>
  <c r="U2019" i="34"/>
  <c r="A2019" i="34"/>
  <c r="W1803" i="34"/>
  <c r="U1803" i="34"/>
  <c r="A1803" i="34"/>
  <c r="U1809" i="34"/>
  <c r="W1809" i="34"/>
  <c r="A1809" i="34"/>
  <c r="U1817" i="34"/>
  <c r="W1817" i="34"/>
  <c r="A1817" i="34"/>
  <c r="R1840" i="34"/>
  <c r="S1840" i="34"/>
  <c r="W1840" i="34"/>
  <c r="T1840" i="34"/>
  <c r="U1840" i="34"/>
  <c r="A1840" i="34"/>
  <c r="R1912" i="34"/>
  <c r="S1912" i="34"/>
  <c r="W1912" i="34"/>
  <c r="T1912" i="34"/>
  <c r="U1912" i="34"/>
  <c r="A1912" i="34"/>
  <c r="U1917" i="34"/>
  <c r="W1917" i="34"/>
  <c r="A1917" i="34"/>
  <c r="W2029" i="34"/>
  <c r="U2029" i="34"/>
  <c r="A2029" i="34"/>
  <c r="W1864" i="34"/>
  <c r="U1864" i="34"/>
  <c r="A1864" i="34"/>
  <c r="W1868" i="34"/>
  <c r="U1868" i="34"/>
  <c r="A1868" i="34"/>
  <c r="W1872" i="34"/>
  <c r="U1872" i="34"/>
  <c r="A1872" i="34"/>
  <c r="U1921" i="34"/>
  <c r="W1921" i="34"/>
  <c r="A1921" i="34"/>
  <c r="U1925" i="34"/>
  <c r="W1925" i="34"/>
  <c r="A1925" i="34"/>
  <c r="U1929" i="34"/>
  <c r="W1929" i="34"/>
  <c r="A1929" i="34"/>
  <c r="U2002" i="34"/>
  <c r="W2002" i="34"/>
  <c r="A2002" i="34"/>
  <c r="U2022" i="34"/>
  <c r="W2022" i="34"/>
  <c r="A2022" i="34"/>
  <c r="W1823" i="34"/>
  <c r="U1823" i="34"/>
  <c r="A1823" i="34"/>
  <c r="U1841" i="34"/>
  <c r="W1841" i="34"/>
  <c r="A1841" i="34"/>
  <c r="W1827" i="34"/>
  <c r="U1827" i="34"/>
  <c r="A1827" i="34"/>
  <c r="W1831" i="34"/>
  <c r="U1831" i="34"/>
  <c r="A1831" i="34"/>
  <c r="W1835" i="34"/>
  <c r="U1835" i="34"/>
  <c r="A1835" i="34"/>
  <c r="W1839" i="34"/>
  <c r="U1839" i="34"/>
  <c r="A1839" i="34"/>
  <c r="U1846" i="34"/>
  <c r="W1846" i="34"/>
  <c r="A1846" i="34"/>
  <c r="U1850" i="34"/>
  <c r="W1850" i="34"/>
  <c r="A1850" i="34"/>
  <c r="U1877" i="34"/>
  <c r="W1877" i="34"/>
  <c r="A1877" i="34"/>
  <c r="U1881" i="34"/>
  <c r="W1881" i="34"/>
  <c r="A1881" i="34"/>
  <c r="U1854" i="34"/>
  <c r="W1854" i="34"/>
  <c r="A1854" i="34"/>
  <c r="U1858" i="34"/>
  <c r="W1858" i="34"/>
  <c r="A1858" i="34"/>
  <c r="W1935" i="34"/>
  <c r="U1935" i="34"/>
  <c r="A1935" i="34"/>
  <c r="U1885" i="34"/>
  <c r="W1885" i="34"/>
  <c r="A1885" i="34"/>
  <c r="U1889" i="34"/>
  <c r="W1889" i="34"/>
  <c r="A1889" i="34"/>
  <c r="U1893" i="34"/>
  <c r="W1893" i="34"/>
  <c r="A1893" i="34"/>
  <c r="U1937" i="34"/>
  <c r="W1937" i="34"/>
  <c r="A1937" i="34"/>
  <c r="U1941" i="34"/>
  <c r="W1941" i="34"/>
  <c r="A1941" i="34"/>
  <c r="U1945" i="34"/>
  <c r="W1945" i="34"/>
  <c r="A1945" i="34"/>
  <c r="W1150" i="34"/>
  <c r="U1150" i="34"/>
  <c r="U1176" i="34"/>
  <c r="W1176" i="34"/>
  <c r="A1176" i="34"/>
  <c r="W1178" i="34"/>
  <c r="U1178" i="34"/>
  <c r="A1178" i="34"/>
  <c r="U1180" i="34"/>
  <c r="W1180" i="34"/>
  <c r="A1180" i="34"/>
  <c r="W1182" i="34"/>
  <c r="U1182" i="34"/>
  <c r="A1182" i="34"/>
  <c r="U1219" i="34"/>
  <c r="W1219" i="34"/>
  <c r="A1219" i="34"/>
  <c r="W1221" i="34"/>
  <c r="U1221" i="34"/>
  <c r="A1221" i="34"/>
  <c r="U1223" i="34"/>
  <c r="W1223" i="34"/>
  <c r="A1223" i="34"/>
  <c r="W1225" i="34"/>
  <c r="U1225" i="34"/>
  <c r="A1225" i="34"/>
  <c r="W1265" i="34"/>
  <c r="U1265" i="34"/>
  <c r="A1265" i="34"/>
  <c r="U1267" i="34"/>
  <c r="W1267" i="34"/>
  <c r="A1267" i="34"/>
  <c r="W1269" i="34"/>
  <c r="U1269" i="34"/>
  <c r="A1269" i="34"/>
  <c r="U1271" i="34"/>
  <c r="W1271" i="34"/>
  <c r="A1271" i="34"/>
  <c r="W1273" i="34"/>
  <c r="U1273" i="34"/>
  <c r="A1273" i="34"/>
  <c r="U1275" i="34"/>
  <c r="W1275" i="34"/>
  <c r="A1275" i="34"/>
  <c r="W1277" i="34"/>
  <c r="U1277" i="34"/>
  <c r="A1277" i="34"/>
  <c r="U1279" i="34"/>
  <c r="W1279" i="34"/>
  <c r="A1279" i="34"/>
  <c r="U1303" i="34"/>
  <c r="W1303" i="34"/>
  <c r="A1303" i="34"/>
  <c r="W1305" i="34"/>
  <c r="U1305" i="34"/>
  <c r="A1305" i="34"/>
  <c r="U1307" i="34"/>
  <c r="W1307" i="34"/>
  <c r="A1307" i="34"/>
  <c r="W1309" i="34"/>
  <c r="U1309" i="34"/>
  <c r="A1309" i="34"/>
  <c r="U1331" i="34"/>
  <c r="W1331" i="34"/>
  <c r="A1331" i="34"/>
  <c r="W1333" i="34"/>
  <c r="U1333" i="34"/>
  <c r="A1333" i="34"/>
  <c r="U1335" i="34"/>
  <c r="W1335" i="34"/>
  <c r="A1335" i="34"/>
  <c r="W1337" i="34"/>
  <c r="U1337" i="34"/>
  <c r="A1337" i="34"/>
  <c r="U1351" i="34"/>
  <c r="W1351" i="34"/>
  <c r="A1351" i="34"/>
  <c r="W1353" i="34"/>
  <c r="U1353" i="34"/>
  <c r="A1353" i="34"/>
  <c r="U1363" i="34"/>
  <c r="W1363" i="34"/>
  <c r="A1363" i="34"/>
  <c r="W1365" i="34"/>
  <c r="U1365" i="34"/>
  <c r="A1365" i="34"/>
  <c r="W1404" i="34"/>
  <c r="U1404" i="34"/>
  <c r="A1404" i="34"/>
  <c r="U1451" i="34"/>
  <c r="W1451" i="34"/>
  <c r="A1451" i="34"/>
  <c r="W1453" i="34"/>
  <c r="U1453" i="34"/>
  <c r="A1453" i="34"/>
  <c r="U1455" i="34"/>
  <c r="W1455" i="34"/>
  <c r="A1455" i="34"/>
  <c r="W1457" i="34"/>
  <c r="U1457" i="34"/>
  <c r="A1457" i="34"/>
  <c r="U1476" i="34"/>
  <c r="W1476" i="34"/>
  <c r="A1476" i="34"/>
  <c r="W1478" i="34"/>
  <c r="U1478" i="34"/>
  <c r="A1478" i="34"/>
  <c r="U1480" i="34"/>
  <c r="W1480" i="34"/>
  <c r="A1480" i="34"/>
  <c r="W1482" i="34"/>
  <c r="U1482" i="34"/>
  <c r="A1482" i="34"/>
  <c r="U1500" i="34"/>
  <c r="W1500" i="34"/>
  <c r="A1500" i="34"/>
  <c r="W1534" i="34"/>
  <c r="U1534" i="34"/>
  <c r="A1534" i="34"/>
  <c r="U1536" i="34"/>
  <c r="W1536" i="34"/>
  <c r="A1536" i="34"/>
  <c r="W1538" i="34"/>
  <c r="U1538" i="34"/>
  <c r="A1538" i="34"/>
  <c r="U1540" i="34"/>
  <c r="W1540" i="34"/>
  <c r="A1540" i="34"/>
  <c r="W1542" i="34"/>
  <c r="U1542" i="34"/>
  <c r="A1542" i="34"/>
  <c r="U1544" i="34"/>
  <c r="W1544" i="34"/>
  <c r="A1544" i="34"/>
  <c r="W1546" i="34"/>
  <c r="U1546" i="34"/>
  <c r="A1546" i="34"/>
  <c r="U1563" i="34"/>
  <c r="W1563" i="34"/>
  <c r="A1563" i="34"/>
  <c r="W1565" i="34"/>
  <c r="U1565" i="34"/>
  <c r="A1565" i="34"/>
  <c r="U1567" i="34"/>
  <c r="W1567" i="34"/>
  <c r="A1567" i="34"/>
  <c r="W1569" i="34"/>
  <c r="U1569" i="34"/>
  <c r="A1569" i="34"/>
  <c r="W1636" i="34"/>
  <c r="U1636" i="34"/>
  <c r="A1636" i="34"/>
  <c r="U1638" i="34"/>
  <c r="W1638" i="34"/>
  <c r="A1638" i="34"/>
  <c r="W1640" i="34"/>
  <c r="U1640" i="34"/>
  <c r="A1640" i="34"/>
  <c r="U1642" i="34"/>
  <c r="W1642" i="34"/>
  <c r="A1642" i="34"/>
  <c r="W1671" i="34"/>
  <c r="U1671" i="34"/>
  <c r="A1671" i="34"/>
  <c r="W1695" i="34"/>
  <c r="U1695" i="34"/>
  <c r="A1695" i="34"/>
  <c r="U1697" i="34"/>
  <c r="W1697" i="34"/>
  <c r="A1697" i="34"/>
  <c r="W1699" i="34"/>
  <c r="U1699" i="34"/>
  <c r="A1699" i="34"/>
  <c r="U1701" i="34"/>
  <c r="W1701" i="34"/>
  <c r="A1701" i="34"/>
  <c r="W1724" i="34"/>
  <c r="U1724" i="34"/>
  <c r="A1724" i="34"/>
  <c r="U1726" i="34"/>
  <c r="W1726" i="34"/>
  <c r="A1726" i="34"/>
  <c r="W1728" i="34"/>
  <c r="U1728" i="34"/>
  <c r="A1728" i="34"/>
  <c r="U1730" i="34"/>
  <c r="W1730" i="34"/>
  <c r="A1730" i="34"/>
  <c r="U1749" i="34"/>
  <c r="W1749" i="34"/>
  <c r="A1749" i="34"/>
  <c r="W1751" i="34"/>
  <c r="U1751" i="34"/>
  <c r="A1751" i="34"/>
  <c r="U1753" i="34"/>
  <c r="W1753" i="34"/>
  <c r="A1753" i="34"/>
  <c r="W1755" i="34"/>
  <c r="U1755" i="34"/>
  <c r="A1755" i="34"/>
  <c r="W1783" i="34"/>
  <c r="U1783" i="34"/>
  <c r="A1783" i="34"/>
  <c r="U1785" i="34"/>
  <c r="W1785" i="34"/>
  <c r="A1785" i="34"/>
  <c r="W1787" i="34"/>
  <c r="U1787" i="34"/>
  <c r="A1787" i="34"/>
  <c r="U1789" i="34"/>
  <c r="W1789" i="34"/>
  <c r="A1789" i="34"/>
  <c r="W1791" i="34"/>
  <c r="U1791" i="34"/>
  <c r="A1791" i="34"/>
  <c r="U1793" i="34"/>
  <c r="W1793" i="34"/>
  <c r="A1793" i="34"/>
  <c r="W1948" i="34"/>
  <c r="U1948" i="34"/>
  <c r="A1948" i="34"/>
  <c r="U1977" i="34"/>
  <c r="W1977" i="34"/>
  <c r="A1977" i="34"/>
  <c r="U1981" i="34"/>
  <c r="W1981" i="34"/>
  <c r="A1981" i="34"/>
  <c r="W2004" i="34"/>
  <c r="U2004" i="34"/>
  <c r="A2004" i="34"/>
  <c r="W2008" i="34"/>
  <c r="U2008" i="34"/>
  <c r="A2008" i="34"/>
  <c r="W2023" i="34"/>
  <c r="U2023" i="34"/>
  <c r="A2023" i="34"/>
  <c r="W1896" i="34"/>
  <c r="U1896" i="34"/>
  <c r="A1896" i="34"/>
  <c r="W1900" i="34"/>
  <c r="U1900" i="34"/>
  <c r="A1900" i="34"/>
  <c r="W1904" i="34"/>
  <c r="U1904" i="34"/>
  <c r="A1904" i="34"/>
  <c r="U1950" i="34"/>
  <c r="W1950" i="34"/>
  <c r="A1950" i="34"/>
  <c r="U1954" i="34"/>
  <c r="W1954" i="34"/>
  <c r="A1954" i="34"/>
  <c r="U1958" i="34"/>
  <c r="W1958" i="34"/>
  <c r="A1958" i="34"/>
  <c r="U1962" i="34"/>
  <c r="W1962" i="34"/>
  <c r="A1962" i="34"/>
  <c r="W1987" i="34"/>
  <c r="U1987" i="34"/>
  <c r="A1987" i="34"/>
  <c r="W1991" i="34"/>
  <c r="U1991" i="34"/>
  <c r="A1991" i="34"/>
  <c r="W2012" i="34"/>
  <c r="U2012" i="34"/>
  <c r="A2012" i="34"/>
  <c r="W2016" i="34"/>
  <c r="U2016" i="34"/>
  <c r="A2016" i="34"/>
  <c r="U2025" i="34"/>
  <c r="W2025" i="34"/>
  <c r="A2025" i="34"/>
  <c r="W1804" i="34"/>
  <c r="U1804" i="34"/>
  <c r="A1804" i="34"/>
  <c r="U1810" i="34"/>
  <c r="W1810" i="34"/>
  <c r="A1810" i="34"/>
  <c r="U1818" i="34"/>
  <c r="W1818" i="34"/>
  <c r="A1818" i="34"/>
  <c r="R1908" i="34"/>
  <c r="S1908" i="34"/>
  <c r="W1908" i="34"/>
  <c r="T1908" i="34"/>
  <c r="U1908" i="34"/>
  <c r="A1908" i="34"/>
  <c r="U1914" i="34"/>
  <c r="W1914" i="34"/>
  <c r="A1914" i="34"/>
  <c r="U1918" i="34"/>
  <c r="W1918" i="34"/>
  <c r="A1918" i="34"/>
  <c r="U2030" i="34"/>
  <c r="W2030" i="34"/>
  <c r="A2030" i="34"/>
  <c r="U1861" i="34"/>
  <c r="W1861" i="34"/>
  <c r="A1861" i="34"/>
  <c r="U1865" i="34"/>
  <c r="W1865" i="34"/>
  <c r="A1865" i="34"/>
  <c r="U1869" i="34"/>
  <c r="W1869" i="34"/>
  <c r="A1869" i="34"/>
  <c r="U1873" i="34"/>
  <c r="W1873" i="34"/>
  <c r="A1873" i="34"/>
  <c r="U1922" i="34"/>
  <c r="W1922" i="34"/>
  <c r="A1922" i="34"/>
  <c r="U1926" i="34"/>
  <c r="W1926" i="34"/>
  <c r="A1926" i="34"/>
  <c r="U1965" i="34"/>
  <c r="W1965" i="34"/>
  <c r="A1965" i="34"/>
  <c r="W2003" i="34"/>
  <c r="U2003" i="34"/>
  <c r="A2003" i="34"/>
  <c r="W1807" i="34"/>
  <c r="U1807" i="34"/>
  <c r="A1807" i="34"/>
  <c r="W1824" i="34"/>
  <c r="U1824" i="34"/>
  <c r="A1824" i="34"/>
  <c r="U1842" i="34"/>
  <c r="W1842" i="34"/>
  <c r="A1842" i="34"/>
  <c r="W1828" i="34"/>
  <c r="U1828" i="34"/>
  <c r="A1828" i="34"/>
  <c r="W1832" i="34"/>
  <c r="U1832" i="34"/>
  <c r="A1832" i="34"/>
  <c r="W1836" i="34"/>
  <c r="U1836" i="34"/>
  <c r="A1836" i="34"/>
  <c r="W1843" i="34"/>
  <c r="U1843" i="34"/>
  <c r="A1843" i="34"/>
  <c r="W1847" i="34"/>
  <c r="U1847" i="34"/>
  <c r="A1847" i="34"/>
  <c r="U1874" i="34"/>
  <c r="W1874" i="34"/>
  <c r="A1874" i="34"/>
  <c r="U1878" i="34"/>
  <c r="W1878" i="34"/>
  <c r="A1878" i="34"/>
  <c r="U1882" i="34"/>
  <c r="W1882" i="34"/>
  <c r="A1882" i="34"/>
  <c r="W1855" i="34"/>
  <c r="U1855" i="34"/>
  <c r="A1855" i="34"/>
  <c r="W1859" i="34"/>
  <c r="U1859" i="34"/>
  <c r="A1859" i="34"/>
  <c r="U1814" i="34"/>
  <c r="W1814" i="34"/>
  <c r="A1814" i="34"/>
  <c r="U1886" i="34"/>
  <c r="W1886" i="34"/>
  <c r="A1886" i="34"/>
  <c r="U1890" i="34"/>
  <c r="W1890" i="34"/>
  <c r="A1890" i="34"/>
  <c r="U1894" i="34"/>
  <c r="W1894" i="34"/>
  <c r="A1894" i="34"/>
  <c r="U1938" i="34"/>
  <c r="W1938" i="34"/>
  <c r="A1938" i="34"/>
  <c r="U1942" i="34"/>
  <c r="W1942" i="34"/>
  <c r="A1942" i="34"/>
  <c r="U1946" i="34"/>
  <c r="W1946" i="34"/>
  <c r="A1946" i="34"/>
  <c r="U1949" i="34"/>
  <c r="W1949" i="34"/>
  <c r="A1949" i="34"/>
  <c r="U1978" i="34"/>
  <c r="W1978" i="34"/>
  <c r="A1978" i="34"/>
  <c r="U1982" i="34"/>
  <c r="W1982" i="34"/>
  <c r="A1982" i="34"/>
  <c r="U2005" i="34"/>
  <c r="W2005" i="34"/>
  <c r="A2005" i="34"/>
  <c r="U2009" i="34"/>
  <c r="W2009" i="34"/>
  <c r="A2009" i="34"/>
  <c r="W2024" i="34"/>
  <c r="U2024" i="34"/>
  <c r="A2024" i="34"/>
  <c r="U1897" i="34"/>
  <c r="W1897" i="34"/>
  <c r="A1897" i="34"/>
  <c r="U1901" i="34"/>
  <c r="W1901" i="34"/>
  <c r="A1901" i="34"/>
  <c r="U1905" i="34"/>
  <c r="W1905" i="34"/>
  <c r="A1905" i="34"/>
  <c r="W1951" i="34"/>
  <c r="U1951" i="34"/>
  <c r="A1951" i="34"/>
  <c r="W1955" i="34"/>
  <c r="U1955" i="34"/>
  <c r="A1955" i="34"/>
  <c r="W1959" i="34"/>
  <c r="U1959" i="34"/>
  <c r="A1959" i="34"/>
  <c r="W1963" i="34"/>
  <c r="U1963" i="34"/>
  <c r="A1963" i="34"/>
  <c r="W1988" i="34"/>
  <c r="U1988" i="34"/>
  <c r="A1988" i="34"/>
  <c r="W1992" i="34"/>
  <c r="U1992" i="34"/>
  <c r="A1992" i="34"/>
  <c r="U2013" i="34"/>
  <c r="W2013" i="34"/>
  <c r="A2013" i="34"/>
  <c r="U2017" i="34"/>
  <c r="W2017" i="34"/>
  <c r="A2017" i="34"/>
  <c r="U2026" i="34"/>
  <c r="W2026" i="34"/>
  <c r="A2026" i="34"/>
  <c r="U2031" i="34"/>
  <c r="W2031" i="34"/>
  <c r="A2031" i="34"/>
  <c r="W1811" i="34"/>
  <c r="U1811" i="34"/>
  <c r="A1811" i="34"/>
  <c r="W1819" i="34"/>
  <c r="U1819" i="34"/>
  <c r="A1819" i="34"/>
  <c r="U1909" i="34"/>
  <c r="R1909" i="34"/>
  <c r="S1909" i="34"/>
  <c r="W1909" i="34"/>
  <c r="T1909" i="34"/>
  <c r="A1909" i="34"/>
  <c r="W1915" i="34"/>
  <c r="U1915" i="34"/>
  <c r="A1915" i="34"/>
  <c r="S2027" i="34"/>
  <c r="T2027" i="34"/>
  <c r="U2027" i="34"/>
  <c r="R2027" i="34"/>
  <c r="W2027" i="34"/>
  <c r="A2027" i="34"/>
  <c r="U2034" i="34"/>
  <c r="W2034" i="34"/>
  <c r="A2034" i="34"/>
  <c r="U1862" i="34"/>
  <c r="W1862" i="34"/>
  <c r="A1862" i="34"/>
  <c r="U1866" i="34"/>
  <c r="W1866" i="34"/>
  <c r="A1866" i="34"/>
  <c r="U1870" i="34"/>
  <c r="W1870" i="34"/>
  <c r="A1870" i="34"/>
  <c r="W1919" i="34"/>
  <c r="U1919" i="34"/>
  <c r="A1919" i="34"/>
  <c r="W1923" i="34"/>
  <c r="U1923" i="34"/>
  <c r="A1923" i="34"/>
  <c r="W1927" i="34"/>
  <c r="U1927" i="34"/>
  <c r="A1927" i="34"/>
  <c r="U1973" i="34"/>
  <c r="W1973" i="34"/>
  <c r="A1973" i="34"/>
  <c r="W2020" i="34"/>
  <c r="U2020" i="34"/>
  <c r="A2020" i="34"/>
  <c r="W1808" i="34"/>
  <c r="U1808" i="34"/>
  <c r="A1808" i="34"/>
  <c r="W1812" i="34"/>
  <c r="U1812" i="34"/>
  <c r="A1812" i="34"/>
  <c r="U1825" i="34"/>
  <c r="W1825" i="34"/>
  <c r="A1825" i="34"/>
  <c r="U1829" i="34"/>
  <c r="W1829" i="34"/>
  <c r="A1829" i="34"/>
  <c r="U1833" i="34"/>
  <c r="W1833" i="34"/>
  <c r="A1833" i="34"/>
  <c r="U1837" i="34"/>
  <c r="W1837" i="34"/>
  <c r="A1837" i="34"/>
  <c r="W1844" i="34"/>
  <c r="U1844" i="34"/>
  <c r="A1844" i="34"/>
  <c r="W1848" i="34"/>
  <c r="U1848" i="34"/>
  <c r="A1848" i="34"/>
  <c r="W1875" i="34"/>
  <c r="U1875" i="34"/>
  <c r="A1875" i="34"/>
  <c r="W1879" i="34"/>
  <c r="U1879" i="34"/>
  <c r="A1879" i="34"/>
  <c r="W1883" i="34"/>
  <c r="U1883" i="34"/>
  <c r="A1883" i="34"/>
  <c r="W1856" i="34"/>
  <c r="U1856" i="34"/>
  <c r="A1856" i="34"/>
  <c r="W1860" i="34"/>
  <c r="U1860" i="34"/>
  <c r="A1860" i="34"/>
  <c r="W1851" i="34"/>
  <c r="U1851" i="34"/>
  <c r="A1851" i="34"/>
  <c r="W1887" i="34"/>
  <c r="U1887" i="34"/>
  <c r="A1887" i="34"/>
  <c r="W1891" i="34"/>
  <c r="U1891" i="34"/>
  <c r="A1891" i="34"/>
  <c r="W1895" i="34"/>
  <c r="U1895" i="34"/>
  <c r="A1895" i="34"/>
  <c r="W1939" i="34"/>
  <c r="U1939" i="34"/>
  <c r="A1939" i="34"/>
  <c r="W1943" i="34"/>
  <c r="U1943" i="34"/>
  <c r="A1943" i="34"/>
  <c r="U1149" i="34"/>
  <c r="W1149" i="34"/>
  <c r="W1175" i="34"/>
  <c r="U1175" i="34"/>
  <c r="A1175" i="34"/>
  <c r="U1177" i="34"/>
  <c r="W1177" i="34"/>
  <c r="A1177" i="34"/>
  <c r="W1179" i="34"/>
  <c r="U1179" i="34"/>
  <c r="A1179" i="34"/>
  <c r="U1181" i="34"/>
  <c r="W1181" i="34"/>
  <c r="A1181" i="34"/>
  <c r="U1218" i="34"/>
  <c r="W1218" i="34"/>
  <c r="A1218" i="34"/>
  <c r="W1220" i="34"/>
  <c r="U1220" i="34"/>
  <c r="A1220" i="34"/>
  <c r="U1222" i="34"/>
  <c r="W1222" i="34"/>
  <c r="A1222" i="34"/>
  <c r="W1224" i="34"/>
  <c r="U1224" i="34"/>
  <c r="A1224" i="34"/>
  <c r="W1264" i="34"/>
  <c r="U1264" i="34"/>
  <c r="A1264" i="34"/>
  <c r="U1266" i="34"/>
  <c r="W1266" i="34"/>
  <c r="A1266" i="34"/>
  <c r="W1268" i="34"/>
  <c r="U1268" i="34"/>
  <c r="A1268" i="34"/>
  <c r="U1270" i="34"/>
  <c r="W1270" i="34"/>
  <c r="A1270" i="34"/>
  <c r="W1272" i="34"/>
  <c r="U1272" i="34"/>
  <c r="A1272" i="34"/>
  <c r="U1274" i="34"/>
  <c r="W1274" i="34"/>
  <c r="A1274" i="34"/>
  <c r="W1276" i="34"/>
  <c r="U1276" i="34"/>
  <c r="A1276" i="34"/>
  <c r="U1278" i="34"/>
  <c r="W1278" i="34"/>
  <c r="A1278" i="34"/>
  <c r="U1302" i="34"/>
  <c r="W1302" i="34"/>
  <c r="A1302" i="34"/>
  <c r="W1304" i="34"/>
  <c r="U1304" i="34"/>
  <c r="A1304" i="34"/>
  <c r="U1306" i="34"/>
  <c r="W1306" i="34"/>
  <c r="A1306" i="34"/>
  <c r="W1308" i="34"/>
  <c r="U1308" i="34"/>
  <c r="A1308" i="34"/>
  <c r="U1330" i="34"/>
  <c r="W1330" i="34"/>
  <c r="A1330" i="34"/>
  <c r="W1332" i="34"/>
  <c r="U1332" i="34"/>
  <c r="A1332" i="34"/>
  <c r="U1334" i="34"/>
  <c r="W1334" i="34"/>
  <c r="A1334" i="34"/>
  <c r="W1336" i="34"/>
  <c r="U1336" i="34"/>
  <c r="A1336" i="34"/>
  <c r="U1350" i="34"/>
  <c r="W1350" i="34"/>
  <c r="A1350" i="34"/>
  <c r="W1352" i="34"/>
  <c r="U1352" i="34"/>
  <c r="A1352" i="34"/>
  <c r="U1354" i="34"/>
  <c r="W1354" i="34"/>
  <c r="A1354" i="34"/>
  <c r="W1364" i="34"/>
  <c r="U1364" i="34"/>
  <c r="A1364" i="34"/>
  <c r="W1369" i="34"/>
  <c r="U1369" i="34"/>
  <c r="A1369" i="34"/>
  <c r="W1450" i="34"/>
  <c r="U1450" i="34"/>
  <c r="A1450" i="34"/>
  <c r="U1452" i="34"/>
  <c r="W1452" i="34"/>
  <c r="A1452" i="34"/>
  <c r="W1454" i="34"/>
  <c r="U1454" i="34"/>
  <c r="A1454" i="34"/>
  <c r="U1456" i="34"/>
  <c r="W1456" i="34"/>
  <c r="A1456" i="34"/>
  <c r="W1458" i="34"/>
  <c r="U1458" i="34"/>
  <c r="A1458" i="34"/>
  <c r="W1477" i="34"/>
  <c r="U1477" i="34"/>
  <c r="A1477" i="34"/>
  <c r="U1479" i="34"/>
  <c r="W1479" i="34"/>
  <c r="A1479" i="34"/>
  <c r="W1481" i="34"/>
  <c r="U1481" i="34"/>
  <c r="A1481" i="34"/>
  <c r="U1483" i="34"/>
  <c r="W1483" i="34"/>
  <c r="A1483" i="34"/>
  <c r="W1533" i="34"/>
  <c r="U1533" i="34"/>
  <c r="A1533" i="34"/>
  <c r="U1535" i="34"/>
  <c r="W1535" i="34"/>
  <c r="A1535" i="34"/>
  <c r="W1537" i="34"/>
  <c r="U1537" i="34"/>
  <c r="A1537" i="34"/>
  <c r="U1539" i="34"/>
  <c r="W1539" i="34"/>
  <c r="A1539" i="34"/>
  <c r="W1541" i="34"/>
  <c r="U1541" i="34"/>
  <c r="A1541" i="34"/>
  <c r="U1543" i="34"/>
  <c r="W1543" i="34"/>
  <c r="A1543" i="34"/>
  <c r="W1545" i="34"/>
  <c r="U1545" i="34"/>
  <c r="A1545" i="34"/>
  <c r="U1547" i="34"/>
  <c r="W1547" i="34"/>
  <c r="A1547" i="34"/>
  <c r="U1564" i="34"/>
  <c r="W1564" i="34"/>
  <c r="A1564" i="34"/>
  <c r="W1566" i="34"/>
  <c r="U1566" i="34"/>
  <c r="A1566" i="34"/>
  <c r="U1568" i="34"/>
  <c r="W1568" i="34"/>
  <c r="A1568" i="34"/>
  <c r="W1601" i="34"/>
  <c r="U1601" i="34"/>
  <c r="A1601" i="34"/>
  <c r="W1637" i="34"/>
  <c r="U1637" i="34"/>
  <c r="A1637" i="34"/>
  <c r="W1639" i="34"/>
  <c r="U1639" i="34"/>
  <c r="A1639" i="34"/>
  <c r="U1641" i="34"/>
  <c r="W1641" i="34"/>
  <c r="A1641" i="34"/>
  <c r="W1643" i="34"/>
  <c r="U1643" i="34"/>
  <c r="A1643" i="34"/>
  <c r="U1694" i="34"/>
  <c r="W1694" i="34"/>
  <c r="A1694" i="34"/>
  <c r="W1696" i="34"/>
  <c r="U1696" i="34"/>
  <c r="A1696" i="34"/>
  <c r="U1698" i="34"/>
  <c r="W1698" i="34"/>
  <c r="A1698" i="34"/>
  <c r="W1700" i="34"/>
  <c r="U1700" i="34"/>
  <c r="A1700" i="34"/>
  <c r="U1702" i="34"/>
  <c r="W1702" i="34"/>
  <c r="A1702" i="34"/>
  <c r="U1725" i="34"/>
  <c r="W1725" i="34"/>
  <c r="A1725" i="34"/>
  <c r="W1727" i="34"/>
  <c r="U1727" i="34"/>
  <c r="A1727" i="34"/>
  <c r="U1729" i="34"/>
  <c r="W1729" i="34"/>
  <c r="A1729" i="34"/>
  <c r="W1731" i="34"/>
  <c r="U1731" i="34"/>
  <c r="A1731" i="34"/>
  <c r="U1750" i="34"/>
  <c r="W1750" i="34"/>
  <c r="A1750" i="34"/>
  <c r="W1752" i="34"/>
  <c r="U1752" i="34"/>
  <c r="A1752" i="34"/>
  <c r="U1754" i="34"/>
  <c r="W1754" i="34"/>
  <c r="A1754" i="34"/>
  <c r="W1756" i="34"/>
  <c r="U1756" i="34"/>
  <c r="A1756" i="34"/>
  <c r="W1784" i="34"/>
  <c r="U1784" i="34"/>
  <c r="A1784" i="34"/>
  <c r="U1786" i="34"/>
  <c r="W1786" i="34"/>
  <c r="A1786" i="34"/>
  <c r="W1788" i="34"/>
  <c r="U1788" i="34"/>
  <c r="A1788" i="34"/>
  <c r="U1790" i="34"/>
  <c r="W1790" i="34"/>
  <c r="A1790" i="34"/>
  <c r="W1792" i="34"/>
  <c r="U1792" i="34"/>
  <c r="A1792" i="34"/>
  <c r="W1975" i="34"/>
  <c r="U1975" i="34"/>
  <c r="A1975" i="34"/>
  <c r="W1979" i="34"/>
  <c r="U1979" i="34"/>
  <c r="A1979" i="34"/>
  <c r="W1983" i="34"/>
  <c r="U1983" i="34"/>
  <c r="A1983" i="34"/>
  <c r="U2006" i="34"/>
  <c r="W2006" i="34"/>
  <c r="A2006" i="34"/>
  <c r="U2010" i="34"/>
  <c r="W2010" i="34"/>
  <c r="A2010" i="34"/>
  <c r="W1815" i="34"/>
  <c r="U1815" i="34"/>
  <c r="A1815" i="34"/>
  <c r="U1898" i="34"/>
  <c r="W1898" i="34"/>
  <c r="A1898" i="34"/>
  <c r="U1902" i="34"/>
  <c r="W1902" i="34"/>
  <c r="A1902" i="34"/>
  <c r="U1906" i="34"/>
  <c r="W1906" i="34"/>
  <c r="A1906" i="34"/>
  <c r="W1952" i="34"/>
  <c r="U1952" i="34"/>
  <c r="A1952" i="34"/>
  <c r="W1956" i="34"/>
  <c r="U1956" i="34"/>
  <c r="A1956" i="34"/>
  <c r="W1960" i="34"/>
  <c r="U1960" i="34"/>
  <c r="A1960" i="34"/>
  <c r="U1985" i="34"/>
  <c r="W1985" i="34"/>
  <c r="A1985" i="34"/>
  <c r="U1989" i="34"/>
  <c r="W1989" i="34"/>
  <c r="A1989" i="34"/>
  <c r="U1993" i="34"/>
  <c r="W1993" i="34"/>
  <c r="A1993" i="34"/>
  <c r="U2014" i="34"/>
  <c r="W2014" i="34"/>
  <c r="A2014" i="34"/>
  <c r="U2018" i="34"/>
  <c r="W2018" i="34"/>
  <c r="A2018" i="34"/>
  <c r="W2033" i="34"/>
  <c r="U2033" i="34"/>
  <c r="A2033" i="34"/>
  <c r="R1816" i="34"/>
  <c r="S1816" i="34"/>
  <c r="W1816" i="34"/>
  <c r="T1816" i="34"/>
  <c r="U1816" i="34"/>
  <c r="A1816" i="34"/>
  <c r="W1820" i="34"/>
  <c r="U1820" i="34"/>
  <c r="A1820" i="34"/>
  <c r="T1910" i="34"/>
  <c r="U1910" i="34"/>
  <c r="R1910" i="34"/>
  <c r="S1910" i="34"/>
  <c r="W1910" i="34"/>
  <c r="A1910" i="34"/>
  <c r="W1916" i="34"/>
  <c r="U1916" i="34"/>
  <c r="A1916" i="34"/>
  <c r="S2028" i="34"/>
  <c r="W2028" i="34"/>
  <c r="T2028" i="34"/>
  <c r="U2028" i="34"/>
  <c r="R2028" i="34"/>
  <c r="A2028" i="34"/>
  <c r="W1863" i="34"/>
  <c r="U1863" i="34"/>
  <c r="A1863" i="34"/>
  <c r="W1867" i="34"/>
  <c r="U1867" i="34"/>
  <c r="A1867" i="34"/>
  <c r="W1871" i="34"/>
  <c r="U1871" i="34"/>
  <c r="A1871" i="34"/>
  <c r="W1920" i="34"/>
  <c r="U1920" i="34"/>
  <c r="A1920" i="34"/>
  <c r="W1924" i="34"/>
  <c r="U1924" i="34"/>
  <c r="A1924" i="34"/>
  <c r="W1928" i="34"/>
  <c r="U1928" i="34"/>
  <c r="A1928" i="34"/>
  <c r="U2001" i="34"/>
  <c r="W2001" i="34"/>
  <c r="A2001" i="34"/>
  <c r="U2021" i="34"/>
  <c r="W2021" i="34"/>
  <c r="A2021" i="34"/>
  <c r="U1822" i="34"/>
  <c r="W1822" i="34"/>
  <c r="A1822" i="34"/>
  <c r="U1813" i="34"/>
  <c r="W1813" i="34"/>
  <c r="A1813" i="34"/>
  <c r="U1826" i="34"/>
  <c r="W1826" i="34"/>
  <c r="A1826" i="34"/>
  <c r="U1830" i="34"/>
  <c r="W1830" i="34"/>
  <c r="A1830" i="34"/>
  <c r="U1834" i="34"/>
  <c r="W1834" i="34"/>
  <c r="A1834" i="34"/>
  <c r="U1838" i="34"/>
  <c r="W1838" i="34"/>
  <c r="A1838" i="34"/>
  <c r="U1845" i="34"/>
  <c r="W1845" i="34"/>
  <c r="A1845" i="34"/>
  <c r="U1849" i="34"/>
  <c r="W1849" i="34"/>
  <c r="A1849" i="34"/>
  <c r="W1876" i="34"/>
  <c r="U1876" i="34"/>
  <c r="A1876" i="34"/>
  <c r="W1880" i="34"/>
  <c r="U1880" i="34"/>
  <c r="A1880" i="34"/>
  <c r="U1853" i="34"/>
  <c r="W1853" i="34"/>
  <c r="A1853" i="34"/>
  <c r="U1857" i="34"/>
  <c r="W1857" i="34"/>
  <c r="A1857" i="34"/>
  <c r="U1934" i="34"/>
  <c r="W1934" i="34"/>
  <c r="A1934" i="34"/>
  <c r="W1884" i="34"/>
  <c r="U1884" i="34"/>
  <c r="A1884" i="34"/>
  <c r="W1888" i="34"/>
  <c r="U1888" i="34"/>
  <c r="A1888" i="34"/>
  <c r="W1892" i="34"/>
  <c r="U1892" i="34"/>
  <c r="A1892" i="34"/>
  <c r="W1936" i="34"/>
  <c r="U1936" i="34"/>
  <c r="A1936" i="34"/>
  <c r="W1940" i="34"/>
  <c r="U1940" i="34"/>
  <c r="A1940" i="34"/>
  <c r="W1944" i="34"/>
  <c r="U1944" i="34"/>
  <c r="A1944" i="34"/>
  <c r="B1072" i="34" l="1"/>
  <c r="A1072" i="34" s="1"/>
  <c r="B1023" i="34"/>
  <c r="A1023" i="34" s="1"/>
  <c r="B1022" i="34"/>
  <c r="A1022" i="34" s="1"/>
  <c r="B1021" i="34"/>
  <c r="A1021" i="34" s="1"/>
  <c r="B1020" i="34"/>
  <c r="A1020" i="34" s="1"/>
  <c r="B1019" i="34"/>
  <c r="A1019" i="34" s="1"/>
  <c r="B1018" i="34"/>
  <c r="A1018" i="34" s="1"/>
  <c r="B1017" i="34"/>
  <c r="A1017" i="34" s="1"/>
  <c r="B1016" i="34"/>
  <c r="A1016" i="34" s="1"/>
  <c r="B1015" i="34"/>
  <c r="A1015" i="34" s="1"/>
  <c r="B1014" i="34"/>
  <c r="A1014" i="34" s="1"/>
  <c r="B1013" i="34"/>
  <c r="A1013" i="34" s="1"/>
  <c r="B1012" i="34"/>
  <c r="A1012" i="34" s="1"/>
  <c r="B1011" i="34"/>
  <c r="A1011" i="34" s="1"/>
  <c r="B1010" i="34"/>
  <c r="A1010" i="34" s="1"/>
  <c r="B1009" i="34"/>
  <c r="A1009" i="34" s="1"/>
  <c r="B1008" i="34"/>
  <c r="A1008" i="34" s="1"/>
  <c r="B1007" i="34"/>
  <c r="A1007" i="34" s="1"/>
  <c r="B1006" i="34"/>
  <c r="A1006" i="34" s="1"/>
  <c r="B1005" i="34"/>
  <c r="A1005" i="34" s="1"/>
  <c r="B1004" i="34"/>
  <c r="A1004" i="34" s="1"/>
  <c r="B1003" i="34"/>
  <c r="A1003" i="34" s="1"/>
  <c r="B1002" i="34"/>
  <c r="A1002" i="34" s="1"/>
  <c r="B1001" i="34"/>
  <c r="A1001" i="34" s="1"/>
  <c r="B1000" i="34"/>
  <c r="A1000" i="34" s="1"/>
  <c r="B999" i="34"/>
  <c r="A999" i="34" s="1"/>
  <c r="B998" i="34"/>
  <c r="A998" i="34" s="1"/>
  <c r="B997" i="34"/>
  <c r="A997" i="34" s="1"/>
  <c r="B996" i="34"/>
  <c r="A996" i="34" s="1"/>
  <c r="B995" i="34"/>
  <c r="A995" i="34" s="1"/>
  <c r="B994" i="34"/>
  <c r="A994" i="34" s="1"/>
  <c r="B993" i="34"/>
  <c r="A993" i="34" s="1"/>
  <c r="B992" i="34"/>
  <c r="A992" i="34" s="1"/>
  <c r="B991" i="34"/>
  <c r="A991" i="34" s="1"/>
  <c r="B990" i="34"/>
  <c r="A990" i="34" s="1"/>
  <c r="B989" i="34"/>
  <c r="A989" i="34" s="1"/>
  <c r="B988" i="34"/>
  <c r="A988" i="34" s="1"/>
  <c r="B987" i="34"/>
  <c r="A987" i="34" s="1"/>
  <c r="B986" i="34"/>
  <c r="A986" i="34" s="1"/>
  <c r="B985" i="34"/>
  <c r="A985" i="34" s="1"/>
  <c r="B984" i="34"/>
  <c r="A984" i="34" s="1"/>
  <c r="B983" i="34"/>
  <c r="A983" i="34" s="1"/>
  <c r="B982" i="34"/>
  <c r="A982" i="34" s="1"/>
  <c r="B981" i="34"/>
  <c r="A981" i="34" s="1"/>
  <c r="B980" i="34"/>
  <c r="A980" i="34" s="1"/>
  <c r="B979" i="34"/>
  <c r="A979" i="34" s="1"/>
  <c r="B978" i="34"/>
  <c r="A978" i="34" s="1"/>
  <c r="B977" i="34"/>
  <c r="A977" i="34" s="1"/>
  <c r="B976" i="34"/>
  <c r="A976" i="34" s="1"/>
  <c r="B975" i="34"/>
  <c r="A975" i="34" s="1"/>
  <c r="B974" i="34"/>
  <c r="A974" i="34" s="1"/>
  <c r="B973" i="34"/>
  <c r="A973" i="34" s="1"/>
  <c r="B972" i="34"/>
  <c r="A972" i="34" s="1"/>
  <c r="B971" i="34"/>
  <c r="A971" i="34" s="1"/>
  <c r="B970" i="34"/>
  <c r="A970" i="34" s="1"/>
  <c r="B969" i="34"/>
  <c r="A969" i="34" s="1"/>
  <c r="B968" i="34"/>
  <c r="A968" i="34" s="1"/>
  <c r="B967" i="34"/>
  <c r="A967" i="34" s="1"/>
  <c r="B966" i="34"/>
  <c r="A966" i="34" s="1"/>
  <c r="B965" i="34"/>
  <c r="A965" i="34" s="1"/>
  <c r="B964" i="34"/>
  <c r="A964" i="34" s="1"/>
  <c r="B963" i="34"/>
  <c r="A963" i="34" s="1"/>
  <c r="B962" i="34"/>
  <c r="A962" i="34" s="1"/>
  <c r="B961" i="34"/>
  <c r="A961" i="34" s="1"/>
  <c r="B960" i="34"/>
  <c r="A960" i="34" s="1"/>
  <c r="B959" i="34"/>
  <c r="A959" i="34" s="1"/>
  <c r="B958" i="34"/>
  <c r="A958" i="34" s="1"/>
  <c r="B957" i="34"/>
  <c r="A957" i="34" s="1"/>
  <c r="B956" i="34"/>
  <c r="A956" i="34" s="1"/>
  <c r="B955" i="34"/>
  <c r="A955" i="34" s="1"/>
  <c r="B954" i="34"/>
  <c r="A954" i="34" s="1"/>
  <c r="B953" i="34"/>
  <c r="A953" i="34" s="1"/>
  <c r="B952" i="34"/>
  <c r="A952" i="34" s="1"/>
  <c r="B951" i="34"/>
  <c r="A951" i="34" s="1"/>
  <c r="B950" i="34"/>
  <c r="A950" i="34" s="1"/>
  <c r="B949" i="34"/>
  <c r="A949" i="34" s="1"/>
  <c r="B948" i="34"/>
  <c r="A948" i="34" s="1"/>
  <c r="B947" i="34"/>
  <c r="A947" i="34" s="1"/>
  <c r="B946" i="34"/>
  <c r="A946" i="34" s="1"/>
  <c r="B613" i="34"/>
  <c r="A613" i="34" s="1"/>
  <c r="B612" i="34"/>
  <c r="A612" i="34" s="1"/>
  <c r="B604" i="34"/>
  <c r="A604" i="34" s="1"/>
  <c r="B603" i="34"/>
  <c r="A603" i="34" s="1"/>
  <c r="B602" i="34"/>
  <c r="A602" i="34" s="1"/>
  <c r="B538" i="34"/>
  <c r="A538" i="34" s="1"/>
  <c r="B537" i="34"/>
  <c r="A537" i="34" s="1"/>
  <c r="B536" i="34"/>
  <c r="A536" i="34" s="1"/>
  <c r="B535" i="34"/>
  <c r="A535" i="34" s="1"/>
  <c r="B534" i="34"/>
  <c r="A534" i="34" s="1"/>
  <c r="B533" i="34"/>
  <c r="A533" i="34" s="1"/>
  <c r="B532" i="34"/>
  <c r="A532" i="34" s="1"/>
  <c r="B531" i="34"/>
  <c r="A531" i="34" s="1"/>
  <c r="B530" i="34"/>
  <c r="A530" i="34" s="1"/>
  <c r="B529" i="34"/>
  <c r="A529" i="34" s="1"/>
  <c r="B528" i="34"/>
  <c r="A528" i="34" s="1"/>
  <c r="B527" i="34"/>
  <c r="A527" i="34" s="1"/>
  <c r="B526" i="34"/>
  <c r="A526" i="34" s="1"/>
  <c r="B525" i="34"/>
  <c r="A525" i="34" s="1"/>
  <c r="B524" i="34"/>
  <c r="A524" i="34" s="1"/>
  <c r="B523" i="34"/>
  <c r="A523" i="34" s="1"/>
  <c r="B522" i="34"/>
  <c r="A522" i="34" s="1"/>
  <c r="B521" i="34"/>
  <c r="A521" i="34" s="1"/>
  <c r="B520" i="34"/>
  <c r="A520" i="34" s="1"/>
  <c r="B519" i="34"/>
  <c r="A519" i="34" s="1"/>
  <c r="B518" i="34"/>
  <c r="A518" i="34" s="1"/>
  <c r="B517" i="34"/>
  <c r="A517" i="34" s="1"/>
  <c r="B516" i="34"/>
  <c r="A516" i="34" s="1"/>
  <c r="B515" i="34"/>
  <c r="A515" i="34" s="1"/>
  <c r="B514" i="34"/>
  <c r="A514" i="34" s="1"/>
  <c r="B513" i="34"/>
  <c r="A513" i="34" s="1"/>
  <c r="B512" i="34"/>
  <c r="A512" i="34" s="1"/>
  <c r="B511" i="34"/>
  <c r="A511" i="34" s="1"/>
  <c r="B510" i="34"/>
  <c r="A510" i="34" s="1"/>
  <c r="B509" i="34"/>
  <c r="A509" i="34" s="1"/>
  <c r="B508" i="34"/>
  <c r="A508" i="34" s="1"/>
  <c r="B507" i="34"/>
  <c r="A507" i="34" s="1"/>
  <c r="B506" i="34"/>
  <c r="A506" i="34" s="1"/>
  <c r="B505" i="34"/>
  <c r="A505" i="34" s="1"/>
  <c r="B504" i="34"/>
  <c r="A504" i="34" s="1"/>
  <c r="B503" i="34"/>
  <c r="A503" i="34" s="1"/>
  <c r="B502" i="34"/>
  <c r="A502" i="34" s="1"/>
  <c r="B501" i="34"/>
  <c r="A501" i="34" s="1"/>
  <c r="B500" i="34"/>
  <c r="A500" i="34" s="1"/>
  <c r="B499" i="34"/>
  <c r="A499" i="34" s="1"/>
  <c r="B498" i="34"/>
  <c r="A498" i="34" s="1"/>
  <c r="B497" i="34"/>
  <c r="A497" i="34" s="1"/>
  <c r="B496" i="34"/>
  <c r="A496" i="34" s="1"/>
  <c r="B495" i="34"/>
  <c r="A495" i="34" s="1"/>
  <c r="B1083" i="34"/>
  <c r="A1083" i="34" s="1"/>
  <c r="B1084" i="34"/>
  <c r="A1084" i="34" s="1"/>
  <c r="B1085" i="34"/>
  <c r="A1085" i="34" s="1"/>
  <c r="B1086" i="34"/>
  <c r="A1086" i="34" s="1"/>
  <c r="B1087" i="34"/>
  <c r="A1087" i="34" s="1"/>
  <c r="B1088" i="34"/>
  <c r="A1088" i="34" s="1"/>
  <c r="B1089" i="34"/>
  <c r="A1089" i="34" s="1"/>
  <c r="B1090" i="34"/>
  <c r="A1090" i="34" s="1"/>
  <c r="B1091" i="34"/>
  <c r="A1091" i="34" s="1"/>
  <c r="B1092" i="34"/>
  <c r="A1092" i="34" s="1"/>
  <c r="B1093" i="34"/>
  <c r="A1093" i="34" s="1"/>
  <c r="B1094" i="34"/>
  <c r="A1094" i="34" s="1"/>
  <c r="B1095" i="34"/>
  <c r="A1095" i="34" s="1"/>
  <c r="B1096" i="34"/>
  <c r="A1096" i="34" s="1"/>
  <c r="B1104" i="34"/>
  <c r="A1104" i="34" s="1"/>
  <c r="B1105" i="34"/>
  <c r="A1105" i="34" s="1"/>
  <c r="B1106" i="34"/>
  <c r="A1106" i="34" s="1"/>
  <c r="B1107" i="34"/>
  <c r="A1107" i="34" s="1"/>
  <c r="B1108" i="34"/>
  <c r="A1108" i="34" s="1"/>
  <c r="B1109" i="34"/>
  <c r="A1109" i="34" s="1"/>
  <c r="B1110" i="34"/>
  <c r="A1110" i="34" s="1"/>
  <c r="B1111" i="34"/>
  <c r="A1111" i="34" s="1"/>
  <c r="B1125" i="34"/>
  <c r="A1125" i="34" s="1"/>
  <c r="B1126" i="34"/>
  <c r="A1126" i="34" s="1"/>
  <c r="B1127" i="34"/>
  <c r="A1127" i="34" s="1"/>
  <c r="B1128" i="34"/>
  <c r="A1128" i="34" s="1"/>
  <c r="B1129" i="34"/>
  <c r="A1129" i="34" s="1"/>
  <c r="B1130" i="34"/>
  <c r="A1130" i="34" s="1"/>
  <c r="B1131" i="34"/>
  <c r="A1131" i="34" s="1"/>
  <c r="B1132" i="34"/>
  <c r="A1132" i="34" s="1"/>
  <c r="B1133" i="34"/>
  <c r="A1133" i="34" s="1"/>
  <c r="B1134" i="34"/>
  <c r="A1134" i="34" s="1"/>
  <c r="B1161" i="34"/>
  <c r="A1161" i="34" s="1"/>
  <c r="B1162" i="34"/>
  <c r="A1162" i="34" s="1"/>
  <c r="B1163" i="34"/>
  <c r="A1163" i="34" s="1"/>
  <c r="B1164" i="34"/>
  <c r="A1164" i="34" s="1"/>
  <c r="B1165" i="34"/>
  <c r="A1165" i="34" s="1"/>
  <c r="B1166" i="34"/>
  <c r="A1166" i="34" s="1"/>
  <c r="B1185" i="34"/>
  <c r="B1186" i="34"/>
  <c r="B1187" i="34"/>
  <c r="B1188" i="34"/>
  <c r="B1189" i="34"/>
  <c r="B1190" i="34"/>
  <c r="B1191" i="34"/>
  <c r="B1192" i="34"/>
  <c r="B1202" i="34"/>
  <c r="B1203" i="34"/>
  <c r="B1204" i="34"/>
  <c r="B1205" i="34"/>
  <c r="B1206" i="34"/>
  <c r="B1207" i="34"/>
  <c r="B1208" i="34"/>
  <c r="B1209" i="34"/>
  <c r="B1289" i="34"/>
  <c r="B1290" i="34"/>
  <c r="B1291" i="34"/>
  <c r="B1292" i="34"/>
  <c r="B1293" i="34"/>
  <c r="B1319" i="34"/>
  <c r="B1320" i="34"/>
  <c r="B1321" i="34"/>
  <c r="B1344" i="34"/>
  <c r="B1375" i="34"/>
  <c r="B1381" i="34"/>
  <c r="B1382" i="34"/>
  <c r="B1383" i="34"/>
  <c r="B1384" i="34"/>
  <c r="B1385" i="34"/>
  <c r="B1386" i="34"/>
  <c r="B1387" i="34"/>
  <c r="B1388" i="34"/>
  <c r="B1389" i="34"/>
  <c r="B1392" i="34"/>
  <c r="B1393" i="34"/>
  <c r="B1394" i="34"/>
  <c r="B1395" i="34"/>
  <c r="B1396" i="34"/>
  <c r="B1397" i="34"/>
  <c r="B1398" i="34"/>
  <c r="B1399" i="34"/>
  <c r="B1410" i="34"/>
  <c r="B1411" i="34"/>
  <c r="B1412" i="34"/>
  <c r="B1413" i="34"/>
  <c r="B1414" i="34"/>
  <c r="B1415" i="34"/>
  <c r="B1416" i="34"/>
  <c r="B1417" i="34"/>
  <c r="B1418" i="34"/>
  <c r="B1419" i="34"/>
  <c r="B1420" i="34"/>
  <c r="B1421" i="34"/>
  <c r="B1422" i="34"/>
  <c r="B1423" i="34"/>
  <c r="B1424" i="34"/>
  <c r="B1425" i="34"/>
  <c r="B1488" i="34"/>
  <c r="B1489" i="34"/>
  <c r="B1490" i="34"/>
  <c r="B1491" i="34"/>
  <c r="B1492" i="34"/>
  <c r="B1493" i="34"/>
  <c r="B1494" i="34"/>
  <c r="B1573" i="34"/>
  <c r="B1574" i="34"/>
  <c r="B1575" i="34"/>
  <c r="B1576" i="34"/>
  <c r="B1577" i="34"/>
  <c r="B1578" i="34"/>
  <c r="B1579" i="34"/>
  <c r="B1580" i="34"/>
  <c r="B1581" i="34"/>
  <c r="B1583" i="34"/>
  <c r="B1584" i="34"/>
  <c r="B1585" i="34"/>
  <c r="B1586" i="34"/>
  <c r="B1587" i="34"/>
  <c r="B1588" i="34"/>
  <c r="B1589" i="34"/>
  <c r="B1590" i="34"/>
  <c r="B1591" i="34"/>
  <c r="B1592" i="34"/>
  <c r="B1593" i="34"/>
  <c r="B1611" i="34"/>
  <c r="B1612" i="34"/>
  <c r="B1613" i="34"/>
  <c r="B1614" i="34"/>
  <c r="B1615" i="34"/>
  <c r="B1616" i="34"/>
  <c r="B1617" i="34"/>
  <c r="B1618" i="34"/>
  <c r="B1648" i="34"/>
  <c r="B1649" i="34"/>
  <c r="B1650" i="34"/>
  <c r="B1651" i="34"/>
  <c r="B1652" i="34"/>
  <c r="B1653" i="34"/>
  <c r="B1654" i="34"/>
  <c r="B1655" i="34"/>
  <c r="B1663" i="34"/>
  <c r="B1664" i="34"/>
  <c r="B1665" i="34"/>
  <c r="B1666" i="34"/>
  <c r="B1667" i="34"/>
  <c r="B1668" i="34"/>
  <c r="B1669" i="34"/>
  <c r="B1712" i="34"/>
  <c r="B1713" i="34"/>
  <c r="B1714" i="34"/>
  <c r="B1082" i="34"/>
  <c r="A1082" i="34" s="1"/>
  <c r="B1168" i="34"/>
  <c r="A1168" i="34" s="1"/>
  <c r="B1167" i="34"/>
  <c r="A1167" i="34" s="1"/>
  <c r="B1142" i="34"/>
  <c r="A1142" i="34" s="1"/>
  <c r="B1141" i="34"/>
  <c r="A1141" i="34" s="1"/>
  <c r="B1140" i="34"/>
  <c r="A1140" i="34" s="1"/>
  <c r="B1139" i="34"/>
  <c r="A1139" i="34" s="1"/>
  <c r="B1138" i="34"/>
  <c r="A1138" i="34" s="1"/>
  <c r="B1137" i="34"/>
  <c r="A1137" i="34" s="1"/>
  <c r="B1136" i="34"/>
  <c r="A1136" i="34" s="1"/>
  <c r="B1135" i="34"/>
  <c r="A1135" i="34" s="1"/>
  <c r="B1715" i="34"/>
  <c r="B1260" i="34"/>
  <c r="B1259" i="34"/>
  <c r="B1258" i="34"/>
  <c r="B1257" i="34"/>
  <c r="B1256" i="34"/>
  <c r="B1255" i="34"/>
  <c r="B1254" i="34"/>
  <c r="B1253" i="34"/>
  <c r="B1252" i="34"/>
  <c r="B1251" i="34"/>
  <c r="B1250" i="34"/>
  <c r="B1249" i="34"/>
  <c r="B1248" i="34"/>
  <c r="B1217" i="34"/>
  <c r="B1216" i="34"/>
  <c r="B1215" i="34"/>
  <c r="B1214" i="34"/>
  <c r="B1213" i="34"/>
  <c r="B1212" i="34"/>
  <c r="B1211" i="34"/>
  <c r="B1210" i="34"/>
  <c r="B1174" i="34"/>
  <c r="B1173" i="34"/>
  <c r="B1172" i="34"/>
  <c r="B1171" i="34"/>
  <c r="B1170" i="34"/>
  <c r="A1170" i="34" s="1"/>
  <c r="B1169" i="34"/>
  <c r="A1169" i="34" s="1"/>
  <c r="B1362" i="34"/>
  <c r="B1361" i="34"/>
  <c r="B1360" i="34"/>
  <c r="B1349" i="34"/>
  <c r="B1348" i="34"/>
  <c r="B1347" i="34"/>
  <c r="B1346" i="34"/>
  <c r="B1345" i="34"/>
  <c r="B1329" i="34"/>
  <c r="B1328" i="34"/>
  <c r="B1327" i="34"/>
  <c r="B1326" i="34"/>
  <c r="B1325" i="34"/>
  <c r="B1324" i="34"/>
  <c r="B1323" i="34"/>
  <c r="B1322" i="34"/>
  <c r="B1301" i="34"/>
  <c r="B1300" i="34"/>
  <c r="B1299" i="34"/>
  <c r="B1298" i="34"/>
  <c r="B1297" i="34"/>
  <c r="B1296" i="34"/>
  <c r="B1295" i="34"/>
  <c r="B1294" i="34"/>
  <c r="B1263" i="34"/>
  <c r="B1262" i="34"/>
  <c r="B1261" i="34"/>
  <c r="B1524" i="34"/>
  <c r="B1523" i="34"/>
  <c r="B1522" i="34"/>
  <c r="B1521" i="34"/>
  <c r="B1520" i="34"/>
  <c r="B1519" i="34"/>
  <c r="B1518" i="34"/>
  <c r="B1499" i="34"/>
  <c r="B1475" i="34"/>
  <c r="B1474" i="34"/>
  <c r="B1473" i="34"/>
  <c r="B1472" i="34"/>
  <c r="B1471" i="34"/>
  <c r="B1470" i="34"/>
  <c r="B1469" i="34"/>
  <c r="B1468" i="34"/>
  <c r="B1449" i="34"/>
  <c r="B1448" i="34"/>
  <c r="B1447" i="34"/>
  <c r="B1446" i="34"/>
  <c r="B1445" i="34"/>
  <c r="B1444" i="34"/>
  <c r="B1443" i="34"/>
  <c r="B1442" i="34"/>
  <c r="B1441" i="34"/>
  <c r="B1403" i="34"/>
  <c r="B1368" i="34"/>
  <c r="B1686" i="34"/>
  <c r="B1685" i="34"/>
  <c r="B1670" i="34"/>
  <c r="B1635" i="34"/>
  <c r="B1634" i="34"/>
  <c r="B1633" i="34"/>
  <c r="B1632" i="34"/>
  <c r="B1631" i="34"/>
  <c r="B1630" i="34"/>
  <c r="B1629" i="34"/>
  <c r="B1628" i="34"/>
  <c r="B1600" i="34"/>
  <c r="B1562" i="34"/>
  <c r="B1561" i="34"/>
  <c r="B1560" i="34"/>
  <c r="B1559" i="34"/>
  <c r="B1558" i="34"/>
  <c r="B1557" i="34"/>
  <c r="B1556" i="34"/>
  <c r="B1532" i="34"/>
  <c r="B1531" i="34"/>
  <c r="B1530" i="34"/>
  <c r="B1529" i="34"/>
  <c r="B1528" i="34"/>
  <c r="B1527" i="34"/>
  <c r="B1526" i="34"/>
  <c r="B1525" i="34"/>
  <c r="B1775" i="34"/>
  <c r="B1774" i="34"/>
  <c r="B1773" i="34"/>
  <c r="B1772" i="34"/>
  <c r="B1748" i="34"/>
  <c r="B1747" i="34"/>
  <c r="B1746" i="34"/>
  <c r="B1745" i="34"/>
  <c r="B1744" i="34"/>
  <c r="B1743" i="34"/>
  <c r="B1742" i="34"/>
  <c r="B1741" i="34"/>
  <c r="B1723" i="34"/>
  <c r="B1722" i="34"/>
  <c r="B1721" i="34"/>
  <c r="B1720" i="34"/>
  <c r="B1719" i="34"/>
  <c r="B1718" i="34"/>
  <c r="B1717" i="34"/>
  <c r="B1716" i="34"/>
  <c r="B1693" i="34"/>
  <c r="B1692" i="34"/>
  <c r="B1691" i="34"/>
  <c r="B1690" i="34"/>
  <c r="B1689" i="34"/>
  <c r="B1688" i="34"/>
  <c r="B1687" i="34"/>
  <c r="B1148" i="34"/>
  <c r="A1148" i="34" s="1"/>
  <c r="B1147" i="34"/>
  <c r="A1147" i="34" s="1"/>
  <c r="B1146" i="34"/>
  <c r="A1146" i="34" s="1"/>
  <c r="B1145" i="34"/>
  <c r="A1145" i="34" s="1"/>
  <c r="B1144" i="34"/>
  <c r="A1144" i="34" s="1"/>
  <c r="B1143" i="34"/>
  <c r="A1143" i="34" s="1"/>
  <c r="B1078" i="34"/>
  <c r="A1078" i="34" s="1"/>
  <c r="B1077" i="34"/>
  <c r="A1077" i="34" s="1"/>
  <c r="B1247" i="34"/>
  <c r="B1076" i="34"/>
  <c r="A1076" i="34" s="1"/>
  <c r="B1782" i="34"/>
  <c r="B1781" i="34"/>
  <c r="B1780" i="34"/>
  <c r="B1779" i="34"/>
  <c r="B1778" i="34"/>
  <c r="B1777" i="34"/>
  <c r="B1776" i="34"/>
  <c r="B1806" i="34"/>
  <c r="B1821" i="34"/>
  <c r="B1805" i="34"/>
  <c r="U1806" i="34" l="1"/>
  <c r="W1806" i="34"/>
  <c r="A1806" i="34"/>
  <c r="U1778" i="34"/>
  <c r="W1778" i="34"/>
  <c r="A1778" i="34"/>
  <c r="U1782" i="34"/>
  <c r="W1782" i="34"/>
  <c r="A1782" i="34"/>
  <c r="W1078" i="34"/>
  <c r="U1078" i="34"/>
  <c r="W1146" i="34"/>
  <c r="U1146" i="34"/>
  <c r="U1690" i="34"/>
  <c r="W1690" i="34"/>
  <c r="A1690" i="34"/>
  <c r="W1716" i="34"/>
  <c r="U1716" i="34"/>
  <c r="A1716" i="34"/>
  <c r="W1720" i="34"/>
  <c r="U1720" i="34"/>
  <c r="A1720" i="34"/>
  <c r="U1741" i="34"/>
  <c r="W1741" i="34"/>
  <c r="A1741" i="34"/>
  <c r="U1745" i="34"/>
  <c r="W1745" i="34"/>
  <c r="A1745" i="34"/>
  <c r="W1772" i="34"/>
  <c r="U1772" i="34"/>
  <c r="A1772" i="34"/>
  <c r="W1525" i="34"/>
  <c r="U1525" i="34"/>
  <c r="A1525" i="34"/>
  <c r="W1529" i="34"/>
  <c r="U1529" i="34"/>
  <c r="A1529" i="34"/>
  <c r="U1556" i="34"/>
  <c r="W1556" i="34"/>
  <c r="A1556" i="34"/>
  <c r="U1560" i="34"/>
  <c r="W1560" i="34"/>
  <c r="A1560" i="34"/>
  <c r="U1628" i="34"/>
  <c r="W1628" i="34"/>
  <c r="A1628" i="34"/>
  <c r="U1632" i="34"/>
  <c r="W1632" i="34"/>
  <c r="A1632" i="34"/>
  <c r="U1670" i="34"/>
  <c r="W1670" i="34"/>
  <c r="A1670" i="34"/>
  <c r="U1403" i="34"/>
  <c r="W1403" i="34"/>
  <c r="A1403" i="34"/>
  <c r="U1444" i="34"/>
  <c r="W1444" i="34"/>
  <c r="A1444" i="34"/>
  <c r="U1448" i="34"/>
  <c r="W1448" i="34"/>
  <c r="A1448" i="34"/>
  <c r="W1470" i="34"/>
  <c r="U1470" i="34"/>
  <c r="A1470" i="34"/>
  <c r="W1474" i="34"/>
  <c r="U1474" i="34"/>
  <c r="A1474" i="34"/>
  <c r="U1519" i="34"/>
  <c r="W1519" i="34"/>
  <c r="A1519" i="34"/>
  <c r="U1523" i="34"/>
  <c r="W1523" i="34"/>
  <c r="A1523" i="34"/>
  <c r="U1263" i="34"/>
  <c r="W1263" i="34"/>
  <c r="A1263" i="34"/>
  <c r="W1297" i="34"/>
  <c r="U1297" i="34"/>
  <c r="A1297" i="34"/>
  <c r="W1301" i="34"/>
  <c r="U1301" i="34"/>
  <c r="A1301" i="34"/>
  <c r="W1325" i="34"/>
  <c r="U1325" i="34"/>
  <c r="A1325" i="34"/>
  <c r="W1329" i="34"/>
  <c r="U1329" i="34"/>
  <c r="A1329" i="34"/>
  <c r="W1348" i="34"/>
  <c r="U1348" i="34"/>
  <c r="A1348" i="34"/>
  <c r="U1362" i="34"/>
  <c r="W1362" i="34"/>
  <c r="A1362" i="34"/>
  <c r="U1172" i="34"/>
  <c r="W1172" i="34"/>
  <c r="A1172" i="34"/>
  <c r="U1211" i="34"/>
  <c r="W1211" i="34"/>
  <c r="A1211" i="34"/>
  <c r="U1215" i="34"/>
  <c r="W1215" i="34"/>
  <c r="A1215" i="34"/>
  <c r="W1249" i="34"/>
  <c r="U1249" i="34"/>
  <c r="A1249" i="34"/>
  <c r="W1253" i="34"/>
  <c r="U1253" i="34"/>
  <c r="A1253" i="34"/>
  <c r="W1257" i="34"/>
  <c r="U1257" i="34"/>
  <c r="A1257" i="34"/>
  <c r="W1715" i="34"/>
  <c r="U1715" i="34"/>
  <c r="A1715" i="34"/>
  <c r="W1138" i="34"/>
  <c r="U1138" i="34"/>
  <c r="W1142" i="34"/>
  <c r="U1142" i="34"/>
  <c r="U1669" i="34"/>
  <c r="W1669" i="34"/>
  <c r="A1669" i="34"/>
  <c r="U1665" i="34"/>
  <c r="W1665" i="34"/>
  <c r="A1665" i="34"/>
  <c r="U1654" i="34"/>
  <c r="W1654" i="34"/>
  <c r="A1654" i="34"/>
  <c r="U1650" i="34"/>
  <c r="W1650" i="34"/>
  <c r="A1650" i="34"/>
  <c r="W1617" i="34"/>
  <c r="U1617" i="34"/>
  <c r="A1617" i="34"/>
  <c r="W1613" i="34"/>
  <c r="U1613" i="34"/>
  <c r="A1613" i="34"/>
  <c r="U1592" i="34"/>
  <c r="W1592" i="34"/>
  <c r="A1592" i="34"/>
  <c r="U1588" i="34"/>
  <c r="W1588" i="34"/>
  <c r="A1588" i="34"/>
  <c r="U1584" i="34"/>
  <c r="W1584" i="34"/>
  <c r="A1584" i="34"/>
  <c r="U1579" i="34"/>
  <c r="W1579" i="34"/>
  <c r="A1579" i="34"/>
  <c r="U1575" i="34"/>
  <c r="W1575" i="34"/>
  <c r="A1575" i="34"/>
  <c r="W1493" i="34"/>
  <c r="U1493" i="34"/>
  <c r="A1493" i="34"/>
  <c r="W1489" i="34"/>
  <c r="U1489" i="34"/>
  <c r="A1489" i="34"/>
  <c r="U1423" i="34"/>
  <c r="W1423" i="34"/>
  <c r="A1423" i="34"/>
  <c r="U1419" i="34"/>
  <c r="W1419" i="34"/>
  <c r="A1419" i="34"/>
  <c r="U1415" i="34"/>
  <c r="W1415" i="34"/>
  <c r="A1415" i="34"/>
  <c r="W1411" i="34"/>
  <c r="U1411" i="34"/>
  <c r="A1411" i="34"/>
  <c r="W1397" i="34"/>
  <c r="U1397" i="34"/>
  <c r="A1397" i="34"/>
  <c r="W1393" i="34"/>
  <c r="U1393" i="34"/>
  <c r="A1393" i="34"/>
  <c r="U1387" i="34"/>
  <c r="W1387" i="34"/>
  <c r="A1387" i="34"/>
  <c r="U1383" i="34"/>
  <c r="W1383" i="34"/>
  <c r="A1383" i="34"/>
  <c r="W1344" i="34"/>
  <c r="U1344" i="34"/>
  <c r="A1344" i="34"/>
  <c r="W1293" i="34"/>
  <c r="U1293" i="34"/>
  <c r="A1293" i="34"/>
  <c r="W1289" i="34"/>
  <c r="U1289" i="34"/>
  <c r="A1289" i="34"/>
  <c r="U1206" i="34"/>
  <c r="W1206" i="34"/>
  <c r="A1206" i="34"/>
  <c r="U1202" i="34"/>
  <c r="W1202" i="34"/>
  <c r="A1202" i="34"/>
  <c r="W1189" i="34"/>
  <c r="U1189" i="34"/>
  <c r="A1189" i="34"/>
  <c r="U1185" i="34"/>
  <c r="W1185" i="34"/>
  <c r="A1185" i="34"/>
  <c r="W1163" i="34"/>
  <c r="U1163" i="34"/>
  <c r="U1133" i="34"/>
  <c r="W1133" i="34"/>
  <c r="U1129" i="34"/>
  <c r="W1129" i="34"/>
  <c r="U1125" i="34"/>
  <c r="W1125" i="34"/>
  <c r="U1108" i="34"/>
  <c r="W1108" i="34"/>
  <c r="U1104" i="34"/>
  <c r="W1104" i="34"/>
  <c r="U1093" i="34"/>
  <c r="W1093" i="34"/>
  <c r="U1089" i="34"/>
  <c r="W1089" i="34"/>
  <c r="U1085" i="34"/>
  <c r="W1085" i="34"/>
  <c r="U326" i="34"/>
  <c r="W326" i="34"/>
  <c r="U331" i="34"/>
  <c r="W331" i="34"/>
  <c r="U336" i="34"/>
  <c r="W336" i="34"/>
  <c r="U340" i="34"/>
  <c r="W340" i="34"/>
  <c r="U345" i="34"/>
  <c r="W345" i="34"/>
  <c r="U350" i="34"/>
  <c r="W350" i="34"/>
  <c r="U356" i="34"/>
  <c r="W356" i="34"/>
  <c r="U361" i="34"/>
  <c r="W361" i="34"/>
  <c r="U366" i="34"/>
  <c r="W366" i="34"/>
  <c r="U498" i="34"/>
  <c r="W498" i="34"/>
  <c r="U502" i="34"/>
  <c r="W502" i="34"/>
  <c r="U506" i="34"/>
  <c r="W506" i="34"/>
  <c r="U510" i="34"/>
  <c r="W510" i="34"/>
  <c r="U514" i="34"/>
  <c r="W514" i="34"/>
  <c r="U518" i="34"/>
  <c r="W518" i="34"/>
  <c r="U522" i="34"/>
  <c r="W522" i="34"/>
  <c r="U526" i="34"/>
  <c r="W526" i="34"/>
  <c r="U530" i="34"/>
  <c r="W530" i="34"/>
  <c r="U534" i="34"/>
  <c r="W534" i="34"/>
  <c r="U538" i="34"/>
  <c r="W538" i="34"/>
  <c r="U612" i="34"/>
  <c r="W612" i="34"/>
  <c r="U948" i="34"/>
  <c r="W948" i="34"/>
  <c r="U952" i="34"/>
  <c r="W952" i="34"/>
  <c r="U956" i="34"/>
  <c r="W956" i="34"/>
  <c r="U960" i="34"/>
  <c r="W960" i="34"/>
  <c r="U964" i="34"/>
  <c r="W964" i="34"/>
  <c r="U968" i="34"/>
  <c r="W968" i="34"/>
  <c r="U972" i="34"/>
  <c r="W972" i="34"/>
  <c r="U976" i="34"/>
  <c r="W976" i="34"/>
  <c r="U980" i="34"/>
  <c r="W980" i="34"/>
  <c r="U984" i="34"/>
  <c r="W984" i="34"/>
  <c r="U988" i="34"/>
  <c r="W988" i="34"/>
  <c r="U992" i="34"/>
  <c r="W992" i="34"/>
  <c r="U996" i="34"/>
  <c r="W996" i="34"/>
  <c r="U1000" i="34"/>
  <c r="W1000" i="34"/>
  <c r="U1004" i="34"/>
  <c r="W1004" i="34"/>
  <c r="W1008" i="34"/>
  <c r="U1008" i="34"/>
  <c r="U1012" i="34"/>
  <c r="W1012" i="34"/>
  <c r="U1016" i="34"/>
  <c r="W1016" i="34"/>
  <c r="U1020" i="34"/>
  <c r="W1020" i="34"/>
  <c r="U1072" i="34"/>
  <c r="W1072" i="34"/>
  <c r="U1805" i="34"/>
  <c r="W1805" i="34"/>
  <c r="A1805" i="34"/>
  <c r="W1779" i="34"/>
  <c r="U1779" i="34"/>
  <c r="A1779" i="34"/>
  <c r="U1076" i="34"/>
  <c r="W1076" i="34"/>
  <c r="W1143" i="34"/>
  <c r="U1143" i="34"/>
  <c r="W1147" i="34"/>
  <c r="U1147" i="34"/>
  <c r="W1687" i="34"/>
  <c r="U1687" i="34"/>
  <c r="A1687" i="34"/>
  <c r="W1691" i="34"/>
  <c r="U1691" i="34"/>
  <c r="A1691" i="34"/>
  <c r="U1717" i="34"/>
  <c r="W1717" i="34"/>
  <c r="A1717" i="34"/>
  <c r="U1721" i="34"/>
  <c r="W1721" i="34"/>
  <c r="A1721" i="34"/>
  <c r="U1742" i="34"/>
  <c r="W1742" i="34"/>
  <c r="A1742" i="34"/>
  <c r="U1746" i="34"/>
  <c r="W1746" i="34"/>
  <c r="A1746" i="34"/>
  <c r="U1773" i="34"/>
  <c r="W1773" i="34"/>
  <c r="A1773" i="34"/>
  <c r="W1526" i="34"/>
  <c r="U1526" i="34"/>
  <c r="A1526" i="34"/>
  <c r="W1530" i="34"/>
  <c r="U1530" i="34"/>
  <c r="A1530" i="34"/>
  <c r="W1557" i="34"/>
  <c r="U1557" i="34"/>
  <c r="A1557" i="34"/>
  <c r="W1561" i="34"/>
  <c r="U1561" i="34"/>
  <c r="A1561" i="34"/>
  <c r="W1629" i="34"/>
  <c r="U1629" i="34"/>
  <c r="A1629" i="34"/>
  <c r="W1633" i="34"/>
  <c r="U1633" i="34"/>
  <c r="A1633" i="34"/>
  <c r="U1685" i="34"/>
  <c r="W1685" i="34"/>
  <c r="A1685" i="34"/>
  <c r="W1441" i="34"/>
  <c r="U1441" i="34"/>
  <c r="A1441" i="34"/>
  <c r="W1445" i="34"/>
  <c r="U1445" i="34"/>
  <c r="A1445" i="34"/>
  <c r="W1449" i="34"/>
  <c r="U1449" i="34"/>
  <c r="A1449" i="34"/>
  <c r="U1471" i="34"/>
  <c r="W1471" i="34"/>
  <c r="A1471" i="34"/>
  <c r="U1475" i="34"/>
  <c r="W1475" i="34"/>
  <c r="A1475" i="34"/>
  <c r="U1520" i="34"/>
  <c r="W1520" i="34"/>
  <c r="A1520" i="34"/>
  <c r="U1524" i="34"/>
  <c r="W1524" i="34"/>
  <c r="A1524" i="34"/>
  <c r="U1294" i="34"/>
  <c r="W1294" i="34"/>
  <c r="A1294" i="34"/>
  <c r="U1298" i="34"/>
  <c r="W1298" i="34"/>
  <c r="A1298" i="34"/>
  <c r="U1322" i="34"/>
  <c r="W1322" i="34"/>
  <c r="A1322" i="34"/>
  <c r="U1326" i="34"/>
  <c r="W1326" i="34"/>
  <c r="A1326" i="34"/>
  <c r="W1345" i="34"/>
  <c r="U1345" i="34"/>
  <c r="A1345" i="34"/>
  <c r="W1349" i="34"/>
  <c r="U1349" i="34"/>
  <c r="A1349" i="34"/>
  <c r="U1169" i="34"/>
  <c r="W1169" i="34"/>
  <c r="U1173" i="34"/>
  <c r="W1173" i="34"/>
  <c r="A1173" i="34"/>
  <c r="W1212" i="34"/>
  <c r="U1212" i="34"/>
  <c r="A1212" i="34"/>
  <c r="W1216" i="34"/>
  <c r="U1216" i="34"/>
  <c r="A1216" i="34"/>
  <c r="U1250" i="34"/>
  <c r="W1250" i="34"/>
  <c r="A1250" i="34"/>
  <c r="U1254" i="34"/>
  <c r="W1254" i="34"/>
  <c r="A1254" i="34"/>
  <c r="U1258" i="34"/>
  <c r="W1258" i="34"/>
  <c r="A1258" i="34"/>
  <c r="W1135" i="34"/>
  <c r="U1135" i="34"/>
  <c r="W1139" i="34"/>
  <c r="U1139" i="34"/>
  <c r="W1167" i="34"/>
  <c r="U1167" i="34"/>
  <c r="U1714" i="34"/>
  <c r="W1714" i="34"/>
  <c r="A1714" i="34"/>
  <c r="W1668" i="34"/>
  <c r="U1668" i="34"/>
  <c r="A1668" i="34"/>
  <c r="W1664" i="34"/>
  <c r="U1664" i="34"/>
  <c r="A1664" i="34"/>
  <c r="U1653" i="34"/>
  <c r="W1653" i="34"/>
  <c r="A1653" i="34"/>
  <c r="U1649" i="34"/>
  <c r="W1649" i="34"/>
  <c r="A1649" i="34"/>
  <c r="U1616" i="34"/>
  <c r="W1616" i="34"/>
  <c r="A1616" i="34"/>
  <c r="U1612" i="34"/>
  <c r="W1612" i="34"/>
  <c r="A1612" i="34"/>
  <c r="U1591" i="34"/>
  <c r="W1591" i="34"/>
  <c r="A1591" i="34"/>
  <c r="U1587" i="34"/>
  <c r="W1587" i="34"/>
  <c r="A1587" i="34"/>
  <c r="U1583" i="34"/>
  <c r="W1583" i="34"/>
  <c r="A1583" i="34"/>
  <c r="W1578" i="34"/>
  <c r="U1578" i="34"/>
  <c r="A1578" i="34"/>
  <c r="W1574" i="34"/>
  <c r="U1574" i="34"/>
  <c r="A1574" i="34"/>
  <c r="U1492" i="34"/>
  <c r="W1492" i="34"/>
  <c r="A1492" i="34"/>
  <c r="U1488" i="34"/>
  <c r="W1488" i="34"/>
  <c r="A1488" i="34"/>
  <c r="W1422" i="34"/>
  <c r="U1422" i="34"/>
  <c r="A1422" i="34"/>
  <c r="W1418" i="34"/>
  <c r="U1418" i="34"/>
  <c r="A1418" i="34"/>
  <c r="U1414" i="34"/>
  <c r="W1414" i="34"/>
  <c r="A1414" i="34"/>
  <c r="U1410" i="34"/>
  <c r="W1410" i="34"/>
  <c r="A1410" i="34"/>
  <c r="W1396" i="34"/>
  <c r="U1396" i="34"/>
  <c r="A1396" i="34"/>
  <c r="W1392" i="34"/>
  <c r="U1392" i="34"/>
  <c r="A1392" i="34"/>
  <c r="U1386" i="34"/>
  <c r="W1386" i="34"/>
  <c r="A1386" i="34"/>
  <c r="U1382" i="34"/>
  <c r="W1382" i="34"/>
  <c r="A1382" i="34"/>
  <c r="W1321" i="34"/>
  <c r="U1321" i="34"/>
  <c r="A1321" i="34"/>
  <c r="W1292" i="34"/>
  <c r="U1292" i="34"/>
  <c r="A1292" i="34"/>
  <c r="W1209" i="34"/>
  <c r="U1209" i="34"/>
  <c r="A1209" i="34"/>
  <c r="W1205" i="34"/>
  <c r="U1205" i="34"/>
  <c r="A1205" i="34"/>
  <c r="W1192" i="34"/>
  <c r="U1192" i="34"/>
  <c r="A1192" i="34"/>
  <c r="U1188" i="34"/>
  <c r="W1188" i="34"/>
  <c r="A1188" i="34"/>
  <c r="W1166" i="34"/>
  <c r="U1166" i="34"/>
  <c r="W1162" i="34"/>
  <c r="U1162" i="34"/>
  <c r="U1132" i="34"/>
  <c r="W1132" i="34"/>
  <c r="U1128" i="34"/>
  <c r="W1128" i="34"/>
  <c r="W1111" i="34"/>
  <c r="U1111" i="34"/>
  <c r="W1107" i="34"/>
  <c r="U1107" i="34"/>
  <c r="U1096" i="34"/>
  <c r="W1096" i="34"/>
  <c r="U1092" i="34"/>
  <c r="W1092" i="34"/>
  <c r="U1088" i="34"/>
  <c r="W1088" i="34"/>
  <c r="U1084" i="34"/>
  <c r="W1084" i="34"/>
  <c r="W328" i="34"/>
  <c r="U328" i="34"/>
  <c r="W333" i="34"/>
  <c r="U333" i="34"/>
  <c r="W337" i="34"/>
  <c r="U337" i="34"/>
  <c r="W342" i="34"/>
  <c r="U342" i="34"/>
  <c r="W346" i="34"/>
  <c r="U346" i="34"/>
  <c r="W352" i="34"/>
  <c r="U352" i="34"/>
  <c r="W357" i="34"/>
  <c r="U357" i="34"/>
  <c r="W362" i="34"/>
  <c r="U362" i="34"/>
  <c r="W495" i="34"/>
  <c r="U495" i="34"/>
  <c r="W499" i="34"/>
  <c r="U499" i="34"/>
  <c r="W503" i="34"/>
  <c r="U503" i="34"/>
  <c r="W507" i="34"/>
  <c r="U507" i="34"/>
  <c r="W511" i="34"/>
  <c r="U511" i="34"/>
  <c r="W515" i="34"/>
  <c r="U515" i="34"/>
  <c r="W519" i="34"/>
  <c r="U519" i="34"/>
  <c r="W523" i="34"/>
  <c r="U523" i="34"/>
  <c r="W527" i="34"/>
  <c r="U527" i="34"/>
  <c r="W531" i="34"/>
  <c r="U531" i="34"/>
  <c r="W535" i="34"/>
  <c r="U535" i="34"/>
  <c r="W602" i="34"/>
  <c r="U602" i="34"/>
  <c r="W613" i="34"/>
  <c r="U613" i="34"/>
  <c r="W949" i="34"/>
  <c r="U949" i="34"/>
  <c r="W953" i="34"/>
  <c r="U953" i="34"/>
  <c r="W957" i="34"/>
  <c r="U957" i="34"/>
  <c r="W961" i="34"/>
  <c r="U961" i="34"/>
  <c r="W965" i="34"/>
  <c r="U965" i="34"/>
  <c r="W969" i="34"/>
  <c r="U969" i="34"/>
  <c r="W973" i="34"/>
  <c r="U973" i="34"/>
  <c r="W977" i="34"/>
  <c r="U977" i="34"/>
  <c r="W981" i="34"/>
  <c r="U981" i="34"/>
  <c r="W985" i="34"/>
  <c r="U985" i="34"/>
  <c r="W989" i="34"/>
  <c r="U989" i="34"/>
  <c r="W993" i="34"/>
  <c r="U993" i="34"/>
  <c r="W997" i="34"/>
  <c r="U997" i="34"/>
  <c r="W1001" i="34"/>
  <c r="U1001" i="34"/>
  <c r="W1005" i="34"/>
  <c r="U1005" i="34"/>
  <c r="W1009" i="34"/>
  <c r="U1009" i="34"/>
  <c r="U1013" i="34"/>
  <c r="W1013" i="34"/>
  <c r="U1017" i="34"/>
  <c r="W1017" i="34"/>
  <c r="U1021" i="34"/>
  <c r="W1021" i="34"/>
  <c r="W1776" i="34"/>
  <c r="U1776" i="34"/>
  <c r="A1776" i="34"/>
  <c r="W1780" i="34"/>
  <c r="U1780" i="34"/>
  <c r="A1780" i="34"/>
  <c r="U1247" i="34"/>
  <c r="W1247" i="34"/>
  <c r="A1247" i="34"/>
  <c r="U1144" i="34"/>
  <c r="W1144" i="34"/>
  <c r="U1148" i="34"/>
  <c r="W1148" i="34"/>
  <c r="W1688" i="34"/>
  <c r="U1688" i="34"/>
  <c r="A1688" i="34"/>
  <c r="W1692" i="34"/>
  <c r="U1692" i="34"/>
  <c r="A1692" i="34"/>
  <c r="U1718" i="34"/>
  <c r="W1718" i="34"/>
  <c r="A1718" i="34"/>
  <c r="U1722" i="34"/>
  <c r="W1722" i="34"/>
  <c r="A1722" i="34"/>
  <c r="W1743" i="34"/>
  <c r="U1743" i="34"/>
  <c r="A1743" i="34"/>
  <c r="W1747" i="34"/>
  <c r="U1747" i="34"/>
  <c r="A1747" i="34"/>
  <c r="U1774" i="34"/>
  <c r="W1774" i="34"/>
  <c r="A1774" i="34"/>
  <c r="U1527" i="34"/>
  <c r="W1527" i="34"/>
  <c r="A1527" i="34"/>
  <c r="U1531" i="34"/>
  <c r="W1531" i="34"/>
  <c r="A1531" i="34"/>
  <c r="W1558" i="34"/>
  <c r="U1558" i="34"/>
  <c r="A1558" i="34"/>
  <c r="W1562" i="34"/>
  <c r="U1562" i="34"/>
  <c r="A1562" i="34"/>
  <c r="W1630" i="34"/>
  <c r="U1630" i="34"/>
  <c r="A1630" i="34"/>
  <c r="W1634" i="34"/>
  <c r="U1634" i="34"/>
  <c r="A1634" i="34"/>
  <c r="U1686" i="34"/>
  <c r="W1686" i="34"/>
  <c r="A1686" i="34"/>
  <c r="W1442" i="34"/>
  <c r="U1442" i="34"/>
  <c r="A1442" i="34"/>
  <c r="W1446" i="34"/>
  <c r="U1446" i="34"/>
  <c r="A1446" i="34"/>
  <c r="U1468" i="34"/>
  <c r="W1468" i="34"/>
  <c r="A1468" i="34"/>
  <c r="U1472" i="34"/>
  <c r="W1472" i="34"/>
  <c r="A1472" i="34"/>
  <c r="U1499" i="34"/>
  <c r="W1499" i="34"/>
  <c r="A1499" i="34"/>
  <c r="W1521" i="34"/>
  <c r="U1521" i="34"/>
  <c r="A1521" i="34"/>
  <c r="W1261" i="34"/>
  <c r="U1261" i="34"/>
  <c r="A1261" i="34"/>
  <c r="U1295" i="34"/>
  <c r="W1295" i="34"/>
  <c r="A1295" i="34"/>
  <c r="U1299" i="34"/>
  <c r="W1299" i="34"/>
  <c r="A1299" i="34"/>
  <c r="U1323" i="34"/>
  <c r="W1323" i="34"/>
  <c r="A1323" i="34"/>
  <c r="U1327" i="34"/>
  <c r="W1327" i="34"/>
  <c r="A1327" i="34"/>
  <c r="U1346" i="34"/>
  <c r="W1346" i="34"/>
  <c r="A1346" i="34"/>
  <c r="W1360" i="34"/>
  <c r="U1360" i="34"/>
  <c r="A1360" i="34"/>
  <c r="W1170" i="34"/>
  <c r="U1170" i="34"/>
  <c r="W1174" i="34"/>
  <c r="U1174" i="34"/>
  <c r="A1174" i="34"/>
  <c r="W1213" i="34"/>
  <c r="U1213" i="34"/>
  <c r="A1213" i="34"/>
  <c r="W1217" i="34"/>
  <c r="U1217" i="34"/>
  <c r="A1217" i="34"/>
  <c r="U1251" i="34"/>
  <c r="W1251" i="34"/>
  <c r="A1251" i="34"/>
  <c r="U1255" i="34"/>
  <c r="W1255" i="34"/>
  <c r="A1255" i="34"/>
  <c r="U1259" i="34"/>
  <c r="W1259" i="34"/>
  <c r="A1259" i="34"/>
  <c r="U1136" i="34"/>
  <c r="W1136" i="34"/>
  <c r="U1140" i="34"/>
  <c r="W1140" i="34"/>
  <c r="U1168" i="34"/>
  <c r="W1168" i="34"/>
  <c r="U1713" i="34"/>
  <c r="W1713" i="34"/>
  <c r="A1713" i="34"/>
  <c r="W1667" i="34"/>
  <c r="U1667" i="34"/>
  <c r="A1667" i="34"/>
  <c r="W1663" i="34"/>
  <c r="U1663" i="34"/>
  <c r="A1663" i="34"/>
  <c r="W1652" i="34"/>
  <c r="U1652" i="34"/>
  <c r="A1652" i="34"/>
  <c r="W1648" i="34"/>
  <c r="U1648" i="34"/>
  <c r="A1648" i="34"/>
  <c r="U1615" i="34"/>
  <c r="W1615" i="34"/>
  <c r="A1615" i="34"/>
  <c r="U1611" i="34"/>
  <c r="W1611" i="34"/>
  <c r="A1611" i="34"/>
  <c r="W1590" i="34"/>
  <c r="U1590" i="34"/>
  <c r="A1590" i="34"/>
  <c r="W1586" i="34"/>
  <c r="U1586" i="34"/>
  <c r="A1586" i="34"/>
  <c r="W1581" i="34"/>
  <c r="U1581" i="34"/>
  <c r="A1581" i="34"/>
  <c r="W1577" i="34"/>
  <c r="U1577" i="34"/>
  <c r="A1577" i="34"/>
  <c r="W1573" i="34"/>
  <c r="U1573" i="34"/>
  <c r="A1573" i="34"/>
  <c r="U1491" i="34"/>
  <c r="W1491" i="34"/>
  <c r="A1491" i="34"/>
  <c r="W1425" i="34"/>
  <c r="U1425" i="34"/>
  <c r="A1425" i="34"/>
  <c r="W1421" i="34"/>
  <c r="U1421" i="34"/>
  <c r="A1421" i="34"/>
  <c r="W1417" i="34"/>
  <c r="U1417" i="34"/>
  <c r="A1417" i="34"/>
  <c r="U1413" i="34"/>
  <c r="W1413" i="34"/>
  <c r="A1413" i="34"/>
  <c r="U1399" i="34"/>
  <c r="W1399" i="34"/>
  <c r="A1399" i="34"/>
  <c r="U1395" i="34"/>
  <c r="W1395" i="34"/>
  <c r="A1395" i="34"/>
  <c r="W1389" i="34"/>
  <c r="U1389" i="34"/>
  <c r="A1389" i="34"/>
  <c r="W1385" i="34"/>
  <c r="U1385" i="34"/>
  <c r="A1385" i="34"/>
  <c r="W1381" i="34"/>
  <c r="U1381" i="34"/>
  <c r="A1381" i="34"/>
  <c r="W1320" i="34"/>
  <c r="U1320" i="34"/>
  <c r="A1320" i="34"/>
  <c r="U1291" i="34"/>
  <c r="W1291" i="34"/>
  <c r="A1291" i="34"/>
  <c r="W1208" i="34"/>
  <c r="U1208" i="34"/>
  <c r="A1208" i="34"/>
  <c r="W1204" i="34"/>
  <c r="U1204" i="34"/>
  <c r="A1204" i="34"/>
  <c r="U1191" i="34"/>
  <c r="W1191" i="34"/>
  <c r="A1191" i="34"/>
  <c r="U1187" i="34"/>
  <c r="W1187" i="34"/>
  <c r="A1187" i="34"/>
  <c r="U1165" i="34"/>
  <c r="W1165" i="34"/>
  <c r="U1161" i="34"/>
  <c r="W1161" i="34"/>
  <c r="W1131" i="34"/>
  <c r="U1131" i="34"/>
  <c r="W1127" i="34"/>
  <c r="U1127" i="34"/>
  <c r="W1110" i="34"/>
  <c r="U1110" i="34"/>
  <c r="W1106" i="34"/>
  <c r="U1106" i="34"/>
  <c r="W1095" i="34"/>
  <c r="U1095" i="34"/>
  <c r="W1091" i="34"/>
  <c r="U1091" i="34"/>
  <c r="W1087" i="34"/>
  <c r="U1087" i="34"/>
  <c r="W1083" i="34"/>
  <c r="U1083" i="34"/>
  <c r="W324" i="34"/>
  <c r="U324" i="34"/>
  <c r="W329" i="34"/>
  <c r="U329" i="34"/>
  <c r="W334" i="34"/>
  <c r="U334" i="34"/>
  <c r="W338" i="34"/>
  <c r="U338" i="34"/>
  <c r="W343" i="34"/>
  <c r="U343" i="34"/>
  <c r="W348" i="34"/>
  <c r="U348" i="34"/>
  <c r="W353" i="34"/>
  <c r="U353" i="34"/>
  <c r="W358" i="34"/>
  <c r="U358" i="34"/>
  <c r="W363" i="34"/>
  <c r="U363" i="34"/>
  <c r="W496" i="34"/>
  <c r="U496" i="34"/>
  <c r="W500" i="34"/>
  <c r="U500" i="34"/>
  <c r="W504" i="34"/>
  <c r="U504" i="34"/>
  <c r="W508" i="34"/>
  <c r="U508" i="34"/>
  <c r="W512" i="34"/>
  <c r="U512" i="34"/>
  <c r="W516" i="34"/>
  <c r="U516" i="34"/>
  <c r="W520" i="34"/>
  <c r="U520" i="34"/>
  <c r="W524" i="34"/>
  <c r="U524" i="34"/>
  <c r="W528" i="34"/>
  <c r="U528" i="34"/>
  <c r="W532" i="34"/>
  <c r="U532" i="34"/>
  <c r="W536" i="34"/>
  <c r="U536" i="34"/>
  <c r="U603" i="34"/>
  <c r="W603" i="34"/>
  <c r="W946" i="34"/>
  <c r="U946" i="34"/>
  <c r="W950" i="34"/>
  <c r="U950" i="34"/>
  <c r="W954" i="34"/>
  <c r="U954" i="34"/>
  <c r="W958" i="34"/>
  <c r="U958" i="34"/>
  <c r="W962" i="34"/>
  <c r="U962" i="34"/>
  <c r="W966" i="34"/>
  <c r="U966" i="34"/>
  <c r="W970" i="34"/>
  <c r="U970" i="34"/>
  <c r="W974" i="34"/>
  <c r="U974" i="34"/>
  <c r="W978" i="34"/>
  <c r="U978" i="34"/>
  <c r="W982" i="34"/>
  <c r="U982" i="34"/>
  <c r="W986" i="34"/>
  <c r="U986" i="34"/>
  <c r="W990" i="34"/>
  <c r="U990" i="34"/>
  <c r="W994" i="34"/>
  <c r="U994" i="34"/>
  <c r="W998" i="34"/>
  <c r="U998" i="34"/>
  <c r="W1002" i="34"/>
  <c r="U1002" i="34"/>
  <c r="W1006" i="34"/>
  <c r="U1006" i="34"/>
  <c r="W1010" i="34"/>
  <c r="U1010" i="34"/>
  <c r="W1014" i="34"/>
  <c r="U1014" i="34"/>
  <c r="W1018" i="34"/>
  <c r="U1018" i="34"/>
  <c r="W1022" i="34"/>
  <c r="U1022" i="34"/>
  <c r="U1821" i="34"/>
  <c r="W1821" i="34"/>
  <c r="A1821" i="34"/>
  <c r="U1777" i="34"/>
  <c r="W1777" i="34"/>
  <c r="A1777" i="34"/>
  <c r="U1781" i="34"/>
  <c r="W1781" i="34"/>
  <c r="A1781" i="34"/>
  <c r="U1077" i="34"/>
  <c r="W1077" i="34"/>
  <c r="U1145" i="34"/>
  <c r="W1145" i="34"/>
  <c r="U1689" i="34"/>
  <c r="W1689" i="34"/>
  <c r="A1689" i="34"/>
  <c r="U1693" i="34"/>
  <c r="W1693" i="34"/>
  <c r="A1693" i="34"/>
  <c r="W1719" i="34"/>
  <c r="U1719" i="34"/>
  <c r="A1719" i="34"/>
  <c r="W1723" i="34"/>
  <c r="U1723" i="34"/>
  <c r="A1723" i="34"/>
  <c r="W1744" i="34"/>
  <c r="U1744" i="34"/>
  <c r="A1744" i="34"/>
  <c r="W1748" i="34"/>
  <c r="U1748" i="34"/>
  <c r="A1748" i="34"/>
  <c r="W1775" i="34"/>
  <c r="U1775" i="34"/>
  <c r="A1775" i="34"/>
  <c r="U1528" i="34"/>
  <c r="W1528" i="34"/>
  <c r="A1528" i="34"/>
  <c r="U1532" i="34"/>
  <c r="W1532" i="34"/>
  <c r="A1532" i="34"/>
  <c r="U1559" i="34"/>
  <c r="W1559" i="34"/>
  <c r="A1559" i="34"/>
  <c r="U1600" i="34"/>
  <c r="W1600" i="34"/>
  <c r="A1600" i="34"/>
  <c r="U1631" i="34"/>
  <c r="W1631" i="34"/>
  <c r="A1631" i="34"/>
  <c r="U1635" i="34"/>
  <c r="W1635" i="34"/>
  <c r="A1635" i="34"/>
  <c r="W1368" i="34"/>
  <c r="U1368" i="34"/>
  <c r="A1368" i="34"/>
  <c r="U1443" i="34"/>
  <c r="W1443" i="34"/>
  <c r="A1443" i="34"/>
  <c r="U1447" i="34"/>
  <c r="W1447" i="34"/>
  <c r="A1447" i="34"/>
  <c r="W1469" i="34"/>
  <c r="U1469" i="34"/>
  <c r="A1469" i="34"/>
  <c r="W1473" i="34"/>
  <c r="U1473" i="34"/>
  <c r="A1473" i="34"/>
  <c r="W1518" i="34"/>
  <c r="U1518" i="34"/>
  <c r="A1518" i="34"/>
  <c r="W1522" i="34"/>
  <c r="U1522" i="34"/>
  <c r="A1522" i="34"/>
  <c r="U1262" i="34"/>
  <c r="W1262" i="34"/>
  <c r="A1262" i="34"/>
  <c r="W1296" i="34"/>
  <c r="U1296" i="34"/>
  <c r="A1296" i="34"/>
  <c r="W1300" i="34"/>
  <c r="U1300" i="34"/>
  <c r="A1300" i="34"/>
  <c r="W1324" i="34"/>
  <c r="U1324" i="34"/>
  <c r="A1324" i="34"/>
  <c r="W1328" i="34"/>
  <c r="U1328" i="34"/>
  <c r="A1328" i="34"/>
  <c r="U1347" i="34"/>
  <c r="W1347" i="34"/>
  <c r="A1347" i="34"/>
  <c r="W1361" i="34"/>
  <c r="U1361" i="34"/>
  <c r="A1361" i="34"/>
  <c r="W1171" i="34"/>
  <c r="U1171" i="34"/>
  <c r="A1171" i="34"/>
  <c r="U1210" i="34"/>
  <c r="W1210" i="34"/>
  <c r="A1210" i="34"/>
  <c r="U1214" i="34"/>
  <c r="W1214" i="34"/>
  <c r="A1214" i="34"/>
  <c r="W1248" i="34"/>
  <c r="U1248" i="34"/>
  <c r="A1248" i="34"/>
  <c r="W1252" i="34"/>
  <c r="U1252" i="34"/>
  <c r="A1252" i="34"/>
  <c r="W1256" i="34"/>
  <c r="U1256" i="34"/>
  <c r="A1256" i="34"/>
  <c r="W1260" i="34"/>
  <c r="U1260" i="34"/>
  <c r="A1260" i="34"/>
  <c r="U1137" i="34"/>
  <c r="W1137" i="34"/>
  <c r="U1141" i="34"/>
  <c r="W1141" i="34"/>
  <c r="W1082" i="34"/>
  <c r="U1082" i="34"/>
  <c r="W1712" i="34"/>
  <c r="U1712" i="34"/>
  <c r="A1712" i="34"/>
  <c r="U1666" i="34"/>
  <c r="W1666" i="34"/>
  <c r="A1666" i="34"/>
  <c r="W1655" i="34"/>
  <c r="U1655" i="34"/>
  <c r="A1655" i="34"/>
  <c r="W1651" i="34"/>
  <c r="U1651" i="34"/>
  <c r="A1651" i="34"/>
  <c r="W1618" i="34"/>
  <c r="U1618" i="34"/>
  <c r="A1618" i="34"/>
  <c r="W1614" i="34"/>
  <c r="U1614" i="34"/>
  <c r="A1614" i="34"/>
  <c r="W1593" i="34"/>
  <c r="U1593" i="34"/>
  <c r="A1593" i="34"/>
  <c r="W1589" i="34"/>
  <c r="U1589" i="34"/>
  <c r="A1589" i="34"/>
  <c r="W1585" i="34"/>
  <c r="U1585" i="34"/>
  <c r="A1585" i="34"/>
  <c r="U1580" i="34"/>
  <c r="W1580" i="34"/>
  <c r="A1580" i="34"/>
  <c r="U1576" i="34"/>
  <c r="W1576" i="34"/>
  <c r="A1576" i="34"/>
  <c r="W1494" i="34"/>
  <c r="U1494" i="34"/>
  <c r="A1494" i="34"/>
  <c r="W1490" i="34"/>
  <c r="U1490" i="34"/>
  <c r="A1490" i="34"/>
  <c r="U1424" i="34"/>
  <c r="W1424" i="34"/>
  <c r="A1424" i="34"/>
  <c r="U1420" i="34"/>
  <c r="W1420" i="34"/>
  <c r="A1420" i="34"/>
  <c r="U1416" i="34"/>
  <c r="W1416" i="34"/>
  <c r="A1416" i="34"/>
  <c r="W1412" i="34"/>
  <c r="U1412" i="34"/>
  <c r="A1412" i="34"/>
  <c r="U1398" i="34"/>
  <c r="W1398" i="34"/>
  <c r="A1398" i="34"/>
  <c r="U1394" i="34"/>
  <c r="W1394" i="34"/>
  <c r="A1394" i="34"/>
  <c r="W1388" i="34"/>
  <c r="U1388" i="34"/>
  <c r="A1388" i="34"/>
  <c r="W1384" i="34"/>
  <c r="U1384" i="34"/>
  <c r="A1384" i="34"/>
  <c r="U1375" i="34"/>
  <c r="W1375" i="34"/>
  <c r="A1375" i="34"/>
  <c r="U1319" i="34"/>
  <c r="W1319" i="34"/>
  <c r="A1319" i="34"/>
  <c r="U1290" i="34"/>
  <c r="W1290" i="34"/>
  <c r="A1290" i="34"/>
  <c r="U1207" i="34"/>
  <c r="W1207" i="34"/>
  <c r="A1207" i="34"/>
  <c r="U1203" i="34"/>
  <c r="W1203" i="34"/>
  <c r="A1203" i="34"/>
  <c r="W1190" i="34"/>
  <c r="U1190" i="34"/>
  <c r="A1190" i="34"/>
  <c r="W1186" i="34"/>
  <c r="U1186" i="34"/>
  <c r="A1186" i="34"/>
  <c r="U1164" i="34"/>
  <c r="W1164" i="34"/>
  <c r="W1134" i="34"/>
  <c r="U1134" i="34"/>
  <c r="W1130" i="34"/>
  <c r="U1130" i="34"/>
  <c r="W1126" i="34"/>
  <c r="U1126" i="34"/>
  <c r="U1109" i="34"/>
  <c r="W1109" i="34"/>
  <c r="U1105" i="34"/>
  <c r="W1105" i="34"/>
  <c r="W1094" i="34"/>
  <c r="U1094" i="34"/>
  <c r="W1090" i="34"/>
  <c r="U1090" i="34"/>
  <c r="W1086" i="34"/>
  <c r="U1086" i="34"/>
  <c r="U325" i="34"/>
  <c r="W325" i="34"/>
  <c r="U330" i="34"/>
  <c r="W330" i="34"/>
  <c r="U335" i="34"/>
  <c r="W335" i="34"/>
  <c r="U339" i="34"/>
  <c r="W339" i="34"/>
  <c r="U344" i="34"/>
  <c r="W344" i="34"/>
  <c r="U349" i="34"/>
  <c r="W349" i="34"/>
  <c r="U354" i="34"/>
  <c r="W354" i="34"/>
  <c r="U360" i="34"/>
  <c r="W360" i="34"/>
  <c r="U364" i="34"/>
  <c r="W364" i="34"/>
  <c r="U497" i="34"/>
  <c r="W497" i="34"/>
  <c r="U501" i="34"/>
  <c r="W501" i="34"/>
  <c r="U505" i="34"/>
  <c r="W505" i="34"/>
  <c r="U509" i="34"/>
  <c r="W509" i="34"/>
  <c r="U513" i="34"/>
  <c r="W513" i="34"/>
  <c r="U517" i="34"/>
  <c r="W517" i="34"/>
  <c r="U521" i="34"/>
  <c r="W521" i="34"/>
  <c r="U525" i="34"/>
  <c r="W525" i="34"/>
  <c r="U529" i="34"/>
  <c r="W529" i="34"/>
  <c r="U533" i="34"/>
  <c r="W533" i="34"/>
  <c r="U537" i="34"/>
  <c r="W537" i="34"/>
  <c r="U604" i="34"/>
  <c r="W604" i="34"/>
  <c r="U947" i="34"/>
  <c r="W947" i="34"/>
  <c r="U951" i="34"/>
  <c r="W951" i="34"/>
  <c r="U955" i="34"/>
  <c r="W955" i="34"/>
  <c r="U959" i="34"/>
  <c r="W959" i="34"/>
  <c r="U963" i="34"/>
  <c r="W963" i="34"/>
  <c r="U967" i="34"/>
  <c r="W967" i="34"/>
  <c r="U971" i="34"/>
  <c r="W971" i="34"/>
  <c r="U975" i="34"/>
  <c r="W975" i="34"/>
  <c r="U979" i="34"/>
  <c r="W979" i="34"/>
  <c r="U983" i="34"/>
  <c r="W983" i="34"/>
  <c r="U987" i="34"/>
  <c r="W987" i="34"/>
  <c r="U991" i="34"/>
  <c r="W991" i="34"/>
  <c r="U995" i="34"/>
  <c r="W995" i="34"/>
  <c r="U999" i="34"/>
  <c r="W999" i="34"/>
  <c r="U1003" i="34"/>
  <c r="W1003" i="34"/>
  <c r="U1007" i="34"/>
  <c r="W1007" i="34"/>
  <c r="W1011" i="34"/>
  <c r="U1011" i="34"/>
  <c r="W1015" i="34"/>
  <c r="U1015" i="34"/>
  <c r="W1019" i="34"/>
  <c r="U1019" i="34"/>
  <c r="W1023" i="34"/>
  <c r="U1023" i="34"/>
  <c r="B1069" i="34" l="1"/>
  <c r="A1069" i="34" s="1"/>
  <c r="B856" i="34"/>
  <c r="A856" i="34" s="1"/>
  <c r="B608" i="34"/>
  <c r="A608" i="34" s="1"/>
  <c r="B595" i="34"/>
  <c r="A595" i="34" s="1"/>
  <c r="U1069" i="34" l="1"/>
  <c r="W1069" i="34"/>
  <c r="U595" i="34"/>
  <c r="W595" i="34"/>
  <c r="U856" i="34"/>
  <c r="W856" i="34"/>
  <c r="U608" i="34"/>
  <c r="W608" i="34"/>
  <c r="F217" i="55"/>
  <c r="F218" i="55" s="1"/>
  <c r="E217" i="55"/>
  <c r="S234" i="60"/>
  <c r="C234" i="60" s="1"/>
  <c r="S203" i="60"/>
  <c r="C203" i="60" s="1"/>
  <c r="S222" i="60"/>
  <c r="C222" i="60" s="1"/>
  <c r="S209" i="60"/>
  <c r="C209" i="60" s="1"/>
  <c r="S237" i="60"/>
  <c r="C237" i="60" s="1"/>
  <c r="S189" i="60"/>
  <c r="C189" i="60" s="1"/>
  <c r="S156" i="60"/>
  <c r="C156" i="60" s="1"/>
  <c r="S211" i="60"/>
  <c r="C211" i="60" s="1"/>
  <c r="S238" i="60"/>
  <c r="C238" i="60" s="1"/>
  <c r="S218" i="60"/>
  <c r="C218" i="60" s="1"/>
  <c r="S185" i="60"/>
  <c r="C185" i="60" s="1"/>
  <c r="S217" i="60"/>
  <c r="C217" i="60" s="1"/>
  <c r="S192" i="60"/>
  <c r="C192" i="60" s="1"/>
  <c r="S172" i="60"/>
  <c r="C172" i="60" s="1"/>
  <c r="S155" i="60"/>
  <c r="C155" i="60" s="1"/>
  <c r="S236" i="60"/>
  <c r="C236" i="60" s="1"/>
  <c r="S166" i="60"/>
  <c r="C166" i="60" s="1"/>
  <c r="S193" i="60"/>
  <c r="C193" i="60" s="1"/>
  <c r="S157" i="60"/>
  <c r="C157" i="60" s="1"/>
  <c r="S229" i="60"/>
  <c r="C229" i="60" s="1"/>
  <c r="S180" i="60"/>
  <c r="C180" i="60" s="1"/>
  <c r="S161" i="60"/>
  <c r="C161" i="60" s="1"/>
  <c r="S212" i="60"/>
  <c r="C212" i="60" s="1"/>
  <c r="S200" i="60"/>
  <c r="C200" i="60" s="1"/>
  <c r="S197" i="60"/>
  <c r="C197" i="60" s="1"/>
  <c r="S165" i="60"/>
  <c r="C165" i="60" s="1"/>
  <c r="S163" i="60"/>
  <c r="C163" i="60" s="1"/>
  <c r="S150" i="60"/>
  <c r="C150" i="60" s="1"/>
  <c r="S231" i="60"/>
  <c r="C231" i="60" s="1"/>
  <c r="S196" i="60"/>
  <c r="C196" i="60" s="1"/>
  <c r="S230" i="60"/>
  <c r="C230" i="60" s="1"/>
  <c r="S226" i="60"/>
  <c r="C226" i="60" s="1"/>
  <c r="S194" i="60"/>
  <c r="C194" i="60" s="1"/>
  <c r="S162" i="60"/>
  <c r="C162" i="60" s="1"/>
  <c r="S148" i="60"/>
  <c r="C148" i="60" s="1"/>
  <c r="S151" i="60"/>
  <c r="C151" i="60" s="1"/>
  <c r="S149" i="60"/>
  <c r="C149" i="60" s="1"/>
  <c r="S152" i="60"/>
  <c r="C152" i="60" s="1"/>
  <c r="S153" i="60"/>
  <c r="C153" i="60" s="1"/>
  <c r="S154" i="60"/>
  <c r="C154" i="60" s="1"/>
  <c r="S158" i="60"/>
  <c r="C158" i="60" s="1"/>
  <c r="S159" i="60"/>
  <c r="C159" i="60" s="1"/>
  <c r="S160" i="60"/>
  <c r="C160" i="60" s="1"/>
  <c r="S164" i="60"/>
  <c r="C164" i="60" s="1"/>
  <c r="S167" i="60"/>
  <c r="C167" i="60" s="1"/>
  <c r="S168" i="60"/>
  <c r="C168" i="60" s="1"/>
  <c r="S169" i="60"/>
  <c r="C169" i="60" s="1"/>
  <c r="S170" i="60"/>
  <c r="C170" i="60" s="1"/>
  <c r="S171" i="60"/>
  <c r="C171" i="60" s="1"/>
  <c r="S173" i="60"/>
  <c r="C173" i="60" s="1"/>
  <c r="S174" i="60"/>
  <c r="C174" i="60" s="1"/>
  <c r="S175" i="60"/>
  <c r="C175" i="60" s="1"/>
  <c r="S176" i="60"/>
  <c r="C176" i="60" s="1"/>
  <c r="S177" i="60"/>
  <c r="C177" i="60" s="1"/>
  <c r="S178" i="60"/>
  <c r="C178" i="60" s="1"/>
  <c r="S179" i="60"/>
  <c r="C179" i="60" s="1"/>
  <c r="S181" i="60"/>
  <c r="C181" i="60" s="1"/>
  <c r="S182" i="60"/>
  <c r="C182" i="60" s="1"/>
  <c r="S183" i="60"/>
  <c r="C183" i="60" s="1"/>
  <c r="S184" i="60"/>
  <c r="C184" i="60" s="1"/>
  <c r="S186" i="60"/>
  <c r="C186" i="60" s="1"/>
  <c r="S187" i="60"/>
  <c r="C187" i="60" s="1"/>
  <c r="S188" i="60"/>
  <c r="C188" i="60" s="1"/>
  <c r="S190" i="60"/>
  <c r="C190" i="60" s="1"/>
  <c r="S191" i="60"/>
  <c r="C191" i="60" s="1"/>
  <c r="S195" i="60"/>
  <c r="C195" i="60" s="1"/>
  <c r="S198" i="60"/>
  <c r="C198" i="60" s="1"/>
  <c r="S199" i="60"/>
  <c r="C199" i="60" s="1"/>
  <c r="S201" i="60"/>
  <c r="C201" i="60" s="1"/>
  <c r="S202" i="60"/>
  <c r="C202" i="60" s="1"/>
  <c r="S204" i="60"/>
  <c r="C204" i="60" s="1"/>
  <c r="S205" i="60"/>
  <c r="C205" i="60" s="1"/>
  <c r="S206" i="60"/>
  <c r="C206" i="60" s="1"/>
  <c r="S207" i="60"/>
  <c r="C207" i="60" s="1"/>
  <c r="S208" i="60"/>
  <c r="C208" i="60" s="1"/>
  <c r="S210" i="60"/>
  <c r="C210" i="60" s="1"/>
  <c r="S213" i="60"/>
  <c r="C213" i="60" s="1"/>
  <c r="S214" i="60"/>
  <c r="C214" i="60" s="1"/>
  <c r="S215" i="60"/>
  <c r="C215" i="60" s="1"/>
  <c r="S216" i="60"/>
  <c r="C216" i="60" s="1"/>
  <c r="S219" i="60"/>
  <c r="C219" i="60" s="1"/>
  <c r="S220" i="60"/>
  <c r="C220" i="60" s="1"/>
  <c r="S221" i="60"/>
  <c r="C221" i="60" s="1"/>
  <c r="S223" i="60"/>
  <c r="C223" i="60" s="1"/>
  <c r="S224" i="60"/>
  <c r="C224" i="60" s="1"/>
  <c r="S225" i="60"/>
  <c r="C225" i="60" s="1"/>
  <c r="S227" i="60"/>
  <c r="C227" i="60" s="1"/>
  <c r="S228" i="60"/>
  <c r="C228" i="60" s="1"/>
  <c r="S232" i="60"/>
  <c r="C232" i="60" s="1"/>
  <c r="S233" i="60"/>
  <c r="C233" i="60" s="1"/>
  <c r="S235" i="60"/>
  <c r="C235" i="60" s="1"/>
  <c r="S239" i="60"/>
  <c r="C239" i="60" s="1"/>
  <c r="S240" i="60"/>
  <c r="C240" i="60" s="1"/>
  <c r="S241" i="60"/>
  <c r="C241" i="60" s="1"/>
  <c r="B34" i="34" l="1"/>
  <c r="A34" i="34" s="1"/>
  <c r="B28" i="34"/>
  <c r="A28" i="34" s="1"/>
  <c r="B564" i="34"/>
  <c r="A564" i="34" s="1"/>
  <c r="B559" i="34"/>
  <c r="A559" i="34" s="1"/>
  <c r="B547" i="34"/>
  <c r="A547" i="34" s="1"/>
  <c r="U28" i="34" l="1"/>
  <c r="W28" i="34"/>
  <c r="U559" i="34"/>
  <c r="W559" i="34"/>
  <c r="U564" i="34"/>
  <c r="W564" i="34"/>
  <c r="U547" i="34"/>
  <c r="W547" i="34"/>
  <c r="W34" i="34"/>
  <c r="U34" i="34"/>
  <c r="W22" i="34"/>
  <c r="U22" i="34"/>
  <c r="B835" i="34"/>
  <c r="A835" i="34" s="1"/>
  <c r="B822" i="34"/>
  <c r="A822" i="34" s="1"/>
  <c r="U822" i="34" l="1"/>
  <c r="W822" i="34"/>
  <c r="W835" i="34"/>
  <c r="U835" i="34"/>
  <c r="U397" i="34"/>
  <c r="W397" i="34"/>
  <c r="B662" i="34"/>
  <c r="A662" i="34" s="1"/>
  <c r="B638" i="34"/>
  <c r="A638" i="34" s="1"/>
  <c r="B670" i="34"/>
  <c r="A670" i="34" s="1"/>
  <c r="B770" i="34"/>
  <c r="A770" i="34" s="1"/>
  <c r="U670" i="34" l="1"/>
  <c r="W670" i="34"/>
  <c r="W164" i="34"/>
  <c r="U164" i="34"/>
  <c r="W638" i="34"/>
  <c r="U638" i="34"/>
  <c r="U203" i="34"/>
  <c r="W203" i="34"/>
  <c r="U770" i="34"/>
  <c r="W770" i="34"/>
  <c r="U100" i="34"/>
  <c r="W100" i="34"/>
  <c r="U662" i="34"/>
  <c r="W662" i="34"/>
  <c r="U104" i="34"/>
  <c r="W104" i="34"/>
  <c r="W107" i="34"/>
  <c r="U107" i="34"/>
  <c r="O5" i="78"/>
  <c r="N5" i="78"/>
  <c r="U155" i="34" l="1"/>
  <c r="W155" i="34"/>
  <c r="U147" i="34"/>
  <c r="W147" i="34"/>
  <c r="W150" i="34"/>
  <c r="U150" i="34"/>
  <c r="B821" i="34"/>
  <c r="A821" i="34" s="1"/>
  <c r="B815" i="34"/>
  <c r="A815" i="34" s="1"/>
  <c r="B814" i="34"/>
  <c r="A814" i="34" s="1"/>
  <c r="B769" i="34"/>
  <c r="A769" i="34" s="1"/>
  <c r="B768" i="34"/>
  <c r="A768" i="34" s="1"/>
  <c r="B767" i="34"/>
  <c r="A767" i="34" s="1"/>
  <c r="B766" i="34"/>
  <c r="A766" i="34" s="1"/>
  <c r="B765" i="34"/>
  <c r="A765" i="34" s="1"/>
  <c r="B764" i="34"/>
  <c r="A764" i="34" s="1"/>
  <c r="B763" i="34"/>
  <c r="A763" i="34" s="1"/>
  <c r="B762" i="34"/>
  <c r="A762" i="34" s="1"/>
  <c r="B761" i="34"/>
  <c r="A761" i="34" s="1"/>
  <c r="B750" i="34"/>
  <c r="A750" i="34" s="1"/>
  <c r="B749" i="34"/>
  <c r="A749" i="34" s="1"/>
  <c r="B748" i="34"/>
  <c r="A748" i="34" s="1"/>
  <c r="B747" i="34"/>
  <c r="A747" i="34" s="1"/>
  <c r="B746" i="34"/>
  <c r="A746" i="34" s="1"/>
  <c r="B745" i="34"/>
  <c r="A745" i="34" s="1"/>
  <c r="B744" i="34"/>
  <c r="A744" i="34" s="1"/>
  <c r="B743" i="34"/>
  <c r="A743" i="34" s="1"/>
  <c r="B742" i="34"/>
  <c r="A742" i="34" s="1"/>
  <c r="B739" i="34"/>
  <c r="A739" i="34" s="1"/>
  <c r="B738" i="34"/>
  <c r="A738" i="34" s="1"/>
  <c r="B737" i="34"/>
  <c r="A737" i="34" s="1"/>
  <c r="B736" i="34"/>
  <c r="A736" i="34" s="1"/>
  <c r="B735" i="34"/>
  <c r="A735" i="34" s="1"/>
  <c r="B734" i="34"/>
  <c r="A734" i="34" s="1"/>
  <c r="B733" i="34"/>
  <c r="A733" i="34" s="1"/>
  <c r="B732" i="34"/>
  <c r="A732" i="34" s="1"/>
  <c r="B731" i="34"/>
  <c r="A731" i="34" s="1"/>
  <c r="B719" i="34"/>
  <c r="A719" i="34" s="1"/>
  <c r="B718" i="34"/>
  <c r="A718" i="34" s="1"/>
  <c r="B717" i="34"/>
  <c r="A717" i="34" s="1"/>
  <c r="B716" i="34"/>
  <c r="A716" i="34" s="1"/>
  <c r="B715" i="34"/>
  <c r="A715" i="34" s="1"/>
  <c r="B714" i="34"/>
  <c r="A714" i="34" s="1"/>
  <c r="B713" i="34"/>
  <c r="A713" i="34" s="1"/>
  <c r="B712" i="34"/>
  <c r="A712" i="34" s="1"/>
  <c r="B711" i="34"/>
  <c r="A711" i="34" s="1"/>
  <c r="B693" i="34"/>
  <c r="A693" i="34" s="1"/>
  <c r="B692" i="34"/>
  <c r="A692" i="34" s="1"/>
  <c r="B691" i="34"/>
  <c r="A691" i="34" s="1"/>
  <c r="B690" i="34"/>
  <c r="A690" i="34" s="1"/>
  <c r="B689" i="34"/>
  <c r="A689" i="34" s="1"/>
  <c r="B688" i="34"/>
  <c r="A688" i="34" s="1"/>
  <c r="B687" i="34"/>
  <c r="A687" i="34" s="1"/>
  <c r="B686" i="34"/>
  <c r="A686" i="34" s="1"/>
  <c r="B685" i="34"/>
  <c r="A685" i="34" s="1"/>
  <c r="B659" i="34"/>
  <c r="A659" i="34" s="1"/>
  <c r="B658" i="34"/>
  <c r="A658" i="34" s="1"/>
  <c r="B657" i="34"/>
  <c r="A657" i="34" s="1"/>
  <c r="B656" i="34"/>
  <c r="A656" i="34" s="1"/>
  <c r="B655" i="34"/>
  <c r="A655" i="34" s="1"/>
  <c r="B654" i="34"/>
  <c r="A654" i="34" s="1"/>
  <c r="B653" i="34"/>
  <c r="A653" i="34" s="1"/>
  <c r="B652" i="34"/>
  <c r="A652" i="34" s="1"/>
  <c r="B651" i="34"/>
  <c r="A651" i="34" s="1"/>
  <c r="B626" i="34"/>
  <c r="A626" i="34" s="1"/>
  <c r="B625" i="34"/>
  <c r="A625" i="34" s="1"/>
  <c r="B624" i="34"/>
  <c r="A624" i="34" s="1"/>
  <c r="B623" i="34"/>
  <c r="A623" i="34" s="1"/>
  <c r="B622" i="34"/>
  <c r="A622" i="34" s="1"/>
  <c r="B621" i="34"/>
  <c r="A621" i="34" s="1"/>
  <c r="B620" i="34"/>
  <c r="A620" i="34" s="1"/>
  <c r="B619" i="34"/>
  <c r="A619" i="34" s="1"/>
  <c r="B618" i="34"/>
  <c r="A618" i="34" s="1"/>
  <c r="B591" i="34"/>
  <c r="A591" i="34" s="1"/>
  <c r="B590" i="34"/>
  <c r="A590" i="34" s="1"/>
  <c r="B589" i="34"/>
  <c r="A589" i="34" s="1"/>
  <c r="B588" i="34"/>
  <c r="A588" i="34" s="1"/>
  <c r="B587" i="34"/>
  <c r="A587" i="34" s="1"/>
  <c r="B586" i="34"/>
  <c r="A586" i="34" s="1"/>
  <c r="B585" i="34"/>
  <c r="A585" i="34" s="1"/>
  <c r="B584" i="34"/>
  <c r="A584" i="34" s="1"/>
  <c r="B583" i="34"/>
  <c r="A583" i="34" s="1"/>
  <c r="B44" i="34"/>
  <c r="A44" i="34" s="1"/>
  <c r="B43" i="34"/>
  <c r="A43" i="34" s="1"/>
  <c r="B42" i="34"/>
  <c r="A42" i="34" s="1"/>
  <c r="B41" i="34"/>
  <c r="A41" i="34" s="1"/>
  <c r="B40" i="34"/>
  <c r="A40" i="34" s="1"/>
  <c r="B39" i="34"/>
  <c r="A39" i="34" s="1"/>
  <c r="B38" i="34"/>
  <c r="A38" i="34" s="1"/>
  <c r="B37" i="34"/>
  <c r="A37" i="34" s="1"/>
  <c r="B36" i="34"/>
  <c r="A36" i="34" s="1"/>
  <c r="B35" i="34"/>
  <c r="A35" i="34" s="1"/>
  <c r="B544" i="34"/>
  <c r="A544" i="34" s="1"/>
  <c r="B543" i="34"/>
  <c r="A543" i="34" s="1"/>
  <c r="B542" i="34"/>
  <c r="A542" i="34" s="1"/>
  <c r="B541" i="34"/>
  <c r="A541" i="34" s="1"/>
  <c r="B540" i="34"/>
  <c r="A540" i="34" s="1"/>
  <c r="B539" i="34"/>
  <c r="A539" i="34" s="1"/>
  <c r="B840" i="34"/>
  <c r="A840" i="34" s="1"/>
  <c r="B839" i="34"/>
  <c r="A839" i="34" s="1"/>
  <c r="B838" i="34"/>
  <c r="A838" i="34" s="1"/>
  <c r="B837" i="34"/>
  <c r="A837" i="34" s="1"/>
  <c r="B836" i="34"/>
  <c r="A836" i="34" s="1"/>
  <c r="B33" i="34"/>
  <c r="A33" i="34" s="1"/>
  <c r="B32" i="34"/>
  <c r="A32" i="34" s="1"/>
  <c r="B31" i="34"/>
  <c r="A31" i="34" s="1"/>
  <c r="B30" i="34"/>
  <c r="A30" i="34" s="1"/>
  <c r="B29" i="34"/>
  <c r="A29" i="34" s="1"/>
  <c r="B27" i="34"/>
  <c r="A27" i="34" s="1"/>
  <c r="B26" i="34"/>
  <c r="A26" i="34" s="1"/>
  <c r="B1029" i="34"/>
  <c r="A1029" i="34" s="1"/>
  <c r="B1028" i="34"/>
  <c r="A1028" i="34" s="1"/>
  <c r="B1027" i="34"/>
  <c r="A1027" i="34" s="1"/>
  <c r="B1026" i="34"/>
  <c r="A1026" i="34" s="1"/>
  <c r="B1025" i="34"/>
  <c r="A1025" i="34" s="1"/>
  <c r="B1024" i="34"/>
  <c r="A1024" i="34" s="1"/>
  <c r="B615" i="34"/>
  <c r="A615" i="34" s="1"/>
  <c r="B614" i="34"/>
  <c r="A614" i="34" s="1"/>
  <c r="B607" i="34"/>
  <c r="A607" i="34" s="1"/>
  <c r="B606" i="34"/>
  <c r="A606" i="34" s="1"/>
  <c r="B605" i="34"/>
  <c r="A605" i="34" s="1"/>
  <c r="B582" i="34"/>
  <c r="A582" i="34" s="1"/>
  <c r="B581" i="34"/>
  <c r="A581" i="34" s="1"/>
  <c r="B580" i="34"/>
  <c r="A580" i="34" s="1"/>
  <c r="B579" i="34"/>
  <c r="A579" i="34" s="1"/>
  <c r="B578" i="34"/>
  <c r="A578" i="34" s="1"/>
  <c r="B577" i="34"/>
  <c r="A577" i="34" s="1"/>
  <c r="B576" i="34"/>
  <c r="A576" i="34" s="1"/>
  <c r="B575" i="34"/>
  <c r="A575" i="34" s="1"/>
  <c r="B574" i="34"/>
  <c r="A574" i="34" s="1"/>
  <c r="B573" i="34"/>
  <c r="A573" i="34" s="1"/>
  <c r="B572" i="34"/>
  <c r="A572" i="34" s="1"/>
  <c r="B571" i="34"/>
  <c r="A571" i="34" s="1"/>
  <c r="B570" i="34"/>
  <c r="A570" i="34" s="1"/>
  <c r="B569" i="34"/>
  <c r="A569" i="34" s="1"/>
  <c r="B568" i="34"/>
  <c r="A568" i="34" s="1"/>
  <c r="B567" i="34"/>
  <c r="A567" i="34" s="1"/>
  <c r="B566" i="34"/>
  <c r="A566" i="34" s="1"/>
  <c r="B565" i="34"/>
  <c r="A565" i="34" s="1"/>
  <c r="B563" i="34"/>
  <c r="A563" i="34" s="1"/>
  <c r="B562" i="34"/>
  <c r="A562" i="34" s="1"/>
  <c r="B561" i="34"/>
  <c r="A561" i="34" s="1"/>
  <c r="B560" i="34"/>
  <c r="A560" i="34" s="1"/>
  <c r="B558" i="34"/>
  <c r="A558" i="34" s="1"/>
  <c r="B557" i="34"/>
  <c r="A557" i="34" s="1"/>
  <c r="B556" i="34"/>
  <c r="A556" i="34" s="1"/>
  <c r="B555" i="34"/>
  <c r="A555" i="34" s="1"/>
  <c r="B554" i="34"/>
  <c r="A554" i="34" s="1"/>
  <c r="B553" i="34"/>
  <c r="A553" i="34" s="1"/>
  <c r="B552" i="34"/>
  <c r="A552" i="34" s="1"/>
  <c r="B551" i="34"/>
  <c r="A551" i="34" s="1"/>
  <c r="B550" i="34"/>
  <c r="A550" i="34" s="1"/>
  <c r="B549" i="34"/>
  <c r="A549" i="34" s="1"/>
  <c r="B548" i="34"/>
  <c r="A548" i="34" s="1"/>
  <c r="B546" i="34"/>
  <c r="A546" i="34" s="1"/>
  <c r="B545" i="34"/>
  <c r="A545" i="34" s="1"/>
  <c r="B834" i="34"/>
  <c r="A834" i="34" s="1"/>
  <c r="B823" i="34"/>
  <c r="A823" i="34" s="1"/>
  <c r="B1609" i="34"/>
  <c r="B1607" i="34"/>
  <c r="B1605" i="34"/>
  <c r="B1604" i="34"/>
  <c r="B1603" i="34"/>
  <c r="B1602" i="34"/>
  <c r="B1596" i="34"/>
  <c r="B1595" i="34"/>
  <c r="B1594" i="34"/>
  <c r="B1582" i="34"/>
  <c r="B1495" i="34"/>
  <c r="B1487" i="34"/>
  <c r="B1486" i="34"/>
  <c r="B1485" i="34"/>
  <c r="B1484" i="34"/>
  <c r="B1427" i="34"/>
  <c r="B1426" i="34"/>
  <c r="B1428" i="34"/>
  <c r="B1409" i="34"/>
  <c r="B1407" i="34"/>
  <c r="B1406" i="34"/>
  <c r="B1405" i="34"/>
  <c r="B1391" i="34"/>
  <c r="B1390" i="34"/>
  <c r="B1380" i="34"/>
  <c r="B1379" i="34"/>
  <c r="B1378" i="34"/>
  <c r="B1377" i="34"/>
  <c r="B1376" i="34"/>
  <c r="B1372" i="34"/>
  <c r="B1371" i="34"/>
  <c r="B1355" i="34"/>
  <c r="B1226" i="34"/>
  <c r="B1228" i="34"/>
  <c r="B1227" i="34"/>
  <c r="B1184" i="34"/>
  <c r="B1183" i="34"/>
  <c r="B1151" i="34"/>
  <c r="A1151" i="34" s="1"/>
  <c r="B1115" i="34"/>
  <c r="A1115" i="34" s="1"/>
  <c r="B1114" i="34"/>
  <c r="A1114" i="34" s="1"/>
  <c r="B1113" i="34"/>
  <c r="A1113" i="34" s="1"/>
  <c r="B1112" i="34"/>
  <c r="A1112" i="34" s="1"/>
  <c r="B1103" i="34"/>
  <c r="A1103" i="34" s="1"/>
  <c r="B1102" i="34"/>
  <c r="A1102" i="34" s="1"/>
  <c r="B1101" i="34"/>
  <c r="A1101" i="34" s="1"/>
  <c r="B1100" i="34"/>
  <c r="A1100" i="34" s="1"/>
  <c r="B1099" i="34"/>
  <c r="A1099" i="34" s="1"/>
  <c r="B1098" i="34"/>
  <c r="A1098" i="34" s="1"/>
  <c r="B1097" i="34"/>
  <c r="A1097" i="34" s="1"/>
  <c r="B1080" i="34"/>
  <c r="A1080" i="34" s="1"/>
  <c r="B1079" i="34"/>
  <c r="A1079" i="34" s="1"/>
  <c r="B1794" i="34"/>
  <c r="B1799" i="34"/>
  <c r="B1798" i="34"/>
  <c r="B1570" i="34"/>
  <c r="B1572" i="34"/>
  <c r="B1571" i="34"/>
  <c r="B1370" i="34"/>
  <c r="B1374" i="34"/>
  <c r="B1373" i="34"/>
  <c r="B1075" i="34"/>
  <c r="A1075" i="34" s="1"/>
  <c r="B1074" i="34"/>
  <c r="A1074" i="34" s="1"/>
  <c r="B1073" i="34"/>
  <c r="A1073" i="34" s="1"/>
  <c r="B1061" i="34"/>
  <c r="A1061" i="34" s="1"/>
  <c r="B1060" i="34"/>
  <c r="A1060" i="34" s="1"/>
  <c r="B1059" i="34"/>
  <c r="A1059" i="34" s="1"/>
  <c r="B1058" i="34"/>
  <c r="A1058" i="34" s="1"/>
  <c r="B1057" i="34"/>
  <c r="A1057" i="34" s="1"/>
  <c r="B1056" i="34"/>
  <c r="A1056" i="34" s="1"/>
  <c r="B1055" i="34"/>
  <c r="A1055" i="34" s="1"/>
  <c r="B1054" i="34"/>
  <c r="A1054" i="34" s="1"/>
  <c r="B1053" i="34"/>
  <c r="A1053" i="34" s="1"/>
  <c r="B1052" i="34"/>
  <c r="A1052" i="34" s="1"/>
  <c r="B1051" i="34"/>
  <c r="A1051" i="34" s="1"/>
  <c r="B1050" i="34"/>
  <c r="A1050" i="34" s="1"/>
  <c r="B1049" i="34"/>
  <c r="A1049" i="34" s="1"/>
  <c r="B1048" i="34"/>
  <c r="A1048" i="34" s="1"/>
  <c r="B1047" i="34"/>
  <c r="A1047" i="34" s="1"/>
  <c r="B1046" i="34"/>
  <c r="A1046" i="34" s="1"/>
  <c r="B1045" i="34"/>
  <c r="A1045" i="34" s="1"/>
  <c r="B1044" i="34"/>
  <c r="A1044" i="34" s="1"/>
  <c r="B1043" i="34"/>
  <c r="A1043" i="34" s="1"/>
  <c r="B1042" i="34"/>
  <c r="A1042" i="34" s="1"/>
  <c r="B1041" i="34"/>
  <c r="A1041" i="34" s="1"/>
  <c r="B1040" i="34"/>
  <c r="A1040" i="34" s="1"/>
  <c r="B1039" i="34"/>
  <c r="A1039" i="34" s="1"/>
  <c r="B1038" i="34"/>
  <c r="A1038" i="34" s="1"/>
  <c r="B1037" i="34"/>
  <c r="A1037" i="34" s="1"/>
  <c r="B1036" i="34"/>
  <c r="A1036" i="34" s="1"/>
  <c r="B1035" i="34"/>
  <c r="A1035" i="34" s="1"/>
  <c r="B1034" i="34"/>
  <c r="A1034" i="34" s="1"/>
  <c r="B1033" i="34"/>
  <c r="A1033" i="34" s="1"/>
  <c r="B1032" i="34"/>
  <c r="A1032" i="34" s="1"/>
  <c r="B1031" i="34"/>
  <c r="A1031" i="34" s="1"/>
  <c r="B1030" i="34"/>
  <c r="A1030" i="34" s="1"/>
  <c r="B61" i="34"/>
  <c r="A61" i="34" s="1"/>
  <c r="B60" i="34"/>
  <c r="A60" i="34" s="1"/>
  <c r="B59" i="34"/>
  <c r="A59" i="34" s="1"/>
  <c r="B58" i="34"/>
  <c r="A58" i="34" s="1"/>
  <c r="B57" i="34"/>
  <c r="A57" i="34" s="1"/>
  <c r="B56" i="34"/>
  <c r="A56" i="34" s="1"/>
  <c r="B55" i="34"/>
  <c r="A55" i="34" s="1"/>
  <c r="B54" i="34"/>
  <c r="A54" i="34" s="1"/>
  <c r="B53" i="34"/>
  <c r="A53" i="34" s="1"/>
  <c r="B52" i="34"/>
  <c r="A52" i="34" s="1"/>
  <c r="B51" i="34"/>
  <c r="A51" i="34" s="1"/>
  <c r="B50" i="34"/>
  <c r="A50" i="34" s="1"/>
  <c r="B49" i="34"/>
  <c r="A49" i="34" s="1"/>
  <c r="B48" i="34"/>
  <c r="A48" i="34" s="1"/>
  <c r="B47" i="34"/>
  <c r="A47" i="34" s="1"/>
  <c r="B46" i="34"/>
  <c r="A46" i="34" s="1"/>
  <c r="B45" i="34"/>
  <c r="A45" i="34" s="1"/>
  <c r="B1429" i="34"/>
  <c r="B1400" i="34"/>
  <c r="B1797" i="34"/>
  <c r="B1796" i="34"/>
  <c r="B1801" i="34"/>
  <c r="B1800" i="34"/>
  <c r="B1795" i="34"/>
  <c r="B1672" i="34"/>
  <c r="B1657" i="34"/>
  <c r="B1656" i="34"/>
  <c r="B1659" i="34"/>
  <c r="B1658" i="34"/>
  <c r="B1647" i="34"/>
  <c r="B1646" i="34"/>
  <c r="B1645" i="34"/>
  <c r="B1644" i="34"/>
  <c r="W416" i="34" l="1"/>
  <c r="O416" i="34"/>
  <c r="P416" i="34"/>
  <c r="Q416" i="34"/>
  <c r="U416" i="34"/>
  <c r="Z416" i="34"/>
  <c r="W1647" i="34"/>
  <c r="U1647" i="34"/>
  <c r="A1647" i="34"/>
  <c r="W1644" i="34"/>
  <c r="U1644" i="34"/>
  <c r="A1644" i="34"/>
  <c r="W1796" i="34"/>
  <c r="U1796" i="34"/>
  <c r="A1796" i="34"/>
  <c r="U53" i="34"/>
  <c r="W53" i="34"/>
  <c r="U1037" i="34"/>
  <c r="W1037" i="34"/>
  <c r="U1645" i="34"/>
  <c r="W1645" i="34"/>
  <c r="A1645" i="34"/>
  <c r="W1659" i="34"/>
  <c r="U1659" i="34"/>
  <c r="A1659" i="34"/>
  <c r="S1795" i="34"/>
  <c r="W1795" i="34"/>
  <c r="T1795" i="34"/>
  <c r="U1795" i="34"/>
  <c r="R1795" i="34"/>
  <c r="A1795" i="34"/>
  <c r="U1797" i="34"/>
  <c r="W1797" i="34"/>
  <c r="A1797" i="34"/>
  <c r="W46" i="34"/>
  <c r="U46" i="34"/>
  <c r="W50" i="34"/>
  <c r="U50" i="34"/>
  <c r="W54" i="34"/>
  <c r="U54" i="34"/>
  <c r="W58" i="34"/>
  <c r="U58" i="34"/>
  <c r="W1030" i="34"/>
  <c r="U1030" i="34"/>
  <c r="W1034" i="34"/>
  <c r="U1034" i="34"/>
  <c r="W1038" i="34"/>
  <c r="U1038" i="34"/>
  <c r="W1042" i="34"/>
  <c r="U1042" i="34"/>
  <c r="W1046" i="34"/>
  <c r="U1046" i="34"/>
  <c r="W1050" i="34"/>
  <c r="U1050" i="34"/>
  <c r="W1054" i="34"/>
  <c r="U1054" i="34"/>
  <c r="W1058" i="34"/>
  <c r="U1058" i="34"/>
  <c r="U1073" i="34"/>
  <c r="W1073" i="34"/>
  <c r="U1374" i="34"/>
  <c r="W1374" i="34"/>
  <c r="A1374" i="34"/>
  <c r="W1570" i="34"/>
  <c r="U1570" i="34"/>
  <c r="A1570" i="34"/>
  <c r="W1079" i="34"/>
  <c r="U1079" i="34"/>
  <c r="R1099" i="34"/>
  <c r="S1099" i="34"/>
  <c r="W1099" i="34"/>
  <c r="T1099" i="34"/>
  <c r="U1099" i="34"/>
  <c r="R1103" i="34"/>
  <c r="S1103" i="34"/>
  <c r="W1103" i="34"/>
  <c r="T1103" i="34"/>
  <c r="U1103" i="34"/>
  <c r="R1115" i="34"/>
  <c r="S1115" i="34"/>
  <c r="W1115" i="34"/>
  <c r="T1115" i="34"/>
  <c r="U1115" i="34"/>
  <c r="U1227" i="34"/>
  <c r="W1227" i="34"/>
  <c r="A1227" i="34"/>
  <c r="U1371" i="34"/>
  <c r="W1371" i="34"/>
  <c r="A1371" i="34"/>
  <c r="U1378" i="34"/>
  <c r="W1378" i="34"/>
  <c r="A1378" i="34"/>
  <c r="U1391" i="34"/>
  <c r="W1391" i="34"/>
  <c r="A1391" i="34"/>
  <c r="R1409" i="34"/>
  <c r="S1409" i="34"/>
  <c r="W1409" i="34"/>
  <c r="T1409" i="34"/>
  <c r="U1409" i="34"/>
  <c r="A1409" i="34"/>
  <c r="U1484" i="34"/>
  <c r="W1484" i="34"/>
  <c r="A1484" i="34"/>
  <c r="U1495" i="34"/>
  <c r="R1495" i="34"/>
  <c r="S1495" i="34"/>
  <c r="W1495" i="34"/>
  <c r="T1495" i="34"/>
  <c r="A1495" i="34"/>
  <c r="U1596" i="34"/>
  <c r="W1596" i="34"/>
  <c r="A1596" i="34"/>
  <c r="S1605" i="34"/>
  <c r="W1605" i="34"/>
  <c r="T1605" i="34"/>
  <c r="U1605" i="34"/>
  <c r="R1605" i="34"/>
  <c r="A1605" i="34"/>
  <c r="U834" i="34"/>
  <c r="W834" i="34"/>
  <c r="W546" i="34"/>
  <c r="U546" i="34"/>
  <c r="U551" i="34"/>
  <c r="W551" i="34"/>
  <c r="U555" i="34"/>
  <c r="W555" i="34"/>
  <c r="U560" i="34"/>
  <c r="W560" i="34"/>
  <c r="W565" i="34"/>
  <c r="U565" i="34"/>
  <c r="W569" i="34"/>
  <c r="U569" i="34"/>
  <c r="W573" i="34"/>
  <c r="U573" i="34"/>
  <c r="W577" i="34"/>
  <c r="U577" i="34"/>
  <c r="W581" i="34"/>
  <c r="U581" i="34"/>
  <c r="U607" i="34"/>
  <c r="W607" i="34"/>
  <c r="U1025" i="34"/>
  <c r="W1025" i="34"/>
  <c r="U1029" i="34"/>
  <c r="W1029" i="34"/>
  <c r="W26" i="34"/>
  <c r="U26" i="34"/>
  <c r="W31" i="34"/>
  <c r="U31" i="34"/>
  <c r="U837" i="34"/>
  <c r="W837" i="34"/>
  <c r="W379" i="34"/>
  <c r="U379" i="34"/>
  <c r="W384" i="34"/>
  <c r="U384" i="34"/>
  <c r="W389" i="34"/>
  <c r="U389" i="34"/>
  <c r="W393" i="34"/>
  <c r="U393" i="34"/>
  <c r="W402" i="34"/>
  <c r="U402" i="34"/>
  <c r="W407" i="34"/>
  <c r="U407" i="34"/>
  <c r="W412" i="34"/>
  <c r="U412" i="34"/>
  <c r="U417" i="34"/>
  <c r="W417" i="34"/>
  <c r="W539" i="34"/>
  <c r="U539" i="34"/>
  <c r="W543" i="34"/>
  <c r="U543" i="34"/>
  <c r="U37" i="34"/>
  <c r="W37" i="34"/>
  <c r="U41" i="34"/>
  <c r="W41" i="34"/>
  <c r="W214" i="34"/>
  <c r="U214" i="34"/>
  <c r="W223" i="34"/>
  <c r="U223" i="34"/>
  <c r="W227" i="34"/>
  <c r="U227" i="34"/>
  <c r="W234" i="34"/>
  <c r="U234" i="34"/>
  <c r="W238" i="34"/>
  <c r="U238" i="34"/>
  <c r="W242" i="34"/>
  <c r="U242" i="34"/>
  <c r="U260" i="34"/>
  <c r="W260" i="34"/>
  <c r="U264" i="34"/>
  <c r="W264" i="34"/>
  <c r="U370" i="34"/>
  <c r="W370" i="34"/>
  <c r="U377" i="34"/>
  <c r="W377" i="34"/>
  <c r="W585" i="34"/>
  <c r="U585" i="34"/>
  <c r="W589" i="34"/>
  <c r="U589" i="34"/>
  <c r="U619" i="34"/>
  <c r="W619" i="34"/>
  <c r="U623" i="34"/>
  <c r="W623" i="34"/>
  <c r="U651" i="34"/>
  <c r="W651" i="34"/>
  <c r="W655" i="34"/>
  <c r="U655" i="34"/>
  <c r="U659" i="34"/>
  <c r="W659" i="34"/>
  <c r="W688" i="34"/>
  <c r="U688" i="34"/>
  <c r="W692" i="34"/>
  <c r="U692" i="34"/>
  <c r="W713" i="34"/>
  <c r="U713" i="34"/>
  <c r="W717" i="34"/>
  <c r="U717" i="34"/>
  <c r="W732" i="34"/>
  <c r="U732" i="34"/>
  <c r="W736" i="34"/>
  <c r="U736" i="34"/>
  <c r="U742" i="34"/>
  <c r="W742" i="34"/>
  <c r="U746" i="34"/>
  <c r="W746" i="34"/>
  <c r="U750" i="34"/>
  <c r="W750" i="34"/>
  <c r="W764" i="34"/>
  <c r="U764" i="34"/>
  <c r="W768" i="34"/>
  <c r="U768" i="34"/>
  <c r="U821" i="34"/>
  <c r="W821" i="34"/>
  <c r="U148" i="34"/>
  <c r="W148" i="34"/>
  <c r="U156" i="34"/>
  <c r="W156" i="34"/>
  <c r="U160" i="34"/>
  <c r="W160" i="34"/>
  <c r="W181" i="34"/>
  <c r="U181" i="34"/>
  <c r="W185" i="34"/>
  <c r="U185" i="34"/>
  <c r="W189" i="34"/>
  <c r="U189" i="34"/>
  <c r="U196" i="34"/>
  <c r="W196" i="34"/>
  <c r="U200" i="34"/>
  <c r="W200" i="34"/>
  <c r="U211" i="34"/>
  <c r="W211" i="34"/>
  <c r="U1801" i="34"/>
  <c r="R1801" i="34"/>
  <c r="S1801" i="34"/>
  <c r="W1801" i="34"/>
  <c r="T1801" i="34"/>
  <c r="A1801" i="34"/>
  <c r="U1658" i="34"/>
  <c r="W1658" i="34"/>
  <c r="A1658" i="34"/>
  <c r="U45" i="34"/>
  <c r="W45" i="34"/>
  <c r="U57" i="34"/>
  <c r="W57" i="34"/>
  <c r="U1033" i="34"/>
  <c r="W1033" i="34"/>
  <c r="U1646" i="34"/>
  <c r="W1646" i="34"/>
  <c r="A1646" i="34"/>
  <c r="W1656" i="34"/>
  <c r="U1656" i="34"/>
  <c r="A1656" i="34"/>
  <c r="R1800" i="34"/>
  <c r="S1800" i="34"/>
  <c r="W1800" i="34"/>
  <c r="T1800" i="34"/>
  <c r="U1800" i="34"/>
  <c r="A1800" i="34"/>
  <c r="W1400" i="34"/>
  <c r="U1400" i="34"/>
  <c r="A1400" i="34"/>
  <c r="W47" i="34"/>
  <c r="U47" i="34"/>
  <c r="W51" i="34"/>
  <c r="U51" i="34"/>
  <c r="W55" i="34"/>
  <c r="U55" i="34"/>
  <c r="W59" i="34"/>
  <c r="U59" i="34"/>
  <c r="W1031" i="34"/>
  <c r="U1031" i="34"/>
  <c r="W1035" i="34"/>
  <c r="U1035" i="34"/>
  <c r="W1039" i="34"/>
  <c r="U1039" i="34"/>
  <c r="W1043" i="34"/>
  <c r="U1043" i="34"/>
  <c r="W1047" i="34"/>
  <c r="U1047" i="34"/>
  <c r="W1051" i="34"/>
  <c r="U1051" i="34"/>
  <c r="W1055" i="34"/>
  <c r="U1055" i="34"/>
  <c r="W1059" i="34"/>
  <c r="U1059" i="34"/>
  <c r="W1074" i="34"/>
  <c r="U1074" i="34"/>
  <c r="U1370" i="34"/>
  <c r="W1370" i="34"/>
  <c r="A1370" i="34"/>
  <c r="U1798" i="34"/>
  <c r="W1798" i="34"/>
  <c r="A1798" i="34"/>
  <c r="U1080" i="34"/>
  <c r="W1080" i="34"/>
  <c r="U1100" i="34"/>
  <c r="R1100" i="34"/>
  <c r="S1100" i="34"/>
  <c r="W1100" i="34"/>
  <c r="T1100" i="34"/>
  <c r="U1112" i="34"/>
  <c r="W1112" i="34"/>
  <c r="R1151" i="34"/>
  <c r="S1151" i="34"/>
  <c r="W1151" i="34"/>
  <c r="T1151" i="34"/>
  <c r="U1151" i="34"/>
  <c r="W1228" i="34"/>
  <c r="U1228" i="34"/>
  <c r="A1228" i="34"/>
  <c r="W1372" i="34"/>
  <c r="U1372" i="34"/>
  <c r="A1372" i="34"/>
  <c r="U1379" i="34"/>
  <c r="W1379" i="34"/>
  <c r="A1379" i="34"/>
  <c r="R1405" i="34"/>
  <c r="S1405" i="34"/>
  <c r="W1405" i="34"/>
  <c r="T1405" i="34"/>
  <c r="U1405" i="34"/>
  <c r="A1405" i="34"/>
  <c r="T1428" i="34"/>
  <c r="U1428" i="34"/>
  <c r="R1428" i="34"/>
  <c r="S1428" i="34"/>
  <c r="W1428" i="34"/>
  <c r="A1428" i="34"/>
  <c r="W1485" i="34"/>
  <c r="U1485" i="34"/>
  <c r="A1485" i="34"/>
  <c r="R1582" i="34"/>
  <c r="S1582" i="34"/>
  <c r="W1582" i="34"/>
  <c r="T1582" i="34"/>
  <c r="U1582" i="34"/>
  <c r="A1582" i="34"/>
  <c r="R1602" i="34"/>
  <c r="S1602" i="34"/>
  <c r="W1602" i="34"/>
  <c r="T1602" i="34"/>
  <c r="U1602" i="34"/>
  <c r="A1602" i="34"/>
  <c r="U1607" i="34"/>
  <c r="R1607" i="34"/>
  <c r="S1607" i="34"/>
  <c r="W1607" i="34"/>
  <c r="T1607" i="34"/>
  <c r="A1607" i="34"/>
  <c r="W394" i="34"/>
  <c r="U394" i="34"/>
  <c r="U548" i="34"/>
  <c r="W548" i="34"/>
  <c r="U552" i="34"/>
  <c r="W552" i="34"/>
  <c r="U556" i="34"/>
  <c r="W556" i="34"/>
  <c r="W561" i="34"/>
  <c r="U561" i="34"/>
  <c r="W566" i="34"/>
  <c r="U566" i="34"/>
  <c r="W570" i="34"/>
  <c r="U570" i="34"/>
  <c r="W574" i="34"/>
  <c r="U574" i="34"/>
  <c r="W578" i="34"/>
  <c r="U578" i="34"/>
  <c r="W582" i="34"/>
  <c r="U582" i="34"/>
  <c r="W614" i="34"/>
  <c r="U614" i="34"/>
  <c r="W1026" i="34"/>
  <c r="U1026" i="34"/>
  <c r="W23" i="34"/>
  <c r="U23" i="34"/>
  <c r="W27" i="34"/>
  <c r="U27" i="34"/>
  <c r="U32" i="34"/>
  <c r="W32" i="34"/>
  <c r="U838" i="34"/>
  <c r="W838" i="34"/>
  <c r="W380" i="34"/>
  <c r="U380" i="34"/>
  <c r="W385" i="34"/>
  <c r="U385" i="34"/>
  <c r="W390" i="34"/>
  <c r="U390" i="34"/>
  <c r="W398" i="34"/>
  <c r="U398" i="34"/>
  <c r="U403" i="34"/>
  <c r="W403" i="34"/>
  <c r="U408" i="34"/>
  <c r="W408" i="34"/>
  <c r="W413" i="34"/>
  <c r="U413" i="34"/>
  <c r="U419" i="34"/>
  <c r="W419" i="34"/>
  <c r="U540" i="34"/>
  <c r="W540" i="34"/>
  <c r="U544" i="34"/>
  <c r="W544" i="34"/>
  <c r="W38" i="34"/>
  <c r="U38" i="34"/>
  <c r="W42" i="34"/>
  <c r="U42" i="34"/>
  <c r="U215" i="34"/>
  <c r="W215" i="34"/>
  <c r="W224" i="34"/>
  <c r="U224" i="34"/>
  <c r="U228" i="34"/>
  <c r="W228" i="34"/>
  <c r="W235" i="34"/>
  <c r="U235" i="34"/>
  <c r="W239" i="34"/>
  <c r="U239" i="34"/>
  <c r="U257" i="34"/>
  <c r="W257" i="34"/>
  <c r="U261" i="34"/>
  <c r="W261" i="34"/>
  <c r="U265" i="34"/>
  <c r="W265" i="34"/>
  <c r="U371" i="34"/>
  <c r="W371" i="34"/>
  <c r="U378" i="34"/>
  <c r="W378" i="34"/>
  <c r="W586" i="34"/>
  <c r="U586" i="34"/>
  <c r="W590" i="34"/>
  <c r="U590" i="34"/>
  <c r="U620" i="34"/>
  <c r="W620" i="34"/>
  <c r="U624" i="34"/>
  <c r="W624" i="34"/>
  <c r="U652" i="34"/>
  <c r="W652" i="34"/>
  <c r="W656" i="34"/>
  <c r="U656" i="34"/>
  <c r="W685" i="34"/>
  <c r="U685" i="34"/>
  <c r="W689" i="34"/>
  <c r="U689" i="34"/>
  <c r="W693" i="34"/>
  <c r="U693" i="34"/>
  <c r="U714" i="34"/>
  <c r="W714" i="34"/>
  <c r="U718" i="34"/>
  <c r="W718" i="34"/>
  <c r="W733" i="34"/>
  <c r="U733" i="34"/>
  <c r="W737" i="34"/>
  <c r="U737" i="34"/>
  <c r="U743" i="34"/>
  <c r="W743" i="34"/>
  <c r="U747" i="34"/>
  <c r="W747" i="34"/>
  <c r="U761" i="34"/>
  <c r="W761" i="34"/>
  <c r="W765" i="34"/>
  <c r="U765" i="34"/>
  <c r="W769" i="34"/>
  <c r="U769" i="34"/>
  <c r="U144" i="34"/>
  <c r="W144" i="34"/>
  <c r="W149" i="34"/>
  <c r="U149" i="34"/>
  <c r="W157" i="34"/>
  <c r="U157" i="34"/>
  <c r="W161" i="34"/>
  <c r="U161" i="34"/>
  <c r="W182" i="34"/>
  <c r="U182" i="34"/>
  <c r="W186" i="34"/>
  <c r="U186" i="34"/>
  <c r="W193" i="34"/>
  <c r="U193" i="34"/>
  <c r="W197" i="34"/>
  <c r="U197" i="34"/>
  <c r="U208" i="34"/>
  <c r="W208" i="34"/>
  <c r="U212" i="34"/>
  <c r="W212" i="34"/>
  <c r="W1429" i="34"/>
  <c r="U1429" i="34"/>
  <c r="A1429" i="34"/>
  <c r="U48" i="34"/>
  <c r="W48" i="34"/>
  <c r="U52" i="34"/>
  <c r="W52" i="34"/>
  <c r="U56" i="34"/>
  <c r="W56" i="34"/>
  <c r="U60" i="34"/>
  <c r="W60" i="34"/>
  <c r="U1032" i="34"/>
  <c r="W1032" i="34"/>
  <c r="U1036" i="34"/>
  <c r="W1036" i="34"/>
  <c r="U1040" i="34"/>
  <c r="W1040" i="34"/>
  <c r="U1044" i="34"/>
  <c r="W1044" i="34"/>
  <c r="U1048" i="34"/>
  <c r="W1048" i="34"/>
  <c r="U1052" i="34"/>
  <c r="W1052" i="34"/>
  <c r="U1056" i="34"/>
  <c r="W1056" i="34"/>
  <c r="U1060" i="34"/>
  <c r="W1060" i="34"/>
  <c r="W1075" i="34"/>
  <c r="U1075" i="34"/>
  <c r="U1571" i="34"/>
  <c r="W1571" i="34"/>
  <c r="A1571" i="34"/>
  <c r="W1799" i="34"/>
  <c r="U1799" i="34"/>
  <c r="A1799" i="34"/>
  <c r="T1097" i="34"/>
  <c r="U1097" i="34"/>
  <c r="R1097" i="34"/>
  <c r="S1097" i="34"/>
  <c r="W1097" i="34"/>
  <c r="T1101" i="34"/>
  <c r="U1101" i="34"/>
  <c r="R1101" i="34"/>
  <c r="S1101" i="34"/>
  <c r="W1101" i="34"/>
  <c r="U1113" i="34"/>
  <c r="W1113" i="34"/>
  <c r="W1183" i="34"/>
  <c r="U1183" i="34"/>
  <c r="A1183" i="34"/>
  <c r="U1226" i="34"/>
  <c r="W1226" i="34"/>
  <c r="A1226" i="34"/>
  <c r="W1376" i="34"/>
  <c r="U1376" i="34"/>
  <c r="A1376" i="34"/>
  <c r="S1380" i="34"/>
  <c r="W1380" i="34"/>
  <c r="T1380" i="34"/>
  <c r="U1380" i="34"/>
  <c r="R1380" i="34"/>
  <c r="A1380" i="34"/>
  <c r="U1406" i="34"/>
  <c r="R1406" i="34"/>
  <c r="S1406" i="34"/>
  <c r="W1406" i="34"/>
  <c r="T1406" i="34"/>
  <c r="A1406" i="34"/>
  <c r="W1426" i="34"/>
  <c r="U1426" i="34"/>
  <c r="A1426" i="34"/>
  <c r="W1486" i="34"/>
  <c r="U1486" i="34"/>
  <c r="A1486" i="34"/>
  <c r="R1594" i="34"/>
  <c r="S1594" i="34"/>
  <c r="W1594" i="34"/>
  <c r="T1594" i="34"/>
  <c r="U1594" i="34"/>
  <c r="A1594" i="34"/>
  <c r="U1603" i="34"/>
  <c r="R1603" i="34"/>
  <c r="S1603" i="34"/>
  <c r="W1603" i="34"/>
  <c r="T1603" i="34"/>
  <c r="A1603" i="34"/>
  <c r="W1609" i="34"/>
  <c r="U1609" i="34"/>
  <c r="A1609" i="34"/>
  <c r="U395" i="34"/>
  <c r="W395" i="34"/>
  <c r="W549" i="34"/>
  <c r="U549" i="34"/>
  <c r="W553" i="34"/>
  <c r="U553" i="34"/>
  <c r="W557" i="34"/>
  <c r="U557" i="34"/>
  <c r="W562" i="34"/>
  <c r="U562" i="34"/>
  <c r="U567" i="34"/>
  <c r="W567" i="34"/>
  <c r="U571" i="34"/>
  <c r="W571" i="34"/>
  <c r="U575" i="34"/>
  <c r="W575" i="34"/>
  <c r="U579" i="34"/>
  <c r="W579" i="34"/>
  <c r="W605" i="34"/>
  <c r="U605" i="34"/>
  <c r="U615" i="34"/>
  <c r="W615" i="34"/>
  <c r="W1027" i="34"/>
  <c r="U1027" i="34"/>
  <c r="U24" i="34"/>
  <c r="W24" i="34"/>
  <c r="U29" i="34"/>
  <c r="W29" i="34"/>
  <c r="U33" i="34"/>
  <c r="W33" i="34"/>
  <c r="W839" i="34"/>
  <c r="U839" i="34"/>
  <c r="U382" i="34"/>
  <c r="W382" i="34"/>
  <c r="U386" i="34"/>
  <c r="W386" i="34"/>
  <c r="U391" i="34"/>
  <c r="W391" i="34"/>
  <c r="W400" i="34"/>
  <c r="U400" i="34"/>
  <c r="U404" i="34"/>
  <c r="W404" i="34"/>
  <c r="U409" i="34"/>
  <c r="W409" i="34"/>
  <c r="U415" i="34"/>
  <c r="W415" i="34"/>
  <c r="W420" i="34"/>
  <c r="U420" i="34"/>
  <c r="U541" i="34"/>
  <c r="W541" i="34"/>
  <c r="W35" i="34"/>
  <c r="U35" i="34"/>
  <c r="W39" i="34"/>
  <c r="U39" i="34"/>
  <c r="W43" i="34"/>
  <c r="U43" i="34"/>
  <c r="W216" i="34"/>
  <c r="U216" i="34"/>
  <c r="U225" i="34"/>
  <c r="W225" i="34"/>
  <c r="U229" i="34"/>
  <c r="W229" i="34"/>
  <c r="U236" i="34"/>
  <c r="W236" i="34"/>
  <c r="U240" i="34"/>
  <c r="W240" i="34"/>
  <c r="W258" i="34"/>
  <c r="U258" i="34"/>
  <c r="W262" i="34"/>
  <c r="U262" i="34"/>
  <c r="W367" i="34"/>
  <c r="U367" i="34"/>
  <c r="W373" i="34"/>
  <c r="U373" i="34"/>
  <c r="U583" i="34"/>
  <c r="W583" i="34"/>
  <c r="U587" i="34"/>
  <c r="W587" i="34"/>
  <c r="U591" i="34"/>
  <c r="W591" i="34"/>
  <c r="W621" i="34"/>
  <c r="U621" i="34"/>
  <c r="W625" i="34"/>
  <c r="U625" i="34"/>
  <c r="W653" i="34"/>
  <c r="U653" i="34"/>
  <c r="W657" i="34"/>
  <c r="U657" i="34"/>
  <c r="U686" i="34"/>
  <c r="W686" i="34"/>
  <c r="U690" i="34"/>
  <c r="W690" i="34"/>
  <c r="U711" i="34"/>
  <c r="W711" i="34"/>
  <c r="U715" i="34"/>
  <c r="W715" i="34"/>
  <c r="U719" i="34"/>
  <c r="W719" i="34"/>
  <c r="U734" i="34"/>
  <c r="W734" i="34"/>
  <c r="U738" i="34"/>
  <c r="W738" i="34"/>
  <c r="W744" i="34"/>
  <c r="U744" i="34"/>
  <c r="W748" i="34"/>
  <c r="U748" i="34"/>
  <c r="U762" i="34"/>
  <c r="W762" i="34"/>
  <c r="U766" i="34"/>
  <c r="W766" i="34"/>
  <c r="W814" i="34"/>
  <c r="U814" i="34"/>
  <c r="W145" i="34"/>
  <c r="U145" i="34"/>
  <c r="U151" i="34"/>
  <c r="W151" i="34"/>
  <c r="W158" i="34"/>
  <c r="U158" i="34"/>
  <c r="W162" i="34"/>
  <c r="U162" i="34"/>
  <c r="U183" i="34"/>
  <c r="W183" i="34"/>
  <c r="U187" i="34"/>
  <c r="W187" i="34"/>
  <c r="W194" i="34"/>
  <c r="U194" i="34"/>
  <c r="W198" i="34"/>
  <c r="U198" i="34"/>
  <c r="W209" i="34"/>
  <c r="U209" i="34"/>
  <c r="W213" i="34"/>
  <c r="U213" i="34"/>
  <c r="U1657" i="34"/>
  <c r="W1657" i="34"/>
  <c r="A1657" i="34"/>
  <c r="R1672" i="34"/>
  <c r="S1672" i="34"/>
  <c r="W1672" i="34"/>
  <c r="T1672" i="34"/>
  <c r="U1672" i="34"/>
  <c r="A1672" i="34"/>
  <c r="U49" i="34"/>
  <c r="W49" i="34"/>
  <c r="U61" i="34"/>
  <c r="W61" i="34"/>
  <c r="U1041" i="34"/>
  <c r="W1041" i="34"/>
  <c r="U1045" i="34"/>
  <c r="W1045" i="34"/>
  <c r="U1049" i="34"/>
  <c r="W1049" i="34"/>
  <c r="U1053" i="34"/>
  <c r="W1053" i="34"/>
  <c r="U1057" i="34"/>
  <c r="W1057" i="34"/>
  <c r="U1061" i="34"/>
  <c r="W1061" i="34"/>
  <c r="W1373" i="34"/>
  <c r="U1373" i="34"/>
  <c r="A1373" i="34"/>
  <c r="U1572" i="34"/>
  <c r="W1572" i="34"/>
  <c r="A1572" i="34"/>
  <c r="U1794" i="34"/>
  <c r="W1794" i="34"/>
  <c r="A1794" i="34"/>
  <c r="S1098" i="34"/>
  <c r="W1098" i="34"/>
  <c r="T1098" i="34"/>
  <c r="U1098" i="34"/>
  <c r="R1098" i="34"/>
  <c r="S1102" i="34"/>
  <c r="W1102" i="34"/>
  <c r="T1102" i="34"/>
  <c r="U1102" i="34"/>
  <c r="R1102" i="34"/>
  <c r="S1114" i="34"/>
  <c r="W1114" i="34"/>
  <c r="T1114" i="34"/>
  <c r="U1114" i="34"/>
  <c r="R1114" i="34"/>
  <c r="U1184" i="34"/>
  <c r="W1184" i="34"/>
  <c r="A1184" i="34"/>
  <c r="T1355" i="34"/>
  <c r="U1355" i="34"/>
  <c r="R1355" i="34"/>
  <c r="S1355" i="34"/>
  <c r="W1355" i="34"/>
  <c r="A1355" i="34"/>
  <c r="W1377" i="34"/>
  <c r="U1377" i="34"/>
  <c r="A1377" i="34"/>
  <c r="U1390" i="34"/>
  <c r="W1390" i="34"/>
  <c r="A1390" i="34"/>
  <c r="T1407" i="34"/>
  <c r="U1407" i="34"/>
  <c r="R1407" i="34"/>
  <c r="S1407" i="34"/>
  <c r="W1407" i="34"/>
  <c r="A1407" i="34"/>
  <c r="U1427" i="34"/>
  <c r="W1427" i="34"/>
  <c r="A1427" i="34"/>
  <c r="U1487" i="34"/>
  <c r="W1487" i="34"/>
  <c r="A1487" i="34"/>
  <c r="U1595" i="34"/>
  <c r="W1595" i="34"/>
  <c r="A1595" i="34"/>
  <c r="T1604" i="34"/>
  <c r="U1604" i="34"/>
  <c r="R1604" i="34"/>
  <c r="S1604" i="34"/>
  <c r="W1604" i="34"/>
  <c r="A1604" i="34"/>
  <c r="W823" i="34"/>
  <c r="U823" i="34"/>
  <c r="U545" i="34"/>
  <c r="W545" i="34"/>
  <c r="W550" i="34"/>
  <c r="U550" i="34"/>
  <c r="W554" i="34"/>
  <c r="U554" i="34"/>
  <c r="W558" i="34"/>
  <c r="U558" i="34"/>
  <c r="U563" i="34"/>
  <c r="W563" i="34"/>
  <c r="U568" i="34"/>
  <c r="W568" i="34"/>
  <c r="U572" i="34"/>
  <c r="W572" i="34"/>
  <c r="U576" i="34"/>
  <c r="W576" i="34"/>
  <c r="U580" i="34"/>
  <c r="W580" i="34"/>
  <c r="W606" i="34"/>
  <c r="U606" i="34"/>
  <c r="U1024" i="34"/>
  <c r="W1024" i="34"/>
  <c r="U1028" i="34"/>
  <c r="W1028" i="34"/>
  <c r="U25" i="34"/>
  <c r="W25" i="34"/>
  <c r="W30" i="34"/>
  <c r="U30" i="34"/>
  <c r="W836" i="34"/>
  <c r="U836" i="34"/>
  <c r="W840" i="34"/>
  <c r="U840" i="34"/>
  <c r="U383" i="34"/>
  <c r="W383" i="34"/>
  <c r="U388" i="34"/>
  <c r="W388" i="34"/>
  <c r="U392" i="34"/>
  <c r="W392" i="34"/>
  <c r="U401" i="34"/>
  <c r="W401" i="34"/>
  <c r="W405" i="34"/>
  <c r="U405" i="34"/>
  <c r="W411" i="34"/>
  <c r="U411" i="34"/>
  <c r="W422" i="34"/>
  <c r="U422" i="34"/>
  <c r="W542" i="34"/>
  <c r="U542" i="34"/>
  <c r="U36" i="34"/>
  <c r="W36" i="34"/>
  <c r="U40" i="34"/>
  <c r="W40" i="34"/>
  <c r="U44" i="34"/>
  <c r="W44" i="34"/>
  <c r="U222" i="34"/>
  <c r="W222" i="34"/>
  <c r="W226" i="34"/>
  <c r="U226" i="34"/>
  <c r="W230" i="34"/>
  <c r="U230" i="34"/>
  <c r="U237" i="34"/>
  <c r="W237" i="34"/>
  <c r="U241" i="34"/>
  <c r="W241" i="34"/>
  <c r="W259" i="34"/>
  <c r="U259" i="34"/>
  <c r="W263" i="34"/>
  <c r="U263" i="34"/>
  <c r="W369" i="34"/>
  <c r="U369" i="34"/>
  <c r="W374" i="34"/>
  <c r="U374" i="34"/>
  <c r="U584" i="34"/>
  <c r="W584" i="34"/>
  <c r="U588" i="34"/>
  <c r="W588" i="34"/>
  <c r="W618" i="34"/>
  <c r="U618" i="34"/>
  <c r="W622" i="34"/>
  <c r="U622" i="34"/>
  <c r="W626" i="34"/>
  <c r="U626" i="34"/>
  <c r="U654" i="34"/>
  <c r="W654" i="34"/>
  <c r="U658" i="34"/>
  <c r="W658" i="34"/>
  <c r="U687" i="34"/>
  <c r="W687" i="34"/>
  <c r="U691" i="34"/>
  <c r="W691" i="34"/>
  <c r="W712" i="34"/>
  <c r="U712" i="34"/>
  <c r="W716" i="34"/>
  <c r="U716" i="34"/>
  <c r="U731" i="34"/>
  <c r="W731" i="34"/>
  <c r="U735" i="34"/>
  <c r="W735" i="34"/>
  <c r="U739" i="34"/>
  <c r="W739" i="34"/>
  <c r="W745" i="34"/>
  <c r="U745" i="34"/>
  <c r="W749" i="34"/>
  <c r="U749" i="34"/>
  <c r="U763" i="34"/>
  <c r="W763" i="34"/>
  <c r="U767" i="34"/>
  <c r="W767" i="34"/>
  <c r="W815" i="34"/>
  <c r="U815" i="34"/>
  <c r="W146" i="34"/>
  <c r="U146" i="34"/>
  <c r="U152" i="34"/>
  <c r="W152" i="34"/>
  <c r="U159" i="34"/>
  <c r="W159" i="34"/>
  <c r="U163" i="34"/>
  <c r="W163" i="34"/>
  <c r="U184" i="34"/>
  <c r="W184" i="34"/>
  <c r="U188" i="34"/>
  <c r="W188" i="34"/>
  <c r="U195" i="34"/>
  <c r="W195" i="34"/>
  <c r="U199" i="34"/>
  <c r="W199" i="34"/>
  <c r="W210" i="34"/>
  <c r="U210" i="34"/>
  <c r="X66" i="60"/>
  <c r="X65" i="60"/>
  <c r="B1068" i="34"/>
  <c r="A1068" i="34" s="1"/>
  <c r="B594" i="34"/>
  <c r="A594" i="34" s="1"/>
  <c r="U1068" i="34" l="1"/>
  <c r="W1068" i="34"/>
  <c r="W99" i="34"/>
  <c r="U99" i="34"/>
  <c r="W98" i="34"/>
  <c r="U98" i="34"/>
  <c r="U127" i="34"/>
  <c r="W127" i="34"/>
  <c r="W594" i="34"/>
  <c r="U594" i="34"/>
  <c r="S64" i="60"/>
  <c r="C64" i="60" s="1"/>
  <c r="B1496" i="34"/>
  <c r="B1673" i="34"/>
  <c r="B1660" i="34"/>
  <c r="B1597" i="34"/>
  <c r="B1081" i="34"/>
  <c r="A1081" i="34" s="1"/>
  <c r="B1757" i="34"/>
  <c r="W1597" i="34" l="1"/>
  <c r="U1597" i="34"/>
  <c r="A1597" i="34"/>
  <c r="W1660" i="34"/>
  <c r="U1660" i="34"/>
  <c r="A1660" i="34"/>
  <c r="U1757" i="34"/>
  <c r="W1757" i="34"/>
  <c r="A1757" i="34"/>
  <c r="U1673" i="34"/>
  <c r="W1673" i="34"/>
  <c r="A1673" i="34"/>
  <c r="U1081" i="34"/>
  <c r="W1081" i="34"/>
  <c r="U1496" i="34"/>
  <c r="W1496" i="34"/>
  <c r="A1496" i="34"/>
  <c r="S99" i="60"/>
  <c r="C99" i="60" s="1"/>
  <c r="S94" i="60"/>
  <c r="C94" i="60" s="1"/>
  <c r="S95" i="60"/>
  <c r="C95" i="60" s="1"/>
  <c r="S96" i="60"/>
  <c r="C96" i="60" s="1"/>
  <c r="S97" i="60"/>
  <c r="C97" i="60" s="1"/>
  <c r="S98" i="60"/>
  <c r="C98" i="60" s="1"/>
  <c r="S100" i="60"/>
  <c r="C100" i="60" s="1"/>
  <c r="S102" i="60"/>
  <c r="C102" i="60" s="1"/>
  <c r="S103" i="60"/>
  <c r="C103" i="60" s="1"/>
  <c r="S104" i="60"/>
  <c r="C104" i="60" s="1"/>
  <c r="S105" i="60"/>
  <c r="C105" i="60" s="1"/>
  <c r="S106" i="60"/>
  <c r="C106" i="60" s="1"/>
  <c r="S101" i="60"/>
  <c r="C101" i="60" s="1"/>
  <c r="X113" i="60" l="1"/>
  <c r="S113" i="60"/>
  <c r="C113" i="60" s="1"/>
  <c r="X112" i="60"/>
  <c r="S112" i="60"/>
  <c r="C112" i="60" s="1"/>
  <c r="X111" i="60"/>
  <c r="S111" i="60"/>
  <c r="C111" i="60" s="1"/>
  <c r="X110" i="60"/>
  <c r="S110" i="60"/>
  <c r="C110" i="60" s="1"/>
  <c r="X109" i="60"/>
  <c r="S109" i="60"/>
  <c r="C109" i="60" s="1"/>
  <c r="X108" i="60"/>
  <c r="S108" i="60"/>
  <c r="C108" i="60" s="1"/>
  <c r="X107" i="60"/>
  <c r="S107" i="60"/>
  <c r="C107" i="60" s="1"/>
  <c r="X106" i="60"/>
  <c r="X105" i="60"/>
  <c r="X104" i="60"/>
  <c r="X103" i="60"/>
  <c r="X102" i="60"/>
  <c r="X101" i="60"/>
  <c r="X100" i="60"/>
  <c r="X99" i="60"/>
  <c r="X98" i="60"/>
  <c r="X97" i="60"/>
  <c r="X96" i="60"/>
  <c r="X95" i="60"/>
  <c r="X94" i="60"/>
  <c r="X93" i="60"/>
  <c r="S93" i="60"/>
  <c r="C93" i="60" s="1"/>
  <c r="X92" i="60"/>
  <c r="S92" i="60"/>
  <c r="C92" i="60" s="1"/>
  <c r="X91" i="60"/>
  <c r="S91" i="60"/>
  <c r="C91" i="60" s="1"/>
  <c r="X90" i="60"/>
  <c r="S90" i="60"/>
  <c r="C90" i="60" s="1"/>
  <c r="X134" i="60"/>
  <c r="S134" i="60"/>
  <c r="C134" i="60" s="1"/>
  <c r="X133" i="60"/>
  <c r="S133" i="60"/>
  <c r="C133" i="60" s="1"/>
  <c r="X132" i="60"/>
  <c r="S132" i="60"/>
  <c r="C132" i="60" s="1"/>
  <c r="X131" i="60"/>
  <c r="S131" i="60"/>
  <c r="C131" i="60" s="1"/>
  <c r="X130" i="60"/>
  <c r="S130" i="60"/>
  <c r="C130" i="60" s="1"/>
  <c r="X129" i="60"/>
  <c r="S129" i="60"/>
  <c r="C129" i="60" s="1"/>
  <c r="X128" i="60"/>
  <c r="S128" i="60"/>
  <c r="C128" i="60" s="1"/>
  <c r="X127" i="60"/>
  <c r="S127" i="60"/>
  <c r="C127" i="60" s="1"/>
  <c r="X126" i="60"/>
  <c r="S126" i="60"/>
  <c r="C126" i="60" s="1"/>
  <c r="X125" i="60"/>
  <c r="S125" i="60"/>
  <c r="C125" i="60" s="1"/>
  <c r="X124" i="60"/>
  <c r="S124" i="60"/>
  <c r="C124" i="60" s="1"/>
  <c r="X123" i="60"/>
  <c r="S123" i="60"/>
  <c r="C123" i="60" s="1"/>
  <c r="X122" i="60"/>
  <c r="S122" i="60"/>
  <c r="C122" i="60" s="1"/>
  <c r="X121" i="60"/>
  <c r="S121" i="60"/>
  <c r="C121" i="60" s="1"/>
  <c r="X120" i="60"/>
  <c r="S120" i="60"/>
  <c r="C120" i="60" s="1"/>
  <c r="X119" i="60"/>
  <c r="S119" i="60"/>
  <c r="C119" i="60" s="1"/>
  <c r="X118" i="60"/>
  <c r="S118" i="60"/>
  <c r="C118" i="60" s="1"/>
  <c r="X117" i="60"/>
  <c r="S117" i="60"/>
  <c r="C117" i="60" s="1"/>
  <c r="X116" i="60"/>
  <c r="S116" i="60"/>
  <c r="C116" i="60" s="1"/>
  <c r="X115" i="60"/>
  <c r="S115" i="60"/>
  <c r="C115" i="60" s="1"/>
  <c r="X114" i="60"/>
  <c r="S114" i="60"/>
  <c r="C114" i="60" s="1"/>
  <c r="X89" i="60"/>
  <c r="S89" i="60"/>
  <c r="C89" i="60" s="1"/>
  <c r="X88" i="60"/>
  <c r="S88" i="60"/>
  <c r="C88" i="60" s="1"/>
  <c r="X87" i="60"/>
  <c r="S87" i="60"/>
  <c r="C87" i="60" s="1"/>
  <c r="X86" i="60"/>
  <c r="S86" i="60"/>
  <c r="C86" i="60" s="1"/>
  <c r="X85" i="60"/>
  <c r="S85" i="60"/>
  <c r="C85" i="60" s="1"/>
  <c r="X84" i="60"/>
  <c r="S84" i="60"/>
  <c r="C84" i="60" s="1"/>
  <c r="X83" i="60"/>
  <c r="S83" i="60"/>
  <c r="C83" i="60" s="1"/>
  <c r="X82" i="60"/>
  <c r="S82" i="60"/>
  <c r="C82" i="60" s="1"/>
  <c r="X81" i="60"/>
  <c r="S81" i="60"/>
  <c r="C81" i="60" s="1"/>
  <c r="X80" i="60"/>
  <c r="S80" i="60"/>
  <c r="C80" i="60" s="1"/>
  <c r="X79" i="60"/>
  <c r="S79" i="60"/>
  <c r="C79" i="60" s="1"/>
  <c r="X78" i="60"/>
  <c r="S78" i="60"/>
  <c r="C78" i="60" s="1"/>
  <c r="X77" i="60"/>
  <c r="S77" i="60"/>
  <c r="C77" i="60" s="1"/>
  <c r="X76" i="60"/>
  <c r="S76" i="60"/>
  <c r="C76" i="60" s="1"/>
  <c r="X75" i="60"/>
  <c r="S75" i="60"/>
  <c r="C75" i="60" s="1"/>
  <c r="X74" i="60"/>
  <c r="S74" i="60"/>
  <c r="C74" i="60" s="1"/>
  <c r="X73" i="60"/>
  <c r="S73" i="60"/>
  <c r="C73" i="60" s="1"/>
  <c r="X72" i="60"/>
  <c r="S72" i="60"/>
  <c r="C72" i="60" s="1"/>
  <c r="X71" i="60"/>
  <c r="S71" i="60"/>
  <c r="C71" i="60" s="1"/>
  <c r="X70" i="60"/>
  <c r="S70" i="60"/>
  <c r="C70" i="60" s="1"/>
  <c r="X69" i="60"/>
  <c r="S69" i="60"/>
  <c r="C69" i="60" s="1"/>
  <c r="X68" i="60"/>
  <c r="S68" i="60"/>
  <c r="C68" i="60" s="1"/>
  <c r="X67" i="60"/>
  <c r="S67" i="60"/>
  <c r="C67" i="60" s="1"/>
  <c r="S66" i="60"/>
  <c r="C66" i="60" s="1"/>
  <c r="B380" i="55"/>
  <c r="A380" i="55" s="1"/>
  <c r="I18" i="54" l="1"/>
  <c r="U65" i="34" l="1"/>
  <c r="W65" i="34"/>
  <c r="N11" i="34"/>
  <c r="N12" i="34"/>
  <c r="N13" i="34"/>
  <c r="N15" i="34"/>
  <c r="N16" i="34"/>
  <c r="N17" i="34"/>
  <c r="N18" i="34"/>
  <c r="N19" i="34"/>
  <c r="N20" i="34"/>
  <c r="N21" i="34"/>
  <c r="N10" i="34"/>
  <c r="N5" i="77"/>
  <c r="A50" i="14" l="1"/>
  <c r="E50" i="14"/>
  <c r="B51" i="14"/>
  <c r="G51" i="14"/>
  <c r="C52" i="14"/>
  <c r="H52" i="14"/>
  <c r="D53" i="14"/>
  <c r="A54" i="14"/>
  <c r="E54" i="14"/>
  <c r="B55" i="14"/>
  <c r="G55" i="14"/>
  <c r="C56" i="14"/>
  <c r="H56" i="14"/>
  <c r="D57" i="14"/>
  <c r="A58" i="14"/>
  <c r="E58" i="14"/>
  <c r="B59" i="14"/>
  <c r="G59" i="14"/>
  <c r="C60" i="14"/>
  <c r="H60" i="14"/>
  <c r="D61" i="14"/>
  <c r="A62" i="14"/>
  <c r="E62" i="14"/>
  <c r="B63" i="14"/>
  <c r="G63" i="14"/>
  <c r="C64" i="14"/>
  <c r="H64" i="14"/>
  <c r="D65" i="14"/>
  <c r="A66" i="14"/>
  <c r="E66" i="14"/>
  <c r="B67" i="14"/>
  <c r="G67" i="14"/>
  <c r="C68" i="14"/>
  <c r="H68" i="14"/>
  <c r="D69" i="14"/>
  <c r="A70" i="14"/>
  <c r="E70" i="14"/>
  <c r="B71" i="14"/>
  <c r="G71" i="14"/>
  <c r="C72" i="14"/>
  <c r="H72" i="14"/>
  <c r="D73" i="14"/>
  <c r="A74" i="14"/>
  <c r="E74" i="14"/>
  <c r="B75" i="14"/>
  <c r="G75" i="14"/>
  <c r="C76" i="14"/>
  <c r="H76" i="14"/>
  <c r="D77" i="14"/>
  <c r="A78" i="14"/>
  <c r="E78" i="14"/>
  <c r="B79" i="14"/>
  <c r="G79" i="14"/>
  <c r="C80" i="14"/>
  <c r="H80" i="14"/>
  <c r="D81" i="14"/>
  <c r="A82" i="14"/>
  <c r="E82" i="14"/>
  <c r="B83" i="14"/>
  <c r="G83" i="14"/>
  <c r="C84" i="14"/>
  <c r="H84" i="14"/>
  <c r="D85" i="14"/>
  <c r="A86" i="14"/>
  <c r="E86" i="14"/>
  <c r="B87" i="14"/>
  <c r="G87" i="14"/>
  <c r="C88" i="14"/>
  <c r="H88" i="14"/>
  <c r="D89" i="14"/>
  <c r="A90" i="14"/>
  <c r="E90" i="14"/>
  <c r="B91" i="14"/>
  <c r="G91" i="14"/>
  <c r="C92" i="14"/>
  <c r="H92" i="14"/>
  <c r="D93" i="14"/>
  <c r="A94" i="14"/>
  <c r="E94" i="14"/>
  <c r="A95" i="14"/>
  <c r="E95" i="14"/>
  <c r="D96" i="14"/>
  <c r="C97" i="14"/>
  <c r="B50" i="14"/>
  <c r="G50" i="14"/>
  <c r="C51" i="14"/>
  <c r="H51" i="14"/>
  <c r="D52" i="14"/>
  <c r="A53" i="14"/>
  <c r="E53" i="14"/>
  <c r="B54" i="14"/>
  <c r="G54" i="14"/>
  <c r="C55" i="14"/>
  <c r="H55" i="14"/>
  <c r="D56" i="14"/>
  <c r="A57" i="14"/>
  <c r="E57" i="14"/>
  <c r="B58" i="14"/>
  <c r="G58" i="14"/>
  <c r="C59" i="14"/>
  <c r="H59" i="14"/>
  <c r="D60" i="14"/>
  <c r="A61" i="14"/>
  <c r="E61" i="14"/>
  <c r="B62" i="14"/>
  <c r="G62" i="14"/>
  <c r="C63" i="14"/>
  <c r="H63" i="14"/>
  <c r="D64" i="14"/>
  <c r="A65" i="14"/>
  <c r="E65" i="14"/>
  <c r="B66" i="14"/>
  <c r="G66" i="14"/>
  <c r="C67" i="14"/>
  <c r="H67" i="14"/>
  <c r="D68" i="14"/>
  <c r="A69" i="14"/>
  <c r="E69" i="14"/>
  <c r="B70" i="14"/>
  <c r="G70" i="14"/>
  <c r="C71" i="14"/>
  <c r="H71" i="14"/>
  <c r="D72" i="14"/>
  <c r="A73" i="14"/>
  <c r="E73" i="14"/>
  <c r="B74" i="14"/>
  <c r="G74" i="14"/>
  <c r="C75" i="14"/>
  <c r="H75" i="14"/>
  <c r="D76" i="14"/>
  <c r="A77" i="14"/>
  <c r="E77" i="14"/>
  <c r="B78" i="14"/>
  <c r="G78" i="14"/>
  <c r="C79" i="14"/>
  <c r="H79" i="14"/>
  <c r="D80" i="14"/>
  <c r="A81" i="14"/>
  <c r="E81" i="14"/>
  <c r="B82" i="14"/>
  <c r="G82" i="14"/>
  <c r="C83" i="14"/>
  <c r="H83" i="14"/>
  <c r="C50" i="14"/>
  <c r="H50" i="14"/>
  <c r="D51" i="14"/>
  <c r="A52" i="14"/>
  <c r="E52" i="14"/>
  <c r="B53" i="14"/>
  <c r="G53" i="14"/>
  <c r="C54" i="14"/>
  <c r="H54" i="14"/>
  <c r="D55" i="14"/>
  <c r="A56" i="14"/>
  <c r="E56" i="14"/>
  <c r="B57" i="14"/>
  <c r="G57" i="14"/>
  <c r="C58" i="14"/>
  <c r="H58" i="14"/>
  <c r="D59" i="14"/>
  <c r="A60" i="14"/>
  <c r="E60" i="14"/>
  <c r="B61" i="14"/>
  <c r="G61" i="14"/>
  <c r="C62" i="14"/>
  <c r="H62" i="14"/>
  <c r="D63" i="14"/>
  <c r="A64" i="14"/>
  <c r="E64" i="14"/>
  <c r="B65" i="14"/>
  <c r="G65" i="14"/>
  <c r="C66" i="14"/>
  <c r="H66" i="14"/>
  <c r="D67" i="14"/>
  <c r="A68" i="14"/>
  <c r="E68" i="14"/>
  <c r="B69" i="14"/>
  <c r="G69" i="14"/>
  <c r="C70" i="14"/>
  <c r="H70" i="14"/>
  <c r="D71" i="14"/>
  <c r="A72" i="14"/>
  <c r="E72" i="14"/>
  <c r="B73" i="14"/>
  <c r="G73" i="14"/>
  <c r="C74" i="14"/>
  <c r="H74" i="14"/>
  <c r="D75" i="14"/>
  <c r="A76" i="14"/>
  <c r="E76" i="14"/>
  <c r="B77" i="14"/>
  <c r="G77" i="14"/>
  <c r="C78" i="14"/>
  <c r="H78" i="14"/>
  <c r="D79" i="14"/>
  <c r="A80" i="14"/>
  <c r="E80" i="14"/>
  <c r="D50" i="14"/>
  <c r="A51" i="14"/>
  <c r="E51" i="14"/>
  <c r="B52" i="14"/>
  <c r="G52" i="14"/>
  <c r="C53" i="14"/>
  <c r="H53" i="14"/>
  <c r="D54" i="14"/>
  <c r="A55" i="14"/>
  <c r="E55" i="14"/>
  <c r="B56" i="14"/>
  <c r="G56" i="14"/>
  <c r="C57" i="14"/>
  <c r="H57" i="14"/>
  <c r="D58" i="14"/>
  <c r="A59" i="14"/>
  <c r="E59" i="14"/>
  <c r="B60" i="14"/>
  <c r="G60" i="14"/>
  <c r="C61" i="14"/>
  <c r="H61" i="14"/>
  <c r="D62" i="14"/>
  <c r="A63" i="14"/>
  <c r="C65" i="14"/>
  <c r="E67" i="14"/>
  <c r="H69" i="14"/>
  <c r="B72" i="14"/>
  <c r="D74" i="14"/>
  <c r="G76" i="14"/>
  <c r="A79" i="14"/>
  <c r="B81" i="14"/>
  <c r="C82" i="14"/>
  <c r="D83" i="14"/>
  <c r="D84" i="14"/>
  <c r="B85" i="14"/>
  <c r="H85" i="14"/>
  <c r="G86" i="14"/>
  <c r="D87" i="14"/>
  <c r="B88" i="14"/>
  <c r="A89" i="14"/>
  <c r="G89" i="14"/>
  <c r="D90" i="14"/>
  <c r="C91" i="14"/>
  <c r="A92" i="14"/>
  <c r="G92" i="14"/>
  <c r="E93" i="14"/>
  <c r="C94" i="14"/>
  <c r="G95" i="14"/>
  <c r="B96" i="14"/>
  <c r="H96" i="14"/>
  <c r="D97" i="14"/>
  <c r="D98" i="14"/>
  <c r="D99" i="14"/>
  <c r="C100" i="14"/>
  <c r="H100" i="14"/>
  <c r="E63" i="14"/>
  <c r="H65" i="14"/>
  <c r="B68" i="14"/>
  <c r="D70" i="14"/>
  <c r="G72" i="14"/>
  <c r="A75" i="14"/>
  <c r="C77" i="14"/>
  <c r="E79" i="14"/>
  <c r="C81" i="14"/>
  <c r="D82" i="14"/>
  <c r="E83" i="14"/>
  <c r="E84" i="14"/>
  <c r="C85" i="14"/>
  <c r="B86" i="14"/>
  <c r="H86" i="14"/>
  <c r="E87" i="14"/>
  <c r="D88" i="14"/>
  <c r="B89" i="14"/>
  <c r="H89" i="14"/>
  <c r="G90" i="14"/>
  <c r="D91" i="14"/>
  <c r="B92" i="14"/>
  <c r="A93" i="14"/>
  <c r="G93" i="14"/>
  <c r="D94" i="14"/>
  <c r="B95" i="14"/>
  <c r="H95" i="14"/>
  <c r="C96" i="14"/>
  <c r="E97" i="14"/>
  <c r="A98" i="14"/>
  <c r="E98" i="14"/>
  <c r="A99" i="14"/>
  <c r="E99" i="14"/>
  <c r="D100" i="14"/>
  <c r="B64" i="14"/>
  <c r="D66" i="14"/>
  <c r="G68" i="14"/>
  <c r="A71" i="14"/>
  <c r="C73" i="14"/>
  <c r="E75" i="14"/>
  <c r="H77" i="14"/>
  <c r="B80" i="14"/>
  <c r="G81" i="14"/>
  <c r="H82" i="14"/>
  <c r="A84" i="14"/>
  <c r="G84" i="14"/>
  <c r="E85" i="14"/>
  <c r="C86" i="14"/>
  <c r="A87" i="14"/>
  <c r="H87" i="14"/>
  <c r="E88" i="14"/>
  <c r="C89" i="14"/>
  <c r="B90" i="14"/>
  <c r="H90" i="14"/>
  <c r="E91" i="14"/>
  <c r="D92" i="14"/>
  <c r="B93" i="14"/>
  <c r="H93" i="14"/>
  <c r="G94" i="14"/>
  <c r="C95" i="14"/>
  <c r="E96" i="14"/>
  <c r="A97" i="14"/>
  <c r="G97" i="14"/>
  <c r="B98" i="14"/>
  <c r="G98" i="14"/>
  <c r="B99" i="14"/>
  <c r="G99" i="14"/>
  <c r="A100" i="14"/>
  <c r="E100" i="14"/>
  <c r="G64" i="14"/>
  <c r="A67" i="14"/>
  <c r="C69" i="14"/>
  <c r="E71" i="14"/>
  <c r="H73" i="14"/>
  <c r="B76" i="14"/>
  <c r="D78" i="14"/>
  <c r="G80" i="14"/>
  <c r="H81" i="14"/>
  <c r="A83" i="14"/>
  <c r="B84" i="14"/>
  <c r="A85" i="14"/>
  <c r="G85" i="14"/>
  <c r="D86" i="14"/>
  <c r="C87" i="14"/>
  <c r="A88" i="14"/>
  <c r="G88" i="14"/>
  <c r="E89" i="14"/>
  <c r="C90" i="14"/>
  <c r="A91" i="14"/>
  <c r="H91" i="14"/>
  <c r="E92" i="14"/>
  <c r="C93" i="14"/>
  <c r="B94" i="14"/>
  <c r="H94" i="14"/>
  <c r="D95" i="14"/>
  <c r="A96" i="14"/>
  <c r="G96" i="14"/>
  <c r="B97" i="14"/>
  <c r="H97" i="14"/>
  <c r="C98" i="14"/>
  <c r="H98" i="14"/>
  <c r="C99" i="14"/>
  <c r="H99" i="14"/>
  <c r="B100" i="14"/>
  <c r="G100" i="14"/>
  <c r="O5" i="77"/>
  <c r="L5" i="75"/>
  <c r="M5" i="75"/>
  <c r="P5" i="74"/>
  <c r="O5" i="74"/>
  <c r="B1062" i="34" l="1"/>
  <c r="A1062" i="34" s="1"/>
  <c r="B1067" i="34"/>
  <c r="A1067" i="34" s="1"/>
  <c r="B592" i="34"/>
  <c r="A592" i="34" s="1"/>
  <c r="B593" i="34"/>
  <c r="A593" i="34" s="1"/>
  <c r="X592" i="34" l="1"/>
  <c r="Y592" i="34"/>
  <c r="W593" i="34"/>
  <c r="U593" i="34"/>
  <c r="W1062" i="34"/>
  <c r="U1062" i="34"/>
  <c r="U592" i="34"/>
  <c r="W592" i="34"/>
  <c r="X1062" i="34"/>
  <c r="Y1062" i="34"/>
  <c r="W1067" i="34"/>
  <c r="U1067" i="34"/>
  <c r="W137" i="34" l="1"/>
  <c r="U137" i="34"/>
  <c r="W138" i="34"/>
  <c r="U138" i="34"/>
  <c r="B14" i="55"/>
  <c r="A14" i="55" s="1"/>
  <c r="D5" i="61"/>
  <c r="X64" i="60"/>
  <c r="S65" i="60"/>
  <c r="C65" i="60" s="1"/>
  <c r="X63" i="60"/>
  <c r="S63" i="60"/>
  <c r="C63" i="60" s="1"/>
  <c r="X145" i="60"/>
  <c r="X146" i="60"/>
  <c r="X147" i="60"/>
  <c r="X148" i="60"/>
  <c r="X242" i="60"/>
  <c r="X144" i="60"/>
  <c r="S251" i="60"/>
  <c r="C251" i="60" s="1"/>
  <c r="S253" i="60"/>
  <c r="C253" i="60" s="1"/>
  <c r="S252" i="60"/>
  <c r="C252" i="60" s="1"/>
  <c r="S254" i="60"/>
  <c r="C254" i="60" s="1"/>
  <c r="S255" i="60"/>
  <c r="C255" i="60" s="1"/>
  <c r="S366" i="60"/>
  <c r="X251" i="60"/>
  <c r="X253" i="60"/>
  <c r="X252" i="60"/>
  <c r="X254" i="60"/>
  <c r="X255" i="60"/>
  <c r="X366" i="60"/>
  <c r="X250" i="60"/>
  <c r="S146" i="60"/>
  <c r="C146" i="60" s="1"/>
  <c r="S147" i="60"/>
  <c r="C147" i="60" s="1"/>
  <c r="S242" i="60"/>
  <c r="Q56" i="60"/>
  <c r="S7" i="60"/>
  <c r="C7" i="60" s="1"/>
  <c r="X7" i="60"/>
  <c r="X6" i="60"/>
  <c r="A144" i="60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S6" i="60"/>
  <c r="S144" i="60"/>
  <c r="S145" i="60"/>
  <c r="C145" i="60" s="1"/>
  <c r="S250" i="60"/>
  <c r="C250" i="60" s="1"/>
  <c r="D12" i="61"/>
  <c r="G12" i="61"/>
  <c r="C12" i="61"/>
  <c r="I12" i="61"/>
  <c r="H12" i="61"/>
  <c r="E12" i="61"/>
  <c r="F12" i="61"/>
  <c r="U219" i="34" l="1"/>
  <c r="W219" i="34"/>
  <c r="U139" i="34"/>
  <c r="W139" i="34"/>
  <c r="C367" i="60"/>
  <c r="S56" i="60"/>
  <c r="S136" i="60"/>
  <c r="X367" i="60"/>
  <c r="E367" i="60" s="1"/>
  <c r="X243" i="60"/>
  <c r="E243" i="60" s="1"/>
  <c r="C144" i="60"/>
  <c r="S243" i="60"/>
  <c r="C6" i="60"/>
  <c r="S367" i="60"/>
  <c r="X136" i="60"/>
  <c r="E136" i="60" s="1"/>
  <c r="X56" i="60"/>
  <c r="E56" i="60" s="1"/>
  <c r="C243" i="60" l="1"/>
  <c r="C32" i="15" l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8" i="34"/>
  <c r="S18" i="34"/>
  <c r="T18" i="34"/>
  <c r="X18" i="34"/>
  <c r="Y18" i="34"/>
  <c r="R19" i="34"/>
  <c r="S19" i="34"/>
  <c r="T19" i="34"/>
  <c r="X19" i="34"/>
  <c r="Y19" i="34"/>
  <c r="R20" i="34"/>
  <c r="S20" i="34"/>
  <c r="T20" i="34"/>
  <c r="X20" i="34"/>
  <c r="Y20" i="34"/>
  <c r="R21" i="34"/>
  <c r="S21" i="34"/>
  <c r="T21" i="34"/>
  <c r="X21" i="34"/>
  <c r="Y21" i="34"/>
  <c r="W90" i="34" l="1"/>
  <c r="U90" i="34"/>
  <c r="W91" i="34"/>
  <c r="U91" i="34"/>
  <c r="A217" i="55"/>
  <c r="S10" i="34"/>
  <c r="I136" i="55" l="1" a="1"/>
  <c r="I136" i="55" s="1"/>
  <c r="G137" i="55" a="1"/>
  <c r="G137" i="55" s="1"/>
  <c r="I137" i="55" a="1"/>
  <c r="I137" i="55" s="1"/>
  <c r="I138" i="55" a="1"/>
  <c r="I138" i="55" s="1"/>
  <c r="G136" i="55" a="1"/>
  <c r="G136" i="55" s="1"/>
  <c r="K136" i="55" s="1"/>
  <c r="G138" i="55" a="1"/>
  <c r="G138" i="55" s="1"/>
  <c r="I283" i="55" a="1"/>
  <c r="I283" i="55" s="1"/>
  <c r="I226" i="55" a="1"/>
  <c r="I226" i="55" s="1"/>
  <c r="I287" i="55" a="1"/>
  <c r="I287" i="55" s="1"/>
  <c r="I328" i="55" a="1"/>
  <c r="I328" i="55" s="1"/>
  <c r="I304" i="55" a="1"/>
  <c r="I304" i="55" s="1"/>
  <c r="I291" i="55" a="1"/>
  <c r="I291" i="55" s="1"/>
  <c r="I265" i="55" a="1"/>
  <c r="I265" i="55" s="1"/>
  <c r="I280" i="55" a="1"/>
  <c r="I280" i="55" s="1"/>
  <c r="I335" i="55" a="1"/>
  <c r="I335" i="55" s="1"/>
  <c r="I244" i="55" a="1"/>
  <c r="I244" i="55" s="1"/>
  <c r="I374" i="55" a="1"/>
  <c r="I374" i="55" s="1"/>
  <c r="I333" i="55" a="1"/>
  <c r="I333" i="55" s="1"/>
  <c r="I243" i="55" a="1"/>
  <c r="I243" i="55" s="1"/>
  <c r="I369" i="55" a="1"/>
  <c r="I369" i="55" s="1"/>
  <c r="G296" i="55" a="1"/>
  <c r="G296" i="55" s="1"/>
  <c r="G334" i="55" a="1"/>
  <c r="G334" i="55" s="1"/>
  <c r="G230" i="55" a="1"/>
  <c r="G230" i="55" s="1"/>
  <c r="G301" i="55" a="1"/>
  <c r="G301" i="55" s="1"/>
  <c r="G378" i="55" a="1"/>
  <c r="G378" i="55" s="1"/>
  <c r="G264" i="55" a="1"/>
  <c r="G264" i="55" s="1"/>
  <c r="G332" i="55" a="1"/>
  <c r="G332" i="55" s="1"/>
  <c r="G307" i="55" a="1"/>
  <c r="G307" i="55" s="1"/>
  <c r="G288" i="55" a="1"/>
  <c r="G288" i="55" s="1"/>
  <c r="G368" i="55" a="1"/>
  <c r="G368" i="55" s="1"/>
  <c r="G275" i="55" a="1"/>
  <c r="G275" i="55" s="1"/>
  <c r="G330" i="55" a="1"/>
  <c r="G330" i="55" s="1"/>
  <c r="G341" i="55" a="1"/>
  <c r="G341" i="55" s="1"/>
  <c r="G339" i="55" a="1"/>
  <c r="G339" i="55" s="1"/>
  <c r="G245" i="55" a="1"/>
  <c r="G245" i="55" s="1"/>
  <c r="G242" i="55" a="1"/>
  <c r="G242" i="55" s="1"/>
  <c r="G298" i="55" a="1"/>
  <c r="G298" i="55" s="1"/>
  <c r="G279" i="55" a="1"/>
  <c r="G279" i="55" s="1"/>
  <c r="G247" i="55" a="1"/>
  <c r="G247" i="55" s="1"/>
  <c r="G273" i="55" a="1"/>
  <c r="G273" i="55" s="1"/>
  <c r="G250" i="55" a="1"/>
  <c r="G250" i="55" s="1"/>
  <c r="G234" i="55" a="1"/>
  <c r="G234" i="55" s="1"/>
  <c r="G324" i="55" a="1"/>
  <c r="G324" i="55" s="1"/>
  <c r="I298" i="55" a="1"/>
  <c r="I298" i="55" s="1"/>
  <c r="I247" i="55" a="1"/>
  <c r="I247" i="55" s="1"/>
  <c r="I273" i="55" a="1"/>
  <c r="I273" i="55" s="1"/>
  <c r="I234" i="55" a="1"/>
  <c r="I234" i="55" s="1"/>
  <c r="I350" i="55" a="1"/>
  <c r="I350" i="55" s="1"/>
  <c r="I233" i="55" a="1"/>
  <c r="I233" i="55" s="1"/>
  <c r="I236" i="55" a="1"/>
  <c r="I236" i="55" s="1"/>
  <c r="I296" i="55" a="1"/>
  <c r="I296" i="55" s="1"/>
  <c r="I334" i="55" a="1"/>
  <c r="I334" i="55" s="1"/>
  <c r="I230" i="55" a="1"/>
  <c r="I230" i="55" s="1"/>
  <c r="I301" i="55" a="1"/>
  <c r="I301" i="55" s="1"/>
  <c r="I378" i="55" a="1"/>
  <c r="I378" i="55" s="1"/>
  <c r="I264" i="55" a="1"/>
  <c r="I264" i="55" s="1"/>
  <c r="I332" i="55" a="1"/>
  <c r="I332" i="55" s="1"/>
  <c r="I307" i="55" a="1"/>
  <c r="I307" i="55" s="1"/>
  <c r="I288" i="55" a="1"/>
  <c r="I288" i="55" s="1"/>
  <c r="I368" i="55" a="1"/>
  <c r="I368" i="55" s="1"/>
  <c r="I275" i="55" a="1"/>
  <c r="I275" i="55" s="1"/>
  <c r="I330" i="55" a="1"/>
  <c r="I330" i="55" s="1"/>
  <c r="I341" i="55" a="1"/>
  <c r="I341" i="55" s="1"/>
  <c r="I339" i="55" a="1"/>
  <c r="I339" i="55" s="1"/>
  <c r="I245" i="55" a="1"/>
  <c r="I245" i="55" s="1"/>
  <c r="I242" i="55" a="1"/>
  <c r="I242" i="55" s="1"/>
  <c r="G283" i="55" a="1"/>
  <c r="G283" i="55" s="1"/>
  <c r="G226" i="55" a="1"/>
  <c r="G226" i="55" s="1"/>
  <c r="G287" i="55" a="1"/>
  <c r="G287" i="55" s="1"/>
  <c r="K287" i="55" s="1"/>
  <c r="G328" i="55" a="1"/>
  <c r="G328" i="55" s="1"/>
  <c r="K328" i="55" s="1"/>
  <c r="G304" i="55" a="1"/>
  <c r="G304" i="55" s="1"/>
  <c r="G291" i="55" a="1"/>
  <c r="G291" i="55" s="1"/>
  <c r="K291" i="55" s="1"/>
  <c r="G265" i="55" a="1"/>
  <c r="G265" i="55" s="1"/>
  <c r="K265" i="55" s="1"/>
  <c r="G280" i="55" a="1"/>
  <c r="G280" i="55" s="1"/>
  <c r="G335" i="55" a="1"/>
  <c r="G335" i="55" s="1"/>
  <c r="K335" i="55" s="1"/>
  <c r="G244" i="55" a="1"/>
  <c r="G244" i="55" s="1"/>
  <c r="G374" i="55" a="1"/>
  <c r="G374" i="55" s="1"/>
  <c r="K374" i="55" s="1"/>
  <c r="G333" i="55" a="1"/>
  <c r="G333" i="55" s="1"/>
  <c r="G243" i="55" a="1"/>
  <c r="G243" i="55" s="1"/>
  <c r="G369" i="55" a="1"/>
  <c r="G369" i="55" s="1"/>
  <c r="K369" i="55" s="1"/>
  <c r="G261" i="55" a="1"/>
  <c r="G261" i="55" s="1"/>
  <c r="G326" i="55" a="1"/>
  <c r="G326" i="55" s="1"/>
  <c r="G235" i="55" a="1"/>
  <c r="G235" i="55" s="1"/>
  <c r="G286" i="55" a="1"/>
  <c r="G286" i="55" s="1"/>
  <c r="G227" i="55" a="1"/>
  <c r="G227" i="55" s="1"/>
  <c r="G300" i="55" a="1"/>
  <c r="G300" i="55" s="1"/>
  <c r="G355" i="55" a="1"/>
  <c r="G355" i="55" s="1"/>
  <c r="I279" i="55" a="1"/>
  <c r="I279" i="55" s="1"/>
  <c r="I250" i="55" a="1"/>
  <c r="I250" i="55" s="1"/>
  <c r="I324" i="55" a="1"/>
  <c r="I324" i="55" s="1"/>
  <c r="I246" i="55" a="1"/>
  <c r="I246" i="55" s="1"/>
  <c r="I365" i="55" a="1"/>
  <c r="I365" i="55" s="1"/>
  <c r="I377" i="55" a="1"/>
  <c r="I377" i="55" s="1"/>
  <c r="I268" i="55" a="1"/>
  <c r="I268" i="55" s="1"/>
  <c r="G379" i="55" a="1"/>
  <c r="G379" i="55" s="1"/>
  <c r="G255" i="55" a="1"/>
  <c r="G255" i="55" s="1"/>
  <c r="G263" i="55" a="1"/>
  <c r="G263" i="55" s="1"/>
  <c r="G248" i="55" a="1"/>
  <c r="G248" i="55" s="1"/>
  <c r="G319" i="55" a="1"/>
  <c r="G319" i="55" s="1"/>
  <c r="G338" i="55" a="1"/>
  <c r="G338" i="55" s="1"/>
  <c r="G363" i="55" a="1"/>
  <c r="G363" i="55" s="1"/>
  <c r="G353" i="55" a="1"/>
  <c r="G353" i="55" s="1"/>
  <c r="G293" i="55" a="1"/>
  <c r="G293" i="55" s="1"/>
  <c r="G299" i="55" a="1"/>
  <c r="G299" i="55" s="1"/>
  <c r="G364" i="55" a="1"/>
  <c r="G364" i="55" s="1"/>
  <c r="I261" i="55" a="1"/>
  <c r="I261" i="55" s="1"/>
  <c r="I286" i="55" a="1"/>
  <c r="I286" i="55" s="1"/>
  <c r="I300" i="55" a="1"/>
  <c r="I300" i="55" s="1"/>
  <c r="G350" i="55" a="1"/>
  <c r="G350" i="55" s="1"/>
  <c r="G233" i="55" a="1"/>
  <c r="G233" i="55" s="1"/>
  <c r="K233" i="55" s="1"/>
  <c r="G236" i="55" a="1"/>
  <c r="G236" i="55" s="1"/>
  <c r="K236" i="55" s="1"/>
  <c r="G268" i="55" a="1"/>
  <c r="G268" i="55" s="1"/>
  <c r="K268" i="55" s="1"/>
  <c r="G345" i="55" a="1"/>
  <c r="G345" i="55" s="1"/>
  <c r="I343" i="55" a="1"/>
  <c r="I343" i="55" s="1"/>
  <c r="I271" i="55" a="1"/>
  <c r="I271" i="55" s="1"/>
  <c r="I262" i="55" a="1"/>
  <c r="I262" i="55" s="1"/>
  <c r="I232" i="55" a="1"/>
  <c r="I232" i="55" s="1"/>
  <c r="I282" i="55" a="1"/>
  <c r="I282" i="55" s="1"/>
  <c r="I314" i="55" a="1"/>
  <c r="I314" i="55" s="1"/>
  <c r="I362" i="55" a="1"/>
  <c r="I362" i="55" s="1"/>
  <c r="I295" i="55" a="1"/>
  <c r="I295" i="55" s="1"/>
  <c r="I253" i="55" a="1"/>
  <c r="I253" i="55" s="1"/>
  <c r="I367" i="55" a="1"/>
  <c r="I367" i="55" s="1"/>
  <c r="I345" i="55" a="1"/>
  <c r="I345" i="55" s="1"/>
  <c r="G343" i="55" a="1"/>
  <c r="G343" i="55" s="1"/>
  <c r="G271" i="55" a="1"/>
  <c r="G271" i="55" s="1"/>
  <c r="G262" i="55" a="1"/>
  <c r="G262" i="55" s="1"/>
  <c r="G232" i="55" a="1"/>
  <c r="G232" i="55" s="1"/>
  <c r="G282" i="55" a="1"/>
  <c r="G282" i="55" s="1"/>
  <c r="G314" i="55" a="1"/>
  <c r="G314" i="55" s="1"/>
  <c r="G362" i="55" a="1"/>
  <c r="G362" i="55" s="1"/>
  <c r="G295" i="55" a="1"/>
  <c r="G295" i="55" s="1"/>
  <c r="G253" i="55" a="1"/>
  <c r="G253" i="55" s="1"/>
  <c r="G367" i="55" a="1"/>
  <c r="G367" i="55" s="1"/>
  <c r="I326" i="55" a="1"/>
  <c r="I326" i="55" s="1"/>
  <c r="I235" i="55" a="1"/>
  <c r="I235" i="55" s="1"/>
  <c r="I227" i="55" a="1"/>
  <c r="I227" i="55" s="1"/>
  <c r="I355" i="55" a="1"/>
  <c r="I355" i="55" s="1"/>
  <c r="G246" i="55" a="1"/>
  <c r="G246" i="55" s="1"/>
  <c r="G365" i="55" a="1"/>
  <c r="G365" i="55" s="1"/>
  <c r="G377" i="55" a="1"/>
  <c r="G377" i="55" s="1"/>
  <c r="K377" i="55" s="1"/>
  <c r="I379" i="55" a="1"/>
  <c r="I379" i="55" s="1"/>
  <c r="I255" i="55" a="1"/>
  <c r="I255" i="55" s="1"/>
  <c r="I263" i="55" a="1"/>
  <c r="I263" i="55" s="1"/>
  <c r="I248" i="55" a="1"/>
  <c r="I248" i="55" s="1"/>
  <c r="I319" i="55" a="1"/>
  <c r="I319" i="55" s="1"/>
  <c r="I338" i="55" a="1"/>
  <c r="I338" i="55" s="1"/>
  <c r="I363" i="55" a="1"/>
  <c r="I363" i="55" s="1"/>
  <c r="I353" i="55" a="1"/>
  <c r="I353" i="55" s="1"/>
  <c r="I293" i="55" a="1"/>
  <c r="I293" i="55" s="1"/>
  <c r="I299" i="55" a="1"/>
  <c r="I299" i="55" s="1"/>
  <c r="I364" i="55" a="1"/>
  <c r="I364" i="55" s="1"/>
  <c r="G303" i="55" a="1"/>
  <c r="G303" i="55" s="1"/>
  <c r="G221" i="55" a="1"/>
  <c r="G221" i="55" s="1"/>
  <c r="G278" i="55" a="1"/>
  <c r="G278" i="55" s="1"/>
  <c r="G371" i="55" a="1"/>
  <c r="G371" i="55" s="1"/>
  <c r="G318" i="55" a="1"/>
  <c r="G318" i="55" s="1"/>
  <c r="I351" i="55" a="1"/>
  <c r="I351" i="55" s="1"/>
  <c r="I346" i="55" a="1"/>
  <c r="I346" i="55" s="1"/>
  <c r="I348" i="55" a="1"/>
  <c r="I348" i="55" s="1"/>
  <c r="I276" i="55" a="1"/>
  <c r="I276" i="55" s="1"/>
  <c r="I344" i="55" a="1"/>
  <c r="I344" i="55" s="1"/>
  <c r="I342" i="55" a="1"/>
  <c r="I342" i="55" s="1"/>
  <c r="G373" i="55" a="1"/>
  <c r="G373" i="55" s="1"/>
  <c r="G320" i="55" a="1"/>
  <c r="G320" i="55" s="1"/>
  <c r="G222" i="55" a="1"/>
  <c r="G222" i="55" s="1"/>
  <c r="I239" i="55" a="1"/>
  <c r="I239" i="55" s="1"/>
  <c r="I249" i="55" a="1"/>
  <c r="I249" i="55" s="1"/>
  <c r="I220" i="55" a="1"/>
  <c r="I220" i="55" s="1"/>
  <c r="I270" i="55" a="1"/>
  <c r="I270" i="55" s="1"/>
  <c r="G257" i="55" a="1"/>
  <c r="G257" i="55" s="1"/>
  <c r="G272" i="55" a="1"/>
  <c r="G272" i="55" s="1"/>
  <c r="G348" i="55" a="1"/>
  <c r="G348" i="55" s="1"/>
  <c r="G276" i="55" a="1"/>
  <c r="G276" i="55" s="1"/>
  <c r="G344" i="55" a="1"/>
  <c r="G344" i="55" s="1"/>
  <c r="G342" i="55" a="1"/>
  <c r="G342" i="55" s="1"/>
  <c r="I373" i="55" a="1"/>
  <c r="I373" i="55" s="1"/>
  <c r="I320" i="55" a="1"/>
  <c r="I320" i="55" s="1"/>
  <c r="I238" i="55" a="1"/>
  <c r="I238" i="55" s="1"/>
  <c r="I285" i="55" a="1"/>
  <c r="I285" i="55" s="1"/>
  <c r="I347" i="55" a="1"/>
  <c r="I347" i="55" s="1"/>
  <c r="I323" i="55" a="1"/>
  <c r="I323" i="55" s="1"/>
  <c r="I266" i="55" a="1"/>
  <c r="I266" i="55" s="1"/>
  <c r="G237" i="55" a="1"/>
  <c r="G237" i="55" s="1"/>
  <c r="G311" i="55" a="1"/>
  <c r="G311" i="55" s="1"/>
  <c r="G220" i="55" a="1"/>
  <c r="G220" i="55" s="1"/>
  <c r="G270" i="55" a="1"/>
  <c r="G270" i="55" s="1"/>
  <c r="I312" i="55" a="1"/>
  <c r="I312" i="55" s="1"/>
  <c r="I254" i="55" a="1"/>
  <c r="I254" i="55" s="1"/>
  <c r="I349" i="55" a="1"/>
  <c r="I349" i="55" s="1"/>
  <c r="G370" i="55" a="1"/>
  <c r="G370" i="55" s="1"/>
  <c r="G251" i="55" a="1"/>
  <c r="G251" i="55" s="1"/>
  <c r="G238" i="55" a="1"/>
  <c r="G238" i="55" s="1"/>
  <c r="G285" i="55" a="1"/>
  <c r="G285" i="55" s="1"/>
  <c r="G347" i="55" a="1"/>
  <c r="G347" i="55" s="1"/>
  <c r="G323" i="55" a="1"/>
  <c r="G323" i="55" s="1"/>
  <c r="G266" i="55" a="1"/>
  <c r="G266" i="55" s="1"/>
  <c r="I237" i="55" a="1"/>
  <c r="I237" i="55" s="1"/>
  <c r="I311" i="55" a="1"/>
  <c r="I311" i="55" s="1"/>
  <c r="I337" i="55" a="1"/>
  <c r="I337" i="55" s="1"/>
  <c r="I267" i="55" a="1"/>
  <c r="I267" i="55" s="1"/>
  <c r="I274" i="55" a="1"/>
  <c r="I274" i="55" s="1"/>
  <c r="I252" i="55" a="1"/>
  <c r="I252" i="55" s="1"/>
  <c r="G331" i="55" a="1"/>
  <c r="G331" i="55" s="1"/>
  <c r="I257" i="55" a="1"/>
  <c r="I257" i="55" s="1"/>
  <c r="I272" i="55" a="1"/>
  <c r="I272" i="55" s="1"/>
  <c r="G239" i="55" a="1"/>
  <c r="G239" i="55" s="1"/>
  <c r="G249" i="55" a="1"/>
  <c r="G249" i="55" s="1"/>
  <c r="G337" i="55" a="1"/>
  <c r="G337" i="55" s="1"/>
  <c r="G267" i="55" a="1"/>
  <c r="G267" i="55" s="1"/>
  <c r="G274" i="55" a="1"/>
  <c r="G274" i="55" s="1"/>
  <c r="G252" i="55" a="1"/>
  <c r="G252" i="55" s="1"/>
  <c r="I331" i="55" a="1"/>
  <c r="I331" i="55" s="1"/>
  <c r="I303" i="55" a="1"/>
  <c r="I303" i="55" s="1"/>
  <c r="I221" i="55" a="1"/>
  <c r="I221" i="55" s="1"/>
  <c r="I278" i="55" a="1"/>
  <c r="I278" i="55" s="1"/>
  <c r="I371" i="55" a="1"/>
  <c r="I371" i="55" s="1"/>
  <c r="I318" i="55" a="1"/>
  <c r="I318" i="55" s="1"/>
  <c r="G351" i="55" a="1"/>
  <c r="G351" i="55" s="1"/>
  <c r="G346" i="55" a="1"/>
  <c r="G346" i="55" s="1"/>
  <c r="I370" i="55" a="1"/>
  <c r="I370" i="55" s="1"/>
  <c r="I251" i="55" a="1"/>
  <c r="I251" i="55" s="1"/>
  <c r="I222" i="55" a="1"/>
  <c r="I222" i="55" s="1"/>
  <c r="G312" i="55" a="1"/>
  <c r="G312" i="55" s="1"/>
  <c r="G254" i="55" a="1"/>
  <c r="G254" i="55" s="1"/>
  <c r="K254" i="55" s="1"/>
  <c r="G349" i="55" a="1"/>
  <c r="G349" i="55" s="1"/>
  <c r="K349" i="55" s="1"/>
  <c r="A3" i="15"/>
  <c r="A2" i="15"/>
  <c r="N8" i="73"/>
  <c r="M8" i="73"/>
  <c r="A2" i="73"/>
  <c r="A1" i="73"/>
  <c r="K295" i="55" l="1"/>
  <c r="K232" i="55"/>
  <c r="K262" i="55"/>
  <c r="K253" i="55"/>
  <c r="K282" i="55"/>
  <c r="K343" i="55"/>
  <c r="K362" i="55"/>
  <c r="K304" i="55"/>
  <c r="K314" i="55"/>
  <c r="K283" i="55"/>
  <c r="K226" i="55"/>
  <c r="K333" i="55"/>
  <c r="K244" i="55"/>
  <c r="K243" i="55"/>
  <c r="K280" i="55"/>
  <c r="K271" i="55"/>
  <c r="K312" i="55"/>
  <c r="K350" i="55"/>
  <c r="K367" i="55"/>
  <c r="K246" i="55"/>
  <c r="Z14" i="34"/>
  <c r="Z1911" i="34"/>
  <c r="Z1802" i="34"/>
  <c r="Z1606" i="34"/>
  <c r="Z1913" i="34"/>
  <c r="Z1066" i="34"/>
  <c r="Z1408" i="34"/>
  <c r="Z1608" i="34"/>
  <c r="Z1466" i="34"/>
  <c r="Z1507" i="34"/>
  <c r="Z1625" i="34"/>
  <c r="Z1703" i="34"/>
  <c r="Z1739" i="34"/>
  <c r="Z1288" i="34"/>
  <c r="Z1356" i="34"/>
  <c r="Z1366" i="34"/>
  <c r="Z1598" i="34"/>
  <c r="Z1243" i="34"/>
  <c r="Z1551" i="34"/>
  <c r="Z1761" i="34"/>
  <c r="Z1433" i="34"/>
  <c r="Z1508" i="34"/>
  <c r="Z1674" i="34"/>
  <c r="Z1732" i="34"/>
  <c r="Z1281" i="34"/>
  <c r="Z1310" i="34"/>
  <c r="Z1367" i="34"/>
  <c r="Z1201" i="34"/>
  <c r="Z1232" i="34"/>
  <c r="Z1549" i="34"/>
  <c r="Z1762" i="34"/>
  <c r="Z1513" i="34"/>
  <c r="Z1623" i="34"/>
  <c r="Z1679" i="34"/>
  <c r="Z1737" i="34"/>
  <c r="Z1758" i="34"/>
  <c r="Z1245" i="34"/>
  <c r="Z1286" i="34"/>
  <c r="Z1311" i="34"/>
  <c r="Z1342" i="34"/>
  <c r="Z1401" i="34"/>
  <c r="Z1497" i="34"/>
  <c r="Z1619" i="34"/>
  <c r="Z1123" i="34"/>
  <c r="Z1154" i="34"/>
  <c r="Z1241" i="34"/>
  <c r="Z1767" i="34"/>
  <c r="Z1461" i="34"/>
  <c r="Z1506" i="34"/>
  <c r="Z1624" i="34"/>
  <c r="Z1738" i="34"/>
  <c r="Z1287" i="34"/>
  <c r="Z1316" i="34"/>
  <c r="Z1517" i="34"/>
  <c r="Z1555" i="34"/>
  <c r="Z1768" i="34"/>
  <c r="Z1440" i="34"/>
  <c r="Z1462" i="34"/>
  <c r="Z1503" i="34"/>
  <c r="Z1621" i="34"/>
  <c r="Z1662" i="34"/>
  <c r="Z1735" i="34"/>
  <c r="Z1284" i="34"/>
  <c r="Z1317" i="34"/>
  <c r="Z1340" i="34"/>
  <c r="Z1430" i="34"/>
  <c r="Z1121" i="34"/>
  <c r="Z1160" i="34"/>
  <c r="Z1239" i="34"/>
  <c r="Z1514" i="34"/>
  <c r="Z1467" i="34"/>
  <c r="Z1504" i="34"/>
  <c r="Z1708" i="34"/>
  <c r="Z1599" i="34"/>
  <c r="Z1197" i="34"/>
  <c r="Z1438" i="34"/>
  <c r="Z1509" i="34"/>
  <c r="Z1675" i="34"/>
  <c r="Z1733" i="34"/>
  <c r="Z1282" i="34"/>
  <c r="Z1338" i="34"/>
  <c r="Z1119" i="34"/>
  <c r="Z1237" i="34"/>
  <c r="Z1554" i="34"/>
  <c r="Z1763" i="34"/>
  <c r="Z1502" i="34"/>
  <c r="Z1620" i="34"/>
  <c r="Z1684" i="34"/>
  <c r="Z1734" i="34"/>
  <c r="Z1759" i="34"/>
  <c r="Z1246" i="34"/>
  <c r="Z1283" i="34"/>
  <c r="Z1312" i="34"/>
  <c r="Z1339" i="34"/>
  <c r="Z1402" i="34"/>
  <c r="Z1124" i="34"/>
  <c r="Z1159" i="34"/>
  <c r="Z1242" i="34"/>
  <c r="Z1764" i="34"/>
  <c r="Z1436" i="34"/>
  <c r="Z1681" i="34"/>
  <c r="Z1711" i="34"/>
  <c r="Z1760" i="34"/>
  <c r="Z1280" i="34"/>
  <c r="Z1313" i="34"/>
  <c r="Z1117" i="34"/>
  <c r="Z1156" i="34"/>
  <c r="Z1200" i="34"/>
  <c r="Z1235" i="34"/>
  <c r="Z1516" i="34"/>
  <c r="Z1552" i="34"/>
  <c r="Z1769" i="34"/>
  <c r="Z1463" i="34"/>
  <c r="Z1626" i="34"/>
  <c r="Z1682" i="34"/>
  <c r="Z1704" i="34"/>
  <c r="Z1740" i="34"/>
  <c r="Z1244" i="34"/>
  <c r="Z1318" i="34"/>
  <c r="Z1357" i="34"/>
  <c r="Z1431" i="34"/>
  <c r="Z1122" i="34"/>
  <c r="Z1157" i="34"/>
  <c r="Z1193" i="34"/>
  <c r="Z1240" i="34"/>
  <c r="Z1515" i="34"/>
  <c r="Z1770" i="34"/>
  <c r="Z1434" i="34"/>
  <c r="Z1464" i="34"/>
  <c r="Z1505" i="34"/>
  <c r="Z1709" i="34"/>
  <c r="Z1198" i="34"/>
  <c r="Z1233" i="34"/>
  <c r="Z596" i="34"/>
  <c r="Z1550" i="34"/>
  <c r="Z1439" i="34"/>
  <c r="Z1661" i="34"/>
  <c r="Z1680" i="34"/>
  <c r="Z1710" i="34"/>
  <c r="Z1498" i="34"/>
  <c r="Z1120" i="34"/>
  <c r="Z1155" i="34"/>
  <c r="Z1199" i="34"/>
  <c r="Z1238" i="34"/>
  <c r="Z1432" i="34"/>
  <c r="Z1511" i="34"/>
  <c r="Z1677" i="34"/>
  <c r="Z1707" i="34"/>
  <c r="Z1152" i="34"/>
  <c r="Z1196" i="34"/>
  <c r="Z1231" i="34"/>
  <c r="Z1548" i="34"/>
  <c r="Z1765" i="34"/>
  <c r="Z1437" i="34"/>
  <c r="Z1459" i="34"/>
  <c r="Z1512" i="34"/>
  <c r="Z1622" i="34"/>
  <c r="Z1678" i="34"/>
  <c r="Z1736" i="34"/>
  <c r="Z1285" i="34"/>
  <c r="Z1314" i="34"/>
  <c r="Z1341" i="34"/>
  <c r="Z1118" i="34"/>
  <c r="Z1153" i="34"/>
  <c r="Z1236" i="34"/>
  <c r="Z1553" i="34"/>
  <c r="Z1766" i="34"/>
  <c r="Z1460" i="34"/>
  <c r="Z1501" i="34"/>
  <c r="Z1627" i="34"/>
  <c r="Z1683" i="34"/>
  <c r="Z1705" i="34"/>
  <c r="Z1315" i="34"/>
  <c r="Z1358" i="34"/>
  <c r="Z1158" i="34"/>
  <c r="Z1194" i="34"/>
  <c r="Z1229" i="34"/>
  <c r="Z1771" i="34"/>
  <c r="Z1435" i="34"/>
  <c r="Z1465" i="34"/>
  <c r="Z1510" i="34"/>
  <c r="Z1676" i="34"/>
  <c r="Z1706" i="34"/>
  <c r="Z1359" i="34"/>
  <c r="Z1116" i="34"/>
  <c r="Z1195" i="34"/>
  <c r="Z1234" i="34"/>
  <c r="Z1343" i="34"/>
  <c r="Z1230" i="34"/>
  <c r="Z1071" i="34"/>
  <c r="Z909" i="34"/>
  <c r="Z899" i="34"/>
  <c r="Z915" i="34"/>
  <c r="Z931" i="34"/>
  <c r="Z489" i="34"/>
  <c r="Z859" i="34"/>
  <c r="Z875" i="34"/>
  <c r="Z431" i="34"/>
  <c r="Z455" i="34"/>
  <c r="Z477" i="34"/>
  <c r="Z288" i="34"/>
  <c r="Z296" i="34"/>
  <c r="Z315" i="34"/>
  <c r="Z897" i="34"/>
  <c r="Z900" i="34"/>
  <c r="Z916" i="34"/>
  <c r="Z932" i="34"/>
  <c r="Z597" i="34"/>
  <c r="Z860" i="34"/>
  <c r="Z876" i="34"/>
  <c r="Z439" i="34"/>
  <c r="Z461" i="34"/>
  <c r="Z485" i="34"/>
  <c r="Z611" i="34"/>
  <c r="Z289" i="34"/>
  <c r="Z297" i="34"/>
  <c r="Z316" i="34"/>
  <c r="Z492" i="34"/>
  <c r="Z865" i="34"/>
  <c r="Z881" i="34"/>
  <c r="Z428" i="34"/>
  <c r="Z452" i="34"/>
  <c r="Z474" i="34"/>
  <c r="Z281" i="34"/>
  <c r="Z303" i="34"/>
  <c r="Z935" i="34"/>
  <c r="Z914" i="34"/>
  <c r="Z609" i="34"/>
  <c r="Z598" i="34"/>
  <c r="Z895" i="34"/>
  <c r="Z911" i="34"/>
  <c r="Z927" i="34"/>
  <c r="Z871" i="34"/>
  <c r="Z887" i="34"/>
  <c r="Z425" i="34"/>
  <c r="Z450" i="34"/>
  <c r="Z471" i="34"/>
  <c r="Z283" i="34"/>
  <c r="Z292" i="34"/>
  <c r="Z310" i="34"/>
  <c r="Z861" i="34"/>
  <c r="Z945" i="34"/>
  <c r="Z942" i="34"/>
  <c r="Z1070" i="34"/>
  <c r="Z896" i="34"/>
  <c r="Z912" i="34"/>
  <c r="Z928" i="34"/>
  <c r="Z491" i="34"/>
  <c r="Z872" i="34"/>
  <c r="Z888" i="34"/>
  <c r="Z432" i="34"/>
  <c r="Z456" i="34"/>
  <c r="Z479" i="34"/>
  <c r="Z284" i="34"/>
  <c r="Z293" i="34"/>
  <c r="Z311" i="34"/>
  <c r="Z939" i="34"/>
  <c r="Z877" i="34"/>
  <c r="Z447" i="34"/>
  <c r="Z468" i="34"/>
  <c r="Z277" i="34"/>
  <c r="Z298" i="34"/>
  <c r="Z317" i="34"/>
  <c r="Z905" i="34"/>
  <c r="Z910" i="34"/>
  <c r="Z926" i="34"/>
  <c r="Z488" i="34"/>
  <c r="Z870" i="34"/>
  <c r="Z886" i="34"/>
  <c r="Z429" i="34"/>
  <c r="Z454" i="34"/>
  <c r="Z476" i="34"/>
  <c r="Z282" i="34"/>
  <c r="Z304" i="34"/>
  <c r="Z902" i="34"/>
  <c r="Z941" i="34"/>
  <c r="Z891" i="34"/>
  <c r="Z907" i="34"/>
  <c r="Z923" i="34"/>
  <c r="Z600" i="34"/>
  <c r="Z867" i="34"/>
  <c r="Z883" i="34"/>
  <c r="Z444" i="34"/>
  <c r="Z466" i="34"/>
  <c r="Z279" i="34"/>
  <c r="Z305" i="34"/>
  <c r="Z943" i="34"/>
  <c r="Z925" i="34"/>
  <c r="Z940" i="34"/>
  <c r="Z894" i="34"/>
  <c r="Z937" i="34"/>
  <c r="Z938" i="34"/>
  <c r="Z892" i="34"/>
  <c r="Z908" i="34"/>
  <c r="Z924" i="34"/>
  <c r="Z868" i="34"/>
  <c r="Z884" i="34"/>
  <c r="Z426" i="34"/>
  <c r="Z451" i="34"/>
  <c r="Z473" i="34"/>
  <c r="Z280" i="34"/>
  <c r="Z307" i="34"/>
  <c r="Z921" i="34"/>
  <c r="Z873" i="34"/>
  <c r="Z889" i="34"/>
  <c r="Z441" i="34"/>
  <c r="Z463" i="34"/>
  <c r="Z486" i="34"/>
  <c r="Z294" i="34"/>
  <c r="Z312" i="34"/>
  <c r="Z893" i="34"/>
  <c r="Z857" i="34"/>
  <c r="Z906" i="34"/>
  <c r="Z922" i="34"/>
  <c r="Z866" i="34"/>
  <c r="Z882" i="34"/>
  <c r="Z423" i="34"/>
  <c r="Z448" i="34"/>
  <c r="Z470" i="34"/>
  <c r="Z929" i="34"/>
  <c r="Z936" i="34"/>
  <c r="Z890" i="34"/>
  <c r="Z903" i="34"/>
  <c r="Z919" i="34"/>
  <c r="Z494" i="34"/>
  <c r="Z863" i="34"/>
  <c r="Z879" i="34"/>
  <c r="Z438" i="34"/>
  <c r="Z460" i="34"/>
  <c r="Z483" i="34"/>
  <c r="Z610" i="34"/>
  <c r="Z301" i="34"/>
  <c r="Z320" i="34"/>
  <c r="Z913" i="34"/>
  <c r="Z934" i="34"/>
  <c r="Z904" i="34"/>
  <c r="Z920" i="34"/>
  <c r="Z601" i="34"/>
  <c r="Z864" i="34"/>
  <c r="Z880" i="34"/>
  <c r="Z445" i="34"/>
  <c r="Z467" i="34"/>
  <c r="Z302" i="34"/>
  <c r="Z321" i="34"/>
  <c r="Z901" i="34"/>
  <c r="Z869" i="34"/>
  <c r="Z885" i="34"/>
  <c r="Z435" i="34"/>
  <c r="Z457" i="34"/>
  <c r="Z480" i="34"/>
  <c r="Z285" i="34"/>
  <c r="Z290" i="34"/>
  <c r="Z308" i="34"/>
  <c r="Z933" i="34"/>
  <c r="Z944" i="34"/>
  <c r="Z898" i="34"/>
  <c r="Z918" i="34"/>
  <c r="Z599" i="34"/>
  <c r="Z862" i="34"/>
  <c r="Z878" i="34"/>
  <c r="Z442" i="34"/>
  <c r="Z464" i="34"/>
  <c r="Z299" i="34"/>
  <c r="Z319" i="34"/>
  <c r="Z322" i="34"/>
  <c r="Z917" i="34"/>
  <c r="Z930" i="34"/>
  <c r="Z493" i="34"/>
  <c r="Z858" i="34"/>
  <c r="Z874" i="34"/>
  <c r="Z436" i="34"/>
  <c r="Z459" i="34"/>
  <c r="Z482" i="34"/>
  <c r="Z286" i="34"/>
  <c r="Z295" i="34"/>
  <c r="Z314" i="34"/>
  <c r="Z291" i="34"/>
  <c r="Z309" i="34"/>
  <c r="Z278" i="34"/>
  <c r="Z142" i="34"/>
  <c r="Z143" i="34"/>
  <c r="Z1610" i="34"/>
  <c r="Z84" i="34"/>
  <c r="Z1932" i="34"/>
  <c r="Z1933" i="34"/>
  <c r="Z1966" i="34"/>
  <c r="Z2000" i="34"/>
  <c r="Z1995" i="34"/>
  <c r="Z1999" i="34"/>
  <c r="Z1996" i="34"/>
  <c r="Z1970" i="34"/>
  <c r="Z1968" i="34"/>
  <c r="Z1998" i="34"/>
  <c r="Z1967" i="34"/>
  <c r="Z1972" i="34"/>
  <c r="Z1930" i="34"/>
  <c r="Z1997" i="34"/>
  <c r="Z1971" i="34"/>
  <c r="Z1969" i="34"/>
  <c r="Z1974" i="34"/>
  <c r="Z2032" i="34"/>
  <c r="Z1964" i="34"/>
  <c r="Z1931" i="34"/>
  <c r="Z1976" i="34"/>
  <c r="Z1957" i="34"/>
  <c r="Z1917" i="34"/>
  <c r="Z1929" i="34"/>
  <c r="Z2002" i="34"/>
  <c r="Z1823" i="34"/>
  <c r="Z1841" i="34"/>
  <c r="Z1835" i="34"/>
  <c r="Z1846" i="34"/>
  <c r="Z1881" i="34"/>
  <c r="Z1854" i="34"/>
  <c r="Z1935" i="34"/>
  <c r="Z1885" i="34"/>
  <c r="Z1941" i="34"/>
  <c r="Z1223" i="34"/>
  <c r="Z1225" i="34"/>
  <c r="Z1307" i="34"/>
  <c r="Z1309" i="34"/>
  <c r="Z1335" i="34"/>
  <c r="Z1337" i="34"/>
  <c r="Z1363" i="34"/>
  <c r="Z1365" i="34"/>
  <c r="Z1404" i="34"/>
  <c r="Z1451" i="34"/>
  <c r="Z1457" i="34"/>
  <c r="Z1563" i="34"/>
  <c r="Z1569" i="34"/>
  <c r="Z1640" i="34"/>
  <c r="Z1699" i="34"/>
  <c r="Z1701" i="34"/>
  <c r="Z1787" i="34"/>
  <c r="Z1789" i="34"/>
  <c r="Z1977" i="34"/>
  <c r="Z2004" i="34"/>
  <c r="Z1900" i="34"/>
  <c r="Z1954" i="34"/>
  <c r="Z2012" i="34"/>
  <c r="Z2025" i="34"/>
  <c r="Z2030" i="34"/>
  <c r="Z1873" i="34"/>
  <c r="Z1922" i="34"/>
  <c r="Z1824" i="34"/>
  <c r="Z1836" i="34"/>
  <c r="Z1843" i="34"/>
  <c r="Z1874" i="34"/>
  <c r="Z1894" i="34"/>
  <c r="Z1897" i="34"/>
  <c r="Z1951" i="34"/>
  <c r="Z1819" i="34"/>
  <c r="Z1927" i="34"/>
  <c r="Z1973" i="34"/>
  <c r="Z1808" i="34"/>
  <c r="Z1825" i="34"/>
  <c r="Z1879" i="34"/>
  <c r="Z1860" i="34"/>
  <c r="Z1851" i="34"/>
  <c r="Z1939" i="34"/>
  <c r="Z1149" i="34"/>
  <c r="Z1175" i="34"/>
  <c r="Z1181" i="34"/>
  <c r="Z1220" i="34"/>
  <c r="Z1222" i="34"/>
  <c r="Z1304" i="34"/>
  <c r="Z1306" i="34"/>
  <c r="Z1332" i="34"/>
  <c r="Z1334" i="34"/>
  <c r="Z1352" i="34"/>
  <c r="Z1354" i="34"/>
  <c r="Z1369" i="34"/>
  <c r="Z1601" i="34"/>
  <c r="Z1643" i="34"/>
  <c r="Z1750" i="34"/>
  <c r="Z1752" i="34"/>
  <c r="Z1979" i="34"/>
  <c r="Z2006" i="34"/>
  <c r="Z1815" i="34"/>
  <c r="Z1902" i="34"/>
  <c r="Z1993" i="34"/>
  <c r="Z2014" i="34"/>
  <c r="Z1816" i="34"/>
  <c r="Z1838" i="34"/>
  <c r="Z1888" i="34"/>
  <c r="Z1944" i="34"/>
  <c r="Z2011" i="34"/>
  <c r="Z1907" i="34"/>
  <c r="Z1953" i="34"/>
  <c r="Z1994" i="34"/>
  <c r="Z2019" i="34"/>
  <c r="Z1817" i="34"/>
  <c r="Z1912" i="34"/>
  <c r="Z2029" i="34"/>
  <c r="Z1872" i="34"/>
  <c r="Z1925" i="34"/>
  <c r="Z1831" i="34"/>
  <c r="Z1877" i="34"/>
  <c r="Z1937" i="34"/>
  <c r="Z1150" i="34"/>
  <c r="Z1176" i="34"/>
  <c r="Z1182" i="34"/>
  <c r="Z1267" i="34"/>
  <c r="Z1269" i="34"/>
  <c r="Z1275" i="34"/>
  <c r="Z1277" i="34"/>
  <c r="Z1476" i="34"/>
  <c r="Z1478" i="34"/>
  <c r="Z1500" i="34"/>
  <c r="Z1534" i="34"/>
  <c r="Z1540" i="34"/>
  <c r="Z1542" i="34"/>
  <c r="Z1638" i="34"/>
  <c r="Z1724" i="34"/>
  <c r="Z1730" i="34"/>
  <c r="Z1751" i="34"/>
  <c r="Z1753" i="34"/>
  <c r="Z1896" i="34"/>
  <c r="Z1950" i="34"/>
  <c r="Z1869" i="34"/>
  <c r="Z1965" i="34"/>
  <c r="Z1832" i="34"/>
  <c r="Z1890" i="34"/>
  <c r="Z1946" i="34"/>
  <c r="Z1982" i="34"/>
  <c r="Z1963" i="34"/>
  <c r="Z2031" i="34"/>
  <c r="Z1811" i="34"/>
  <c r="Z1909" i="34"/>
  <c r="Z1915" i="34"/>
  <c r="Z1870" i="34"/>
  <c r="Z1923" i="34"/>
  <c r="Z2020" i="34"/>
  <c r="Z1837" i="34"/>
  <c r="Z1848" i="34"/>
  <c r="Z1875" i="34"/>
  <c r="Z1856" i="34"/>
  <c r="Z1895" i="34"/>
  <c r="Z1264" i="34"/>
  <c r="Z1266" i="34"/>
  <c r="Z1272" i="34"/>
  <c r="Z1274" i="34"/>
  <c r="Z1452" i="34"/>
  <c r="Z1454" i="34"/>
  <c r="Z1481" i="34"/>
  <c r="Z1483" i="34"/>
  <c r="Z1537" i="34"/>
  <c r="Z1539" i="34"/>
  <c r="Z1545" i="34"/>
  <c r="Z1547" i="34"/>
  <c r="Z1564" i="34"/>
  <c r="Z1566" i="34"/>
  <c r="Z1694" i="34"/>
  <c r="Z1696" i="34"/>
  <c r="Z1702" i="34"/>
  <c r="Z1727" i="34"/>
  <c r="Z1729" i="34"/>
  <c r="Z1784" i="34"/>
  <c r="Z1790" i="34"/>
  <c r="Z1792" i="34"/>
  <c r="Z1975" i="34"/>
  <c r="Z1898" i="34"/>
  <c r="Z1960" i="34"/>
  <c r="Z1989" i="34"/>
  <c r="Z2033" i="34"/>
  <c r="Z1820" i="34"/>
  <c r="Z1910" i="34"/>
  <c r="Z2028" i="34"/>
  <c r="Z1871" i="34"/>
  <c r="Z1928" i="34"/>
  <c r="Z2021" i="34"/>
  <c r="Z1822" i="34"/>
  <c r="Z1834" i="34"/>
  <c r="Z1849" i="34"/>
  <c r="Z1880" i="34"/>
  <c r="Z1857" i="34"/>
  <c r="Z1934" i="34"/>
  <c r="Z1884" i="34"/>
  <c r="Z1940" i="34"/>
  <c r="Z1947" i="34"/>
  <c r="Z1984" i="34"/>
  <c r="Z2007" i="34"/>
  <c r="Z1903" i="34"/>
  <c r="Z1990" i="34"/>
  <c r="Z2015" i="34"/>
  <c r="Z1809" i="34"/>
  <c r="Z1868" i="34"/>
  <c r="Z1921" i="34"/>
  <c r="Z1827" i="34"/>
  <c r="Z1893" i="34"/>
  <c r="Z1219" i="34"/>
  <c r="Z1221" i="34"/>
  <c r="Z1303" i="34"/>
  <c r="Z1305" i="34"/>
  <c r="Z1331" i="34"/>
  <c r="Z1333" i="34"/>
  <c r="Z1351" i="34"/>
  <c r="Z1353" i="34"/>
  <c r="Z1453" i="34"/>
  <c r="Z1455" i="34"/>
  <c r="Z1565" i="34"/>
  <c r="Z1567" i="34"/>
  <c r="Z1642" i="34"/>
  <c r="Z1695" i="34"/>
  <c r="Z1697" i="34"/>
  <c r="Z1783" i="34"/>
  <c r="Z1785" i="34"/>
  <c r="Z1791" i="34"/>
  <c r="Z1793" i="34"/>
  <c r="Z1962" i="34"/>
  <c r="Z1991" i="34"/>
  <c r="Z1804" i="34"/>
  <c r="Z1818" i="34"/>
  <c r="Z1918" i="34"/>
  <c r="Z1865" i="34"/>
  <c r="Z1807" i="34"/>
  <c r="Z1842" i="34"/>
  <c r="Z1828" i="34"/>
  <c r="Z1882" i="34"/>
  <c r="Z1859" i="34"/>
  <c r="Z1886" i="34"/>
  <c r="Z1942" i="34"/>
  <c r="Z1949" i="34"/>
  <c r="Z1978" i="34"/>
  <c r="Z2009" i="34"/>
  <c r="Z1905" i="34"/>
  <c r="Z1959" i="34"/>
  <c r="Z1992" i="34"/>
  <c r="Z2017" i="34"/>
  <c r="Z2026" i="34"/>
  <c r="Z2027" i="34"/>
  <c r="Z1866" i="34"/>
  <c r="Z1919" i="34"/>
  <c r="Z1833" i="34"/>
  <c r="Z1844" i="34"/>
  <c r="Z1891" i="34"/>
  <c r="Z1177" i="34"/>
  <c r="Z1179" i="34"/>
  <c r="Z1218" i="34"/>
  <c r="Z1224" i="34"/>
  <c r="Z1302" i="34"/>
  <c r="Z1308" i="34"/>
  <c r="Z1330" i="34"/>
  <c r="Z1336" i="34"/>
  <c r="Z1350" i="34"/>
  <c r="Z1364" i="34"/>
  <c r="Z1637" i="34"/>
  <c r="Z1639" i="34"/>
  <c r="Z1641" i="34"/>
  <c r="Z1754" i="34"/>
  <c r="Z1756" i="34"/>
  <c r="Z1956" i="34"/>
  <c r="Z1985" i="34"/>
  <c r="Z1916" i="34"/>
  <c r="Z1867" i="34"/>
  <c r="Z1924" i="34"/>
  <c r="Z2001" i="34"/>
  <c r="Z1830" i="34"/>
  <c r="Z1845" i="34"/>
  <c r="Z1876" i="34"/>
  <c r="Z1853" i="34"/>
  <c r="Z1936" i="34"/>
  <c r="Z1980" i="34"/>
  <c r="Z1852" i="34"/>
  <c r="Z1899" i="34"/>
  <c r="Z1961" i="34"/>
  <c r="Z1986" i="34"/>
  <c r="Z1803" i="34"/>
  <c r="Z1840" i="34"/>
  <c r="Z1864" i="34"/>
  <c r="Z2022" i="34"/>
  <c r="Z1839" i="34"/>
  <c r="Z1850" i="34"/>
  <c r="Z1858" i="34"/>
  <c r="Z1889" i="34"/>
  <c r="Z1945" i="34"/>
  <c r="Z1178" i="34"/>
  <c r="Z1180" i="34"/>
  <c r="Z1265" i="34"/>
  <c r="Z1271" i="34"/>
  <c r="Z1273" i="34"/>
  <c r="Z1279" i="34"/>
  <c r="Z1480" i="34"/>
  <c r="Z1482" i="34"/>
  <c r="Z1536" i="34"/>
  <c r="Z1538" i="34"/>
  <c r="Z1544" i="34"/>
  <c r="Z1546" i="34"/>
  <c r="Z1636" i="34"/>
  <c r="Z1671" i="34"/>
  <c r="Z1726" i="34"/>
  <c r="Z1728" i="34"/>
  <c r="Z1749" i="34"/>
  <c r="Z1755" i="34"/>
  <c r="Z1948" i="34"/>
  <c r="Z1981" i="34"/>
  <c r="Z2008" i="34"/>
  <c r="Z2023" i="34"/>
  <c r="Z1904" i="34"/>
  <c r="Z1958" i="34"/>
  <c r="Z1987" i="34"/>
  <c r="Z2016" i="34"/>
  <c r="Z1810" i="34"/>
  <c r="Z1908" i="34"/>
  <c r="Z1914" i="34"/>
  <c r="Z1861" i="34"/>
  <c r="Z1926" i="34"/>
  <c r="Z2003" i="34"/>
  <c r="Z1847" i="34"/>
  <c r="Z1878" i="34"/>
  <c r="Z1855" i="34"/>
  <c r="Z1814" i="34"/>
  <c r="Z1938" i="34"/>
  <c r="Z2005" i="34"/>
  <c r="Z2024" i="34"/>
  <c r="Z1901" i="34"/>
  <c r="Z1955" i="34"/>
  <c r="Z1988" i="34"/>
  <c r="Z2013" i="34"/>
  <c r="Z2034" i="34"/>
  <c r="Z1862" i="34"/>
  <c r="Z1812" i="34"/>
  <c r="Z1829" i="34"/>
  <c r="Z1883" i="34"/>
  <c r="Z1887" i="34"/>
  <c r="Z1943" i="34"/>
  <c r="Z1268" i="34"/>
  <c r="Z1270" i="34"/>
  <c r="Z1276" i="34"/>
  <c r="Z1278" i="34"/>
  <c r="Z1450" i="34"/>
  <c r="Z1456" i="34"/>
  <c r="Z1458" i="34"/>
  <c r="Z1477" i="34"/>
  <c r="Z1479" i="34"/>
  <c r="Z1533" i="34"/>
  <c r="Z1535" i="34"/>
  <c r="Z1541" i="34"/>
  <c r="Z1543" i="34"/>
  <c r="Z1568" i="34"/>
  <c r="Z1698" i="34"/>
  <c r="Z1700" i="34"/>
  <c r="Z1725" i="34"/>
  <c r="Z1731" i="34"/>
  <c r="Z1786" i="34"/>
  <c r="Z1788" i="34"/>
  <c r="Z1983" i="34"/>
  <c r="Z2010" i="34"/>
  <c r="Z1906" i="34"/>
  <c r="Z1952" i="34"/>
  <c r="Z2018" i="34"/>
  <c r="Z1863" i="34"/>
  <c r="Z1920" i="34"/>
  <c r="Z1813" i="34"/>
  <c r="Z1826" i="34"/>
  <c r="Z1892" i="34"/>
  <c r="Z1690" i="34"/>
  <c r="Z1716" i="34"/>
  <c r="Z1741" i="34"/>
  <c r="Z1772" i="34"/>
  <c r="Z1525" i="34"/>
  <c r="Z1556" i="34"/>
  <c r="Z1670" i="34"/>
  <c r="Z1474" i="34"/>
  <c r="Z1523" i="34"/>
  <c r="Z1263" i="34"/>
  <c r="Z1297" i="34"/>
  <c r="Z1172" i="34"/>
  <c r="Z1211" i="34"/>
  <c r="Z1138" i="34"/>
  <c r="Z1584" i="34"/>
  <c r="Z1415" i="34"/>
  <c r="Z1397" i="34"/>
  <c r="Z1383" i="34"/>
  <c r="Z1189" i="34"/>
  <c r="Z1085" i="34"/>
  <c r="Z340" i="34"/>
  <c r="Z361" i="34"/>
  <c r="Z506" i="34"/>
  <c r="Z522" i="34"/>
  <c r="Z538" i="34"/>
  <c r="Z956" i="34"/>
  <c r="Z972" i="34"/>
  <c r="Z988" i="34"/>
  <c r="Z1004" i="34"/>
  <c r="Z1016" i="34"/>
  <c r="Z1805" i="34"/>
  <c r="Z1746" i="34"/>
  <c r="Z1629" i="34"/>
  <c r="Z1445" i="34"/>
  <c r="Z1326" i="34"/>
  <c r="Z1349" i="34"/>
  <c r="Z1254" i="34"/>
  <c r="Z1135" i="34"/>
  <c r="Z1714" i="34"/>
  <c r="Z1668" i="34"/>
  <c r="Z1653" i="34"/>
  <c r="Z1591" i="34"/>
  <c r="Z1492" i="34"/>
  <c r="Z1396" i="34"/>
  <c r="Z1205" i="34"/>
  <c r="Z1192" i="34"/>
  <c r="Z1128" i="34"/>
  <c r="Z1107" i="34"/>
  <c r="Z1092" i="34"/>
  <c r="Z328" i="34"/>
  <c r="Z346" i="34"/>
  <c r="Z495" i="34"/>
  <c r="Z511" i="34"/>
  <c r="Z527" i="34"/>
  <c r="Z602" i="34"/>
  <c r="Z613" i="34"/>
  <c r="Z961" i="34"/>
  <c r="Z977" i="34"/>
  <c r="Z993" i="34"/>
  <c r="Z1009" i="34"/>
  <c r="Z1017" i="34"/>
  <c r="Z1780" i="34"/>
  <c r="Z1144" i="34"/>
  <c r="Z1531" i="34"/>
  <c r="Z1562" i="34"/>
  <c r="Z1686" i="34"/>
  <c r="Z1442" i="34"/>
  <c r="Z1472" i="34"/>
  <c r="Z1521" i="34"/>
  <c r="Z1295" i="34"/>
  <c r="Z1170" i="34"/>
  <c r="Z1217" i="34"/>
  <c r="Z1259" i="34"/>
  <c r="Z1168" i="34"/>
  <c r="Z1663" i="34"/>
  <c r="Z1577" i="34"/>
  <c r="Z1421" i="34"/>
  <c r="Z1381" i="34"/>
  <c r="Z1320" i="34"/>
  <c r="Z1165" i="34"/>
  <c r="Z1083" i="34"/>
  <c r="Z338" i="34"/>
  <c r="Z358" i="34"/>
  <c r="Z504" i="34"/>
  <c r="Z520" i="34"/>
  <c r="Z536" i="34"/>
  <c r="Z954" i="34"/>
  <c r="Z970" i="34"/>
  <c r="Z986" i="34"/>
  <c r="Z1002" i="34"/>
  <c r="Z1022" i="34"/>
  <c r="Z1781" i="34"/>
  <c r="Z1077" i="34"/>
  <c r="Z1744" i="34"/>
  <c r="Z1528" i="34"/>
  <c r="Z1368" i="34"/>
  <c r="Z1443" i="34"/>
  <c r="Z1473" i="34"/>
  <c r="Z1296" i="34"/>
  <c r="Z1260" i="34"/>
  <c r="Z1141" i="34"/>
  <c r="Z1585" i="34"/>
  <c r="Z1576" i="34"/>
  <c r="Z1494" i="34"/>
  <c r="Z1420" i="34"/>
  <c r="Z1398" i="34"/>
  <c r="Z1384" i="34"/>
  <c r="Z1319" i="34"/>
  <c r="Z1086" i="34"/>
  <c r="Z325" i="34"/>
  <c r="Z344" i="34"/>
  <c r="Z364" i="34"/>
  <c r="Z509" i="34"/>
  <c r="Z525" i="34"/>
  <c r="Z959" i="34"/>
  <c r="Z975" i="34"/>
  <c r="Z991" i="34"/>
  <c r="Z1015" i="34"/>
  <c r="Z1806" i="34"/>
  <c r="Z1632" i="34"/>
  <c r="Z1448" i="34"/>
  <c r="Z1470" i="34"/>
  <c r="Z1519" i="34"/>
  <c r="Z1329" i="34"/>
  <c r="Z1348" i="34"/>
  <c r="Z1362" i="34"/>
  <c r="Z1257" i="34"/>
  <c r="Z1715" i="34"/>
  <c r="Z1650" i="34"/>
  <c r="Z1613" i="34"/>
  <c r="Z1588" i="34"/>
  <c r="Z1575" i="34"/>
  <c r="Z1419" i="34"/>
  <c r="Z1387" i="34"/>
  <c r="Z1344" i="34"/>
  <c r="Z1185" i="34"/>
  <c r="Z1163" i="34"/>
  <c r="Z1125" i="34"/>
  <c r="Z1089" i="34"/>
  <c r="Z336" i="34"/>
  <c r="Z356" i="34"/>
  <c r="Z502" i="34"/>
  <c r="Z518" i="34"/>
  <c r="Z534" i="34"/>
  <c r="Z952" i="34"/>
  <c r="Z968" i="34"/>
  <c r="Z984" i="34"/>
  <c r="Z1000" i="34"/>
  <c r="Z1008" i="34"/>
  <c r="Z1012" i="34"/>
  <c r="Z1779" i="34"/>
  <c r="Z1076" i="34"/>
  <c r="Z1147" i="34"/>
  <c r="Z1721" i="34"/>
  <c r="Z1742" i="34"/>
  <c r="Z1561" i="34"/>
  <c r="Z1441" i="34"/>
  <c r="Z1524" i="34"/>
  <c r="Z1322" i="34"/>
  <c r="Z1345" i="34"/>
  <c r="Z1173" i="34"/>
  <c r="Z1216" i="34"/>
  <c r="Z1250" i="34"/>
  <c r="Z1414" i="34"/>
  <c r="Z1410" i="34"/>
  <c r="Z1209" i="34"/>
  <c r="Z1162" i="34"/>
  <c r="Z1132" i="34"/>
  <c r="Z1111" i="34"/>
  <c r="Z1096" i="34"/>
  <c r="Z342" i="34"/>
  <c r="Z362" i="34"/>
  <c r="Z507" i="34"/>
  <c r="Z523" i="34"/>
  <c r="Z957" i="34"/>
  <c r="Z973" i="34"/>
  <c r="Z989" i="34"/>
  <c r="Z1005" i="34"/>
  <c r="Z1013" i="34"/>
  <c r="Z1776" i="34"/>
  <c r="Z1692" i="34"/>
  <c r="Z1527" i="34"/>
  <c r="Z1558" i="34"/>
  <c r="Z1468" i="34"/>
  <c r="Z1327" i="34"/>
  <c r="Z1360" i="34"/>
  <c r="Z1213" i="34"/>
  <c r="Z1255" i="34"/>
  <c r="Z1140" i="34"/>
  <c r="Z1667" i="34"/>
  <c r="Z1648" i="34"/>
  <c r="Z1611" i="34"/>
  <c r="Z1586" i="34"/>
  <c r="Z1581" i="34"/>
  <c r="Z1425" i="34"/>
  <c r="Z1413" i="34"/>
  <c r="Z1385" i="34"/>
  <c r="Z1291" i="34"/>
  <c r="Z1204" i="34"/>
  <c r="Z1106" i="34"/>
  <c r="Z1087" i="34"/>
  <c r="Z334" i="34"/>
  <c r="Z353" i="34"/>
  <c r="Z500" i="34"/>
  <c r="Z516" i="34"/>
  <c r="Z532" i="34"/>
  <c r="Z603" i="34"/>
  <c r="Z950" i="34"/>
  <c r="Z966" i="34"/>
  <c r="Z982" i="34"/>
  <c r="Z998" i="34"/>
  <c r="Z1018" i="34"/>
  <c r="Z1777" i="34"/>
  <c r="Z1693" i="34"/>
  <c r="Z1559" i="34"/>
  <c r="Z1600" i="34"/>
  <c r="Z1635" i="34"/>
  <c r="Z1469" i="34"/>
  <c r="Z1522" i="34"/>
  <c r="Z1328" i="34"/>
  <c r="Z1171" i="34"/>
  <c r="Z1214" i="34"/>
  <c r="Z1256" i="34"/>
  <c r="Z1137" i="34"/>
  <c r="Z1082" i="34"/>
  <c r="Z1666" i="34"/>
  <c r="Z1651" i="34"/>
  <c r="Z1589" i="34"/>
  <c r="Z1580" i="34"/>
  <c r="Z1424" i="34"/>
  <c r="Z1388" i="34"/>
  <c r="Z1375" i="34"/>
  <c r="Z1203" i="34"/>
  <c r="Z1186" i="34"/>
  <c r="Z1164" i="34"/>
  <c r="Z1126" i="34"/>
  <c r="Z1105" i="34"/>
  <c r="Z1090" i="34"/>
  <c r="Z339" i="34"/>
  <c r="Z360" i="34"/>
  <c r="Z505" i="34"/>
  <c r="Z521" i="34"/>
  <c r="Z537" i="34"/>
  <c r="Z604" i="34"/>
  <c r="Z955" i="34"/>
  <c r="Z971" i="34"/>
  <c r="Z987" i="34"/>
  <c r="Z1003" i="34"/>
  <c r="Z1011" i="34"/>
  <c r="Z1782" i="34"/>
  <c r="Z1146" i="34"/>
  <c r="Z1628" i="34"/>
  <c r="Z1444" i="34"/>
  <c r="Z1325" i="34"/>
  <c r="Z1253" i="34"/>
  <c r="Z1665" i="34"/>
  <c r="Z1654" i="34"/>
  <c r="Z1617" i="34"/>
  <c r="Z1592" i="34"/>
  <c r="Z1579" i="34"/>
  <c r="Z1489" i="34"/>
  <c r="Z1423" i="34"/>
  <c r="Z1411" i="34"/>
  <c r="Z1289" i="34"/>
  <c r="Z1202" i="34"/>
  <c r="Z1129" i="34"/>
  <c r="Z1104" i="34"/>
  <c r="Z1093" i="34"/>
  <c r="Z331" i="34"/>
  <c r="Z350" i="34"/>
  <c r="Z498" i="34"/>
  <c r="Z514" i="34"/>
  <c r="Z530" i="34"/>
  <c r="Z948" i="34"/>
  <c r="Z964" i="34"/>
  <c r="Z980" i="34"/>
  <c r="Z996" i="34"/>
  <c r="Z1072" i="34"/>
  <c r="Z1143" i="34"/>
  <c r="Z1691" i="34"/>
  <c r="Z1717" i="34"/>
  <c r="Z1773" i="34"/>
  <c r="Z1530" i="34"/>
  <c r="Z1557" i="34"/>
  <c r="Z1475" i="34"/>
  <c r="Z1520" i="34"/>
  <c r="Z1298" i="34"/>
  <c r="Z1169" i="34"/>
  <c r="Z1212" i="34"/>
  <c r="Z1167" i="34"/>
  <c r="Z1612" i="34"/>
  <c r="Z1583" i="34"/>
  <c r="Z1574" i="34"/>
  <c r="Z1418" i="34"/>
  <c r="Z1382" i="34"/>
  <c r="Z1166" i="34"/>
  <c r="Z1084" i="34"/>
  <c r="Z337" i="34"/>
  <c r="Z357" i="34"/>
  <c r="Z503" i="34"/>
  <c r="Z519" i="34"/>
  <c r="Z535" i="34"/>
  <c r="Z953" i="34"/>
  <c r="Z969" i="34"/>
  <c r="Z985" i="34"/>
  <c r="Z1001" i="34"/>
  <c r="Z1247" i="34"/>
  <c r="Z1688" i="34"/>
  <c r="Z1722" i="34"/>
  <c r="Z1747" i="34"/>
  <c r="Z1634" i="34"/>
  <c r="Z1499" i="34"/>
  <c r="Z1261" i="34"/>
  <c r="Z1323" i="34"/>
  <c r="Z1251" i="34"/>
  <c r="Z1136" i="34"/>
  <c r="Z1652" i="34"/>
  <c r="Z1615" i="34"/>
  <c r="Z1590" i="34"/>
  <c r="Z1395" i="34"/>
  <c r="Z1389" i="34"/>
  <c r="Z1208" i="34"/>
  <c r="Z1191" i="34"/>
  <c r="Z1187" i="34"/>
  <c r="Z1127" i="34"/>
  <c r="Z1110" i="34"/>
  <c r="Z1091" i="34"/>
  <c r="Z329" i="34"/>
  <c r="Z348" i="34"/>
  <c r="Z496" i="34"/>
  <c r="Z512" i="34"/>
  <c r="Z528" i="34"/>
  <c r="Z946" i="34"/>
  <c r="Z962" i="34"/>
  <c r="Z978" i="34"/>
  <c r="Z994" i="34"/>
  <c r="Z1014" i="34"/>
  <c r="Z1821" i="34"/>
  <c r="Z1689" i="34"/>
  <c r="Z1723" i="34"/>
  <c r="Z1518" i="34"/>
  <c r="Z1262" i="34"/>
  <c r="Z1324" i="34"/>
  <c r="Z1347" i="34"/>
  <c r="Z1361" i="34"/>
  <c r="Z1210" i="34"/>
  <c r="Z1252" i="34"/>
  <c r="Z1655" i="34"/>
  <c r="Z1614" i="34"/>
  <c r="Z1593" i="34"/>
  <c r="Z1290" i="34"/>
  <c r="Z1207" i="34"/>
  <c r="Z1190" i="34"/>
  <c r="Z1130" i="34"/>
  <c r="Z1109" i="34"/>
  <c r="Z1094" i="34"/>
  <c r="Z335" i="34"/>
  <c r="Z354" i="34"/>
  <c r="Z501" i="34"/>
  <c r="Z517" i="34"/>
  <c r="Z533" i="34"/>
  <c r="Z951" i="34"/>
  <c r="Z967" i="34"/>
  <c r="Z983" i="34"/>
  <c r="Z999" i="34"/>
  <c r="Z1023" i="34"/>
  <c r="Z1778" i="34"/>
  <c r="Z1078" i="34"/>
  <c r="Z1720" i="34"/>
  <c r="Z1745" i="34"/>
  <c r="Z1529" i="34"/>
  <c r="Z1560" i="34"/>
  <c r="Z1403" i="34"/>
  <c r="Z1301" i="34"/>
  <c r="Z1215" i="34"/>
  <c r="Z1249" i="34"/>
  <c r="Z1142" i="34"/>
  <c r="Z1669" i="34"/>
  <c r="Z1493" i="34"/>
  <c r="Z1393" i="34"/>
  <c r="Z1293" i="34"/>
  <c r="Z1206" i="34"/>
  <c r="Z1133" i="34"/>
  <c r="Z1108" i="34"/>
  <c r="Z326" i="34"/>
  <c r="Z345" i="34"/>
  <c r="Z366" i="34"/>
  <c r="Z510" i="34"/>
  <c r="Z526" i="34"/>
  <c r="Z612" i="34"/>
  <c r="Z960" i="34"/>
  <c r="Z976" i="34"/>
  <c r="Z992" i="34"/>
  <c r="Z1020" i="34"/>
  <c r="Z1687" i="34"/>
  <c r="Z1526" i="34"/>
  <c r="Z1633" i="34"/>
  <c r="Z1685" i="34"/>
  <c r="Z1449" i="34"/>
  <c r="Z1471" i="34"/>
  <c r="Z1294" i="34"/>
  <c r="Z1258" i="34"/>
  <c r="Z1139" i="34"/>
  <c r="Z1664" i="34"/>
  <c r="Z1649" i="34"/>
  <c r="Z1616" i="34"/>
  <c r="Z1587" i="34"/>
  <c r="Z1578" i="34"/>
  <c r="Z1488" i="34"/>
  <c r="Z1422" i="34"/>
  <c r="Z1392" i="34"/>
  <c r="Z1386" i="34"/>
  <c r="Z1321" i="34"/>
  <c r="Z1292" i="34"/>
  <c r="Z1188" i="34"/>
  <c r="Z1088" i="34"/>
  <c r="Z333" i="34"/>
  <c r="Z352" i="34"/>
  <c r="Z499" i="34"/>
  <c r="Z515" i="34"/>
  <c r="Z531" i="34"/>
  <c r="Z949" i="34"/>
  <c r="Z965" i="34"/>
  <c r="Z981" i="34"/>
  <c r="Z997" i="34"/>
  <c r="Z1021" i="34"/>
  <c r="Z1148" i="34"/>
  <c r="Z1718" i="34"/>
  <c r="Z1743" i="34"/>
  <c r="Z1774" i="34"/>
  <c r="Z1630" i="34"/>
  <c r="Z1446" i="34"/>
  <c r="Z1299" i="34"/>
  <c r="Z1346" i="34"/>
  <c r="Z1174" i="34"/>
  <c r="Z1713" i="34"/>
  <c r="Z1573" i="34"/>
  <c r="Z1491" i="34"/>
  <c r="Z1417" i="34"/>
  <c r="Z1399" i="34"/>
  <c r="Z1161" i="34"/>
  <c r="Z1131" i="34"/>
  <c r="Z1095" i="34"/>
  <c r="Z324" i="34"/>
  <c r="Z343" i="34"/>
  <c r="Z363" i="34"/>
  <c r="Z508" i="34"/>
  <c r="Z524" i="34"/>
  <c r="Z958" i="34"/>
  <c r="Z974" i="34"/>
  <c r="Z990" i="34"/>
  <c r="Z1006" i="34"/>
  <c r="Z1010" i="34"/>
  <c r="Z1145" i="34"/>
  <c r="Z1719" i="34"/>
  <c r="Z1748" i="34"/>
  <c r="Z1775" i="34"/>
  <c r="Z1532" i="34"/>
  <c r="Z1631" i="34"/>
  <c r="Z1447" i="34"/>
  <c r="Z1300" i="34"/>
  <c r="Z1248" i="34"/>
  <c r="Z1712" i="34"/>
  <c r="Z1618" i="34"/>
  <c r="Z1490" i="34"/>
  <c r="Z1416" i="34"/>
  <c r="Z1412" i="34"/>
  <c r="Z1394" i="34"/>
  <c r="Z1134" i="34"/>
  <c r="Z330" i="34"/>
  <c r="Z349" i="34"/>
  <c r="Z497" i="34"/>
  <c r="Z513" i="34"/>
  <c r="Z529" i="34"/>
  <c r="Z947" i="34"/>
  <c r="Z963" i="34"/>
  <c r="Z979" i="34"/>
  <c r="Z995" i="34"/>
  <c r="Z1007" i="34"/>
  <c r="Z1019" i="34"/>
  <c r="Z608" i="34"/>
  <c r="Z595" i="34"/>
  <c r="Z856" i="34"/>
  <c r="Z1069" i="34"/>
  <c r="Z547" i="34"/>
  <c r="Z22" i="34"/>
  <c r="Z559" i="34"/>
  <c r="Z564" i="34"/>
  <c r="Z34" i="34"/>
  <c r="Z28" i="34"/>
  <c r="Z822" i="34"/>
  <c r="Z835" i="34"/>
  <c r="Z397" i="34"/>
  <c r="Z638" i="34"/>
  <c r="Z203" i="34"/>
  <c r="Z104" i="34"/>
  <c r="Z164" i="34"/>
  <c r="Z662" i="34"/>
  <c r="Z107" i="34"/>
  <c r="Z100" i="34"/>
  <c r="Z670" i="34"/>
  <c r="Z770" i="34"/>
  <c r="Z147" i="34"/>
  <c r="Z155" i="34"/>
  <c r="Z150" i="34"/>
  <c r="Z53" i="34"/>
  <c r="Z58" i="34"/>
  <c r="Z1042" i="34"/>
  <c r="Z1058" i="34"/>
  <c r="Z1570" i="34"/>
  <c r="Z1378" i="34"/>
  <c r="Z1391" i="34"/>
  <c r="Z1495" i="34"/>
  <c r="Z551" i="34"/>
  <c r="Z565" i="34"/>
  <c r="Z581" i="34"/>
  <c r="Z607" i="34"/>
  <c r="Z1025" i="34"/>
  <c r="Z26" i="34"/>
  <c r="Z384" i="34"/>
  <c r="Z417" i="34"/>
  <c r="Z41" i="34"/>
  <c r="Z214" i="34"/>
  <c r="Z223" i="34"/>
  <c r="Z242" i="34"/>
  <c r="Z260" i="34"/>
  <c r="Z651" i="34"/>
  <c r="Z688" i="34"/>
  <c r="Z717" i="34"/>
  <c r="Z732" i="34"/>
  <c r="Z160" i="34"/>
  <c r="Z185" i="34"/>
  <c r="Z196" i="34"/>
  <c r="Z1033" i="34"/>
  <c r="Z59" i="34"/>
  <c r="Z1043" i="34"/>
  <c r="Z1059" i="34"/>
  <c r="Z1074" i="34"/>
  <c r="Z1370" i="34"/>
  <c r="Z1798" i="34"/>
  <c r="Z1405" i="34"/>
  <c r="Z1485" i="34"/>
  <c r="Z394" i="34"/>
  <c r="Z556" i="34"/>
  <c r="Z578" i="34"/>
  <c r="Z23" i="34"/>
  <c r="Z32" i="34"/>
  <c r="Z838" i="34"/>
  <c r="Z380" i="34"/>
  <c r="Z419" i="34"/>
  <c r="Z540" i="34"/>
  <c r="Z228" i="34"/>
  <c r="Z239" i="34"/>
  <c r="Z265" i="34"/>
  <c r="Z685" i="34"/>
  <c r="Z743" i="34"/>
  <c r="Z149" i="34"/>
  <c r="Z182" i="34"/>
  <c r="Z60" i="34"/>
  <c r="Z1044" i="34"/>
  <c r="Z1060" i="34"/>
  <c r="Z1799" i="34"/>
  <c r="Z1376" i="34"/>
  <c r="Z567" i="34"/>
  <c r="Z1027" i="34"/>
  <c r="Z33" i="34"/>
  <c r="Z386" i="34"/>
  <c r="Z400" i="34"/>
  <c r="Z404" i="34"/>
  <c r="Z541" i="34"/>
  <c r="Z43" i="34"/>
  <c r="Z216" i="34"/>
  <c r="Z229" i="34"/>
  <c r="Z373" i="34"/>
  <c r="Z583" i="34"/>
  <c r="Z621" i="34"/>
  <c r="Z657" i="34"/>
  <c r="Z690" i="34"/>
  <c r="Z711" i="34"/>
  <c r="Z734" i="34"/>
  <c r="Z748" i="34"/>
  <c r="Z145" i="34"/>
  <c r="Z151" i="34"/>
  <c r="Z162" i="34"/>
  <c r="Z187" i="34"/>
  <c r="Z198" i="34"/>
  <c r="Z209" i="34"/>
  <c r="Z61" i="34"/>
  <c r="Z1053" i="34"/>
  <c r="Z1572" i="34"/>
  <c r="Z1427" i="34"/>
  <c r="Z1604" i="34"/>
  <c r="Z576" i="34"/>
  <c r="Z1024" i="34"/>
  <c r="Z30" i="34"/>
  <c r="Z411" i="34"/>
  <c r="Z40" i="34"/>
  <c r="Z226" i="34"/>
  <c r="Z237" i="34"/>
  <c r="Z374" i="34"/>
  <c r="Z622" i="34"/>
  <c r="Z749" i="34"/>
  <c r="Z146" i="34"/>
  <c r="Z159" i="34"/>
  <c r="Z195" i="34"/>
  <c r="Z210" i="34"/>
  <c r="Z745" i="34"/>
  <c r="Z815" i="34"/>
  <c r="Z1647" i="34"/>
  <c r="Z1645" i="34"/>
  <c r="Z1795" i="34"/>
  <c r="Z1797" i="34"/>
  <c r="Z54" i="34"/>
  <c r="Z1038" i="34"/>
  <c r="Z1054" i="34"/>
  <c r="Z1073" i="34"/>
  <c r="Z1103" i="34"/>
  <c r="Z1409" i="34"/>
  <c r="Z1484" i="34"/>
  <c r="Z577" i="34"/>
  <c r="Z379" i="34"/>
  <c r="Z402" i="34"/>
  <c r="Z539" i="34"/>
  <c r="Z37" i="34"/>
  <c r="Z238" i="34"/>
  <c r="Z377" i="34"/>
  <c r="Z623" i="34"/>
  <c r="Z713" i="34"/>
  <c r="Z750" i="34"/>
  <c r="Z156" i="34"/>
  <c r="Z181" i="34"/>
  <c r="Z211" i="34"/>
  <c r="Z1801" i="34"/>
  <c r="Z57" i="34"/>
  <c r="Z1400" i="34"/>
  <c r="Z55" i="34"/>
  <c r="Z1039" i="34"/>
  <c r="Z1055" i="34"/>
  <c r="Z1151" i="34"/>
  <c r="Z1602" i="34"/>
  <c r="Z1607" i="34"/>
  <c r="Z552" i="34"/>
  <c r="Z561" i="34"/>
  <c r="Z574" i="34"/>
  <c r="Z408" i="34"/>
  <c r="Z215" i="34"/>
  <c r="Z235" i="34"/>
  <c r="Z261" i="34"/>
  <c r="Z590" i="34"/>
  <c r="Z769" i="34"/>
  <c r="Z56" i="34"/>
  <c r="Z1040" i="34"/>
  <c r="Z1056" i="34"/>
  <c r="Z1075" i="34"/>
  <c r="Z1101" i="34"/>
  <c r="Z1113" i="34"/>
  <c r="Z1183" i="34"/>
  <c r="Z1486" i="34"/>
  <c r="Z1594" i="34"/>
  <c r="Z1603" i="34"/>
  <c r="Z1609" i="34"/>
  <c r="Z395" i="34"/>
  <c r="Z557" i="34"/>
  <c r="Z579" i="34"/>
  <c r="Z24" i="34"/>
  <c r="Z29" i="34"/>
  <c r="Z839" i="34"/>
  <c r="Z382" i="34"/>
  <c r="Z415" i="34"/>
  <c r="Z420" i="34"/>
  <c r="Z39" i="34"/>
  <c r="Z240" i="34"/>
  <c r="Z367" i="34"/>
  <c r="Z686" i="34"/>
  <c r="Z744" i="34"/>
  <c r="Z814" i="34"/>
  <c r="Z158" i="34"/>
  <c r="Z183" i="34"/>
  <c r="Z194" i="34"/>
  <c r="Z1672" i="34"/>
  <c r="Z49" i="34"/>
  <c r="Z1049" i="34"/>
  <c r="Z1102" i="34"/>
  <c r="Z1355" i="34"/>
  <c r="Z1407" i="34"/>
  <c r="Z545" i="34"/>
  <c r="Z558" i="34"/>
  <c r="Z572" i="34"/>
  <c r="Z840" i="34"/>
  <c r="Z392" i="34"/>
  <c r="Z405" i="34"/>
  <c r="Z422" i="34"/>
  <c r="Z542" i="34"/>
  <c r="Z36" i="34"/>
  <c r="Z222" i="34"/>
  <c r="Z369" i="34"/>
  <c r="Z588" i="34"/>
  <c r="Z618" i="34"/>
  <c r="Z654" i="34"/>
  <c r="Z1796" i="34"/>
  <c r="Z50" i="34"/>
  <c r="Z1034" i="34"/>
  <c r="Z1050" i="34"/>
  <c r="Z1371" i="34"/>
  <c r="Z1596" i="34"/>
  <c r="Z1605" i="34"/>
  <c r="Z573" i="34"/>
  <c r="Z31" i="34"/>
  <c r="Z393" i="34"/>
  <c r="Z227" i="34"/>
  <c r="Z234" i="34"/>
  <c r="Z370" i="34"/>
  <c r="Z589" i="34"/>
  <c r="Z619" i="34"/>
  <c r="Z655" i="34"/>
  <c r="Z746" i="34"/>
  <c r="Z768" i="34"/>
  <c r="Z821" i="34"/>
  <c r="Z148" i="34"/>
  <c r="Z45" i="34"/>
  <c r="Z51" i="34"/>
  <c r="Z1035" i="34"/>
  <c r="Z1051" i="34"/>
  <c r="Z1080" i="34"/>
  <c r="Z1100" i="34"/>
  <c r="Z1372" i="34"/>
  <c r="Z1428" i="34"/>
  <c r="Z548" i="34"/>
  <c r="Z570" i="34"/>
  <c r="Z614" i="34"/>
  <c r="Z1026" i="34"/>
  <c r="Z390" i="34"/>
  <c r="Z398" i="34"/>
  <c r="Z403" i="34"/>
  <c r="Z413" i="34"/>
  <c r="Z42" i="34"/>
  <c r="Z257" i="34"/>
  <c r="Z378" i="34"/>
  <c r="Z586" i="34"/>
  <c r="Z624" i="34"/>
  <c r="Z656" i="34"/>
  <c r="Z693" i="34"/>
  <c r="Z718" i="34"/>
  <c r="Z737" i="34"/>
  <c r="Z765" i="34"/>
  <c r="Z161" i="34"/>
  <c r="Z197" i="34"/>
  <c r="Z212" i="34"/>
  <c r="Z52" i="34"/>
  <c r="Z1036" i="34"/>
  <c r="Z1052" i="34"/>
  <c r="Z1571" i="34"/>
  <c r="Z1226" i="34"/>
  <c r="Z1380" i="34"/>
  <c r="Z1426" i="34"/>
  <c r="Z553" i="34"/>
  <c r="Z575" i="34"/>
  <c r="Z35" i="34"/>
  <c r="Z225" i="34"/>
  <c r="Z236" i="34"/>
  <c r="Z262" i="34"/>
  <c r="Z591" i="34"/>
  <c r="Z719" i="34"/>
  <c r="Z762" i="34"/>
  <c r="Z1045" i="34"/>
  <c r="Z1061" i="34"/>
  <c r="Z1373" i="34"/>
  <c r="Z1377" i="34"/>
  <c r="Z1595" i="34"/>
  <c r="Z823" i="34"/>
  <c r="Z554" i="34"/>
  <c r="Z563" i="34"/>
  <c r="Z568" i="34"/>
  <c r="Z836" i="34"/>
  <c r="Z388" i="34"/>
  <c r="Z401" i="34"/>
  <c r="Z263" i="34"/>
  <c r="Z584" i="34"/>
  <c r="Z691" i="34"/>
  <c r="Z716" i="34"/>
  <c r="Z735" i="34"/>
  <c r="Z763" i="34"/>
  <c r="Z152" i="34"/>
  <c r="Z163" i="34"/>
  <c r="Z188" i="34"/>
  <c r="Z184" i="34"/>
  <c r="Z199" i="34"/>
  <c r="Z767" i="34"/>
  <c r="Z1644" i="34"/>
  <c r="Z1037" i="34"/>
  <c r="Z1659" i="34"/>
  <c r="Z46" i="34"/>
  <c r="Z1030" i="34"/>
  <c r="Z1046" i="34"/>
  <c r="Z1374" i="34"/>
  <c r="Z1079" i="34"/>
  <c r="Z1099" i="34"/>
  <c r="Z1115" i="34"/>
  <c r="Z1227" i="34"/>
  <c r="Z834" i="34"/>
  <c r="Z546" i="34"/>
  <c r="Z555" i="34"/>
  <c r="Z560" i="34"/>
  <c r="Z569" i="34"/>
  <c r="Z1029" i="34"/>
  <c r="Z837" i="34"/>
  <c r="Z389" i="34"/>
  <c r="Z407" i="34"/>
  <c r="Z412" i="34"/>
  <c r="Z543" i="34"/>
  <c r="Z264" i="34"/>
  <c r="Z585" i="34"/>
  <c r="Z659" i="34"/>
  <c r="Z692" i="34"/>
  <c r="Z736" i="34"/>
  <c r="Z742" i="34"/>
  <c r="Z764" i="34"/>
  <c r="Z189" i="34"/>
  <c r="Z200" i="34"/>
  <c r="Z1658" i="34"/>
  <c r="Z1646" i="34"/>
  <c r="Z1656" i="34"/>
  <c r="Z1800" i="34"/>
  <c r="Z47" i="34"/>
  <c r="Z1031" i="34"/>
  <c r="Z1047" i="34"/>
  <c r="Z1112" i="34"/>
  <c r="Z1228" i="34"/>
  <c r="Z1379" i="34"/>
  <c r="Z1582" i="34"/>
  <c r="Z566" i="34"/>
  <c r="Z582" i="34"/>
  <c r="Z27" i="34"/>
  <c r="Z385" i="34"/>
  <c r="Z544" i="34"/>
  <c r="Z38" i="34"/>
  <c r="Z224" i="34"/>
  <c r="Z371" i="34"/>
  <c r="Z620" i="34"/>
  <c r="Z652" i="34"/>
  <c r="Z689" i="34"/>
  <c r="Z714" i="34"/>
  <c r="Z733" i="34"/>
  <c r="Z747" i="34"/>
  <c r="Z761" i="34"/>
  <c r="Z144" i="34"/>
  <c r="Z157" i="34"/>
  <c r="Z186" i="34"/>
  <c r="Z193" i="34"/>
  <c r="Z208" i="34"/>
  <c r="Z1429" i="34"/>
  <c r="Z48" i="34"/>
  <c r="Z1032" i="34"/>
  <c r="Z1048" i="34"/>
  <c r="Z1097" i="34"/>
  <c r="Z1406" i="34"/>
  <c r="Z549" i="34"/>
  <c r="Z562" i="34"/>
  <c r="Z571" i="34"/>
  <c r="Z605" i="34"/>
  <c r="Z615" i="34"/>
  <c r="Z391" i="34"/>
  <c r="Z409" i="34"/>
  <c r="Z258" i="34"/>
  <c r="Z587" i="34"/>
  <c r="Z625" i="34"/>
  <c r="Z653" i="34"/>
  <c r="Z715" i="34"/>
  <c r="Z738" i="34"/>
  <c r="Z766" i="34"/>
  <c r="Z213" i="34"/>
  <c r="Z1657" i="34"/>
  <c r="Z1041" i="34"/>
  <c r="Z1057" i="34"/>
  <c r="Z1794" i="34"/>
  <c r="Z1098" i="34"/>
  <c r="Z1114" i="34"/>
  <c r="Z1184" i="34"/>
  <c r="Z1390" i="34"/>
  <c r="Z1487" i="34"/>
  <c r="Z550" i="34"/>
  <c r="Z580" i="34"/>
  <c r="Z606" i="34"/>
  <c r="Z1028" i="34"/>
  <c r="Z25" i="34"/>
  <c r="Z383" i="34"/>
  <c r="Z44" i="34"/>
  <c r="Z230" i="34"/>
  <c r="Z241" i="34"/>
  <c r="Z259" i="34"/>
  <c r="Z626" i="34"/>
  <c r="Z658" i="34"/>
  <c r="Z687" i="34"/>
  <c r="Z712" i="34"/>
  <c r="Z731" i="34"/>
  <c r="Z739" i="34"/>
  <c r="Z594" i="34"/>
  <c r="Z1068" i="34"/>
  <c r="Z99" i="34"/>
  <c r="Z98" i="34"/>
  <c r="Z127" i="34"/>
  <c r="Z1757" i="34"/>
  <c r="Z1597" i="34"/>
  <c r="Z1496" i="34"/>
  <c r="Z1660" i="34"/>
  <c r="Z1673" i="34"/>
  <c r="Z1081" i="34"/>
  <c r="Z65" i="34"/>
  <c r="Z1067" i="34"/>
  <c r="Z592" i="34"/>
  <c r="Z1062" i="34"/>
  <c r="Z593" i="34"/>
  <c r="Z137" i="34"/>
  <c r="Z138" i="34"/>
  <c r="Z139" i="34"/>
  <c r="Z219" i="34"/>
  <c r="Z90" i="34"/>
  <c r="Z91" i="34"/>
  <c r="K351" i="55"/>
  <c r="K239" i="55"/>
  <c r="K365" i="55"/>
  <c r="K346" i="55"/>
  <c r="K249" i="55"/>
  <c r="K344" i="55"/>
  <c r="K348" i="55"/>
  <c r="K342" i="55"/>
  <c r="K138" i="55"/>
  <c r="K137" i="55"/>
  <c r="K276" i="55"/>
  <c r="K347" i="55"/>
  <c r="K266" i="55"/>
  <c r="K238" i="55"/>
  <c r="K252" i="55"/>
  <c r="K337" i="55"/>
  <c r="K285" i="55"/>
  <c r="K220" i="55"/>
  <c r="K270" i="55"/>
  <c r="K274" i="55"/>
  <c r="K299" i="55"/>
  <c r="K293" i="55"/>
  <c r="K338" i="55"/>
  <c r="K248" i="55"/>
  <c r="K255" i="55"/>
  <c r="K379" i="55"/>
  <c r="K300" i="55"/>
  <c r="K286" i="55"/>
  <c r="K261" i="55"/>
  <c r="K234" i="55"/>
  <c r="K273" i="55"/>
  <c r="K247" i="55"/>
  <c r="K298" i="55"/>
  <c r="K245" i="55"/>
  <c r="K330" i="55"/>
  <c r="K275" i="55"/>
  <c r="K368" i="55"/>
  <c r="K332" i="55"/>
  <c r="K378" i="55"/>
  <c r="K230" i="55"/>
  <c r="K296" i="55"/>
  <c r="K345" i="55"/>
  <c r="K364" i="55"/>
  <c r="K353" i="55"/>
  <c r="K363" i="55"/>
  <c r="K319" i="55"/>
  <c r="K263" i="55"/>
  <c r="K355" i="55"/>
  <c r="K227" i="55"/>
  <c r="K235" i="55"/>
  <c r="K326" i="55"/>
  <c r="K324" i="55"/>
  <c r="K250" i="55"/>
  <c r="K279" i="55"/>
  <c r="K242" i="55"/>
  <c r="K339" i="55"/>
  <c r="K341" i="55"/>
  <c r="K288" i="55"/>
  <c r="K307" i="55"/>
  <c r="K264" i="55"/>
  <c r="K301" i="55"/>
  <c r="K334" i="55"/>
  <c r="K221" i="55"/>
  <c r="K311" i="55"/>
  <c r="K318" i="55"/>
  <c r="K303" i="55"/>
  <c r="K331" i="55"/>
  <c r="K251" i="55"/>
  <c r="K272" i="55"/>
  <c r="K222" i="55"/>
  <c r="K373" i="55"/>
  <c r="K371" i="55"/>
  <c r="K370" i="55"/>
  <c r="K257" i="55"/>
  <c r="K278" i="55"/>
  <c r="K267" i="55"/>
  <c r="K323" i="55"/>
  <c r="K320" i="55"/>
  <c r="K237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641" i="34" l="1"/>
  <c r="A641" i="34" s="1"/>
  <c r="B640" i="34"/>
  <c r="A640" i="34" s="1"/>
  <c r="B639" i="34"/>
  <c r="A639" i="34" s="1"/>
  <c r="B628" i="34"/>
  <c r="A628" i="34" s="1"/>
  <c r="B637" i="34"/>
  <c r="A637" i="34" s="1"/>
  <c r="B636" i="34"/>
  <c r="A636" i="34" s="1"/>
  <c r="B635" i="34"/>
  <c r="A635" i="34" s="1"/>
  <c r="B634" i="34"/>
  <c r="A634" i="34" s="1"/>
  <c r="B633" i="34"/>
  <c r="A633" i="34" s="1"/>
  <c r="B632" i="34"/>
  <c r="A632" i="34" s="1"/>
  <c r="B1063" i="34"/>
  <c r="A1063" i="34" s="1"/>
  <c r="B679" i="34"/>
  <c r="A679" i="34" s="1"/>
  <c r="B678" i="34"/>
  <c r="A678" i="34" s="1"/>
  <c r="B669" i="34"/>
  <c r="A669" i="34" s="1"/>
  <c r="B668" i="34"/>
  <c r="A668" i="34" s="1"/>
  <c r="B616" i="34"/>
  <c r="A616" i="34" s="1"/>
  <c r="B710" i="34"/>
  <c r="A710" i="34" s="1"/>
  <c r="B709" i="34"/>
  <c r="A709" i="34" s="1"/>
  <c r="B1064" i="34"/>
  <c r="A1064" i="34" s="1"/>
  <c r="B1065" i="34"/>
  <c r="A1065" i="34" s="1"/>
  <c r="B629" i="34"/>
  <c r="A629" i="34" s="1"/>
  <c r="B642" i="34"/>
  <c r="A642" i="34" s="1"/>
  <c r="B643" i="34"/>
  <c r="A643" i="34" s="1"/>
  <c r="B644" i="34"/>
  <c r="A644" i="34" s="1"/>
  <c r="B645" i="34"/>
  <c r="A645" i="34" s="1"/>
  <c r="B646" i="34"/>
  <c r="A646" i="34" s="1"/>
  <c r="B648" i="34"/>
  <c r="A648" i="34" s="1"/>
  <c r="B649" i="34"/>
  <c r="A649" i="34" s="1"/>
  <c r="B650" i="34"/>
  <c r="A650" i="34" s="1"/>
  <c r="B660" i="34"/>
  <c r="A660" i="34" s="1"/>
  <c r="B661" i="34"/>
  <c r="A661" i="34" s="1"/>
  <c r="B663" i="34"/>
  <c r="A663" i="34" s="1"/>
  <c r="B664" i="34"/>
  <c r="A664" i="34" s="1"/>
  <c r="B665" i="34"/>
  <c r="A665" i="34" s="1"/>
  <c r="B666" i="34"/>
  <c r="A666" i="34" s="1"/>
  <c r="B667" i="34"/>
  <c r="A667" i="34" s="1"/>
  <c r="B671" i="34"/>
  <c r="A671" i="34" s="1"/>
  <c r="B672" i="34"/>
  <c r="A672" i="34" s="1"/>
  <c r="B673" i="34"/>
  <c r="A673" i="34" s="1"/>
  <c r="B674" i="34"/>
  <c r="A674" i="34" s="1"/>
  <c r="B675" i="34"/>
  <c r="A675" i="34" s="1"/>
  <c r="B676" i="34"/>
  <c r="A676" i="34" s="1"/>
  <c r="B677" i="34"/>
  <c r="A677" i="34" s="1"/>
  <c r="B694" i="34"/>
  <c r="A694" i="34" s="1"/>
  <c r="B695" i="34"/>
  <c r="A695" i="34" s="1"/>
  <c r="B704" i="34"/>
  <c r="A704" i="34" s="1"/>
  <c r="B705" i="34"/>
  <c r="A705" i="34" s="1"/>
  <c r="B697" i="34"/>
  <c r="A697" i="34" s="1"/>
  <c r="B707" i="34"/>
  <c r="A707" i="34" s="1"/>
  <c r="B708" i="34"/>
  <c r="A708" i="34" s="1"/>
  <c r="B724" i="34"/>
  <c r="A724" i="34" s="1"/>
  <c r="B725" i="34"/>
  <c r="A725" i="34" s="1"/>
  <c r="B726" i="34"/>
  <c r="A726" i="34" s="1"/>
  <c r="B727" i="34"/>
  <c r="A727" i="34" s="1"/>
  <c r="B728" i="34"/>
  <c r="A728" i="34" s="1"/>
  <c r="B729" i="34"/>
  <c r="A729" i="34" s="1"/>
  <c r="B730" i="34"/>
  <c r="A730" i="34" s="1"/>
  <c r="B771" i="34"/>
  <c r="A771" i="34" s="1"/>
  <c r="B772" i="34"/>
  <c r="A772" i="34" s="1"/>
  <c r="B773" i="34"/>
  <c r="A773" i="34" s="1"/>
  <c r="B774" i="34"/>
  <c r="A774" i="34" s="1"/>
  <c r="B680" i="34"/>
  <c r="A680" i="34" s="1"/>
  <c r="B681" i="34"/>
  <c r="A681" i="34" s="1"/>
  <c r="B682" i="34"/>
  <c r="A682" i="34" s="1"/>
  <c r="B683" i="34"/>
  <c r="A683" i="34" s="1"/>
  <c r="B684" i="34"/>
  <c r="A684" i="34" s="1"/>
  <c r="B700" i="34"/>
  <c r="A700" i="34" s="1"/>
  <c r="B701" i="34"/>
  <c r="A701" i="34" s="1"/>
  <c r="B702" i="34"/>
  <c r="A702" i="34" s="1"/>
  <c r="B703" i="34"/>
  <c r="A703" i="34" s="1"/>
  <c r="B752" i="34"/>
  <c r="A752" i="34" s="1"/>
  <c r="B753" i="34"/>
  <c r="A753" i="34" s="1"/>
  <c r="B754" i="34"/>
  <c r="A754" i="34" s="1"/>
  <c r="B755" i="34"/>
  <c r="A755" i="34" s="1"/>
  <c r="B756" i="34"/>
  <c r="A756" i="34" s="1"/>
  <c r="B757" i="34"/>
  <c r="A757" i="34" s="1"/>
  <c r="B758" i="34"/>
  <c r="A758" i="34" s="1"/>
  <c r="B759" i="34"/>
  <c r="A759" i="34" s="1"/>
  <c r="B760" i="34"/>
  <c r="A760" i="34" s="1"/>
  <c r="B804" i="34"/>
  <c r="A804" i="34" s="1"/>
  <c r="B805" i="34"/>
  <c r="A805" i="34" s="1"/>
  <c r="B806" i="34"/>
  <c r="A806" i="34" s="1"/>
  <c r="B807" i="34"/>
  <c r="A807" i="34" s="1"/>
  <c r="B808" i="34"/>
  <c r="A808" i="34" s="1"/>
  <c r="B809" i="34"/>
  <c r="A809" i="34" s="1"/>
  <c r="B810" i="34"/>
  <c r="A810" i="34" s="1"/>
  <c r="B811" i="34"/>
  <c r="A811" i="34" s="1"/>
  <c r="B812" i="34"/>
  <c r="A812" i="34" s="1"/>
  <c r="B813" i="34"/>
  <c r="A813" i="34" s="1"/>
  <c r="B824" i="34"/>
  <c r="A824" i="34" s="1"/>
  <c r="B825" i="34"/>
  <c r="A825" i="34" s="1"/>
  <c r="B826" i="34"/>
  <c r="A826" i="34" s="1"/>
  <c r="B827" i="34"/>
  <c r="A827" i="34" s="1"/>
  <c r="B828" i="34"/>
  <c r="A828" i="34" s="1"/>
  <c r="B829" i="34"/>
  <c r="A829" i="34" s="1"/>
  <c r="B830" i="34"/>
  <c r="A830" i="34" s="1"/>
  <c r="B831" i="34"/>
  <c r="A831" i="34" s="1"/>
  <c r="B832" i="34"/>
  <c r="A832" i="34" s="1"/>
  <c r="B833" i="34"/>
  <c r="A833" i="34" s="1"/>
  <c r="B841" i="34"/>
  <c r="A841" i="34" s="1"/>
  <c r="B842" i="34"/>
  <c r="A842" i="34" s="1"/>
  <c r="B843" i="34"/>
  <c r="A843" i="34" s="1"/>
  <c r="B844" i="34"/>
  <c r="A844" i="34" s="1"/>
  <c r="B845" i="34"/>
  <c r="A845" i="34" s="1"/>
  <c r="B846" i="34"/>
  <c r="A846" i="34" s="1"/>
  <c r="B847" i="34"/>
  <c r="A847" i="34" s="1"/>
  <c r="B848" i="34"/>
  <c r="A848" i="34" s="1"/>
  <c r="B849" i="34"/>
  <c r="A849" i="34" s="1"/>
  <c r="B850" i="34"/>
  <c r="A850" i="34" s="1"/>
  <c r="B851" i="34"/>
  <c r="A851" i="34" s="1"/>
  <c r="B852" i="34"/>
  <c r="A852" i="34" s="1"/>
  <c r="B775" i="34"/>
  <c r="A775" i="34" s="1"/>
  <c r="B776" i="34"/>
  <c r="A776" i="34" s="1"/>
  <c r="B777" i="34"/>
  <c r="A777" i="34" s="1"/>
  <c r="B778" i="34"/>
  <c r="A778" i="34" s="1"/>
  <c r="B801" i="34"/>
  <c r="A801" i="34" s="1"/>
  <c r="B802" i="34"/>
  <c r="A802" i="34" s="1"/>
  <c r="B853" i="34"/>
  <c r="A853" i="34" s="1"/>
  <c r="B854" i="34"/>
  <c r="A854" i="34" s="1"/>
  <c r="B855" i="34"/>
  <c r="A855" i="34" s="1"/>
  <c r="I13" i="71"/>
  <c r="O11" i="42"/>
  <c r="N11" i="42"/>
  <c r="P14" i="34" l="1"/>
  <c r="Q14" i="34"/>
  <c r="O14" i="34"/>
  <c r="O1608" i="34"/>
  <c r="O1066" i="34"/>
  <c r="Q1802" i="34"/>
  <c r="Q1408" i="34"/>
  <c r="P1606" i="34"/>
  <c r="O1913" i="34"/>
  <c r="P1911" i="34"/>
  <c r="Q1608" i="34"/>
  <c r="O1606" i="34"/>
  <c r="Q1913" i="34"/>
  <c r="O1911" i="34"/>
  <c r="P1066" i="34"/>
  <c r="P1802" i="34"/>
  <c r="P1408" i="34"/>
  <c r="Q1606" i="34"/>
  <c r="Q1911" i="34"/>
  <c r="P1608" i="34"/>
  <c r="Q1066" i="34"/>
  <c r="O1802" i="34"/>
  <c r="O1408" i="34"/>
  <c r="P1913" i="34"/>
  <c r="O1517" i="34"/>
  <c r="O1555" i="34"/>
  <c r="O1764" i="34"/>
  <c r="P1768" i="34"/>
  <c r="P1432" i="34"/>
  <c r="P1440" i="34"/>
  <c r="P1462" i="34"/>
  <c r="O1466" i="34"/>
  <c r="O1503" i="34"/>
  <c r="Q1507" i="34"/>
  <c r="P1507" i="34"/>
  <c r="O1511" i="34"/>
  <c r="O1621" i="34"/>
  <c r="P1625" i="34"/>
  <c r="P1662" i="34"/>
  <c r="O1677" i="34"/>
  <c r="Q1681" i="34"/>
  <c r="P1681" i="34"/>
  <c r="P1703" i="34"/>
  <c r="O1707" i="34"/>
  <c r="P1711" i="34"/>
  <c r="O1735" i="34"/>
  <c r="P1739" i="34"/>
  <c r="O1760" i="34"/>
  <c r="P1280" i="34"/>
  <c r="O1284" i="34"/>
  <c r="P1288" i="34"/>
  <c r="O1313" i="34"/>
  <c r="P1317" i="34"/>
  <c r="O1340" i="34"/>
  <c r="P1356" i="34"/>
  <c r="Q1366" i="34"/>
  <c r="P1366" i="34"/>
  <c r="P1430" i="34"/>
  <c r="O1598" i="34"/>
  <c r="P1121" i="34"/>
  <c r="O1152" i="34"/>
  <c r="Q1156" i="34"/>
  <c r="P1156" i="34"/>
  <c r="O1160" i="34"/>
  <c r="O1196" i="34"/>
  <c r="P1200" i="34"/>
  <c r="P1231" i="34"/>
  <c r="P1239" i="34"/>
  <c r="Q1551" i="34"/>
  <c r="P1551" i="34"/>
  <c r="P1514" i="34"/>
  <c r="P1548" i="34"/>
  <c r="Q1761" i="34"/>
  <c r="P1761" i="34"/>
  <c r="O1765" i="34"/>
  <c r="Q1769" i="34"/>
  <c r="P1769" i="34"/>
  <c r="P1433" i="34"/>
  <c r="O1437" i="34"/>
  <c r="O1459" i="34"/>
  <c r="Q1463" i="34"/>
  <c r="P1463" i="34"/>
  <c r="O1467" i="34"/>
  <c r="P1504" i="34"/>
  <c r="P1512" i="34"/>
  <c r="P1622" i="34"/>
  <c r="O1626" i="34"/>
  <c r="P1678" i="34"/>
  <c r="O1704" i="34"/>
  <c r="P1708" i="34"/>
  <c r="O1732" i="34"/>
  <c r="P1736" i="34"/>
  <c r="O1740" i="34"/>
  <c r="P1244" i="34"/>
  <c r="O1281" i="34"/>
  <c r="P1285" i="34"/>
  <c r="Q1310" i="34"/>
  <c r="P1310" i="34"/>
  <c r="O1314" i="34"/>
  <c r="Q1318" i="34"/>
  <c r="P1318" i="34"/>
  <c r="P1341" i="34"/>
  <c r="O1357" i="34"/>
  <c r="Q1431" i="34"/>
  <c r="P1431" i="34"/>
  <c r="O1599" i="34"/>
  <c r="O1118" i="34"/>
  <c r="P1122" i="34"/>
  <c r="Q1768" i="34"/>
  <c r="Q1432" i="34"/>
  <c r="O1436" i="34"/>
  <c r="Q1440" i="34"/>
  <c r="Q1462" i="34"/>
  <c r="Q1625" i="34"/>
  <c r="Q1662" i="34"/>
  <c r="Q1703" i="34"/>
  <c r="Q1711" i="34"/>
  <c r="Q1739" i="34"/>
  <c r="Q1280" i="34"/>
  <c r="Q1288" i="34"/>
  <c r="Q1317" i="34"/>
  <c r="Q1356" i="34"/>
  <c r="Q1430" i="34"/>
  <c r="O1117" i="34"/>
  <c r="Q1121" i="34"/>
  <c r="Q1200" i="34"/>
  <c r="Q1231" i="34"/>
  <c r="O1235" i="34"/>
  <c r="Q1239" i="34"/>
  <c r="O1243" i="34"/>
  <c r="O1516" i="34"/>
  <c r="Q1514" i="34"/>
  <c r="Q1548" i="34"/>
  <c r="O1552" i="34"/>
  <c r="Q1433" i="34"/>
  <c r="Q1504" i="34"/>
  <c r="O1508" i="34"/>
  <c r="Q1512" i="34"/>
  <c r="Q1622" i="34"/>
  <c r="O1674" i="34"/>
  <c r="Q1678" i="34"/>
  <c r="O1682" i="34"/>
  <c r="Q1708" i="34"/>
  <c r="Q1736" i="34"/>
  <c r="Q1244" i="34"/>
  <c r="Q1285" i="34"/>
  <c r="Q1341" i="34"/>
  <c r="O1367" i="34"/>
  <c r="Q1122" i="34"/>
  <c r="Q1153" i="34"/>
  <c r="O1157" i="34"/>
  <c r="Q1197" i="34"/>
  <c r="Q1232" i="34"/>
  <c r="Q1240" i="34"/>
  <c r="Q1549" i="34"/>
  <c r="O1762" i="34"/>
  <c r="Q1766" i="34"/>
  <c r="O1770" i="34"/>
  <c r="Q1438" i="34"/>
  <c r="Q1460" i="34"/>
  <c r="O1464" i="34"/>
  <c r="Q1505" i="34"/>
  <c r="Q1513" i="34"/>
  <c r="Q1679" i="34"/>
  <c r="O1758" i="34"/>
  <c r="O1311" i="34"/>
  <c r="Q1315" i="34"/>
  <c r="Q1497" i="34"/>
  <c r="Q1119" i="34"/>
  <c r="Q1154" i="34"/>
  <c r="P1517" i="34"/>
  <c r="Q1555" i="34"/>
  <c r="P1555" i="34"/>
  <c r="P1764" i="34"/>
  <c r="O1768" i="34"/>
  <c r="P1436" i="34"/>
  <c r="O1462" i="34"/>
  <c r="P1466" i="34"/>
  <c r="Q1503" i="34"/>
  <c r="P1503" i="34"/>
  <c r="O1507" i="34"/>
  <c r="Q1511" i="34"/>
  <c r="P1511" i="34"/>
  <c r="P1621" i="34"/>
  <c r="O1625" i="34"/>
  <c r="Q1677" i="34"/>
  <c r="P1677" i="34"/>
  <c r="O1681" i="34"/>
  <c r="O1703" i="34"/>
  <c r="P1707" i="34"/>
  <c r="O1711" i="34"/>
  <c r="P1735" i="34"/>
  <c r="O1739" i="34"/>
  <c r="P1760" i="34"/>
  <c r="O1280" i="34"/>
  <c r="P1284" i="34"/>
  <c r="O1288" i="34"/>
  <c r="P1313" i="34"/>
  <c r="O1317" i="34"/>
  <c r="P1340" i="34"/>
  <c r="O1356" i="34"/>
  <c r="O1366" i="34"/>
  <c r="O1430" i="34"/>
  <c r="P1598" i="34"/>
  <c r="P1117" i="34"/>
  <c r="Q1152" i="34"/>
  <c r="P1152" i="34"/>
  <c r="O1156" i="34"/>
  <c r="Q1160" i="34"/>
  <c r="P1160" i="34"/>
  <c r="P1196" i="34"/>
  <c r="O1200" i="34"/>
  <c r="P1235" i="34"/>
  <c r="P1243" i="34"/>
  <c r="P1516" i="34"/>
  <c r="O1551" i="34"/>
  <c r="O1514" i="34"/>
  <c r="P1552" i="34"/>
  <c r="O1761" i="34"/>
  <c r="Q1765" i="34"/>
  <c r="P1765" i="34"/>
  <c r="O1769" i="34"/>
  <c r="O1433" i="34"/>
  <c r="P1437" i="34"/>
  <c r="Q1459" i="34"/>
  <c r="P1459" i="34"/>
  <c r="O1463" i="34"/>
  <c r="Q1467" i="34"/>
  <c r="P1467" i="34"/>
  <c r="P1508" i="34"/>
  <c r="O1622" i="34"/>
  <c r="P1626" i="34"/>
  <c r="P1674" i="34"/>
  <c r="P1682" i="34"/>
  <c r="P1704" i="34"/>
  <c r="O1708" i="34"/>
  <c r="P1732" i="34"/>
  <c r="O1736" i="34"/>
  <c r="P1740" i="34"/>
  <c r="O1244" i="34"/>
  <c r="P1281" i="34"/>
  <c r="O1285" i="34"/>
  <c r="O1310" i="34"/>
  <c r="Q1314" i="34"/>
  <c r="P1314" i="34"/>
  <c r="O1318" i="34"/>
  <c r="O1341" i="34"/>
  <c r="P1357" i="34"/>
  <c r="P1367" i="34"/>
  <c r="O1431" i="34"/>
  <c r="Q1599" i="34"/>
  <c r="P1599" i="34"/>
  <c r="P1118" i="34"/>
  <c r="Q1517" i="34"/>
  <c r="Q1764" i="34"/>
  <c r="O1432" i="34"/>
  <c r="Q1436" i="34"/>
  <c r="O1440" i="34"/>
  <c r="Q1466" i="34"/>
  <c r="Q1621" i="34"/>
  <c r="O1662" i="34"/>
  <c r="Q1707" i="34"/>
  <c r="Q1735" i="34"/>
  <c r="Q1760" i="34"/>
  <c r="Q1284" i="34"/>
  <c r="Q1313" i="34"/>
  <c r="Q1340" i="34"/>
  <c r="Q1598" i="34"/>
  <c r="Q1117" i="34"/>
  <c r="O1121" i="34"/>
  <c r="Q1196" i="34"/>
  <c r="O1231" i="34"/>
  <c r="Q1235" i="34"/>
  <c r="O1239" i="34"/>
  <c r="Q1243" i="34"/>
  <c r="Q1516" i="34"/>
  <c r="O1548" i="34"/>
  <c r="Q1552" i="34"/>
  <c r="Q1437" i="34"/>
  <c r="O1504" i="34"/>
  <c r="Q1508" i="34"/>
  <c r="O1512" i="34"/>
  <c r="Q1626" i="34"/>
  <c r="Q1674" i="34"/>
  <c r="O1678" i="34"/>
  <c r="Q1682" i="34"/>
  <c r="Q1704" i="34"/>
  <c r="Q1732" i="34"/>
  <c r="Q1740" i="34"/>
  <c r="Q1281" i="34"/>
  <c r="Q1357" i="34"/>
  <c r="Q1367" i="34"/>
  <c r="Q1118" i="34"/>
  <c r="O1153" i="34"/>
  <c r="Q1157" i="34"/>
  <c r="Q1193" i="34"/>
  <c r="Q1201" i="34"/>
  <c r="Q1236" i="34"/>
  <c r="Q1553" i="34"/>
  <c r="Q1762" i="34"/>
  <c r="O1766" i="34"/>
  <c r="Q1770" i="34"/>
  <c r="Q1434" i="34"/>
  <c r="O1460" i="34"/>
  <c r="Q1464" i="34"/>
  <c r="Q1501" i="34"/>
  <c r="Q1509" i="34"/>
  <c r="Q1675" i="34"/>
  <c r="Q1683" i="34"/>
  <c r="Q1758" i="34"/>
  <c r="Q1245" i="34"/>
  <c r="Q1311" i="34"/>
  <c r="O1315" i="34"/>
  <c r="Q1401" i="34"/>
  <c r="Q1123" i="34"/>
  <c r="Q1158" i="34"/>
  <c r="Q1233" i="34"/>
  <c r="Q1241" i="34"/>
  <c r="Q596" i="34"/>
  <c r="Q1550" i="34"/>
  <c r="Q1763" i="34"/>
  <c r="Q1771" i="34"/>
  <c r="P1197" i="34"/>
  <c r="O1232" i="34"/>
  <c r="P1240" i="34"/>
  <c r="P1553" i="34"/>
  <c r="O1438" i="34"/>
  <c r="P1505" i="34"/>
  <c r="O1513" i="34"/>
  <c r="P1705" i="34"/>
  <c r="Q1733" i="34"/>
  <c r="P1758" i="34"/>
  <c r="O1122" i="34"/>
  <c r="P1153" i="34"/>
  <c r="P1157" i="34"/>
  <c r="O1193" i="34"/>
  <c r="P1201" i="34"/>
  <c r="O1236" i="34"/>
  <c r="O1515" i="34"/>
  <c r="O1549" i="34"/>
  <c r="P1434" i="34"/>
  <c r="P1460" i="34"/>
  <c r="P1464" i="34"/>
  <c r="O1501" i="34"/>
  <c r="P1509" i="34"/>
  <c r="Q1623" i="34"/>
  <c r="P1623" i="34"/>
  <c r="O1627" i="34"/>
  <c r="O1675" i="34"/>
  <c r="P1683" i="34"/>
  <c r="Q1282" i="34"/>
  <c r="P1282" i="34"/>
  <c r="O1286" i="34"/>
  <c r="O1197" i="34"/>
  <c r="P1232" i="34"/>
  <c r="O1240" i="34"/>
  <c r="O1553" i="34"/>
  <c r="P1438" i="34"/>
  <c r="O1505" i="34"/>
  <c r="P1513" i="34"/>
  <c r="O1679" i="34"/>
  <c r="O1705" i="34"/>
  <c r="Q1709" i="34"/>
  <c r="P1709" i="34"/>
  <c r="O1733" i="34"/>
  <c r="Q1737" i="34"/>
  <c r="P1737" i="34"/>
  <c r="P1245" i="34"/>
  <c r="P1497" i="34"/>
  <c r="P1193" i="34"/>
  <c r="O1201" i="34"/>
  <c r="P1236" i="34"/>
  <c r="Q1515" i="34"/>
  <c r="P1515" i="34"/>
  <c r="P1549" i="34"/>
  <c r="P1762" i="34"/>
  <c r="P1766" i="34"/>
  <c r="P1770" i="34"/>
  <c r="O1434" i="34"/>
  <c r="P1501" i="34"/>
  <c r="O1509" i="34"/>
  <c r="O1623" i="34"/>
  <c r="Q1627" i="34"/>
  <c r="P1627" i="34"/>
  <c r="P1675" i="34"/>
  <c r="O1683" i="34"/>
  <c r="O1282" i="34"/>
  <c r="Q1286" i="34"/>
  <c r="P1286" i="34"/>
  <c r="O1338" i="34"/>
  <c r="Q1342" i="34"/>
  <c r="P1342" i="34"/>
  <c r="O1358" i="34"/>
  <c r="O1401" i="34"/>
  <c r="O1619" i="34"/>
  <c r="O1119" i="34"/>
  <c r="P1154" i="34"/>
  <c r="Q1194" i="34"/>
  <c r="P1194" i="34"/>
  <c r="O1198" i="34"/>
  <c r="O1229" i="34"/>
  <c r="P1233" i="34"/>
  <c r="O596" i="34"/>
  <c r="O1554" i="34"/>
  <c r="P1763" i="34"/>
  <c r="O1435" i="34"/>
  <c r="Q1439" i="34"/>
  <c r="P1439" i="34"/>
  <c r="P1461" i="34"/>
  <c r="O1465" i="34"/>
  <c r="P1502" i="34"/>
  <c r="O1506" i="34"/>
  <c r="P1510" i="34"/>
  <c r="P1620" i="34"/>
  <c r="Q1661" i="34"/>
  <c r="P1661" i="34"/>
  <c r="P1676" i="34"/>
  <c r="O1680" i="34"/>
  <c r="P1684" i="34"/>
  <c r="P1706" i="34"/>
  <c r="P1734" i="34"/>
  <c r="O1759" i="34"/>
  <c r="O1246" i="34"/>
  <c r="P1283" i="34"/>
  <c r="O1312" i="34"/>
  <c r="P1316" i="34"/>
  <c r="P1339" i="34"/>
  <c r="P1359" i="34"/>
  <c r="O1402" i="34"/>
  <c r="O1498" i="34"/>
  <c r="O1116" i="34"/>
  <c r="Q1120" i="34"/>
  <c r="P1120" i="34"/>
  <c r="O1124" i="34"/>
  <c r="O1155" i="34"/>
  <c r="P1159" i="34"/>
  <c r="P1195" i="34"/>
  <c r="Q1230" i="34"/>
  <c r="P1230" i="34"/>
  <c r="O1234" i="34"/>
  <c r="Q1238" i="34"/>
  <c r="P1238" i="34"/>
  <c r="O1242" i="34"/>
  <c r="P1679" i="34"/>
  <c r="Q1705" i="34"/>
  <c r="O1709" i="34"/>
  <c r="P1733" i="34"/>
  <c r="O1737" i="34"/>
  <c r="O1245" i="34"/>
  <c r="O1497" i="34"/>
  <c r="O1123" i="34"/>
  <c r="P1158" i="34"/>
  <c r="P1237" i="34"/>
  <c r="P1311" i="34"/>
  <c r="Q1338" i="34"/>
  <c r="P1358" i="34"/>
  <c r="P1619" i="34"/>
  <c r="O1237" i="34"/>
  <c r="O1767" i="34"/>
  <c r="P1506" i="34"/>
  <c r="Q1199" i="34"/>
  <c r="Q1358" i="34"/>
  <c r="Q1619" i="34"/>
  <c r="P1198" i="34"/>
  <c r="Q1229" i="34"/>
  <c r="O1241" i="34"/>
  <c r="Q1554" i="34"/>
  <c r="O1439" i="34"/>
  <c r="Q1506" i="34"/>
  <c r="Q1620" i="34"/>
  <c r="O1624" i="34"/>
  <c r="O1661" i="34"/>
  <c r="O1706" i="34"/>
  <c r="Q1710" i="34"/>
  <c r="P1246" i="34"/>
  <c r="O1283" i="34"/>
  <c r="Q1287" i="34"/>
  <c r="Q1316" i="34"/>
  <c r="P1343" i="34"/>
  <c r="O1359" i="34"/>
  <c r="P1116" i="34"/>
  <c r="O1159" i="34"/>
  <c r="Q1234" i="34"/>
  <c r="O1342" i="34"/>
  <c r="O1154" i="34"/>
  <c r="O1158" i="34"/>
  <c r="Q1198" i="34"/>
  <c r="Q1237" i="34"/>
  <c r="P596" i="34"/>
  <c r="O1550" i="34"/>
  <c r="P1767" i="34"/>
  <c r="O1771" i="34"/>
  <c r="P1435" i="34"/>
  <c r="Q1461" i="34"/>
  <c r="P1465" i="34"/>
  <c r="O1502" i="34"/>
  <c r="Q1510" i="34"/>
  <c r="P1624" i="34"/>
  <c r="Q1676" i="34"/>
  <c r="P1680" i="34"/>
  <c r="O1684" i="34"/>
  <c r="Q1734" i="34"/>
  <c r="O1738" i="34"/>
  <c r="P1759" i="34"/>
  <c r="Q1246" i="34"/>
  <c r="O1339" i="34"/>
  <c r="Q1343" i="34"/>
  <c r="P1498" i="34"/>
  <c r="Q1116" i="34"/>
  <c r="P1124" i="34"/>
  <c r="Q1155" i="34"/>
  <c r="Q1195" i="34"/>
  <c r="O1199" i="34"/>
  <c r="O1230" i="34"/>
  <c r="Q1242" i="34"/>
  <c r="P1338" i="34"/>
  <c r="P1401" i="34"/>
  <c r="P1119" i="34"/>
  <c r="P1123" i="34"/>
  <c r="O1194" i="34"/>
  <c r="P1241" i="34"/>
  <c r="Q1767" i="34"/>
  <c r="Q1435" i="34"/>
  <c r="Q1465" i="34"/>
  <c r="O1620" i="34"/>
  <c r="Q1624" i="34"/>
  <c r="Q1680" i="34"/>
  <c r="Q1706" i="34"/>
  <c r="O1710" i="34"/>
  <c r="P1738" i="34"/>
  <c r="Q1759" i="34"/>
  <c r="Q1283" i="34"/>
  <c r="O1287" i="34"/>
  <c r="P1312" i="34"/>
  <c r="O1316" i="34"/>
  <c r="Q1359" i="34"/>
  <c r="P1402" i="34"/>
  <c r="Q1498" i="34"/>
  <c r="Q1124" i="34"/>
  <c r="Q1159" i="34"/>
  <c r="P1199" i="34"/>
  <c r="O1238" i="34"/>
  <c r="P1315" i="34"/>
  <c r="P1229" i="34"/>
  <c r="O1233" i="34"/>
  <c r="P1550" i="34"/>
  <c r="P1554" i="34"/>
  <c r="O1763" i="34"/>
  <c r="P1771" i="34"/>
  <c r="O1461" i="34"/>
  <c r="Q1502" i="34"/>
  <c r="O1510" i="34"/>
  <c r="O1676" i="34"/>
  <c r="Q1684" i="34"/>
  <c r="P1710" i="34"/>
  <c r="O1734" i="34"/>
  <c r="Q1738" i="34"/>
  <c r="P1287" i="34"/>
  <c r="Q1312" i="34"/>
  <c r="Q1339" i="34"/>
  <c r="O1343" i="34"/>
  <c r="Q1402" i="34"/>
  <c r="O1120" i="34"/>
  <c r="O1195" i="34"/>
  <c r="P1234" i="34"/>
  <c r="P1155" i="34"/>
  <c r="P1242" i="34"/>
  <c r="O1071" i="34"/>
  <c r="P909" i="34"/>
  <c r="O929" i="34"/>
  <c r="P598" i="34"/>
  <c r="P936" i="34"/>
  <c r="P890" i="34"/>
  <c r="O902" i="34"/>
  <c r="P941" i="34"/>
  <c r="Q891" i="34"/>
  <c r="P891" i="34"/>
  <c r="O895" i="34"/>
  <c r="Q899" i="34"/>
  <c r="P899" i="34"/>
  <c r="O903" i="34"/>
  <c r="Q907" i="34"/>
  <c r="P907" i="34"/>
  <c r="O911" i="34"/>
  <c r="Q915" i="34"/>
  <c r="P915" i="34"/>
  <c r="O919" i="34"/>
  <c r="Q923" i="34"/>
  <c r="P923" i="34"/>
  <c r="O927" i="34"/>
  <c r="Q931" i="34"/>
  <c r="P931" i="34"/>
  <c r="P494" i="34"/>
  <c r="Q859" i="34"/>
  <c r="P859" i="34"/>
  <c r="O863" i="34"/>
  <c r="Q867" i="34"/>
  <c r="P867" i="34"/>
  <c r="O871" i="34"/>
  <c r="Q875" i="34"/>
  <c r="P875" i="34"/>
  <c r="O879" i="34"/>
  <c r="Q883" i="34"/>
  <c r="P883" i="34"/>
  <c r="O887" i="34"/>
  <c r="P425" i="34"/>
  <c r="P438" i="34"/>
  <c r="P450" i="34"/>
  <c r="P460" i="34"/>
  <c r="P471" i="34"/>
  <c r="P483" i="34"/>
  <c r="P610" i="34"/>
  <c r="P279" i="34"/>
  <c r="P288" i="34"/>
  <c r="O292" i="34"/>
  <c r="Q296" i="34"/>
  <c r="P296" i="34"/>
  <c r="O301" i="34"/>
  <c r="Q305" i="34"/>
  <c r="P305" i="34"/>
  <c r="O310" i="34"/>
  <c r="Q315" i="34"/>
  <c r="P315" i="34"/>
  <c r="O320" i="34"/>
  <c r="Q943" i="34"/>
  <c r="P943" i="34"/>
  <c r="P897" i="34"/>
  <c r="O913" i="34"/>
  <c r="P925" i="34"/>
  <c r="O861" i="34"/>
  <c r="O894" i="34"/>
  <c r="P937" i="34"/>
  <c r="O945" i="34"/>
  <c r="P934" i="34"/>
  <c r="O938" i="34"/>
  <c r="P942" i="34"/>
  <c r="O1070" i="34"/>
  <c r="P896" i="34"/>
  <c r="P904" i="34"/>
  <c r="P912" i="34"/>
  <c r="P920" i="34"/>
  <c r="P928" i="34"/>
  <c r="O491" i="34"/>
  <c r="P597" i="34"/>
  <c r="O601" i="34"/>
  <c r="P864" i="34"/>
  <c r="P872" i="34"/>
  <c r="P880" i="34"/>
  <c r="P888" i="34"/>
  <c r="P426" i="34"/>
  <c r="O432" i="34"/>
  <c r="P439" i="34"/>
  <c r="O445" i="34"/>
  <c r="P451" i="34"/>
  <c r="O456" i="34"/>
  <c r="P461" i="34"/>
  <c r="O467" i="34"/>
  <c r="P473" i="34"/>
  <c r="O479" i="34"/>
  <c r="P485" i="34"/>
  <c r="Q611" i="34"/>
  <c r="P611" i="34"/>
  <c r="P280" i="34"/>
  <c r="O284" i="34"/>
  <c r="P289" i="34"/>
  <c r="P293" i="34"/>
  <c r="P302" i="34"/>
  <c r="P311" i="34"/>
  <c r="P321" i="34"/>
  <c r="O939" i="34"/>
  <c r="O901" i="34"/>
  <c r="P921" i="34"/>
  <c r="Q909" i="34"/>
  <c r="Q598" i="34"/>
  <c r="Q936" i="34"/>
  <c r="Q890" i="34"/>
  <c r="Q941" i="34"/>
  <c r="O489" i="34"/>
  <c r="Q494" i="34"/>
  <c r="O600" i="34"/>
  <c r="Q425" i="34"/>
  <c r="O431" i="34"/>
  <c r="Q438" i="34"/>
  <c r="O444" i="34"/>
  <c r="Q450" i="34"/>
  <c r="O455" i="34"/>
  <c r="Q460" i="34"/>
  <c r="O466" i="34"/>
  <c r="Q471" i="34"/>
  <c r="O477" i="34"/>
  <c r="Q483" i="34"/>
  <c r="Q610" i="34"/>
  <c r="Q279" i="34"/>
  <c r="O283" i="34"/>
  <c r="Q288" i="34"/>
  <c r="Q897" i="34"/>
  <c r="Q925" i="34"/>
  <c r="O940" i="34"/>
  <c r="Q937" i="34"/>
  <c r="Q934" i="34"/>
  <c r="Q942" i="34"/>
  <c r="O892" i="34"/>
  <c r="Q896" i="34"/>
  <c r="O900" i="34"/>
  <c r="Q904" i="34"/>
  <c r="O908" i="34"/>
  <c r="Q912" i="34"/>
  <c r="O916" i="34"/>
  <c r="Q920" i="34"/>
  <c r="O924" i="34"/>
  <c r="Q928" i="34"/>
  <c r="O932" i="34"/>
  <c r="Q597" i="34"/>
  <c r="O860" i="34"/>
  <c r="Q864" i="34"/>
  <c r="O868" i="34"/>
  <c r="Q872" i="34"/>
  <c r="O876" i="34"/>
  <c r="Q880" i="34"/>
  <c r="O884" i="34"/>
  <c r="Q888" i="34"/>
  <c r="Q426" i="34"/>
  <c r="Q439" i="34"/>
  <c r="Q451" i="34"/>
  <c r="Q461" i="34"/>
  <c r="Q473" i="34"/>
  <c r="Q485" i="34"/>
  <c r="Q280" i="34"/>
  <c r="Q289" i="34"/>
  <c r="Q293" i="34"/>
  <c r="O297" i="34"/>
  <c r="Q302" i="34"/>
  <c r="O307" i="34"/>
  <c r="Q311" i="34"/>
  <c r="O316" i="34"/>
  <c r="Q321" i="34"/>
  <c r="Q921" i="34"/>
  <c r="Q865" i="34"/>
  <c r="Q873" i="34"/>
  <c r="Q881" i="34"/>
  <c r="Q889" i="34"/>
  <c r="Q435" i="34"/>
  <c r="Q447" i="34"/>
  <c r="Q457" i="34"/>
  <c r="P1071" i="34"/>
  <c r="O909" i="34"/>
  <c r="P929" i="34"/>
  <c r="O598" i="34"/>
  <c r="O890" i="34"/>
  <c r="P902" i="34"/>
  <c r="O941" i="34"/>
  <c r="O891" i="34"/>
  <c r="Q895" i="34"/>
  <c r="P895" i="34"/>
  <c r="O899" i="34"/>
  <c r="Q903" i="34"/>
  <c r="P903" i="34"/>
  <c r="O907" i="34"/>
  <c r="Q911" i="34"/>
  <c r="P911" i="34"/>
  <c r="O915" i="34"/>
  <c r="Q919" i="34"/>
  <c r="P919" i="34"/>
  <c r="O923" i="34"/>
  <c r="Q927" i="34"/>
  <c r="P927" i="34"/>
  <c r="O931" i="34"/>
  <c r="P489" i="34"/>
  <c r="P600" i="34"/>
  <c r="O859" i="34"/>
  <c r="Q863" i="34"/>
  <c r="P863" i="34"/>
  <c r="O867" i="34"/>
  <c r="Q871" i="34"/>
  <c r="P871" i="34"/>
  <c r="O875" i="34"/>
  <c r="Q879" i="34"/>
  <c r="P879" i="34"/>
  <c r="O883" i="34"/>
  <c r="Q887" i="34"/>
  <c r="P887" i="34"/>
  <c r="P431" i="34"/>
  <c r="P444" i="34"/>
  <c r="P455" i="34"/>
  <c r="P466" i="34"/>
  <c r="P477" i="34"/>
  <c r="O610" i="34"/>
  <c r="P283" i="34"/>
  <c r="Q292" i="34"/>
  <c r="P292" i="34"/>
  <c r="O296" i="34"/>
  <c r="Q301" i="34"/>
  <c r="P301" i="34"/>
  <c r="O305" i="34"/>
  <c r="Q310" i="34"/>
  <c r="P310" i="34"/>
  <c r="O315" i="34"/>
  <c r="Q320" i="34"/>
  <c r="P320" i="34"/>
  <c r="O943" i="34"/>
  <c r="O897" i="34"/>
  <c r="P913" i="34"/>
  <c r="O925" i="34"/>
  <c r="P861" i="34"/>
  <c r="P940" i="34"/>
  <c r="P894" i="34"/>
  <c r="O937" i="34"/>
  <c r="P945" i="34"/>
  <c r="O934" i="34"/>
  <c r="P938" i="34"/>
  <c r="O942" i="34"/>
  <c r="P1070" i="34"/>
  <c r="P892" i="34"/>
  <c r="P900" i="34"/>
  <c r="P908" i="34"/>
  <c r="P916" i="34"/>
  <c r="P924" i="34"/>
  <c r="P932" i="34"/>
  <c r="P491" i="34"/>
  <c r="O597" i="34"/>
  <c r="P601" i="34"/>
  <c r="P860" i="34"/>
  <c r="P868" i="34"/>
  <c r="P876" i="34"/>
  <c r="P884" i="34"/>
  <c r="O426" i="34"/>
  <c r="P432" i="34"/>
  <c r="O439" i="34"/>
  <c r="P445" i="34"/>
  <c r="Q1071" i="34"/>
  <c r="Q929" i="34"/>
  <c r="O936" i="34"/>
  <c r="Q902" i="34"/>
  <c r="Q489" i="34"/>
  <c r="O494" i="34"/>
  <c r="Q600" i="34"/>
  <c r="O425" i="34"/>
  <c r="Q431" i="34"/>
  <c r="O438" i="34"/>
  <c r="Q444" i="34"/>
  <c r="O450" i="34"/>
  <c r="Q455" i="34"/>
  <c r="O460" i="34"/>
  <c r="Q466" i="34"/>
  <c r="O471" i="34"/>
  <c r="Q477" i="34"/>
  <c r="O483" i="34"/>
  <c r="O279" i="34"/>
  <c r="Q283" i="34"/>
  <c r="O288" i="34"/>
  <c r="Q913" i="34"/>
  <c r="Q861" i="34"/>
  <c r="Q940" i="34"/>
  <c r="Q894" i="34"/>
  <c r="Q945" i="34"/>
  <c r="Q938" i="34"/>
  <c r="Q1070" i="34"/>
  <c r="Q892" i="34"/>
  <c r="O896" i="34"/>
  <c r="Q900" i="34"/>
  <c r="O904" i="34"/>
  <c r="Q908" i="34"/>
  <c r="O912" i="34"/>
  <c r="Q916" i="34"/>
  <c r="O920" i="34"/>
  <c r="Q924" i="34"/>
  <c r="O928" i="34"/>
  <c r="Q932" i="34"/>
  <c r="Q491" i="34"/>
  <c r="Q601" i="34"/>
  <c r="Q860" i="34"/>
  <c r="O864" i="34"/>
  <c r="Q868" i="34"/>
  <c r="O872" i="34"/>
  <c r="Q876" i="34"/>
  <c r="O880" i="34"/>
  <c r="Q884" i="34"/>
  <c r="O888" i="34"/>
  <c r="Q432" i="34"/>
  <c r="Q445" i="34"/>
  <c r="Q456" i="34"/>
  <c r="Q467" i="34"/>
  <c r="Q479" i="34"/>
  <c r="Q284" i="34"/>
  <c r="O293" i="34"/>
  <c r="Q297" i="34"/>
  <c r="O302" i="34"/>
  <c r="Q307" i="34"/>
  <c r="O311" i="34"/>
  <c r="Q316" i="34"/>
  <c r="O321" i="34"/>
  <c r="Q901" i="34"/>
  <c r="Q492" i="34"/>
  <c r="Q869" i="34"/>
  <c r="Q877" i="34"/>
  <c r="Q885" i="34"/>
  <c r="Q428" i="34"/>
  <c r="Q441" i="34"/>
  <c r="Q452" i="34"/>
  <c r="Q463" i="34"/>
  <c r="Q474" i="34"/>
  <c r="Q486" i="34"/>
  <c r="Q281" i="34"/>
  <c r="Q290" i="34"/>
  <c r="Q298" i="34"/>
  <c r="Q308" i="34"/>
  <c r="Q317" i="34"/>
  <c r="Q905" i="34"/>
  <c r="Q933" i="34"/>
  <c r="O944" i="34"/>
  <c r="Q906" i="34"/>
  <c r="Q914" i="34"/>
  <c r="P297" i="34"/>
  <c r="O290" i="34"/>
  <c r="P322" i="34"/>
  <c r="P893" i="34"/>
  <c r="O857" i="34"/>
  <c r="Q309" i="34"/>
  <c r="Q488" i="34"/>
  <c r="P858" i="34"/>
  <c r="O870" i="34"/>
  <c r="O878" i="34"/>
  <c r="O886" i="34"/>
  <c r="P429" i="34"/>
  <c r="P442" i="34"/>
  <c r="Q454" i="34"/>
  <c r="Q464" i="34"/>
  <c r="P476" i="34"/>
  <c r="P278" i="34"/>
  <c r="P286" i="34"/>
  <c r="P295" i="34"/>
  <c r="O309" i="34"/>
  <c r="O451" i="34"/>
  <c r="O461" i="34"/>
  <c r="O473" i="34"/>
  <c r="O485" i="34"/>
  <c r="O280" i="34"/>
  <c r="O289" i="34"/>
  <c r="Q939" i="34"/>
  <c r="P865" i="34"/>
  <c r="O873" i="34"/>
  <c r="P881" i="34"/>
  <c r="O889" i="34"/>
  <c r="P435" i="34"/>
  <c r="O447" i="34"/>
  <c r="P457" i="34"/>
  <c r="O468" i="34"/>
  <c r="P474" i="34"/>
  <c r="P277" i="34"/>
  <c r="O281" i="34"/>
  <c r="Q285" i="34"/>
  <c r="O294" i="34"/>
  <c r="P298" i="34"/>
  <c r="P312" i="34"/>
  <c r="O317" i="34"/>
  <c r="Q322" i="34"/>
  <c r="Q893" i="34"/>
  <c r="O917" i="34"/>
  <c r="P933" i="34"/>
  <c r="P898" i="34"/>
  <c r="O906" i="34"/>
  <c r="Q910" i="34"/>
  <c r="O918" i="34"/>
  <c r="P922" i="34"/>
  <c r="P930" i="34"/>
  <c r="O493" i="34"/>
  <c r="P599" i="34"/>
  <c r="P866" i="34"/>
  <c r="O423" i="34"/>
  <c r="Q442" i="34"/>
  <c r="O459" i="34"/>
  <c r="O470" i="34"/>
  <c r="O482" i="34"/>
  <c r="Q282" i="34"/>
  <c r="O299" i="34"/>
  <c r="P314" i="34"/>
  <c r="P456" i="34"/>
  <c r="P467" i="34"/>
  <c r="P479" i="34"/>
  <c r="O611" i="34"/>
  <c r="P284" i="34"/>
  <c r="P316" i="34"/>
  <c r="O921" i="34"/>
  <c r="O492" i="34"/>
  <c r="P869" i="34"/>
  <c r="O877" i="34"/>
  <c r="P885" i="34"/>
  <c r="O428" i="34"/>
  <c r="P441" i="34"/>
  <c r="O452" i="34"/>
  <c r="P463" i="34"/>
  <c r="P480" i="34"/>
  <c r="O486" i="34"/>
  <c r="Q277" i="34"/>
  <c r="O285" i="34"/>
  <c r="P290" i="34"/>
  <c r="P303" i="34"/>
  <c r="O308" i="34"/>
  <c r="Q312" i="34"/>
  <c r="O322" i="34"/>
  <c r="O935" i="34"/>
  <c r="O893" i="34"/>
  <c r="P905" i="34"/>
  <c r="P857" i="34"/>
  <c r="P944" i="34"/>
  <c r="Q898" i="34"/>
  <c r="O910" i="34"/>
  <c r="P914" i="34"/>
  <c r="Q922" i="34"/>
  <c r="Q930" i="34"/>
  <c r="Q858" i="34"/>
  <c r="Q866" i="34"/>
  <c r="Q874" i="34"/>
  <c r="Q882" i="34"/>
  <c r="Q295" i="34"/>
  <c r="Q304" i="34"/>
  <c r="Q314" i="34"/>
  <c r="P307" i="34"/>
  <c r="P901" i="34"/>
  <c r="O865" i="34"/>
  <c r="P873" i="34"/>
  <c r="O881" i="34"/>
  <c r="P889" i="34"/>
  <c r="O435" i="34"/>
  <c r="P447" i="34"/>
  <c r="O457" i="34"/>
  <c r="P468" i="34"/>
  <c r="O474" i="34"/>
  <c r="Q480" i="34"/>
  <c r="O277" i="34"/>
  <c r="P281" i="34"/>
  <c r="P294" i="34"/>
  <c r="O298" i="34"/>
  <c r="Q303" i="34"/>
  <c r="O312" i="34"/>
  <c r="P317" i="34"/>
  <c r="P917" i="34"/>
  <c r="O933" i="34"/>
  <c r="Q857" i="34"/>
  <c r="Q944" i="34"/>
  <c r="O898" i="34"/>
  <c r="P906" i="34"/>
  <c r="P918" i="34"/>
  <c r="O922" i="34"/>
  <c r="P926" i="34"/>
  <c r="O930" i="34"/>
  <c r="O488" i="34"/>
  <c r="Q493" i="34"/>
  <c r="P493" i="34"/>
  <c r="O599" i="34"/>
  <c r="O858" i="34"/>
  <c r="P862" i="34"/>
  <c r="O866" i="34"/>
  <c r="P870" i="34"/>
  <c r="O874" i="34"/>
  <c r="P878" i="34"/>
  <c r="O882" i="34"/>
  <c r="P886" i="34"/>
  <c r="Q423" i="34"/>
  <c r="P423" i="34"/>
  <c r="O429" i="34"/>
  <c r="Q436" i="34"/>
  <c r="P436" i="34"/>
  <c r="O442" i="34"/>
  <c r="Q448" i="34"/>
  <c r="P448" i="34"/>
  <c r="O454" i="34"/>
  <c r="Q459" i="34"/>
  <c r="P459" i="34"/>
  <c r="O464" i="34"/>
  <c r="Q470" i="34"/>
  <c r="P470" i="34"/>
  <c r="O476" i="34"/>
  <c r="Q482" i="34"/>
  <c r="P482" i="34"/>
  <c r="P609" i="34"/>
  <c r="Q278" i="34"/>
  <c r="O278" i="34"/>
  <c r="P282" i="34"/>
  <c r="Q286" i="34"/>
  <c r="O286" i="34"/>
  <c r="P291" i="34"/>
  <c r="O295" i="34"/>
  <c r="P299" i="34"/>
  <c r="O304" i="34"/>
  <c r="P309" i="34"/>
  <c r="O314" i="34"/>
  <c r="P319" i="34"/>
  <c r="P939" i="34"/>
  <c r="P492" i="34"/>
  <c r="O869" i="34"/>
  <c r="P877" i="34"/>
  <c r="O885" i="34"/>
  <c r="P428" i="34"/>
  <c r="O441" i="34"/>
  <c r="P452" i="34"/>
  <c r="O463" i="34"/>
  <c r="Q468" i="34"/>
  <c r="O480" i="34"/>
  <c r="P486" i="34"/>
  <c r="P285" i="34"/>
  <c r="Q294" i="34"/>
  <c r="O303" i="34"/>
  <c r="P308" i="34"/>
  <c r="Q935" i="34"/>
  <c r="P935" i="34"/>
  <c r="O905" i="34"/>
  <c r="Q917" i="34"/>
  <c r="P910" i="34"/>
  <c r="O914" i="34"/>
  <c r="Q918" i="34"/>
  <c r="Q926" i="34"/>
  <c r="Q862" i="34"/>
  <c r="Q870" i="34"/>
  <c r="Q878" i="34"/>
  <c r="Q886" i="34"/>
  <c r="Q609" i="34"/>
  <c r="Q291" i="34"/>
  <c r="Q299" i="34"/>
  <c r="Q319" i="34"/>
  <c r="O926" i="34"/>
  <c r="P488" i="34"/>
  <c r="Q599" i="34"/>
  <c r="O862" i="34"/>
  <c r="P874" i="34"/>
  <c r="P882" i="34"/>
  <c r="Q429" i="34"/>
  <c r="O436" i="34"/>
  <c r="O448" i="34"/>
  <c r="P454" i="34"/>
  <c r="P464" i="34"/>
  <c r="Q476" i="34"/>
  <c r="O609" i="34"/>
  <c r="O282" i="34"/>
  <c r="O291" i="34"/>
  <c r="P304" i="34"/>
  <c r="O319" i="34"/>
  <c r="P142" i="34"/>
  <c r="P143" i="34"/>
  <c r="Q142" i="34"/>
  <c r="O142" i="34"/>
  <c r="O143" i="34"/>
  <c r="Q143" i="34"/>
  <c r="Q1610" i="34"/>
  <c r="O1610" i="34"/>
  <c r="P1610" i="34"/>
  <c r="Q84" i="34"/>
  <c r="P84" i="34"/>
  <c r="O84" i="34"/>
  <c r="O1932" i="34"/>
  <c r="P1964" i="34"/>
  <c r="O1972" i="34"/>
  <c r="P1996" i="34"/>
  <c r="P1970" i="34"/>
  <c r="P1968" i="34"/>
  <c r="Q1997" i="34"/>
  <c r="P1997" i="34"/>
  <c r="O1931" i="34"/>
  <c r="P1971" i="34"/>
  <c r="Q1969" i="34"/>
  <c r="P1969" i="34"/>
  <c r="Q1933" i="34"/>
  <c r="P1933" i="34"/>
  <c r="O2000" i="34"/>
  <c r="P1995" i="34"/>
  <c r="P1998" i="34"/>
  <c r="P2032" i="34"/>
  <c r="O1967" i="34"/>
  <c r="P1999" i="34"/>
  <c r="Q1964" i="34"/>
  <c r="Q1996" i="34"/>
  <c r="O1930" i="34"/>
  <c r="Q1970" i="34"/>
  <c r="Q1968" i="34"/>
  <c r="Q1971" i="34"/>
  <c r="O1974" i="34"/>
  <c r="O1966" i="34"/>
  <c r="Q1995" i="34"/>
  <c r="Q1998" i="34"/>
  <c r="Q2032" i="34"/>
  <c r="Q1999" i="34"/>
  <c r="P1932" i="34"/>
  <c r="O1964" i="34"/>
  <c r="P1972" i="34"/>
  <c r="O1996" i="34"/>
  <c r="P1930" i="34"/>
  <c r="O1968" i="34"/>
  <c r="O1997" i="34"/>
  <c r="P1931" i="34"/>
  <c r="O1971" i="34"/>
  <c r="O1969" i="34"/>
  <c r="P1974" i="34"/>
  <c r="O1933" i="34"/>
  <c r="P1966" i="34"/>
  <c r="P2000" i="34"/>
  <c r="O1995" i="34"/>
  <c r="O2032" i="34"/>
  <c r="P1967" i="34"/>
  <c r="O1999" i="34"/>
  <c r="Q1932" i="34"/>
  <c r="Q1972" i="34"/>
  <c r="Q1930" i="34"/>
  <c r="O1970" i="34"/>
  <c r="Q1931" i="34"/>
  <c r="Q1974" i="34"/>
  <c r="Q1966" i="34"/>
  <c r="Q2000" i="34"/>
  <c r="O1998" i="34"/>
  <c r="Q1967" i="34"/>
  <c r="P1947" i="34"/>
  <c r="O1976" i="34"/>
  <c r="P1980" i="34"/>
  <c r="O1984" i="34"/>
  <c r="P2007" i="34"/>
  <c r="O2011" i="34"/>
  <c r="P1852" i="34"/>
  <c r="O1899" i="34"/>
  <c r="P1903" i="34"/>
  <c r="O1907" i="34"/>
  <c r="O1953" i="34"/>
  <c r="Q1957" i="34"/>
  <c r="P1957" i="34"/>
  <c r="O1961" i="34"/>
  <c r="P1986" i="34"/>
  <c r="P1994" i="34"/>
  <c r="P2015" i="34"/>
  <c r="O2019" i="34"/>
  <c r="O1840" i="34"/>
  <c r="P1912" i="34"/>
  <c r="Q1868" i="34"/>
  <c r="Q2002" i="34"/>
  <c r="O2022" i="34"/>
  <c r="Q1831" i="34"/>
  <c r="Q1839" i="34"/>
  <c r="Q1846" i="34"/>
  <c r="O1850" i="34"/>
  <c r="Q1854" i="34"/>
  <c r="O1858" i="34"/>
  <c r="Q1150" i="34"/>
  <c r="Q1178" i="34"/>
  <c r="Q1182" i="34"/>
  <c r="Q1219" i="34"/>
  <c r="Q1221" i="34"/>
  <c r="Q1223" i="34"/>
  <c r="Q1225" i="34"/>
  <c r="O1267" i="34"/>
  <c r="O1271" i="34"/>
  <c r="O1275" i="34"/>
  <c r="O1279" i="34"/>
  <c r="Q1303" i="34"/>
  <c r="Q1305" i="34"/>
  <c r="Q1307" i="34"/>
  <c r="Q1309" i="34"/>
  <c r="Q1331" i="34"/>
  <c r="Q1333" i="34"/>
  <c r="Q1335" i="34"/>
  <c r="Q1337" i="34"/>
  <c r="Q1351" i="34"/>
  <c r="Q1353" i="34"/>
  <c r="Q1363" i="34"/>
  <c r="Q1365" i="34"/>
  <c r="O1476" i="34"/>
  <c r="O1480" i="34"/>
  <c r="O1500" i="34"/>
  <c r="O1536" i="34"/>
  <c r="O1540" i="34"/>
  <c r="O1544" i="34"/>
  <c r="Q1636" i="34"/>
  <c r="O1638" i="34"/>
  <c r="Q1640" i="34"/>
  <c r="Q1642" i="34"/>
  <c r="Q1671" i="34"/>
  <c r="O1726" i="34"/>
  <c r="O1730" i="34"/>
  <c r="Q1751" i="34"/>
  <c r="Q1755" i="34"/>
  <c r="Q2004" i="34"/>
  <c r="Q2023" i="34"/>
  <c r="Q1900" i="34"/>
  <c r="O1950" i="34"/>
  <c r="Q1954" i="34"/>
  <c r="O1958" i="34"/>
  <c r="Q1962" i="34"/>
  <c r="Q1987" i="34"/>
  <c r="Q2012" i="34"/>
  <c r="Q1947" i="34"/>
  <c r="Q1980" i="34"/>
  <c r="Q2007" i="34"/>
  <c r="Q1852" i="34"/>
  <c r="Q1903" i="34"/>
  <c r="Q1986" i="34"/>
  <c r="O1990" i="34"/>
  <c r="Q1994" i="34"/>
  <c r="Q2015" i="34"/>
  <c r="P1803" i="34"/>
  <c r="O1809" i="34"/>
  <c r="Q1817" i="34"/>
  <c r="P1817" i="34"/>
  <c r="Q1840" i="34"/>
  <c r="O1912" i="34"/>
  <c r="Q1917" i="34"/>
  <c r="P1917" i="34"/>
  <c r="P2029" i="34"/>
  <c r="P1864" i="34"/>
  <c r="O1868" i="34"/>
  <c r="P1872" i="34"/>
  <c r="Q1921" i="34"/>
  <c r="P1921" i="34"/>
  <c r="O1925" i="34"/>
  <c r="Q1929" i="34"/>
  <c r="P1929" i="34"/>
  <c r="P2022" i="34"/>
  <c r="P1823" i="34"/>
  <c r="Q1841" i="34"/>
  <c r="P1841" i="34"/>
  <c r="P1827" i="34"/>
  <c r="O1831" i="34"/>
  <c r="P1835" i="34"/>
  <c r="O1839" i="34"/>
  <c r="P1850" i="34"/>
  <c r="O1877" i="34"/>
  <c r="Q1881" i="34"/>
  <c r="P1881" i="34"/>
  <c r="P1858" i="34"/>
  <c r="P1935" i="34"/>
  <c r="Q1885" i="34"/>
  <c r="P1885" i="34"/>
  <c r="O1889" i="34"/>
  <c r="Q1893" i="34"/>
  <c r="P1893" i="34"/>
  <c r="O1937" i="34"/>
  <c r="Q1941" i="34"/>
  <c r="P1941" i="34"/>
  <c r="O1945" i="34"/>
  <c r="O1150" i="34"/>
  <c r="O1176" i="34"/>
  <c r="O1178" i="34"/>
  <c r="O1180" i="34"/>
  <c r="O1182" i="34"/>
  <c r="O1221" i="34"/>
  <c r="O1225" i="34"/>
  <c r="P1265" i="34"/>
  <c r="P1267" i="34"/>
  <c r="P1269" i="34"/>
  <c r="P1271" i="34"/>
  <c r="P1273" i="34"/>
  <c r="P1275" i="34"/>
  <c r="P1277" i="34"/>
  <c r="P1279" i="34"/>
  <c r="O1305" i="34"/>
  <c r="O1309" i="34"/>
  <c r="O1333" i="34"/>
  <c r="O1337" i="34"/>
  <c r="O1353" i="34"/>
  <c r="O1365" i="34"/>
  <c r="P1404" i="34"/>
  <c r="Q1451" i="34"/>
  <c r="P1451" i="34"/>
  <c r="P1453" i="34"/>
  <c r="Q1455" i="34"/>
  <c r="P1455" i="34"/>
  <c r="P1457" i="34"/>
  <c r="P1476" i="34"/>
  <c r="P1478" i="34"/>
  <c r="P1480" i="34"/>
  <c r="P1482" i="34"/>
  <c r="P1500" i="34"/>
  <c r="P1534" i="34"/>
  <c r="P1536" i="34"/>
  <c r="P1538" i="34"/>
  <c r="P1540" i="34"/>
  <c r="P1542" i="34"/>
  <c r="P1544" i="34"/>
  <c r="P1546" i="34"/>
  <c r="Q1563" i="34"/>
  <c r="P1563" i="34"/>
  <c r="P1565" i="34"/>
  <c r="Q1567" i="34"/>
  <c r="P1567" i="34"/>
  <c r="P1569" i="34"/>
  <c r="P1636" i="34"/>
  <c r="P1638" i="34"/>
  <c r="O1640" i="34"/>
  <c r="O1671" i="34"/>
  <c r="P1695" i="34"/>
  <c r="Q1697" i="34"/>
  <c r="P1697" i="34"/>
  <c r="P1699" i="34"/>
  <c r="Q1701" i="34"/>
  <c r="P1701" i="34"/>
  <c r="P1724" i="34"/>
  <c r="P1726" i="34"/>
  <c r="P1728" i="34"/>
  <c r="P1730" i="34"/>
  <c r="O1749" i="34"/>
  <c r="O1751" i="34"/>
  <c r="O1753" i="34"/>
  <c r="O1755" i="34"/>
  <c r="P1783" i="34"/>
  <c r="Q1785" i="34"/>
  <c r="P1785" i="34"/>
  <c r="P1787" i="34"/>
  <c r="Q1789" i="34"/>
  <c r="P1789" i="34"/>
  <c r="P1791" i="34"/>
  <c r="Q1793" i="34"/>
  <c r="P1793" i="34"/>
  <c r="O1947" i="34"/>
  <c r="P1976" i="34"/>
  <c r="O1980" i="34"/>
  <c r="P1984" i="34"/>
  <c r="O2007" i="34"/>
  <c r="P2011" i="34"/>
  <c r="O1852" i="34"/>
  <c r="P1899" i="34"/>
  <c r="O1903" i="34"/>
  <c r="P1907" i="34"/>
  <c r="Q1953" i="34"/>
  <c r="P1953" i="34"/>
  <c r="O1957" i="34"/>
  <c r="Q1961" i="34"/>
  <c r="P1961" i="34"/>
  <c r="P1990" i="34"/>
  <c r="O2015" i="34"/>
  <c r="P2019" i="34"/>
  <c r="Q1803" i="34"/>
  <c r="Q1912" i="34"/>
  <c r="Q2029" i="34"/>
  <c r="Q1864" i="34"/>
  <c r="Q1872" i="34"/>
  <c r="O2002" i="34"/>
  <c r="Q2022" i="34"/>
  <c r="Q1823" i="34"/>
  <c r="Q1827" i="34"/>
  <c r="Q1835" i="34"/>
  <c r="O1846" i="34"/>
  <c r="Q1850" i="34"/>
  <c r="O1854" i="34"/>
  <c r="Q1858" i="34"/>
  <c r="Q1935" i="34"/>
  <c r="O1219" i="34"/>
  <c r="O1223" i="34"/>
  <c r="Q1265" i="34"/>
  <c r="Q1267" i="34"/>
  <c r="Q1269" i="34"/>
  <c r="Q1271" i="34"/>
  <c r="Q1273" i="34"/>
  <c r="Q1275" i="34"/>
  <c r="Q1277" i="34"/>
  <c r="Q1279" i="34"/>
  <c r="O1303" i="34"/>
  <c r="O1307" i="34"/>
  <c r="O1331" i="34"/>
  <c r="O1335" i="34"/>
  <c r="O1351" i="34"/>
  <c r="O1363" i="34"/>
  <c r="Q1404" i="34"/>
  <c r="Q1453" i="34"/>
  <c r="Q1457" i="34"/>
  <c r="Q1476" i="34"/>
  <c r="Q1478" i="34"/>
  <c r="Q1480" i="34"/>
  <c r="Q1482" i="34"/>
  <c r="Q1500" i="34"/>
  <c r="Q1534" i="34"/>
  <c r="Q1536" i="34"/>
  <c r="Q1538" i="34"/>
  <c r="Q1540" i="34"/>
  <c r="Q1542" i="34"/>
  <c r="Q1544" i="34"/>
  <c r="Q1546" i="34"/>
  <c r="Q1565" i="34"/>
  <c r="Q1569" i="34"/>
  <c r="O1636" i="34"/>
  <c r="O1642" i="34"/>
  <c r="Q1695" i="34"/>
  <c r="Q1699" i="34"/>
  <c r="Q1724" i="34"/>
  <c r="Q1726" i="34"/>
  <c r="Q1728" i="34"/>
  <c r="Q1730" i="34"/>
  <c r="Q1783" i="34"/>
  <c r="Q1787" i="34"/>
  <c r="Q1791" i="34"/>
  <c r="Q1948" i="34"/>
  <c r="Q2008" i="34"/>
  <c r="Q1896" i="34"/>
  <c r="Q1904" i="34"/>
  <c r="Q1950" i="34"/>
  <c r="O1954" i="34"/>
  <c r="Q1958" i="34"/>
  <c r="O1962" i="34"/>
  <c r="Q1991" i="34"/>
  <c r="Q2016" i="34"/>
  <c r="Q1976" i="34"/>
  <c r="Q1984" i="34"/>
  <c r="Q2011" i="34"/>
  <c r="Q1899" i="34"/>
  <c r="Q1907" i="34"/>
  <c r="O1986" i="34"/>
  <c r="Q1990" i="34"/>
  <c r="O1994" i="34"/>
  <c r="Q2019" i="34"/>
  <c r="O1803" i="34"/>
  <c r="Q1809" i="34"/>
  <c r="P1809" i="34"/>
  <c r="O1817" i="34"/>
  <c r="P1840" i="34"/>
  <c r="O1917" i="34"/>
  <c r="O2029" i="34"/>
  <c r="O1864" i="34"/>
  <c r="P1868" i="34"/>
  <c r="O1872" i="34"/>
  <c r="O1921" i="34"/>
  <c r="Q1925" i="34"/>
  <c r="P1925" i="34"/>
  <c r="O1929" i="34"/>
  <c r="P2002" i="34"/>
  <c r="O1823" i="34"/>
  <c r="O1841" i="34"/>
  <c r="O1827" i="34"/>
  <c r="P1831" i="34"/>
  <c r="O1835" i="34"/>
  <c r="P1839" i="34"/>
  <c r="P1846" i="34"/>
  <c r="Q1877" i="34"/>
  <c r="P1877" i="34"/>
  <c r="O1881" i="34"/>
  <c r="P1854" i="34"/>
  <c r="O1935" i="34"/>
  <c r="O1885" i="34"/>
  <c r="Q1889" i="34"/>
  <c r="P1889" i="34"/>
  <c r="O1893" i="34"/>
  <c r="Q1937" i="34"/>
  <c r="P1937" i="34"/>
  <c r="O1941" i="34"/>
  <c r="Q1945" i="34"/>
  <c r="P1945" i="34"/>
  <c r="P1150" i="34"/>
  <c r="Q1176" i="34"/>
  <c r="P1176" i="34"/>
  <c r="P1178" i="34"/>
  <c r="Q1180" i="34"/>
  <c r="P1180" i="34"/>
  <c r="P1182" i="34"/>
  <c r="P1219" i="34"/>
  <c r="P1221" i="34"/>
  <c r="P1223" i="34"/>
  <c r="P1225" i="34"/>
  <c r="O1265" i="34"/>
  <c r="O1269" i="34"/>
  <c r="O1273" i="34"/>
  <c r="O1277" i="34"/>
  <c r="P1303" i="34"/>
  <c r="P1305" i="34"/>
  <c r="P1307" i="34"/>
  <c r="P1309" i="34"/>
  <c r="P1331" i="34"/>
  <c r="P1333" i="34"/>
  <c r="P1335" i="34"/>
  <c r="P1337" i="34"/>
  <c r="P1351" i="34"/>
  <c r="P1353" i="34"/>
  <c r="P1363" i="34"/>
  <c r="P1365" i="34"/>
  <c r="O1404" i="34"/>
  <c r="O1451" i="34"/>
  <c r="O1453" i="34"/>
  <c r="O1455" i="34"/>
  <c r="O1457" i="34"/>
  <c r="O1478" i="34"/>
  <c r="O1482" i="34"/>
  <c r="O1534" i="34"/>
  <c r="O1538" i="34"/>
  <c r="O1542" i="34"/>
  <c r="O1546" i="34"/>
  <c r="O1563" i="34"/>
  <c r="O1565" i="34"/>
  <c r="O1567" i="34"/>
  <c r="O1569" i="34"/>
  <c r="Q1638" i="34"/>
  <c r="P1640" i="34"/>
  <c r="P1642" i="34"/>
  <c r="P1671" i="34"/>
  <c r="O1695" i="34"/>
  <c r="O1697" i="34"/>
  <c r="O1699" i="34"/>
  <c r="O1701" i="34"/>
  <c r="O1724" i="34"/>
  <c r="O1728" i="34"/>
  <c r="Q1749" i="34"/>
  <c r="P1749" i="34"/>
  <c r="P1751" i="34"/>
  <c r="Q1753" i="34"/>
  <c r="P1753" i="34"/>
  <c r="P1755" i="34"/>
  <c r="O1783" i="34"/>
  <c r="O1785" i="34"/>
  <c r="O1787" i="34"/>
  <c r="O1789" i="34"/>
  <c r="O1791" i="34"/>
  <c r="O1793" i="34"/>
  <c r="Q1977" i="34"/>
  <c r="P1977" i="34"/>
  <c r="O1981" i="34"/>
  <c r="O2004" i="34"/>
  <c r="P2023" i="34"/>
  <c r="O1900" i="34"/>
  <c r="P1987" i="34"/>
  <c r="O2012" i="34"/>
  <c r="O2025" i="34"/>
  <c r="P1804" i="34"/>
  <c r="P1818" i="34"/>
  <c r="Q1908" i="34"/>
  <c r="Q1914" i="34"/>
  <c r="O1918" i="34"/>
  <c r="O1922" i="34"/>
  <c r="Q1926" i="34"/>
  <c r="Q1807" i="34"/>
  <c r="O1842" i="34"/>
  <c r="Q1832" i="34"/>
  <c r="Q1843" i="34"/>
  <c r="O1874" i="34"/>
  <c r="Q1878" i="34"/>
  <c r="O1882" i="34"/>
  <c r="Q1859" i="34"/>
  <c r="Q1814" i="34"/>
  <c r="O1886" i="34"/>
  <c r="Q1890" i="34"/>
  <c r="O1894" i="34"/>
  <c r="Q1938" i="34"/>
  <c r="O1942" i="34"/>
  <c r="Q1946" i="34"/>
  <c r="O1978" i="34"/>
  <c r="Q1982" i="34"/>
  <c r="Q2024" i="34"/>
  <c r="Q1951" i="34"/>
  <c r="Q1959" i="34"/>
  <c r="Q1988" i="34"/>
  <c r="O2026" i="34"/>
  <c r="O2031" i="34"/>
  <c r="Q1811" i="34"/>
  <c r="O1909" i="34"/>
  <c r="P1915" i="34"/>
  <c r="O2027" i="34"/>
  <c r="Q2027" i="34"/>
  <c r="Q1862" i="34"/>
  <c r="O1866" i="34"/>
  <c r="Q1870" i="34"/>
  <c r="Q1919" i="34"/>
  <c r="Q1927" i="34"/>
  <c r="Q2020" i="34"/>
  <c r="Q1812" i="34"/>
  <c r="Q1848" i="34"/>
  <c r="Q1879" i="34"/>
  <c r="Q1856" i="34"/>
  <c r="Q1851" i="34"/>
  <c r="Q1891" i="34"/>
  <c r="Q1939" i="34"/>
  <c r="O1149" i="34"/>
  <c r="O1177" i="34"/>
  <c r="O1181" i="34"/>
  <c r="Q1220" i="34"/>
  <c r="Q1224" i="34"/>
  <c r="Q1304" i="34"/>
  <c r="Q1308" i="34"/>
  <c r="Q1332" i="34"/>
  <c r="Q1336" i="34"/>
  <c r="Q1352" i="34"/>
  <c r="Q1364" i="34"/>
  <c r="Q1450" i="34"/>
  <c r="Q1452" i="34"/>
  <c r="Q1454" i="34"/>
  <c r="Q1456" i="34"/>
  <c r="Q1458" i="34"/>
  <c r="Q1564" i="34"/>
  <c r="Q1566" i="34"/>
  <c r="Q1568" i="34"/>
  <c r="Q1601" i="34"/>
  <c r="Q1639" i="34"/>
  <c r="Q1643" i="34"/>
  <c r="Q1694" i="34"/>
  <c r="Q1696" i="34"/>
  <c r="Q1698" i="34"/>
  <c r="Q1700" i="34"/>
  <c r="Q1702" i="34"/>
  <c r="O1750" i="34"/>
  <c r="O1754" i="34"/>
  <c r="Q1784" i="34"/>
  <c r="Q1786" i="34"/>
  <c r="Q1788" i="34"/>
  <c r="Q1790" i="34"/>
  <c r="Q1792" i="34"/>
  <c r="P1948" i="34"/>
  <c r="O2008" i="34"/>
  <c r="P1896" i="34"/>
  <c r="O1904" i="34"/>
  <c r="P1991" i="34"/>
  <c r="O2016" i="34"/>
  <c r="Q1804" i="34"/>
  <c r="O1810" i="34"/>
  <c r="Q1818" i="34"/>
  <c r="P1918" i="34"/>
  <c r="O2030" i="34"/>
  <c r="Q1861" i="34"/>
  <c r="P1861" i="34"/>
  <c r="O1865" i="34"/>
  <c r="Q1869" i="34"/>
  <c r="P1869" i="34"/>
  <c r="O1873" i="34"/>
  <c r="P1922" i="34"/>
  <c r="Q1965" i="34"/>
  <c r="P1965" i="34"/>
  <c r="P2003" i="34"/>
  <c r="O1807" i="34"/>
  <c r="P1824" i="34"/>
  <c r="P1842" i="34"/>
  <c r="P1828" i="34"/>
  <c r="O1832" i="34"/>
  <c r="P1836" i="34"/>
  <c r="O1843" i="34"/>
  <c r="P1847" i="34"/>
  <c r="P1874" i="34"/>
  <c r="P1882" i="34"/>
  <c r="P1855" i="34"/>
  <c r="O1859" i="34"/>
  <c r="P1886" i="34"/>
  <c r="P1894" i="34"/>
  <c r="P1942" i="34"/>
  <c r="O1949" i="34"/>
  <c r="P1978" i="34"/>
  <c r="Q2005" i="34"/>
  <c r="P2005" i="34"/>
  <c r="O2009" i="34"/>
  <c r="O2024" i="34"/>
  <c r="O1897" i="34"/>
  <c r="Q1901" i="34"/>
  <c r="P1901" i="34"/>
  <c r="O1905" i="34"/>
  <c r="O1951" i="34"/>
  <c r="P1955" i="34"/>
  <c r="O1959" i="34"/>
  <c r="P1963" i="34"/>
  <c r="O1988" i="34"/>
  <c r="P1992" i="34"/>
  <c r="Q2013" i="34"/>
  <c r="P2013" i="34"/>
  <c r="O2017" i="34"/>
  <c r="P2026" i="34"/>
  <c r="P2031" i="34"/>
  <c r="O1811" i="34"/>
  <c r="P1819" i="34"/>
  <c r="Q1909" i="34"/>
  <c r="Q1915" i="34"/>
  <c r="Q2034" i="34"/>
  <c r="P2034" i="34"/>
  <c r="P1866" i="34"/>
  <c r="O1919" i="34"/>
  <c r="P1923" i="34"/>
  <c r="O1927" i="34"/>
  <c r="O1973" i="34"/>
  <c r="O2020" i="34"/>
  <c r="P1808" i="34"/>
  <c r="O1812" i="34"/>
  <c r="O1825" i="34"/>
  <c r="Q1829" i="34"/>
  <c r="P1829" i="34"/>
  <c r="O1833" i="34"/>
  <c r="Q1837" i="34"/>
  <c r="P1837" i="34"/>
  <c r="P1844" i="34"/>
  <c r="O1848" i="34"/>
  <c r="P1875" i="34"/>
  <c r="O1879" i="34"/>
  <c r="P1883" i="34"/>
  <c r="O1856" i="34"/>
  <c r="P1860" i="34"/>
  <c r="O1851" i="34"/>
  <c r="P1887" i="34"/>
  <c r="O1891" i="34"/>
  <c r="P1895" i="34"/>
  <c r="O1939" i="34"/>
  <c r="P1943" i="34"/>
  <c r="P1149" i="34"/>
  <c r="P1175" i="34"/>
  <c r="P1177" i="34"/>
  <c r="P1179" i="34"/>
  <c r="P1181" i="34"/>
  <c r="O1218" i="34"/>
  <c r="O1220" i="34"/>
  <c r="O1222" i="34"/>
  <c r="O1224" i="34"/>
  <c r="P1264" i="34"/>
  <c r="Q1266" i="34"/>
  <c r="P1266" i="34"/>
  <c r="P1268" i="34"/>
  <c r="Q1270" i="34"/>
  <c r="P1270" i="34"/>
  <c r="P1272" i="34"/>
  <c r="Q1274" i="34"/>
  <c r="P1274" i="34"/>
  <c r="P1276" i="34"/>
  <c r="Q1278" i="34"/>
  <c r="P1278" i="34"/>
  <c r="O1302" i="34"/>
  <c r="O1304" i="34"/>
  <c r="O1306" i="34"/>
  <c r="O1308" i="34"/>
  <c r="O1330" i="34"/>
  <c r="O1332" i="34"/>
  <c r="O1334" i="34"/>
  <c r="O1336" i="34"/>
  <c r="O1350" i="34"/>
  <c r="O1352" i="34"/>
  <c r="O1354" i="34"/>
  <c r="O1364" i="34"/>
  <c r="P1369" i="34"/>
  <c r="O1450" i="34"/>
  <c r="O1977" i="34"/>
  <c r="Q1981" i="34"/>
  <c r="P1981" i="34"/>
  <c r="P2004" i="34"/>
  <c r="O2023" i="34"/>
  <c r="P1900" i="34"/>
  <c r="P1950" i="34"/>
  <c r="P1954" i="34"/>
  <c r="P1958" i="34"/>
  <c r="P1962" i="34"/>
  <c r="O1987" i="34"/>
  <c r="P2012" i="34"/>
  <c r="Q2025" i="34"/>
  <c r="P2025" i="34"/>
  <c r="O1804" i="34"/>
  <c r="P1810" i="34"/>
  <c r="P1908" i="34"/>
  <c r="O1914" i="34"/>
  <c r="Q1918" i="34"/>
  <c r="Q1922" i="34"/>
  <c r="O1926" i="34"/>
  <c r="Q2003" i="34"/>
  <c r="Q1824" i="34"/>
  <c r="Q1842" i="34"/>
  <c r="Q1828" i="34"/>
  <c r="Q1836" i="34"/>
  <c r="Q1847" i="34"/>
  <c r="Q1874" i="34"/>
  <c r="O1878" i="34"/>
  <c r="Q1882" i="34"/>
  <c r="Q1855" i="34"/>
  <c r="O1814" i="34"/>
  <c r="Q1886" i="34"/>
  <c r="O1890" i="34"/>
  <c r="Q1894" i="34"/>
  <c r="O1938" i="34"/>
  <c r="Q1942" i="34"/>
  <c r="O1946" i="34"/>
  <c r="Q1978" i="34"/>
  <c r="O1982" i="34"/>
  <c r="Q1955" i="34"/>
  <c r="Q1963" i="34"/>
  <c r="Q1992" i="34"/>
  <c r="Q2026" i="34"/>
  <c r="Q2031" i="34"/>
  <c r="Q1819" i="34"/>
  <c r="O1915" i="34"/>
  <c r="P2027" i="34"/>
  <c r="O1862" i="34"/>
  <c r="Q1866" i="34"/>
  <c r="O1870" i="34"/>
  <c r="Q1923" i="34"/>
  <c r="Q1808" i="34"/>
  <c r="Q1844" i="34"/>
  <c r="Q1875" i="34"/>
  <c r="Q1883" i="34"/>
  <c r="Q1860" i="34"/>
  <c r="Q1887" i="34"/>
  <c r="Q1895" i="34"/>
  <c r="Q1943" i="34"/>
  <c r="Q1149" i="34"/>
  <c r="Q1175" i="34"/>
  <c r="Q1177" i="34"/>
  <c r="Q1179" i="34"/>
  <c r="Q1181" i="34"/>
  <c r="Q1264" i="34"/>
  <c r="Q1268" i="34"/>
  <c r="Q1272" i="34"/>
  <c r="Q1276" i="34"/>
  <c r="Q1369" i="34"/>
  <c r="O1452" i="34"/>
  <c r="O1456" i="34"/>
  <c r="Q1477" i="34"/>
  <c r="Q1481" i="34"/>
  <c r="Q1533" i="34"/>
  <c r="Q1537" i="34"/>
  <c r="Q1541" i="34"/>
  <c r="Q1545" i="34"/>
  <c r="O1564" i="34"/>
  <c r="O1568" i="34"/>
  <c r="O1694" i="34"/>
  <c r="O1698" i="34"/>
  <c r="O1702" i="34"/>
  <c r="Q1727" i="34"/>
  <c r="Q1731" i="34"/>
  <c r="Q1750" i="34"/>
  <c r="Q1752" i="34"/>
  <c r="Q1754" i="34"/>
  <c r="Q1756" i="34"/>
  <c r="O1786" i="34"/>
  <c r="O1790" i="34"/>
  <c r="O1948" i="34"/>
  <c r="P2008" i="34"/>
  <c r="O1896" i="34"/>
  <c r="P1904" i="34"/>
  <c r="O1991" i="34"/>
  <c r="P2016" i="34"/>
  <c r="Q1810" i="34"/>
  <c r="O1818" i="34"/>
  <c r="O1908" i="34"/>
  <c r="P1914" i="34"/>
  <c r="Q2030" i="34"/>
  <c r="P2030" i="34"/>
  <c r="O1861" i="34"/>
  <c r="Q1865" i="34"/>
  <c r="P1865" i="34"/>
  <c r="O1869" i="34"/>
  <c r="Q1873" i="34"/>
  <c r="P1873" i="34"/>
  <c r="P1926" i="34"/>
  <c r="O1965" i="34"/>
  <c r="O2003" i="34"/>
  <c r="P1807" i="34"/>
  <c r="O1824" i="34"/>
  <c r="O1828" i="34"/>
  <c r="P1832" i="34"/>
  <c r="O1836" i="34"/>
  <c r="P1843" i="34"/>
  <c r="O1847" i="34"/>
  <c r="P1878" i="34"/>
  <c r="O1855" i="34"/>
  <c r="P1859" i="34"/>
  <c r="P1814" i="34"/>
  <c r="P1890" i="34"/>
  <c r="P1938" i="34"/>
  <c r="P1946" i="34"/>
  <c r="Q1949" i="34"/>
  <c r="P1949" i="34"/>
  <c r="P1982" i="34"/>
  <c r="O2005" i="34"/>
  <c r="Q2009" i="34"/>
  <c r="P2009" i="34"/>
  <c r="P2024" i="34"/>
  <c r="Q1897" i="34"/>
  <c r="P1897" i="34"/>
  <c r="O1901" i="34"/>
  <c r="Q1905" i="34"/>
  <c r="P1905" i="34"/>
  <c r="P1951" i="34"/>
  <c r="O1955" i="34"/>
  <c r="P1959" i="34"/>
  <c r="O1963" i="34"/>
  <c r="P1988" i="34"/>
  <c r="O1992" i="34"/>
  <c r="O2013" i="34"/>
  <c r="Q2017" i="34"/>
  <c r="P2017" i="34"/>
  <c r="P1811" i="34"/>
  <c r="O1819" i="34"/>
  <c r="P1909" i="34"/>
  <c r="O2034" i="34"/>
  <c r="P1862" i="34"/>
  <c r="P1870" i="34"/>
  <c r="P1919" i="34"/>
  <c r="O1923" i="34"/>
  <c r="P1927" i="34"/>
  <c r="Q1973" i="34"/>
  <c r="P1973" i="34"/>
  <c r="P2020" i="34"/>
  <c r="O1808" i="34"/>
  <c r="P1812" i="34"/>
  <c r="Q1825" i="34"/>
  <c r="P1825" i="34"/>
  <c r="O1829" i="34"/>
  <c r="Q1833" i="34"/>
  <c r="P1833" i="34"/>
  <c r="O1837" i="34"/>
  <c r="O1844" i="34"/>
  <c r="P1848" i="34"/>
  <c r="O1875" i="34"/>
  <c r="P1879" i="34"/>
  <c r="O1883" i="34"/>
  <c r="P1856" i="34"/>
  <c r="O1860" i="34"/>
  <c r="P1851" i="34"/>
  <c r="O1887" i="34"/>
  <c r="P1891" i="34"/>
  <c r="O1895" i="34"/>
  <c r="P1939" i="34"/>
  <c r="O1943" i="34"/>
  <c r="O1175" i="34"/>
  <c r="O1179" i="34"/>
  <c r="Q1218" i="34"/>
  <c r="P1218" i="34"/>
  <c r="P1220" i="34"/>
  <c r="Q1222" i="34"/>
  <c r="P1222" i="34"/>
  <c r="P1224" i="34"/>
  <c r="O1264" i="34"/>
  <c r="O1266" i="34"/>
  <c r="O1268" i="34"/>
  <c r="O1270" i="34"/>
  <c r="O1272" i="34"/>
  <c r="O1274" i="34"/>
  <c r="O1276" i="34"/>
  <c r="O1278" i="34"/>
  <c r="Q1302" i="34"/>
  <c r="P1302" i="34"/>
  <c r="P1304" i="34"/>
  <c r="Q1306" i="34"/>
  <c r="P1306" i="34"/>
  <c r="P1308" i="34"/>
  <c r="Q1330" i="34"/>
  <c r="P1330" i="34"/>
  <c r="P1332" i="34"/>
  <c r="Q1334" i="34"/>
  <c r="P1334" i="34"/>
  <c r="P1336" i="34"/>
  <c r="Q1350" i="34"/>
  <c r="P1350" i="34"/>
  <c r="P1352" i="34"/>
  <c r="Q1354" i="34"/>
  <c r="P1354" i="34"/>
  <c r="P1364" i="34"/>
  <c r="O1369" i="34"/>
  <c r="P1450" i="34"/>
  <c r="P1452" i="34"/>
  <c r="P1454" i="34"/>
  <c r="P1456" i="34"/>
  <c r="P1458" i="34"/>
  <c r="O1477" i="34"/>
  <c r="O1479" i="34"/>
  <c r="O1481" i="34"/>
  <c r="O1483" i="34"/>
  <c r="O1533" i="34"/>
  <c r="O1535" i="34"/>
  <c r="O1537" i="34"/>
  <c r="O1539" i="34"/>
  <c r="O1541" i="34"/>
  <c r="O1543" i="34"/>
  <c r="O1545" i="34"/>
  <c r="O1547" i="34"/>
  <c r="P1564" i="34"/>
  <c r="P1566" i="34"/>
  <c r="P1568" i="34"/>
  <c r="P1601" i="34"/>
  <c r="O1637" i="34"/>
  <c r="P1637" i="34"/>
  <c r="P1639" i="34"/>
  <c r="Q1641" i="34"/>
  <c r="P1641" i="34"/>
  <c r="P1643" i="34"/>
  <c r="P1694" i="34"/>
  <c r="P1696" i="34"/>
  <c r="P1698" i="34"/>
  <c r="P1700" i="34"/>
  <c r="P1702" i="34"/>
  <c r="O1725" i="34"/>
  <c r="O1727" i="34"/>
  <c r="O1729" i="34"/>
  <c r="O1731" i="34"/>
  <c r="O1752" i="34"/>
  <c r="O1756" i="34"/>
  <c r="P1784" i="34"/>
  <c r="P1786" i="34"/>
  <c r="P1788" i="34"/>
  <c r="P1790" i="34"/>
  <c r="P1792" i="34"/>
  <c r="O1458" i="34"/>
  <c r="Q1479" i="34"/>
  <c r="P1483" i="34"/>
  <c r="P1537" i="34"/>
  <c r="Q1543" i="34"/>
  <c r="P1547" i="34"/>
  <c r="O1601" i="34"/>
  <c r="O1639" i="34"/>
  <c r="O1643" i="34"/>
  <c r="P1756" i="34"/>
  <c r="O1979" i="34"/>
  <c r="P2006" i="34"/>
  <c r="O1960" i="34"/>
  <c r="Q1989" i="34"/>
  <c r="P1989" i="34"/>
  <c r="P2014" i="34"/>
  <c r="O1820" i="34"/>
  <c r="P2028" i="34"/>
  <c r="O1871" i="34"/>
  <c r="P1928" i="34"/>
  <c r="O2021" i="34"/>
  <c r="O1813" i="34"/>
  <c r="P1845" i="34"/>
  <c r="O1876" i="34"/>
  <c r="Q1853" i="34"/>
  <c r="O1857" i="34"/>
  <c r="O1888" i="34"/>
  <c r="O1936" i="34"/>
  <c r="O1944" i="34"/>
  <c r="O1892" i="34"/>
  <c r="O1454" i="34"/>
  <c r="P1477" i="34"/>
  <c r="Q1483" i="34"/>
  <c r="P1535" i="34"/>
  <c r="P1541" i="34"/>
  <c r="Q1547" i="34"/>
  <c r="O1566" i="34"/>
  <c r="Q1637" i="34"/>
  <c r="O1641" i="34"/>
  <c r="Q1725" i="34"/>
  <c r="P1729" i="34"/>
  <c r="O1792" i="34"/>
  <c r="Q1975" i="34"/>
  <c r="Q1983" i="34"/>
  <c r="Q2006" i="34"/>
  <c r="O2010" i="34"/>
  <c r="O1898" i="34"/>
  <c r="Q1902" i="34"/>
  <c r="O1906" i="34"/>
  <c r="Q1956" i="34"/>
  <c r="Q2014" i="34"/>
  <c r="O2018" i="34"/>
  <c r="P2033" i="34"/>
  <c r="Q1816" i="34"/>
  <c r="P1916" i="34"/>
  <c r="O2028" i="34"/>
  <c r="Q1867" i="34"/>
  <c r="Q1920" i="34"/>
  <c r="Q1928" i="34"/>
  <c r="Q1822" i="34"/>
  <c r="Q1826" i="34"/>
  <c r="O1830" i="34"/>
  <c r="Q1834" i="34"/>
  <c r="O1838" i="34"/>
  <c r="Q1880" i="34"/>
  <c r="Q1934" i="34"/>
  <c r="Q1884" i="34"/>
  <c r="P1481" i="34"/>
  <c r="Q1535" i="34"/>
  <c r="P1539" i="34"/>
  <c r="P1545" i="34"/>
  <c r="O1700" i="34"/>
  <c r="Q1729" i="34"/>
  <c r="O1788" i="34"/>
  <c r="O1975" i="34"/>
  <c r="P1979" i="34"/>
  <c r="O1983" i="34"/>
  <c r="P2010" i="34"/>
  <c r="P1815" i="34"/>
  <c r="P1898" i="34"/>
  <c r="P1906" i="34"/>
  <c r="P1952" i="34"/>
  <c r="O1956" i="34"/>
  <c r="P1960" i="34"/>
  <c r="Q1985" i="34"/>
  <c r="P1985" i="34"/>
  <c r="O1989" i="34"/>
  <c r="Q1993" i="34"/>
  <c r="P1993" i="34"/>
  <c r="P2018" i="34"/>
  <c r="Q2033" i="34"/>
  <c r="P1820" i="34"/>
  <c r="P1910" i="34"/>
  <c r="Q1916" i="34"/>
  <c r="Q2028" i="34"/>
  <c r="P1863" i="34"/>
  <c r="O1867" i="34"/>
  <c r="P1871" i="34"/>
  <c r="O1920" i="34"/>
  <c r="P1924" i="34"/>
  <c r="O1928" i="34"/>
  <c r="O2001" i="34"/>
  <c r="Q2021" i="34"/>
  <c r="P2021" i="34"/>
  <c r="Q1813" i="34"/>
  <c r="P1813" i="34"/>
  <c r="P1830" i="34"/>
  <c r="P1838" i="34"/>
  <c r="O1845" i="34"/>
  <c r="Q1849" i="34"/>
  <c r="P1849" i="34"/>
  <c r="P1876" i="34"/>
  <c r="O1880" i="34"/>
  <c r="O1853" i="34"/>
  <c r="Q1857" i="34"/>
  <c r="P1857" i="34"/>
  <c r="O1884" i="34"/>
  <c r="P1888" i="34"/>
  <c r="P1936" i="34"/>
  <c r="O1940" i="34"/>
  <c r="P1479" i="34"/>
  <c r="P1533" i="34"/>
  <c r="Q1539" i="34"/>
  <c r="P1543" i="34"/>
  <c r="O1696" i="34"/>
  <c r="P1727" i="34"/>
  <c r="P1750" i="34"/>
  <c r="P1754" i="34"/>
  <c r="O1784" i="34"/>
  <c r="Q1979" i="34"/>
  <c r="O2006" i="34"/>
  <c r="Q2010" i="34"/>
  <c r="Q1815" i="34"/>
  <c r="Q1898" i="34"/>
  <c r="O1902" i="34"/>
  <c r="Q1906" i="34"/>
  <c r="Q1952" i="34"/>
  <c r="Q1960" i="34"/>
  <c r="O2014" i="34"/>
  <c r="Q2018" i="34"/>
  <c r="O2033" i="34"/>
  <c r="P1816" i="34"/>
  <c r="Q1820" i="34"/>
  <c r="O1910" i="34"/>
  <c r="O1916" i="34"/>
  <c r="Q1863" i="34"/>
  <c r="Q1871" i="34"/>
  <c r="Q1924" i="34"/>
  <c r="O1822" i="34"/>
  <c r="O1826" i="34"/>
  <c r="Q1830" i="34"/>
  <c r="O1834" i="34"/>
  <c r="Q1838" i="34"/>
  <c r="Q1876" i="34"/>
  <c r="O1934" i="34"/>
  <c r="Q1888" i="34"/>
  <c r="Q1936" i="34"/>
  <c r="Q1944" i="34"/>
  <c r="P1725" i="34"/>
  <c r="P1731" i="34"/>
  <c r="P1752" i="34"/>
  <c r="P1975" i="34"/>
  <c r="P1983" i="34"/>
  <c r="O1815" i="34"/>
  <c r="P1902" i="34"/>
  <c r="O1952" i="34"/>
  <c r="P1956" i="34"/>
  <c r="O1985" i="34"/>
  <c r="O1993" i="34"/>
  <c r="O1816" i="34"/>
  <c r="Q1910" i="34"/>
  <c r="O1863" i="34"/>
  <c r="P1867" i="34"/>
  <c r="P1920" i="34"/>
  <c r="O1924" i="34"/>
  <c r="Q2001" i="34"/>
  <c r="P2001" i="34"/>
  <c r="P1822" i="34"/>
  <c r="P1826" i="34"/>
  <c r="P1834" i="34"/>
  <c r="Q1845" i="34"/>
  <c r="O1849" i="34"/>
  <c r="P1880" i="34"/>
  <c r="P1853" i="34"/>
  <c r="P1934" i="34"/>
  <c r="P1884" i="34"/>
  <c r="P1892" i="34"/>
  <c r="P1940" i="34"/>
  <c r="Q1892" i="34"/>
  <c r="Q1940" i="34"/>
  <c r="P1944" i="34"/>
  <c r="P1806" i="34"/>
  <c r="O1778" i="34"/>
  <c r="Q1782" i="34"/>
  <c r="Q1078" i="34"/>
  <c r="Q1690" i="34"/>
  <c r="Q1716" i="34"/>
  <c r="Q1772" i="34"/>
  <c r="Q1529" i="34"/>
  <c r="Q1556" i="34"/>
  <c r="O1560" i="34"/>
  <c r="Q1628" i="34"/>
  <c r="O1632" i="34"/>
  <c r="Q1670" i="34"/>
  <c r="O1403" i="34"/>
  <c r="Q1444" i="34"/>
  <c r="O1448" i="34"/>
  <c r="Q1474" i="34"/>
  <c r="Q1263" i="34"/>
  <c r="Q1297" i="34"/>
  <c r="Q1325" i="34"/>
  <c r="Q1348" i="34"/>
  <c r="Q1211" i="34"/>
  <c r="O1215" i="34"/>
  <c r="Q1253" i="34"/>
  <c r="Q1715" i="34"/>
  <c r="Q1142" i="34"/>
  <c r="Q1654" i="34"/>
  <c r="O1650" i="34"/>
  <c r="Q1613" i="34"/>
  <c r="Q1592" i="34"/>
  <c r="O1588" i="34"/>
  <c r="Q1584" i="34"/>
  <c r="Q1493" i="34"/>
  <c r="O1411" i="34"/>
  <c r="Q1397" i="34"/>
  <c r="O1387" i="34"/>
  <c r="Q1383" i="34"/>
  <c r="Q1344" i="34"/>
  <c r="Q1289" i="34"/>
  <c r="O1189" i="34"/>
  <c r="O1185" i="34"/>
  <c r="O1133" i="34"/>
  <c r="Q1129" i="34"/>
  <c r="O1125" i="34"/>
  <c r="Q1093" i="34"/>
  <c r="O1089" i="34"/>
  <c r="Q1085" i="34"/>
  <c r="O326" i="34"/>
  <c r="Q331" i="34"/>
  <c r="O336" i="34"/>
  <c r="Q340" i="34"/>
  <c r="O345" i="34"/>
  <c r="Q350" i="34"/>
  <c r="O356" i="34"/>
  <c r="Q361" i="34"/>
  <c r="O366" i="34"/>
  <c r="Q498" i="34"/>
  <c r="O502" i="34"/>
  <c r="Q506" i="34"/>
  <c r="O510" i="34"/>
  <c r="Q514" i="34"/>
  <c r="O518" i="34"/>
  <c r="Q522" i="34"/>
  <c r="O526" i="34"/>
  <c r="Q530" i="34"/>
  <c r="O534" i="34"/>
  <c r="Q538" i="34"/>
  <c r="O612" i="34"/>
  <c r="Q948" i="34"/>
  <c r="O952" i="34"/>
  <c r="Q956" i="34"/>
  <c r="O960" i="34"/>
  <c r="Q964" i="34"/>
  <c r="O968" i="34"/>
  <c r="Q972" i="34"/>
  <c r="O976" i="34"/>
  <c r="Q980" i="34"/>
  <c r="O984" i="34"/>
  <c r="Q988" i="34"/>
  <c r="O992" i="34"/>
  <c r="Q996" i="34"/>
  <c r="O1000" i="34"/>
  <c r="Q1004" i="34"/>
  <c r="Q1008" i="34"/>
  <c r="Q1779" i="34"/>
  <c r="Q1143" i="34"/>
  <c r="Q1687" i="34"/>
  <c r="O1742" i="34"/>
  <c r="Q1746" i="34"/>
  <c r="Q1530" i="34"/>
  <c r="Q1561" i="34"/>
  <c r="Q1633" i="34"/>
  <c r="Q1441" i="34"/>
  <c r="Q1449" i="34"/>
  <c r="Q1520" i="34"/>
  <c r="O1524" i="34"/>
  <c r="Q1349" i="34"/>
  <c r="Q1169" i="34"/>
  <c r="O1173" i="34"/>
  <c r="Q1216" i="34"/>
  <c r="Q1135" i="34"/>
  <c r="Q1167" i="34"/>
  <c r="Q1714" i="34"/>
  <c r="Q1668" i="34"/>
  <c r="O1616" i="34"/>
  <c r="Q1612" i="34"/>
  <c r="Q1574" i="34"/>
  <c r="Q1492" i="34"/>
  <c r="O1488" i="34"/>
  <c r="Q1418" i="34"/>
  <c r="Q1392" i="34"/>
  <c r="Q1292" i="34"/>
  <c r="Q1205" i="34"/>
  <c r="Q1162" i="34"/>
  <c r="Q1107" i="34"/>
  <c r="Q333" i="34"/>
  <c r="Q342" i="34"/>
  <c r="Q352" i="34"/>
  <c r="Q362" i="34"/>
  <c r="Q499" i="34"/>
  <c r="Q507" i="34"/>
  <c r="Q515" i="34"/>
  <c r="Q523" i="34"/>
  <c r="Q531" i="34"/>
  <c r="Q602" i="34"/>
  <c r="Q949" i="34"/>
  <c r="Q957" i="34"/>
  <c r="Q965" i="34"/>
  <c r="Q973" i="34"/>
  <c r="Q981" i="34"/>
  <c r="Q989" i="34"/>
  <c r="Q997" i="34"/>
  <c r="Q1005" i="34"/>
  <c r="O1013" i="34"/>
  <c r="Q1017" i="34"/>
  <c r="O1021" i="34"/>
  <c r="Q1806" i="34"/>
  <c r="P1778" i="34"/>
  <c r="O1078" i="34"/>
  <c r="P1146" i="34"/>
  <c r="O1716" i="34"/>
  <c r="P1720" i="34"/>
  <c r="Q1741" i="34"/>
  <c r="P1741" i="34"/>
  <c r="O1745" i="34"/>
  <c r="O1772" i="34"/>
  <c r="P1525" i="34"/>
  <c r="O1529" i="34"/>
  <c r="P1560" i="34"/>
  <c r="P1632" i="34"/>
  <c r="P1403" i="34"/>
  <c r="P1448" i="34"/>
  <c r="P1470" i="34"/>
  <c r="O1474" i="34"/>
  <c r="O1519" i="34"/>
  <c r="Q1523" i="34"/>
  <c r="P1523" i="34"/>
  <c r="O1297" i="34"/>
  <c r="P1301" i="34"/>
  <c r="O1325" i="34"/>
  <c r="P1329" i="34"/>
  <c r="O1348" i="34"/>
  <c r="O1362" i="34"/>
  <c r="Q1172" i="34"/>
  <c r="P1172" i="34"/>
  <c r="P1215" i="34"/>
  <c r="P1249" i="34"/>
  <c r="O1253" i="34"/>
  <c r="P1257" i="34"/>
  <c r="O1715" i="34"/>
  <c r="P1138" i="34"/>
  <c r="O1142" i="34"/>
  <c r="O1669" i="34"/>
  <c r="Q1665" i="34"/>
  <c r="P1665" i="34"/>
  <c r="P1650" i="34"/>
  <c r="P1617" i="34"/>
  <c r="O1613" i="34"/>
  <c r="P1588" i="34"/>
  <c r="Q1579" i="34"/>
  <c r="P1579" i="34"/>
  <c r="O1575" i="34"/>
  <c r="O1493" i="34"/>
  <c r="P1489" i="34"/>
  <c r="Q1423" i="34"/>
  <c r="P1423" i="34"/>
  <c r="O1419" i="34"/>
  <c r="Q1415" i="34"/>
  <c r="P1415" i="34"/>
  <c r="O1397" i="34"/>
  <c r="P1393" i="34"/>
  <c r="P1387" i="34"/>
  <c r="O1344" i="34"/>
  <c r="P1293" i="34"/>
  <c r="O1289" i="34"/>
  <c r="O1206" i="34"/>
  <c r="Q1202" i="34"/>
  <c r="P1202" i="34"/>
  <c r="P1185" i="34"/>
  <c r="P1163" i="34"/>
  <c r="P1133" i="34"/>
  <c r="P1125" i="34"/>
  <c r="O1108" i="34"/>
  <c r="Q1104" i="34"/>
  <c r="P1104" i="34"/>
  <c r="P1089" i="34"/>
  <c r="P326" i="34"/>
  <c r="P336" i="34"/>
  <c r="P345" i="34"/>
  <c r="P356" i="34"/>
  <c r="P366" i="34"/>
  <c r="P502" i="34"/>
  <c r="P510" i="34"/>
  <c r="P518" i="34"/>
  <c r="P526" i="34"/>
  <c r="P534" i="34"/>
  <c r="P612" i="34"/>
  <c r="P952" i="34"/>
  <c r="P960" i="34"/>
  <c r="P968" i="34"/>
  <c r="P976" i="34"/>
  <c r="P984" i="34"/>
  <c r="P992" i="34"/>
  <c r="P1000" i="34"/>
  <c r="P1008" i="34"/>
  <c r="O1012" i="34"/>
  <c r="Q1016" i="34"/>
  <c r="P1016" i="34"/>
  <c r="O1020" i="34"/>
  <c r="Q1072" i="34"/>
  <c r="P1072" i="34"/>
  <c r="Q1805" i="34"/>
  <c r="P1805" i="34"/>
  <c r="O1779" i="34"/>
  <c r="O1076" i="34"/>
  <c r="O1143" i="34"/>
  <c r="P1147" i="34"/>
  <c r="O1687" i="34"/>
  <c r="P1691" i="34"/>
  <c r="Q1717" i="34"/>
  <c r="P1717" i="34"/>
  <c r="O1721" i="34"/>
  <c r="P1742" i="34"/>
  <c r="Q1773" i="34"/>
  <c r="P1773" i="34"/>
  <c r="P1526" i="34"/>
  <c r="O1530" i="34"/>
  <c r="P1557" i="34"/>
  <c r="O1561" i="34"/>
  <c r="P1629" i="34"/>
  <c r="O1633" i="34"/>
  <c r="O1685" i="34"/>
  <c r="O1441" i="34"/>
  <c r="P1445" i="34"/>
  <c r="O1449" i="34"/>
  <c r="O1471" i="34"/>
  <c r="Q1475" i="34"/>
  <c r="P1475" i="34"/>
  <c r="P1524" i="34"/>
  <c r="O1294" i="34"/>
  <c r="Q1298" i="34"/>
  <c r="P1298" i="34"/>
  <c r="O1322" i="34"/>
  <c r="Q1326" i="34"/>
  <c r="P1326" i="34"/>
  <c r="P1345" i="34"/>
  <c r="O1349" i="34"/>
  <c r="P1173" i="34"/>
  <c r="P1212" i="34"/>
  <c r="O1216" i="34"/>
  <c r="O1250" i="34"/>
  <c r="Q1254" i="34"/>
  <c r="P1254" i="34"/>
  <c r="O1258" i="34"/>
  <c r="O1135" i="34"/>
  <c r="P1139" i="34"/>
  <c r="O1167" i="34"/>
  <c r="O1668" i="34"/>
  <c r="P1664" i="34"/>
  <c r="Q1653" i="34"/>
  <c r="P1653" i="34"/>
  <c r="O1649" i="34"/>
  <c r="P1616" i="34"/>
  <c r="Q1591" i="34"/>
  <c r="P1591" i="34"/>
  <c r="O1587" i="34"/>
  <c r="Q1583" i="34"/>
  <c r="P1583" i="34"/>
  <c r="P1578" i="34"/>
  <c r="O1574" i="34"/>
  <c r="P1488" i="34"/>
  <c r="P1422" i="34"/>
  <c r="O1418" i="34"/>
  <c r="P1414" i="34"/>
  <c r="Q1410" i="34"/>
  <c r="P1410" i="34"/>
  <c r="P1396" i="34"/>
  <c r="O1392" i="34"/>
  <c r="O1386" i="34"/>
  <c r="Q1382" i="34"/>
  <c r="P1382" i="34"/>
  <c r="P1321" i="34"/>
  <c r="O1292" i="34"/>
  <c r="P1209" i="34"/>
  <c r="O1205" i="34"/>
  <c r="P1192" i="34"/>
  <c r="Q1188" i="34"/>
  <c r="P1188" i="34"/>
  <c r="P1166" i="34"/>
  <c r="O1162" i="34"/>
  <c r="O1132" i="34"/>
  <c r="Q1778" i="34"/>
  <c r="O1782" i="34"/>
  <c r="Q1146" i="34"/>
  <c r="O1690" i="34"/>
  <c r="Q1720" i="34"/>
  <c r="Q1525" i="34"/>
  <c r="O1556" i="34"/>
  <c r="Q1560" i="34"/>
  <c r="O1628" i="34"/>
  <c r="Q1632" i="34"/>
  <c r="O1670" i="34"/>
  <c r="Q1403" i="34"/>
  <c r="O1444" i="34"/>
  <c r="Q1448" i="34"/>
  <c r="Q1470" i="34"/>
  <c r="O1263" i="34"/>
  <c r="Q1301" i="34"/>
  <c r="Q1329" i="34"/>
  <c r="O1211" i="34"/>
  <c r="Q1215" i="34"/>
  <c r="Q1249" i="34"/>
  <c r="Q1257" i="34"/>
  <c r="Q1138" i="34"/>
  <c r="O1654" i="34"/>
  <c r="Q1650" i="34"/>
  <c r="Q1617" i="34"/>
  <c r="O1592" i="34"/>
  <c r="Q1588" i="34"/>
  <c r="O1584" i="34"/>
  <c r="Q1489" i="34"/>
  <c r="Q1411" i="34"/>
  <c r="Q1393" i="34"/>
  <c r="Q1387" i="34"/>
  <c r="O1383" i="34"/>
  <c r="Q1293" i="34"/>
  <c r="Q1189" i="34"/>
  <c r="Q1185" i="34"/>
  <c r="Q1163" i="34"/>
  <c r="Q1133" i="34"/>
  <c r="O1129" i="34"/>
  <c r="Q1125" i="34"/>
  <c r="O1093" i="34"/>
  <c r="Q1089" i="34"/>
  <c r="O1085" i="34"/>
  <c r="Q326" i="34"/>
  <c r="O331" i="34"/>
  <c r="Q336" i="34"/>
  <c r="O340" i="34"/>
  <c r="Q345" i="34"/>
  <c r="O350" i="34"/>
  <c r="Q356" i="34"/>
  <c r="O361" i="34"/>
  <c r="Q366" i="34"/>
  <c r="O498" i="34"/>
  <c r="Q502" i="34"/>
  <c r="O506" i="34"/>
  <c r="Q510" i="34"/>
  <c r="O514" i="34"/>
  <c r="Q518" i="34"/>
  <c r="O522" i="34"/>
  <c r="Q526" i="34"/>
  <c r="O530" i="34"/>
  <c r="Q534" i="34"/>
  <c r="O538" i="34"/>
  <c r="Q612" i="34"/>
  <c r="O948" i="34"/>
  <c r="Q952" i="34"/>
  <c r="O956" i="34"/>
  <c r="Q960" i="34"/>
  <c r="O964" i="34"/>
  <c r="Q968" i="34"/>
  <c r="O972" i="34"/>
  <c r="Q976" i="34"/>
  <c r="O980" i="34"/>
  <c r="Q984" i="34"/>
  <c r="O988" i="34"/>
  <c r="Q992" i="34"/>
  <c r="O996" i="34"/>
  <c r="Q1000" i="34"/>
  <c r="O1004" i="34"/>
  <c r="O1008" i="34"/>
  <c r="Q1147" i="34"/>
  <c r="Q1691" i="34"/>
  <c r="Q1742" i="34"/>
  <c r="O1746" i="34"/>
  <c r="Q1526" i="34"/>
  <c r="Q1557" i="34"/>
  <c r="Q1629" i="34"/>
  <c r="Q1445" i="34"/>
  <c r="O1520" i="34"/>
  <c r="Q1524" i="34"/>
  <c r="Q1345" i="34"/>
  <c r="O1169" i="34"/>
  <c r="Q1173" i="34"/>
  <c r="Q1212" i="34"/>
  <c r="Q1139" i="34"/>
  <c r="O1714" i="34"/>
  <c r="Q1664" i="34"/>
  <c r="Q1616" i="34"/>
  <c r="O1612" i="34"/>
  <c r="Q1578" i="34"/>
  <c r="O1492" i="34"/>
  <c r="Q1488" i="34"/>
  <c r="Q1422" i="34"/>
  <c r="O1414" i="34"/>
  <c r="Q1396" i="34"/>
  <c r="Q1321" i="34"/>
  <c r="Q1209" i="34"/>
  <c r="Q1192" i="34"/>
  <c r="Q1166" i="34"/>
  <c r="Q1111" i="34"/>
  <c r="Q328" i="34"/>
  <c r="Q337" i="34"/>
  <c r="Q346" i="34"/>
  <c r="Q357" i="34"/>
  <c r="Q495" i="34"/>
  <c r="Q503" i="34"/>
  <c r="Q511" i="34"/>
  <c r="Q519" i="34"/>
  <c r="Q527" i="34"/>
  <c r="Q535" i="34"/>
  <c r="Q613" i="34"/>
  <c r="Q953" i="34"/>
  <c r="Q961" i="34"/>
  <c r="Q969" i="34"/>
  <c r="Q977" i="34"/>
  <c r="Q985" i="34"/>
  <c r="Q993" i="34"/>
  <c r="Q1001" i="34"/>
  <c r="P1009" i="34"/>
  <c r="Q1013" i="34"/>
  <c r="O1017" i="34"/>
  <c r="Q1021" i="34"/>
  <c r="O1806" i="34"/>
  <c r="P1782" i="34"/>
  <c r="P1078" i="34"/>
  <c r="O1146" i="34"/>
  <c r="P1690" i="34"/>
  <c r="P1716" i="34"/>
  <c r="O1720" i="34"/>
  <c r="O1741" i="34"/>
  <c r="Q1745" i="34"/>
  <c r="P1745" i="34"/>
  <c r="P1772" i="34"/>
  <c r="O1525" i="34"/>
  <c r="P1529" i="34"/>
  <c r="P1556" i="34"/>
  <c r="P1628" i="34"/>
  <c r="P1670" i="34"/>
  <c r="P1444" i="34"/>
  <c r="O1470" i="34"/>
  <c r="P1474" i="34"/>
  <c r="Q1519" i="34"/>
  <c r="P1519" i="34"/>
  <c r="O1523" i="34"/>
  <c r="P1263" i="34"/>
  <c r="P1297" i="34"/>
  <c r="O1301" i="34"/>
  <c r="P1325" i="34"/>
  <c r="O1329" i="34"/>
  <c r="P1348" i="34"/>
  <c r="Q1362" i="34"/>
  <c r="P1362" i="34"/>
  <c r="O1172" i="34"/>
  <c r="P1211" i="34"/>
  <c r="O1249" i="34"/>
  <c r="P1253" i="34"/>
  <c r="O1257" i="34"/>
  <c r="P1715" i="34"/>
  <c r="O1138" i="34"/>
  <c r="P1142" i="34"/>
  <c r="Q1669" i="34"/>
  <c r="P1669" i="34"/>
  <c r="O1665" i="34"/>
  <c r="P1654" i="34"/>
  <c r="O1617" i="34"/>
  <c r="P1613" i="34"/>
  <c r="P1592" i="34"/>
  <c r="P1584" i="34"/>
  <c r="O1579" i="34"/>
  <c r="Q1575" i="34"/>
  <c r="P1575" i="34"/>
  <c r="P1493" i="34"/>
  <c r="O1489" i="34"/>
  <c r="O1423" i="34"/>
  <c r="Q1419" i="34"/>
  <c r="P1419" i="34"/>
  <c r="O1415" i="34"/>
  <c r="P1411" i="34"/>
  <c r="P1397" i="34"/>
  <c r="O1393" i="34"/>
  <c r="P1383" i="34"/>
  <c r="P1344" i="34"/>
  <c r="O1293" i="34"/>
  <c r="P1289" i="34"/>
  <c r="Q1206" i="34"/>
  <c r="P1206" i="34"/>
  <c r="O1202" i="34"/>
  <c r="P1189" i="34"/>
  <c r="O1163" i="34"/>
  <c r="P1129" i="34"/>
  <c r="Q1108" i="34"/>
  <c r="P1108" i="34"/>
  <c r="O1104" i="34"/>
  <c r="P1093" i="34"/>
  <c r="P1085" i="34"/>
  <c r="P331" i="34"/>
  <c r="P340" i="34"/>
  <c r="P350" i="34"/>
  <c r="P361" i="34"/>
  <c r="P498" i="34"/>
  <c r="P506" i="34"/>
  <c r="P514" i="34"/>
  <c r="P522" i="34"/>
  <c r="P530" i="34"/>
  <c r="P538" i="34"/>
  <c r="P948" i="34"/>
  <c r="P956" i="34"/>
  <c r="P964" i="34"/>
  <c r="P972" i="34"/>
  <c r="P980" i="34"/>
  <c r="P988" i="34"/>
  <c r="P996" i="34"/>
  <c r="P1004" i="34"/>
  <c r="Q1012" i="34"/>
  <c r="P1012" i="34"/>
  <c r="O1016" i="34"/>
  <c r="Q1020" i="34"/>
  <c r="P1020" i="34"/>
  <c r="O1072" i="34"/>
  <c r="O1805" i="34"/>
  <c r="P1779" i="34"/>
  <c r="Q1076" i="34"/>
  <c r="P1076" i="34"/>
  <c r="P1143" i="34"/>
  <c r="O1147" i="34"/>
  <c r="P1687" i="34"/>
  <c r="O1691" i="34"/>
  <c r="O1717" i="34"/>
  <c r="Q1721" i="34"/>
  <c r="P1721" i="34"/>
  <c r="P1746" i="34"/>
  <c r="O1773" i="34"/>
  <c r="O1526" i="34"/>
  <c r="P1530" i="34"/>
  <c r="O1557" i="34"/>
  <c r="P1561" i="34"/>
  <c r="O1629" i="34"/>
  <c r="P1633" i="34"/>
  <c r="Q1685" i="34"/>
  <c r="P1685" i="34"/>
  <c r="P1441" i="34"/>
  <c r="O1445" i="34"/>
  <c r="P1449" i="34"/>
  <c r="Q1471" i="34"/>
  <c r="P1471" i="34"/>
  <c r="O1475" i="34"/>
  <c r="P1520" i="34"/>
  <c r="Q1294" i="34"/>
  <c r="P1294" i="34"/>
  <c r="O1298" i="34"/>
  <c r="Q1322" i="34"/>
  <c r="P1322" i="34"/>
  <c r="O1326" i="34"/>
  <c r="O1345" i="34"/>
  <c r="P1349" i="34"/>
  <c r="P1169" i="34"/>
  <c r="O1212" i="34"/>
  <c r="P1216" i="34"/>
  <c r="Q1250" i="34"/>
  <c r="P1250" i="34"/>
  <c r="O1254" i="34"/>
  <c r="Q1258" i="34"/>
  <c r="P1258" i="34"/>
  <c r="P1135" i="34"/>
  <c r="O1139" i="34"/>
  <c r="P1167" i="34"/>
  <c r="P1714" i="34"/>
  <c r="P1668" i="34"/>
  <c r="O1664" i="34"/>
  <c r="O1653" i="34"/>
  <c r="Q1649" i="34"/>
  <c r="P1649" i="34"/>
  <c r="P1612" i="34"/>
  <c r="O1591" i="34"/>
  <c r="Q1587" i="34"/>
  <c r="P1587" i="34"/>
  <c r="O1583" i="34"/>
  <c r="O1578" i="34"/>
  <c r="P1574" i="34"/>
  <c r="P1492" i="34"/>
  <c r="O1422" i="34"/>
  <c r="P1418" i="34"/>
  <c r="Q1414" i="34"/>
  <c r="O1410" i="34"/>
  <c r="O1396" i="34"/>
  <c r="P1392" i="34"/>
  <c r="Q1386" i="34"/>
  <c r="P1386" i="34"/>
  <c r="O1382" i="34"/>
  <c r="O1321" i="34"/>
  <c r="P1292" i="34"/>
  <c r="O1209" i="34"/>
  <c r="P1205" i="34"/>
  <c r="O1192" i="34"/>
  <c r="O1188" i="34"/>
  <c r="O1166" i="34"/>
  <c r="P1162" i="34"/>
  <c r="Q1132" i="34"/>
  <c r="P1132" i="34"/>
  <c r="O1128" i="34"/>
  <c r="O1111" i="34"/>
  <c r="O1096" i="34"/>
  <c r="Q1092" i="34"/>
  <c r="P1092" i="34"/>
  <c r="O1088" i="34"/>
  <c r="Q1084" i="34"/>
  <c r="P1084" i="34"/>
  <c r="P328" i="34"/>
  <c r="O337" i="34"/>
  <c r="P346" i="34"/>
  <c r="O357" i="34"/>
  <c r="P495" i="34"/>
  <c r="O503" i="34"/>
  <c r="P511" i="34"/>
  <c r="O519" i="34"/>
  <c r="P527" i="34"/>
  <c r="O535" i="34"/>
  <c r="P613" i="34"/>
  <c r="O953" i="34"/>
  <c r="P961" i="34"/>
  <c r="O969" i="34"/>
  <c r="P977" i="34"/>
  <c r="O985" i="34"/>
  <c r="P993" i="34"/>
  <c r="O1001" i="34"/>
  <c r="Q1009" i="34"/>
  <c r="O1776" i="34"/>
  <c r="P1780" i="34"/>
  <c r="P1247" i="34"/>
  <c r="O1144" i="34"/>
  <c r="Q1148" i="34"/>
  <c r="P1148" i="34"/>
  <c r="P1688" i="34"/>
  <c r="O1692" i="34"/>
  <c r="P1722" i="34"/>
  <c r="P1743" i="34"/>
  <c r="O1747" i="34"/>
  <c r="Q1527" i="34"/>
  <c r="P1527" i="34"/>
  <c r="O1531" i="34"/>
  <c r="O1558" i="34"/>
  <c r="P1562" i="34"/>
  <c r="O1630" i="34"/>
  <c r="P1634" i="34"/>
  <c r="P1686" i="34"/>
  <c r="P1442" i="34"/>
  <c r="O1446" i="34"/>
  <c r="P1472" i="34"/>
  <c r="O1499" i="34"/>
  <c r="O1521" i="34"/>
  <c r="P1261" i="34"/>
  <c r="P1295" i="34"/>
  <c r="P1323" i="34"/>
  <c r="Q1346" i="34"/>
  <c r="P1346" i="34"/>
  <c r="P1360" i="34"/>
  <c r="O1170" i="34"/>
  <c r="P1174" i="34"/>
  <c r="O1213" i="34"/>
  <c r="P1217" i="34"/>
  <c r="P1251" i="34"/>
  <c r="P1259" i="34"/>
  <c r="O1136" i="34"/>
  <c r="Q1140" i="34"/>
  <c r="P1140" i="34"/>
  <c r="O1168" i="34"/>
  <c r="Q1713" i="34"/>
  <c r="P1713" i="34"/>
  <c r="P1667" i="34"/>
  <c r="O1663" i="34"/>
  <c r="P1652" i="34"/>
  <c r="O1648" i="34"/>
  <c r="O1615" i="34"/>
  <c r="Q1611" i="34"/>
  <c r="P1611" i="34"/>
  <c r="P1590" i="34"/>
  <c r="O1586" i="34"/>
  <c r="P1581" i="34"/>
  <c r="O1577" i="34"/>
  <c r="P1573" i="34"/>
  <c r="Q1491" i="34"/>
  <c r="P1491" i="34"/>
  <c r="P1425" i="34"/>
  <c r="O1421" i="34"/>
  <c r="P1417" i="34"/>
  <c r="Q1413" i="34"/>
  <c r="P1413" i="34"/>
  <c r="P1395" i="34"/>
  <c r="P1389" i="34"/>
  <c r="O1385" i="34"/>
  <c r="P1381" i="34"/>
  <c r="O1320" i="34"/>
  <c r="O1208" i="34"/>
  <c r="P1204" i="34"/>
  <c r="P1191" i="34"/>
  <c r="P1165" i="34"/>
  <c r="O1131" i="34"/>
  <c r="P1127" i="34"/>
  <c r="O1110" i="34"/>
  <c r="P1106" i="34"/>
  <c r="O1095" i="34"/>
  <c r="P1091" i="34"/>
  <c r="O1087" i="34"/>
  <c r="P1083" i="34"/>
  <c r="O324" i="34"/>
  <c r="P329" i="34"/>
  <c r="O334" i="34"/>
  <c r="P338" i="34"/>
  <c r="O343" i="34"/>
  <c r="P348" i="34"/>
  <c r="O353" i="34"/>
  <c r="P358" i="34"/>
  <c r="O363" i="34"/>
  <c r="P496" i="34"/>
  <c r="O500" i="34"/>
  <c r="P504" i="34"/>
  <c r="O508" i="34"/>
  <c r="P512" i="34"/>
  <c r="O516" i="34"/>
  <c r="P520" i="34"/>
  <c r="O524" i="34"/>
  <c r="P528" i="34"/>
  <c r="O532" i="34"/>
  <c r="P536" i="34"/>
  <c r="Q603" i="34"/>
  <c r="P603" i="34"/>
  <c r="P946" i="34"/>
  <c r="O950" i="34"/>
  <c r="P954" i="34"/>
  <c r="O958" i="34"/>
  <c r="P962" i="34"/>
  <c r="O966" i="34"/>
  <c r="P970" i="34"/>
  <c r="O974" i="34"/>
  <c r="P978" i="34"/>
  <c r="O982" i="34"/>
  <c r="P986" i="34"/>
  <c r="O990" i="34"/>
  <c r="P994" i="34"/>
  <c r="O998" i="34"/>
  <c r="P1002" i="34"/>
  <c r="O1006" i="34"/>
  <c r="P1010" i="34"/>
  <c r="O1014" i="34"/>
  <c r="P1018" i="34"/>
  <c r="O1022" i="34"/>
  <c r="O1821" i="34"/>
  <c r="P1777" i="34"/>
  <c r="P1077" i="34"/>
  <c r="Q1693" i="34"/>
  <c r="O1723" i="34"/>
  <c r="O1748" i="34"/>
  <c r="P1559" i="34"/>
  <c r="P1631" i="34"/>
  <c r="O1368" i="34"/>
  <c r="Q1447" i="34"/>
  <c r="P1469" i="34"/>
  <c r="P1518" i="34"/>
  <c r="O1296" i="34"/>
  <c r="O1324" i="34"/>
  <c r="P1347" i="34"/>
  <c r="O1171" i="34"/>
  <c r="P1214" i="34"/>
  <c r="O1252" i="34"/>
  <c r="O1260" i="34"/>
  <c r="P1082" i="34"/>
  <c r="P1651" i="34"/>
  <c r="P1614" i="34"/>
  <c r="P1589" i="34"/>
  <c r="P1576" i="34"/>
  <c r="O1490" i="34"/>
  <c r="P1412" i="34"/>
  <c r="Q1394" i="34"/>
  <c r="P1388" i="34"/>
  <c r="O1290" i="34"/>
  <c r="P1186" i="34"/>
  <c r="P1164" i="34"/>
  <c r="O1130" i="34"/>
  <c r="P1109" i="34"/>
  <c r="O1086" i="34"/>
  <c r="Q330" i="34"/>
  <c r="Q339" i="34"/>
  <c r="O344" i="34"/>
  <c r="P349" i="34"/>
  <c r="Q360" i="34"/>
  <c r="O364" i="34"/>
  <c r="P497" i="34"/>
  <c r="Q505" i="34"/>
  <c r="O509" i="34"/>
  <c r="P513" i="34"/>
  <c r="Q521" i="34"/>
  <c r="Q529" i="34"/>
  <c r="O533" i="34"/>
  <c r="P537" i="34"/>
  <c r="P947" i="34"/>
  <c r="Q955" i="34"/>
  <c r="O959" i="34"/>
  <c r="P963" i="34"/>
  <c r="Q971" i="34"/>
  <c r="O975" i="34"/>
  <c r="P979" i="34"/>
  <c r="Q987" i="34"/>
  <c r="Q995" i="34"/>
  <c r="O999" i="34"/>
  <c r="P1003" i="34"/>
  <c r="O1011" i="34"/>
  <c r="O1019" i="34"/>
  <c r="P959" i="34"/>
  <c r="O987" i="34"/>
  <c r="Q999" i="34"/>
  <c r="Q1007" i="34"/>
  <c r="P1019" i="34"/>
  <c r="O1107" i="34"/>
  <c r="P333" i="34"/>
  <c r="O342" i="34"/>
  <c r="P352" i="34"/>
  <c r="O362" i="34"/>
  <c r="P499" i="34"/>
  <c r="O507" i="34"/>
  <c r="P515" i="34"/>
  <c r="O523" i="34"/>
  <c r="P531" i="34"/>
  <c r="O602" i="34"/>
  <c r="P949" i="34"/>
  <c r="O957" i="34"/>
  <c r="P965" i="34"/>
  <c r="O973" i="34"/>
  <c r="P981" i="34"/>
  <c r="O989" i="34"/>
  <c r="P997" i="34"/>
  <c r="O1005" i="34"/>
  <c r="Q1780" i="34"/>
  <c r="Q1247" i="34"/>
  <c r="Q1688" i="34"/>
  <c r="O1718" i="34"/>
  <c r="Q1722" i="34"/>
  <c r="Q1743" i="34"/>
  <c r="O1774" i="34"/>
  <c r="Q1562" i="34"/>
  <c r="Q1634" i="34"/>
  <c r="Q1686" i="34"/>
  <c r="Q1442" i="34"/>
  <c r="O1468" i="34"/>
  <c r="Q1472" i="34"/>
  <c r="Q1261" i="34"/>
  <c r="Q1295" i="34"/>
  <c r="O1299" i="34"/>
  <c r="Q1323" i="34"/>
  <c r="O1327" i="34"/>
  <c r="Q1360" i="34"/>
  <c r="Q1174" i="34"/>
  <c r="Q1217" i="34"/>
  <c r="Q1251" i="34"/>
  <c r="O1255" i="34"/>
  <c r="Q1259" i="34"/>
  <c r="Q1667" i="34"/>
  <c r="Q1652" i="34"/>
  <c r="Q1590" i="34"/>
  <c r="Q1581" i="34"/>
  <c r="Q1573" i="34"/>
  <c r="Q1425" i="34"/>
  <c r="Q1417" i="34"/>
  <c r="O1399" i="34"/>
  <c r="Q1395" i="34"/>
  <c r="Q1389" i="34"/>
  <c r="Q1381" i="34"/>
  <c r="O1291" i="34"/>
  <c r="Q1204" i="34"/>
  <c r="Q1191" i="34"/>
  <c r="O1187" i="34"/>
  <c r="Q1165" i="34"/>
  <c r="O1161" i="34"/>
  <c r="Q1127" i="34"/>
  <c r="Q1106" i="34"/>
  <c r="Q1091" i="34"/>
  <c r="Q1083" i="34"/>
  <c r="Q329" i="34"/>
  <c r="Q338" i="34"/>
  <c r="Q348" i="34"/>
  <c r="Q358" i="34"/>
  <c r="Q496" i="34"/>
  <c r="Q504" i="34"/>
  <c r="Q512" i="34"/>
  <c r="Q520" i="34"/>
  <c r="Q528" i="34"/>
  <c r="Q536" i="34"/>
  <c r="Q946" i="34"/>
  <c r="Q954" i="34"/>
  <c r="Q962" i="34"/>
  <c r="Q970" i="34"/>
  <c r="Q978" i="34"/>
  <c r="Q986" i="34"/>
  <c r="Q994" i="34"/>
  <c r="Q1002" i="34"/>
  <c r="Q1010" i="34"/>
  <c r="Q1018" i="34"/>
  <c r="Q1077" i="34"/>
  <c r="O1145" i="34"/>
  <c r="Q1719" i="34"/>
  <c r="Q1744" i="34"/>
  <c r="Q1775" i="34"/>
  <c r="Q1528" i="34"/>
  <c r="O1532" i="34"/>
  <c r="O1600" i="34"/>
  <c r="Q1469" i="34"/>
  <c r="Q1518" i="34"/>
  <c r="Q1300" i="34"/>
  <c r="Q1328" i="34"/>
  <c r="Q1347" i="34"/>
  <c r="Q1361" i="34"/>
  <c r="Q1248" i="34"/>
  <c r="Q1256" i="34"/>
  <c r="O1137" i="34"/>
  <c r="Q1141" i="34"/>
  <c r="Q1082" i="34"/>
  <c r="O1666" i="34"/>
  <c r="Q1651" i="34"/>
  <c r="Q1614" i="34"/>
  <c r="Q1589" i="34"/>
  <c r="O1580" i="34"/>
  <c r="Q1576" i="34"/>
  <c r="Q1494" i="34"/>
  <c r="O1424" i="34"/>
  <c r="Q1420" i="34"/>
  <c r="O1416" i="34"/>
  <c r="Q1388" i="34"/>
  <c r="O1375" i="34"/>
  <c r="Q1319" i="34"/>
  <c r="Q1207" i="34"/>
  <c r="O1203" i="34"/>
  <c r="Q1186" i="34"/>
  <c r="Q1134" i="34"/>
  <c r="Q1126" i="34"/>
  <c r="Q1109" i="34"/>
  <c r="O1105" i="34"/>
  <c r="Q1090" i="34"/>
  <c r="O604" i="34"/>
  <c r="Q1015" i="34"/>
  <c r="Q1023" i="34"/>
  <c r="P1398" i="34"/>
  <c r="P1190" i="34"/>
  <c r="O1164" i="34"/>
  <c r="O1134" i="34"/>
  <c r="P1130" i="34"/>
  <c r="P1105" i="34"/>
  <c r="O1090" i="34"/>
  <c r="Q325" i="34"/>
  <c r="O330" i="34"/>
  <c r="Q335" i="34"/>
  <c r="O339" i="34"/>
  <c r="P344" i="34"/>
  <c r="Q354" i="34"/>
  <c r="Q364" i="34"/>
  <c r="O497" i="34"/>
  <c r="Q501" i="34"/>
  <c r="O505" i="34"/>
  <c r="P509" i="34"/>
  <c r="Q517" i="34"/>
  <c r="O521" i="34"/>
  <c r="P525" i="34"/>
  <c r="O529" i="34"/>
  <c r="P533" i="34"/>
  <c r="P604" i="34"/>
  <c r="P951" i="34"/>
  <c r="O955" i="34"/>
  <c r="O963" i="34"/>
  <c r="P967" i="34"/>
  <c r="P975" i="34"/>
  <c r="P983" i="34"/>
  <c r="P991" i="34"/>
  <c r="P999" i="34"/>
  <c r="P1011" i="34"/>
  <c r="Q1128" i="34"/>
  <c r="P1128" i="34"/>
  <c r="P1111" i="34"/>
  <c r="Q1096" i="34"/>
  <c r="P1096" i="34"/>
  <c r="O1092" i="34"/>
  <c r="Q1088" i="34"/>
  <c r="P1088" i="34"/>
  <c r="O1084" i="34"/>
  <c r="O328" i="34"/>
  <c r="P337" i="34"/>
  <c r="O346" i="34"/>
  <c r="P357" i="34"/>
  <c r="O495" i="34"/>
  <c r="P503" i="34"/>
  <c r="O511" i="34"/>
  <c r="P519" i="34"/>
  <c r="O527" i="34"/>
  <c r="P535" i="34"/>
  <c r="O613" i="34"/>
  <c r="P953" i="34"/>
  <c r="O961" i="34"/>
  <c r="P969" i="34"/>
  <c r="O977" i="34"/>
  <c r="P985" i="34"/>
  <c r="O993" i="34"/>
  <c r="P1001" i="34"/>
  <c r="O1009" i="34"/>
  <c r="P1776" i="34"/>
  <c r="O1780" i="34"/>
  <c r="Q1144" i="34"/>
  <c r="P1144" i="34"/>
  <c r="O1148" i="34"/>
  <c r="O1688" i="34"/>
  <c r="P1692" i="34"/>
  <c r="P1718" i="34"/>
  <c r="O1743" i="34"/>
  <c r="P1747" i="34"/>
  <c r="P1774" i="34"/>
  <c r="O1527" i="34"/>
  <c r="Q1531" i="34"/>
  <c r="P1531" i="34"/>
  <c r="P1558" i="34"/>
  <c r="O1562" i="34"/>
  <c r="P1630" i="34"/>
  <c r="O1634" i="34"/>
  <c r="O1442" i="34"/>
  <c r="P1446" i="34"/>
  <c r="P1468" i="34"/>
  <c r="Q1499" i="34"/>
  <c r="P1499" i="34"/>
  <c r="P1521" i="34"/>
  <c r="O1261" i="34"/>
  <c r="P1299" i="34"/>
  <c r="P1327" i="34"/>
  <c r="O1346" i="34"/>
  <c r="O1360" i="34"/>
  <c r="P1170" i="34"/>
  <c r="O1174" i="34"/>
  <c r="P1213" i="34"/>
  <c r="O1217" i="34"/>
  <c r="P1255" i="34"/>
  <c r="Q1136" i="34"/>
  <c r="P1136" i="34"/>
  <c r="O1140" i="34"/>
  <c r="Q1168" i="34"/>
  <c r="P1168" i="34"/>
  <c r="O1713" i="34"/>
  <c r="O1667" i="34"/>
  <c r="P1663" i="34"/>
  <c r="O1652" i="34"/>
  <c r="P1648" i="34"/>
  <c r="Q1615" i="34"/>
  <c r="P1615" i="34"/>
  <c r="O1611" i="34"/>
  <c r="O1590" i="34"/>
  <c r="P1586" i="34"/>
  <c r="O1581" i="34"/>
  <c r="P1577" i="34"/>
  <c r="O1573" i="34"/>
  <c r="O1491" i="34"/>
  <c r="O1425" i="34"/>
  <c r="P1421" i="34"/>
  <c r="O1417" i="34"/>
  <c r="P1399" i="34"/>
  <c r="O1389" i="34"/>
  <c r="P1385" i="34"/>
  <c r="O1381" i="34"/>
  <c r="P1320" i="34"/>
  <c r="P1291" i="34"/>
  <c r="P1208" i="34"/>
  <c r="O1204" i="34"/>
  <c r="P1187" i="34"/>
  <c r="P1161" i="34"/>
  <c r="P1131" i="34"/>
  <c r="O1127" i="34"/>
  <c r="P1110" i="34"/>
  <c r="O1106" i="34"/>
  <c r="P1095" i="34"/>
  <c r="O1091" i="34"/>
  <c r="P1087" i="34"/>
  <c r="O1083" i="34"/>
  <c r="P324" i="34"/>
  <c r="O329" i="34"/>
  <c r="P334" i="34"/>
  <c r="O338" i="34"/>
  <c r="P343" i="34"/>
  <c r="O348" i="34"/>
  <c r="P353" i="34"/>
  <c r="O358" i="34"/>
  <c r="P363" i="34"/>
  <c r="O496" i="34"/>
  <c r="P500" i="34"/>
  <c r="O504" i="34"/>
  <c r="P508" i="34"/>
  <c r="O512" i="34"/>
  <c r="P516" i="34"/>
  <c r="O520" i="34"/>
  <c r="P524" i="34"/>
  <c r="O528" i="34"/>
  <c r="P532" i="34"/>
  <c r="O536" i="34"/>
  <c r="O603" i="34"/>
  <c r="O946" i="34"/>
  <c r="P950" i="34"/>
  <c r="O954" i="34"/>
  <c r="P958" i="34"/>
  <c r="O962" i="34"/>
  <c r="P966" i="34"/>
  <c r="O970" i="34"/>
  <c r="P974" i="34"/>
  <c r="O978" i="34"/>
  <c r="P982" i="34"/>
  <c r="O986" i="34"/>
  <c r="P990" i="34"/>
  <c r="O994" i="34"/>
  <c r="P998" i="34"/>
  <c r="O1002" i="34"/>
  <c r="P1006" i="34"/>
  <c r="O1010" i="34"/>
  <c r="P1014" i="34"/>
  <c r="O1018" i="34"/>
  <c r="P1022" i="34"/>
  <c r="Q1821" i="34"/>
  <c r="P1821" i="34"/>
  <c r="O1777" i="34"/>
  <c r="Q1781" i="34"/>
  <c r="P1781" i="34"/>
  <c r="P1145" i="34"/>
  <c r="Q1689" i="34"/>
  <c r="P1689" i="34"/>
  <c r="O1693" i="34"/>
  <c r="O1719" i="34"/>
  <c r="P1723" i="34"/>
  <c r="O1744" i="34"/>
  <c r="P1748" i="34"/>
  <c r="O1775" i="34"/>
  <c r="P1532" i="34"/>
  <c r="O1559" i="34"/>
  <c r="P1600" i="34"/>
  <c r="O1631" i="34"/>
  <c r="Q1635" i="34"/>
  <c r="P1635" i="34"/>
  <c r="P1368" i="34"/>
  <c r="Q1443" i="34"/>
  <c r="P1443" i="34"/>
  <c r="O1447" i="34"/>
  <c r="O1469" i="34"/>
  <c r="P1473" i="34"/>
  <c r="O1518" i="34"/>
  <c r="P1522" i="34"/>
  <c r="Q1262" i="34"/>
  <c r="P1262" i="34"/>
  <c r="P1296" i="34"/>
  <c r="O1300" i="34"/>
  <c r="P1324" i="34"/>
  <c r="O1328" i="34"/>
  <c r="O1361" i="34"/>
  <c r="P1171" i="34"/>
  <c r="Q1210" i="34"/>
  <c r="P1210" i="34"/>
  <c r="O1214" i="34"/>
  <c r="O1248" i="34"/>
  <c r="P1252" i="34"/>
  <c r="O1256" i="34"/>
  <c r="P1260" i="34"/>
  <c r="P1137" i="34"/>
  <c r="O1082" i="34"/>
  <c r="P1712" i="34"/>
  <c r="P1666" i="34"/>
  <c r="P1655" i="34"/>
  <c r="O1651" i="34"/>
  <c r="P1618" i="34"/>
  <c r="O1614" i="34"/>
  <c r="P1593" i="34"/>
  <c r="O1589" i="34"/>
  <c r="P1585" i="34"/>
  <c r="P1580" i="34"/>
  <c r="O1494" i="34"/>
  <c r="P1490" i="34"/>
  <c r="P1424" i="34"/>
  <c r="P1416" i="34"/>
  <c r="Q1412" i="34"/>
  <c r="Q1398" i="34"/>
  <c r="O1394" i="34"/>
  <c r="O1388" i="34"/>
  <c r="P1384" i="34"/>
  <c r="P1375" i="34"/>
  <c r="Q1290" i="34"/>
  <c r="P1290" i="34"/>
  <c r="P1203" i="34"/>
  <c r="O1186" i="34"/>
  <c r="O1126" i="34"/>
  <c r="P1094" i="34"/>
  <c r="P1086" i="34"/>
  <c r="P325" i="34"/>
  <c r="P335" i="34"/>
  <c r="Q344" i="34"/>
  <c r="O349" i="34"/>
  <c r="P354" i="34"/>
  <c r="O360" i="34"/>
  <c r="P364" i="34"/>
  <c r="P501" i="34"/>
  <c r="Q509" i="34"/>
  <c r="O513" i="34"/>
  <c r="P517" i="34"/>
  <c r="Q525" i="34"/>
  <c r="Q533" i="34"/>
  <c r="O537" i="34"/>
  <c r="O947" i="34"/>
  <c r="Q959" i="34"/>
  <c r="Q967" i="34"/>
  <c r="O979" i="34"/>
  <c r="Q991" i="34"/>
  <c r="P1007" i="34"/>
  <c r="P1107" i="34"/>
  <c r="O333" i="34"/>
  <c r="P342" i="34"/>
  <c r="O352" i="34"/>
  <c r="P362" i="34"/>
  <c r="O499" i="34"/>
  <c r="P507" i="34"/>
  <c r="O515" i="34"/>
  <c r="P523" i="34"/>
  <c r="O531" i="34"/>
  <c r="P602" i="34"/>
  <c r="O949" i="34"/>
  <c r="P957" i="34"/>
  <c r="O965" i="34"/>
  <c r="P973" i="34"/>
  <c r="O981" i="34"/>
  <c r="P989" i="34"/>
  <c r="O997" i="34"/>
  <c r="P1005" i="34"/>
  <c r="P1013" i="34"/>
  <c r="P1017" i="34"/>
  <c r="P1021" i="34"/>
  <c r="Q1776" i="34"/>
  <c r="O1247" i="34"/>
  <c r="Q1692" i="34"/>
  <c r="Q1718" i="34"/>
  <c r="O1722" i="34"/>
  <c r="Q1747" i="34"/>
  <c r="Q1774" i="34"/>
  <c r="Q1558" i="34"/>
  <c r="Q1630" i="34"/>
  <c r="O1686" i="34"/>
  <c r="Q1446" i="34"/>
  <c r="Q1468" i="34"/>
  <c r="O1472" i="34"/>
  <c r="Q1521" i="34"/>
  <c r="O1295" i="34"/>
  <c r="Q1299" i="34"/>
  <c r="O1323" i="34"/>
  <c r="Q1327" i="34"/>
  <c r="Q1170" i="34"/>
  <c r="Q1213" i="34"/>
  <c r="O1251" i="34"/>
  <c r="Q1255" i="34"/>
  <c r="O1259" i="34"/>
  <c r="Q1663" i="34"/>
  <c r="Q1648" i="34"/>
  <c r="Q1586" i="34"/>
  <c r="Q1577" i="34"/>
  <c r="Q1421" i="34"/>
  <c r="O1413" i="34"/>
  <c r="Q1399" i="34"/>
  <c r="O1395" i="34"/>
  <c r="Q1385" i="34"/>
  <c r="Q1320" i="34"/>
  <c r="Q1291" i="34"/>
  <c r="Q1208" i="34"/>
  <c r="O1191" i="34"/>
  <c r="Q1187" i="34"/>
  <c r="O1165" i="34"/>
  <c r="Q1161" i="34"/>
  <c r="Q1131" i="34"/>
  <c r="Q1110" i="34"/>
  <c r="Q1095" i="34"/>
  <c r="Q1087" i="34"/>
  <c r="Q324" i="34"/>
  <c r="Q334" i="34"/>
  <c r="Q343" i="34"/>
  <c r="Q353" i="34"/>
  <c r="Q363" i="34"/>
  <c r="Q500" i="34"/>
  <c r="Q508" i="34"/>
  <c r="Q516" i="34"/>
  <c r="Q524" i="34"/>
  <c r="Q532" i="34"/>
  <c r="Q950" i="34"/>
  <c r="Q958" i="34"/>
  <c r="Q966" i="34"/>
  <c r="Q974" i="34"/>
  <c r="Q982" i="34"/>
  <c r="Q990" i="34"/>
  <c r="Q998" i="34"/>
  <c r="Q1006" i="34"/>
  <c r="Q1014" i="34"/>
  <c r="Q1022" i="34"/>
  <c r="O1077" i="34"/>
  <c r="Q1145" i="34"/>
  <c r="Q1723" i="34"/>
  <c r="Q1748" i="34"/>
  <c r="O1528" i="34"/>
  <c r="Q1532" i="34"/>
  <c r="Q1600" i="34"/>
  <c r="Q1368" i="34"/>
  <c r="Q1473" i="34"/>
  <c r="Q1522" i="34"/>
  <c r="Q1296" i="34"/>
  <c r="Q1324" i="34"/>
  <c r="O1347" i="34"/>
  <c r="Q1171" i="34"/>
  <c r="Q1252" i="34"/>
  <c r="Q1260" i="34"/>
  <c r="Q1137" i="34"/>
  <c r="O1141" i="34"/>
  <c r="Q1712" i="34"/>
  <c r="Q1666" i="34"/>
  <c r="Q1655" i="34"/>
  <c r="Q1618" i="34"/>
  <c r="Q1593" i="34"/>
  <c r="Q1585" i="34"/>
  <c r="Q1580" i="34"/>
  <c r="O1576" i="34"/>
  <c r="Q1490" i="34"/>
  <c r="Q1424" i="34"/>
  <c r="O1420" i="34"/>
  <c r="Q1416" i="34"/>
  <c r="Q1384" i="34"/>
  <c r="Q1375" i="34"/>
  <c r="O1319" i="34"/>
  <c r="O1207" i="34"/>
  <c r="Q1203" i="34"/>
  <c r="Q1190" i="34"/>
  <c r="Q1130" i="34"/>
  <c r="O1109" i="34"/>
  <c r="Q1105" i="34"/>
  <c r="Q1094" i="34"/>
  <c r="Q1086" i="34"/>
  <c r="Q604" i="34"/>
  <c r="Q1011" i="34"/>
  <c r="Q1019" i="34"/>
  <c r="Q1777" i="34"/>
  <c r="O1781" i="34"/>
  <c r="O1689" i="34"/>
  <c r="P1693" i="34"/>
  <c r="P1719" i="34"/>
  <c r="P1744" i="34"/>
  <c r="P1775" i="34"/>
  <c r="P1528" i="34"/>
  <c r="Q1559" i="34"/>
  <c r="Q1631" i="34"/>
  <c r="O1635" i="34"/>
  <c r="O1443" i="34"/>
  <c r="P1447" i="34"/>
  <c r="O1473" i="34"/>
  <c r="O1522" i="34"/>
  <c r="O1262" i="34"/>
  <c r="P1300" i="34"/>
  <c r="P1328" i="34"/>
  <c r="P1361" i="34"/>
  <c r="O1210" i="34"/>
  <c r="Q1214" i="34"/>
  <c r="P1248" i="34"/>
  <c r="P1256" i="34"/>
  <c r="P1141" i="34"/>
  <c r="O1712" i="34"/>
  <c r="O1655" i="34"/>
  <c r="O1618" i="34"/>
  <c r="O1593" i="34"/>
  <c r="O1585" i="34"/>
  <c r="P1494" i="34"/>
  <c r="P1420" i="34"/>
  <c r="O1412" i="34"/>
  <c r="O1398" i="34"/>
  <c r="P1394" i="34"/>
  <c r="O1384" i="34"/>
  <c r="P1319" i="34"/>
  <c r="P1207" i="34"/>
  <c r="O1190" i="34"/>
  <c r="Q1164" i="34"/>
  <c r="P1134" i="34"/>
  <c r="P1126" i="34"/>
  <c r="O1094" i="34"/>
  <c r="P1090" i="34"/>
  <c r="O325" i="34"/>
  <c r="P330" i="34"/>
  <c r="O335" i="34"/>
  <c r="P339" i="34"/>
  <c r="Q349" i="34"/>
  <c r="O354" i="34"/>
  <c r="P360" i="34"/>
  <c r="Q497" i="34"/>
  <c r="O501" i="34"/>
  <c r="P505" i="34"/>
  <c r="Q513" i="34"/>
  <c r="O517" i="34"/>
  <c r="P521" i="34"/>
  <c r="O525" i="34"/>
  <c r="P529" i="34"/>
  <c r="Q537" i="34"/>
  <c r="Q947" i="34"/>
  <c r="O951" i="34"/>
  <c r="P955" i="34"/>
  <c r="Q963" i="34"/>
  <c r="O967" i="34"/>
  <c r="P971" i="34"/>
  <c r="Q979" i="34"/>
  <c r="O983" i="34"/>
  <c r="P987" i="34"/>
  <c r="O991" i="34"/>
  <c r="P995" i="34"/>
  <c r="Q1003" i="34"/>
  <c r="O1007" i="34"/>
  <c r="P1015" i="34"/>
  <c r="P1023" i="34"/>
  <c r="Q951" i="34"/>
  <c r="O971" i="34"/>
  <c r="Q975" i="34"/>
  <c r="Q983" i="34"/>
  <c r="O995" i="34"/>
  <c r="O1003" i="34"/>
  <c r="O1015" i="34"/>
  <c r="O1023" i="34"/>
  <c r="P1069" i="34"/>
  <c r="O595" i="34"/>
  <c r="P856" i="34"/>
  <c r="Q1069" i="34"/>
  <c r="Q856" i="34"/>
  <c r="O608" i="34"/>
  <c r="Q595" i="34"/>
  <c r="P595" i="34"/>
  <c r="P608" i="34"/>
  <c r="O1069" i="34"/>
  <c r="O856" i="34"/>
  <c r="Q608" i="34"/>
  <c r="Q28" i="34"/>
  <c r="P28" i="34"/>
  <c r="O559" i="34"/>
  <c r="P564" i="34"/>
  <c r="O547" i="34"/>
  <c r="O34" i="34"/>
  <c r="P22" i="34"/>
  <c r="Q564" i="34"/>
  <c r="Q22" i="34"/>
  <c r="Q547" i="34"/>
  <c r="P34" i="34"/>
  <c r="O28" i="34"/>
  <c r="Q559" i="34"/>
  <c r="P559" i="34"/>
  <c r="P547" i="34"/>
  <c r="O22" i="34"/>
  <c r="O564" i="34"/>
  <c r="Q34" i="34"/>
  <c r="P822" i="34"/>
  <c r="P835" i="34"/>
  <c r="P397" i="34"/>
  <c r="Q822" i="34"/>
  <c r="Q835" i="34"/>
  <c r="Q397" i="34"/>
  <c r="O835" i="34"/>
  <c r="O822" i="34"/>
  <c r="O397" i="34"/>
  <c r="Q670" i="34"/>
  <c r="P670" i="34"/>
  <c r="O638" i="34"/>
  <c r="O203" i="34"/>
  <c r="Q770" i="34"/>
  <c r="P770" i="34"/>
  <c r="O100" i="34"/>
  <c r="Q662" i="34"/>
  <c r="O104" i="34"/>
  <c r="Q164" i="34"/>
  <c r="Q203" i="34"/>
  <c r="O770" i="34"/>
  <c r="P100" i="34"/>
  <c r="Q104" i="34"/>
  <c r="P107" i="34"/>
  <c r="O670" i="34"/>
  <c r="P164" i="34"/>
  <c r="P638" i="34"/>
  <c r="P203" i="34"/>
  <c r="Q100" i="34"/>
  <c r="O662" i="34"/>
  <c r="P104" i="34"/>
  <c r="O164" i="34"/>
  <c r="Q638" i="34"/>
  <c r="Q107" i="34"/>
  <c r="P662" i="34"/>
  <c r="O107" i="34"/>
  <c r="Q155" i="34"/>
  <c r="P155" i="34"/>
  <c r="O147" i="34"/>
  <c r="O150" i="34"/>
  <c r="O155" i="34"/>
  <c r="Q147" i="34"/>
  <c r="P147" i="34"/>
  <c r="P150" i="34"/>
  <c r="Q150" i="34"/>
  <c r="O1647" i="34"/>
  <c r="P1644" i="34"/>
  <c r="O1796" i="34"/>
  <c r="P1037" i="34"/>
  <c r="O1645" i="34"/>
  <c r="O1659" i="34"/>
  <c r="Q46" i="34"/>
  <c r="Q54" i="34"/>
  <c r="Q1030" i="34"/>
  <c r="Q1038" i="34"/>
  <c r="Q1046" i="34"/>
  <c r="Q1054" i="34"/>
  <c r="O1073" i="34"/>
  <c r="Q1570" i="34"/>
  <c r="Q1103" i="34"/>
  <c r="O1115" i="34"/>
  <c r="P1227" i="34"/>
  <c r="Q1378" i="34"/>
  <c r="P1378" i="34"/>
  <c r="P1409" i="34"/>
  <c r="O1484" i="34"/>
  <c r="P1596" i="34"/>
  <c r="Q834" i="34"/>
  <c r="Q546" i="34"/>
  <c r="Q560" i="34"/>
  <c r="Q565" i="34"/>
  <c r="Q573" i="34"/>
  <c r="Q581" i="34"/>
  <c r="O1025" i="34"/>
  <c r="Q1029" i="34"/>
  <c r="Q26" i="34"/>
  <c r="Q384" i="34"/>
  <c r="Q393" i="34"/>
  <c r="O402" i="34"/>
  <c r="Q37" i="34"/>
  <c r="O41" i="34"/>
  <c r="Q223" i="34"/>
  <c r="Q234" i="34"/>
  <c r="Q242" i="34"/>
  <c r="Q589" i="34"/>
  <c r="Q655" i="34"/>
  <c r="Q659" i="34"/>
  <c r="Q688" i="34"/>
  <c r="Q713" i="34"/>
  <c r="Q732" i="34"/>
  <c r="Q768" i="34"/>
  <c r="O148" i="34"/>
  <c r="Q156" i="34"/>
  <c r="O160" i="34"/>
  <c r="Q185" i="34"/>
  <c r="O196" i="34"/>
  <c r="Q200" i="34"/>
  <c r="P1658" i="34"/>
  <c r="P57" i="34"/>
  <c r="P1646" i="34"/>
  <c r="P1656" i="34"/>
  <c r="P1800" i="34"/>
  <c r="Q1400" i="34"/>
  <c r="Q51" i="34"/>
  <c r="Q59" i="34"/>
  <c r="Q1035" i="34"/>
  <c r="Q1043" i="34"/>
  <c r="Q1051" i="34"/>
  <c r="Q1059" i="34"/>
  <c r="Q1798" i="34"/>
  <c r="Q1112" i="34"/>
  <c r="P1112" i="34"/>
  <c r="Q1151" i="34"/>
  <c r="Q1372" i="34"/>
  <c r="Q1379" i="34"/>
  <c r="Q1428" i="34"/>
  <c r="Q1602" i="34"/>
  <c r="O394" i="34"/>
  <c r="P552" i="34"/>
  <c r="O561" i="34"/>
  <c r="P566" i="34"/>
  <c r="O570" i="34"/>
  <c r="P574" i="34"/>
  <c r="O578" i="34"/>
  <c r="P582" i="34"/>
  <c r="O614" i="34"/>
  <c r="P1026" i="34"/>
  <c r="O23" i="34"/>
  <c r="P27" i="34"/>
  <c r="Q32" i="34"/>
  <c r="P32" i="34"/>
  <c r="O380" i="34"/>
  <c r="P385" i="34"/>
  <c r="O390" i="34"/>
  <c r="P398" i="34"/>
  <c r="Q403" i="34"/>
  <c r="O408" i="34"/>
  <c r="O413" i="34"/>
  <c r="P540" i="34"/>
  <c r="O38" i="34"/>
  <c r="P42" i="34"/>
  <c r="Q215" i="34"/>
  <c r="P215" i="34"/>
  <c r="Q224" i="34"/>
  <c r="Q228" i="34"/>
  <c r="P228" i="34"/>
  <c r="P235" i="34"/>
  <c r="O239" i="34"/>
  <c r="P261" i="34"/>
  <c r="P371" i="34"/>
  <c r="O586" i="34"/>
  <c r="P590" i="34"/>
  <c r="P620" i="34"/>
  <c r="P652" i="34"/>
  <c r="P656" i="34"/>
  <c r="O685" i="34"/>
  <c r="P689" i="34"/>
  <c r="O693" i="34"/>
  <c r="O714" i="34"/>
  <c r="Q718" i="34"/>
  <c r="P718" i="34"/>
  <c r="P733" i="34"/>
  <c r="O737" i="34"/>
  <c r="P747" i="34"/>
  <c r="O765" i="34"/>
  <c r="P769" i="34"/>
  <c r="P144" i="34"/>
  <c r="P149" i="34"/>
  <c r="O157" i="34"/>
  <c r="P161" i="34"/>
  <c r="O182" i="34"/>
  <c r="P186" i="34"/>
  <c r="O193" i="34"/>
  <c r="P197" i="34"/>
  <c r="P208" i="34"/>
  <c r="O1429" i="34"/>
  <c r="O48" i="34"/>
  <c r="Q52" i="34"/>
  <c r="P52" i="34"/>
  <c r="O56" i="34"/>
  <c r="Q60" i="34"/>
  <c r="P60" i="34"/>
  <c r="O1032" i="34"/>
  <c r="Q1036" i="34"/>
  <c r="P1036" i="34"/>
  <c r="O1040" i="34"/>
  <c r="Q1044" i="34"/>
  <c r="P1044" i="34"/>
  <c r="O1048" i="34"/>
  <c r="Q1052" i="34"/>
  <c r="P1052" i="34"/>
  <c r="O1056" i="34"/>
  <c r="Q1060" i="34"/>
  <c r="P1060" i="34"/>
  <c r="P1075" i="34"/>
  <c r="Q1571" i="34"/>
  <c r="P1571" i="34"/>
  <c r="P1799" i="34"/>
  <c r="P1097" i="34"/>
  <c r="O1183" i="34"/>
  <c r="O1226" i="34"/>
  <c r="O1376" i="34"/>
  <c r="O1426" i="34"/>
  <c r="P1486" i="34"/>
  <c r="P1594" i="34"/>
  <c r="O1603" i="34"/>
  <c r="P1609" i="34"/>
  <c r="Q395" i="34"/>
  <c r="P395" i="34"/>
  <c r="P549" i="34"/>
  <c r="O553" i="34"/>
  <c r="P557" i="34"/>
  <c r="O562" i="34"/>
  <c r="O567" i="34"/>
  <c r="Q571" i="34"/>
  <c r="P571" i="34"/>
  <c r="O575" i="34"/>
  <c r="Q579" i="34"/>
  <c r="P579" i="34"/>
  <c r="P605" i="34"/>
  <c r="Q615" i="34"/>
  <c r="P615" i="34"/>
  <c r="P1027" i="34"/>
  <c r="Q24" i="34"/>
  <c r="P24" i="34"/>
  <c r="P33" i="34"/>
  <c r="P839" i="34"/>
  <c r="Q382" i="34"/>
  <c r="P382" i="34"/>
  <c r="O386" i="34"/>
  <c r="Q391" i="34"/>
  <c r="P391" i="34"/>
  <c r="P400" i="34"/>
  <c r="P404" i="34"/>
  <c r="O404" i="34"/>
  <c r="Q415" i="34"/>
  <c r="P420" i="34"/>
  <c r="Q541" i="34"/>
  <c r="P541" i="34"/>
  <c r="P35" i="34"/>
  <c r="O39" i="34"/>
  <c r="P43" i="34"/>
  <c r="P216" i="34"/>
  <c r="O225" i="34"/>
  <c r="P229" i="34"/>
  <c r="O236" i="34"/>
  <c r="Q240" i="34"/>
  <c r="P240" i="34"/>
  <c r="P258" i="34"/>
  <c r="O262" i="34"/>
  <c r="P367" i="34"/>
  <c r="O373" i="34"/>
  <c r="O583" i="34"/>
  <c r="Q587" i="34"/>
  <c r="P587" i="34"/>
  <c r="O591" i="34"/>
  <c r="O621" i="34"/>
  <c r="P625" i="34"/>
  <c r="O653" i="34"/>
  <c r="P657" i="34"/>
  <c r="Q686" i="34"/>
  <c r="P686" i="34"/>
  <c r="O690" i="34"/>
  <c r="P711" i="34"/>
  <c r="P719" i="34"/>
  <c r="O734" i="34"/>
  <c r="Q738" i="34"/>
  <c r="P738" i="34"/>
  <c r="P744" i="34"/>
  <c r="O748" i="34"/>
  <c r="Q762" i="34"/>
  <c r="Q766" i="34"/>
  <c r="P766" i="34"/>
  <c r="P814" i="34"/>
  <c r="O145" i="34"/>
  <c r="O151" i="34"/>
  <c r="O158" i="34"/>
  <c r="P162" i="34"/>
  <c r="Q183" i="34"/>
  <c r="P183" i="34"/>
  <c r="O187" i="34"/>
  <c r="O194" i="34"/>
  <c r="P198" i="34"/>
  <c r="O209" i="34"/>
  <c r="P213" i="34"/>
  <c r="Q1657" i="34"/>
  <c r="P1657" i="34"/>
  <c r="Q1672" i="34"/>
  <c r="Q49" i="34"/>
  <c r="O61" i="34"/>
  <c r="Q1041" i="34"/>
  <c r="O1045" i="34"/>
  <c r="Q1049" i="34"/>
  <c r="O1053" i="34"/>
  <c r="Q1057" i="34"/>
  <c r="O1061" i="34"/>
  <c r="O1572" i="34"/>
  <c r="Q1794" i="34"/>
  <c r="P1098" i="34"/>
  <c r="Q1114" i="34"/>
  <c r="Q1184" i="34"/>
  <c r="P1184" i="34"/>
  <c r="Q1355" i="34"/>
  <c r="O1407" i="34"/>
  <c r="Q1427" i="34"/>
  <c r="P1427" i="34"/>
  <c r="O1487" i="34"/>
  <c r="Q1595" i="34"/>
  <c r="P1595" i="34"/>
  <c r="Q1604" i="34"/>
  <c r="Q554" i="34"/>
  <c r="Q568" i="34"/>
  <c r="O572" i="34"/>
  <c r="Q576" i="34"/>
  <c r="O580" i="34"/>
  <c r="O25" i="34"/>
  <c r="Q836" i="34"/>
  <c r="O383" i="34"/>
  <c r="Q388" i="34"/>
  <c r="O392" i="34"/>
  <c r="Q405" i="34"/>
  <c r="Q542" i="34"/>
  <c r="Q230" i="34"/>
  <c r="Q237" i="34"/>
  <c r="O241" i="34"/>
  <c r="Q263" i="34"/>
  <c r="Q374" i="34"/>
  <c r="Q584" i="34"/>
  <c r="O588" i="34"/>
  <c r="Q691" i="34"/>
  <c r="O731" i="34"/>
  <c r="O739" i="34"/>
  <c r="Q763" i="34"/>
  <c r="Q152" i="34"/>
  <c r="Q1644" i="34"/>
  <c r="O53" i="34"/>
  <c r="Q1037" i="34"/>
  <c r="P1795" i="34"/>
  <c r="O1797" i="34"/>
  <c r="O46" i="34"/>
  <c r="P50" i="34"/>
  <c r="O54" i="34"/>
  <c r="P58" i="34"/>
  <c r="O1030" i="34"/>
  <c r="P1034" i="34"/>
  <c r="O1038" i="34"/>
  <c r="P1042" i="34"/>
  <c r="O1046" i="34"/>
  <c r="P1050" i="34"/>
  <c r="O1054" i="34"/>
  <c r="P1058" i="34"/>
  <c r="P1073" i="34"/>
  <c r="O1374" i="34"/>
  <c r="O1570" i="34"/>
  <c r="P1079" i="34"/>
  <c r="P1099" i="34"/>
  <c r="Q1115" i="34"/>
  <c r="Q1227" i="34"/>
  <c r="O1371" i="34"/>
  <c r="O1391" i="34"/>
  <c r="O1409" i="34"/>
  <c r="P1484" i="34"/>
  <c r="P1495" i="34"/>
  <c r="Q1596" i="34"/>
  <c r="P1605" i="34"/>
  <c r="O546" i="34"/>
  <c r="O551" i="34"/>
  <c r="Q555" i="34"/>
  <c r="P555" i="34"/>
  <c r="O565" i="34"/>
  <c r="P569" i="34"/>
  <c r="O573" i="34"/>
  <c r="P577" i="34"/>
  <c r="O581" i="34"/>
  <c r="O607" i="34"/>
  <c r="P1025" i="34"/>
  <c r="O26" i="34"/>
  <c r="P31" i="34"/>
  <c r="Q837" i="34"/>
  <c r="P837" i="34"/>
  <c r="P379" i="34"/>
  <c r="O384" i="34"/>
  <c r="P389" i="34"/>
  <c r="O393" i="34"/>
  <c r="O407" i="34"/>
  <c r="P407" i="34"/>
  <c r="P412" i="34"/>
  <c r="O417" i="34"/>
  <c r="P417" i="34"/>
  <c r="P539" i="34"/>
  <c r="O543" i="34"/>
  <c r="P543" i="34"/>
  <c r="P41" i="34"/>
  <c r="P214" i="34"/>
  <c r="O223" i="34"/>
  <c r="P227" i="34"/>
  <c r="O234" i="34"/>
  <c r="P238" i="34"/>
  <c r="O242" i="34"/>
  <c r="O260" i="34"/>
  <c r="Q264" i="34"/>
  <c r="P264" i="34"/>
  <c r="O370" i="34"/>
  <c r="Q377" i="34"/>
  <c r="P377" i="34"/>
  <c r="P585" i="34"/>
  <c r="O589" i="34"/>
  <c r="O619" i="34"/>
  <c r="Q623" i="34"/>
  <c r="P623" i="34"/>
  <c r="P651" i="34"/>
  <c r="P655" i="34"/>
  <c r="O688" i="34"/>
  <c r="P692" i="34"/>
  <c r="O713" i="34"/>
  <c r="P717" i="34"/>
  <c r="O732" i="34"/>
  <c r="P736" i="34"/>
  <c r="Q742" i="34"/>
  <c r="P742" i="34"/>
  <c r="O746" i="34"/>
  <c r="Q750" i="34"/>
  <c r="P750" i="34"/>
  <c r="P764" i="34"/>
  <c r="O768" i="34"/>
  <c r="O821" i="34"/>
  <c r="P148" i="34"/>
  <c r="P160" i="34"/>
  <c r="P181" i="34"/>
  <c r="O185" i="34"/>
  <c r="P189" i="34"/>
  <c r="P196" i="34"/>
  <c r="Q211" i="34"/>
  <c r="P211" i="34"/>
  <c r="P1801" i="34"/>
  <c r="Q1658" i="34"/>
  <c r="O45" i="34"/>
  <c r="Q57" i="34"/>
  <c r="O1033" i="34"/>
  <c r="Q1646" i="34"/>
  <c r="Q1656" i="34"/>
  <c r="O1800" i="34"/>
  <c r="O1400" i="34"/>
  <c r="P47" i="34"/>
  <c r="O51" i="34"/>
  <c r="P55" i="34"/>
  <c r="O59" i="34"/>
  <c r="P1031" i="34"/>
  <c r="O1035" i="34"/>
  <c r="P1039" i="34"/>
  <c r="O1043" i="34"/>
  <c r="P1047" i="34"/>
  <c r="O1051" i="34"/>
  <c r="P1055" i="34"/>
  <c r="O1059" i="34"/>
  <c r="P1074" i="34"/>
  <c r="Q1370" i="34"/>
  <c r="P1370" i="34"/>
  <c r="Q1080" i="34"/>
  <c r="P1080" i="34"/>
  <c r="P1100" i="34"/>
  <c r="P1228" i="34"/>
  <c r="O1372" i="34"/>
  <c r="P1405" i="34"/>
  <c r="P1485" i="34"/>
  <c r="P1582" i="34"/>
  <c r="P1607" i="34"/>
  <c r="O548" i="34"/>
  <c r="Q552" i="34"/>
  <c r="O556" i="34"/>
  <c r="Q566" i="34"/>
  <c r="Q574" i="34"/>
  <c r="Q582" i="34"/>
  <c r="Q1026" i="34"/>
  <c r="Q27" i="34"/>
  <c r="O838" i="34"/>
  <c r="Q385" i="34"/>
  <c r="Q398" i="34"/>
  <c r="P408" i="34"/>
  <c r="O419" i="34"/>
  <c r="Q540" i="34"/>
  <c r="O544" i="34"/>
  <c r="Q42" i="34"/>
  <c r="Q235" i="34"/>
  <c r="O257" i="34"/>
  <c r="Q261" i="34"/>
  <c r="O265" i="34"/>
  <c r="Q371" i="34"/>
  <c r="O378" i="34"/>
  <c r="Q590" i="34"/>
  <c r="Q620" i="34"/>
  <c r="O624" i="34"/>
  <c r="Q652" i="34"/>
  <c r="Q656" i="34"/>
  <c r="Q689" i="34"/>
  <c r="Q733" i="34"/>
  <c r="O743" i="34"/>
  <c r="Q747" i="34"/>
  <c r="O761" i="34"/>
  <c r="Q769" i="34"/>
  <c r="Q144" i="34"/>
  <c r="Q149" i="34"/>
  <c r="Q161" i="34"/>
  <c r="Q186" i="34"/>
  <c r="Q197" i="34"/>
  <c r="Q208" i="34"/>
  <c r="O212" i="34"/>
  <c r="Q1075" i="34"/>
  <c r="Q1799" i="34"/>
  <c r="O1097" i="34"/>
  <c r="P1101" i="34"/>
  <c r="O1113" i="34"/>
  <c r="P1380" i="34"/>
  <c r="P1406" i="34"/>
  <c r="Q1486" i="34"/>
  <c r="O1594" i="34"/>
  <c r="Q1603" i="34"/>
  <c r="Q1609" i="34"/>
  <c r="Q549" i="34"/>
  <c r="Q557" i="34"/>
  <c r="Q605" i="34"/>
  <c r="Q1027" i="34"/>
  <c r="O29" i="34"/>
  <c r="Q33" i="34"/>
  <c r="Q839" i="34"/>
  <c r="Q400" i="34"/>
  <c r="Q404" i="34"/>
  <c r="Q420" i="34"/>
  <c r="Q35" i="34"/>
  <c r="Q43" i="34"/>
  <c r="O216" i="34"/>
  <c r="P225" i="34"/>
  <c r="Q229" i="34"/>
  <c r="Q258" i="34"/>
  <c r="Q367" i="34"/>
  <c r="Q625" i="34"/>
  <c r="Q657" i="34"/>
  <c r="Q711" i="34"/>
  <c r="O715" i="34"/>
  <c r="Q719" i="34"/>
  <c r="Q744" i="34"/>
  <c r="Q814" i="34"/>
  <c r="Q162" i="34"/>
  <c r="Q198" i="34"/>
  <c r="Q213" i="34"/>
  <c r="P61" i="34"/>
  <c r="P1045" i="34"/>
  <c r="P1053" i="34"/>
  <c r="P1061" i="34"/>
  <c r="P1373" i="34"/>
  <c r="P1572" i="34"/>
  <c r="O1098" i="34"/>
  <c r="P1102" i="34"/>
  <c r="P1377" i="34"/>
  <c r="Q1390" i="34"/>
  <c r="P1390" i="34"/>
  <c r="Q1407" i="34"/>
  <c r="P823" i="34"/>
  <c r="Q545" i="34"/>
  <c r="O545" i="34"/>
  <c r="P550" i="34"/>
  <c r="O554" i="34"/>
  <c r="P558" i="34"/>
  <c r="Q563" i="34"/>
  <c r="P563" i="34"/>
  <c r="P572" i="34"/>
  <c r="P580" i="34"/>
  <c r="P606" i="34"/>
  <c r="Q1024" i="34"/>
  <c r="P1024" i="34"/>
  <c r="O1028" i="34"/>
  <c r="P25" i="34"/>
  <c r="P30" i="34"/>
  <c r="O836" i="34"/>
  <c r="P840" i="34"/>
  <c r="P383" i="34"/>
  <c r="P392" i="34"/>
  <c r="O401" i="34"/>
  <c r="O405" i="34"/>
  <c r="O411" i="34"/>
  <c r="P422" i="34"/>
  <c r="P542" i="34"/>
  <c r="O36" i="34"/>
  <c r="Q40" i="34"/>
  <c r="P40" i="34"/>
  <c r="O44" i="34"/>
  <c r="P222" i="34"/>
  <c r="O222" i="34"/>
  <c r="P226" i="34"/>
  <c r="O230" i="34"/>
  <c r="P241" i="34"/>
  <c r="P259" i="34"/>
  <c r="O263" i="34"/>
  <c r="P369" i="34"/>
  <c r="O374" i="34"/>
  <c r="P588" i="34"/>
  <c r="P618" i="34"/>
  <c r="O622" i="34"/>
  <c r="P626" i="34"/>
  <c r="Q654" i="34"/>
  <c r="O654" i="34"/>
  <c r="O658" i="34"/>
  <c r="P687" i="34"/>
  <c r="O712" i="34"/>
  <c r="P716" i="34"/>
  <c r="P731" i="34"/>
  <c r="P739" i="34"/>
  <c r="P745" i="34"/>
  <c r="O749" i="34"/>
  <c r="P767" i="34"/>
  <c r="P815" i="34"/>
  <c r="O146" i="34"/>
  <c r="Q159" i="34"/>
  <c r="P159" i="34"/>
  <c r="O163" i="34"/>
  <c r="P184" i="34"/>
  <c r="Q195" i="34"/>
  <c r="P195" i="34"/>
  <c r="O199" i="34"/>
  <c r="O210" i="34"/>
  <c r="O584" i="34"/>
  <c r="Q618" i="34"/>
  <c r="Q687" i="34"/>
  <c r="O691" i="34"/>
  <c r="Q716" i="34"/>
  <c r="O735" i="34"/>
  <c r="Q745" i="34"/>
  <c r="O763" i="34"/>
  <c r="Q815" i="34"/>
  <c r="O152" i="34"/>
  <c r="O188" i="34"/>
  <c r="P1647" i="34"/>
  <c r="O1644" i="34"/>
  <c r="P1796" i="34"/>
  <c r="P53" i="34"/>
  <c r="Q1645" i="34"/>
  <c r="P1645" i="34"/>
  <c r="P1659" i="34"/>
  <c r="O1795" i="34"/>
  <c r="Q50" i="34"/>
  <c r="Q58" i="34"/>
  <c r="Q1034" i="34"/>
  <c r="Q1042" i="34"/>
  <c r="Q1050" i="34"/>
  <c r="Q1058" i="34"/>
  <c r="Q1073" i="34"/>
  <c r="Q1079" i="34"/>
  <c r="O1099" i="34"/>
  <c r="P1103" i="34"/>
  <c r="P1371" i="34"/>
  <c r="O1378" i="34"/>
  <c r="P1391" i="34"/>
  <c r="Q1409" i="34"/>
  <c r="Q1484" i="34"/>
  <c r="O1495" i="34"/>
  <c r="O1605" i="34"/>
  <c r="O834" i="34"/>
  <c r="O560" i="34"/>
  <c r="Q569" i="34"/>
  <c r="Q577" i="34"/>
  <c r="Q1025" i="34"/>
  <c r="O1029" i="34"/>
  <c r="Q31" i="34"/>
  <c r="Q379" i="34"/>
  <c r="Q389" i="34"/>
  <c r="Q402" i="34"/>
  <c r="Q412" i="34"/>
  <c r="Q417" i="34"/>
  <c r="Q539" i="34"/>
  <c r="O37" i="34"/>
  <c r="Q41" i="34"/>
  <c r="Q214" i="34"/>
  <c r="Q227" i="34"/>
  <c r="Q238" i="34"/>
  <c r="Q585" i="34"/>
  <c r="O651" i="34"/>
  <c r="O659" i="34"/>
  <c r="Q692" i="34"/>
  <c r="Q717" i="34"/>
  <c r="Q736" i="34"/>
  <c r="Q764" i="34"/>
  <c r="Q148" i="34"/>
  <c r="O156" i="34"/>
  <c r="Q160" i="34"/>
  <c r="Q181" i="34"/>
  <c r="Q189" i="34"/>
  <c r="Q196" i="34"/>
  <c r="O200" i="34"/>
  <c r="O1801" i="34"/>
  <c r="P45" i="34"/>
  <c r="P1033" i="34"/>
  <c r="O1656" i="34"/>
  <c r="Q1800" i="34"/>
  <c r="Q47" i="34"/>
  <c r="Q55" i="34"/>
  <c r="Q1031" i="34"/>
  <c r="Q1039" i="34"/>
  <c r="Q1047" i="34"/>
  <c r="Q1055" i="34"/>
  <c r="Q1074" i="34"/>
  <c r="O1798" i="34"/>
  <c r="O1100" i="34"/>
  <c r="O1112" i="34"/>
  <c r="P1151" i="34"/>
  <c r="Q1228" i="34"/>
  <c r="O1379" i="34"/>
  <c r="O1405" i="34"/>
  <c r="P1428" i="34"/>
  <c r="Q1485" i="34"/>
  <c r="O1582" i="34"/>
  <c r="P1602" i="34"/>
  <c r="O1607" i="34"/>
  <c r="P394" i="34"/>
  <c r="P548" i="34"/>
  <c r="P556" i="34"/>
  <c r="P561" i="34"/>
  <c r="O566" i="34"/>
  <c r="P570" i="34"/>
  <c r="O574" i="34"/>
  <c r="P578" i="34"/>
  <c r="O582" i="34"/>
  <c r="P614" i="34"/>
  <c r="O1026" i="34"/>
  <c r="P23" i="34"/>
  <c r="O27" i="34"/>
  <c r="O32" i="34"/>
  <c r="P838" i="34"/>
  <c r="P380" i="34"/>
  <c r="O385" i="34"/>
  <c r="P390" i="34"/>
  <c r="O398" i="34"/>
  <c r="O403" i="34"/>
  <c r="Q408" i="34"/>
  <c r="P413" i="34"/>
  <c r="P419" i="34"/>
  <c r="P544" i="34"/>
  <c r="P38" i="34"/>
  <c r="O42" i="34"/>
  <c r="O215" i="34"/>
  <c r="O224" i="34"/>
  <c r="P224" i="34"/>
  <c r="O228" i="34"/>
  <c r="O235" i="34"/>
  <c r="P239" i="34"/>
  <c r="P257" i="34"/>
  <c r="P265" i="34"/>
  <c r="P378" i="34"/>
  <c r="P586" i="34"/>
  <c r="O590" i="34"/>
  <c r="P624" i="34"/>
  <c r="O656" i="34"/>
  <c r="P685" i="34"/>
  <c r="O689" i="34"/>
  <c r="P693" i="34"/>
  <c r="Q714" i="34"/>
  <c r="P714" i="34"/>
  <c r="O718" i="34"/>
  <c r="O733" i="34"/>
  <c r="P737" i="34"/>
  <c r="P743" i="34"/>
  <c r="P761" i="34"/>
  <c r="P765" i="34"/>
  <c r="O769" i="34"/>
  <c r="O149" i="34"/>
  <c r="P157" i="34"/>
  <c r="O161" i="34"/>
  <c r="P182" i="34"/>
  <c r="O186" i="34"/>
  <c r="P193" i="34"/>
  <c r="O197" i="34"/>
  <c r="P212" i="34"/>
  <c r="P1429" i="34"/>
  <c r="Q48" i="34"/>
  <c r="P48" i="34"/>
  <c r="O52" i="34"/>
  <c r="Q56" i="34"/>
  <c r="P56" i="34"/>
  <c r="O60" i="34"/>
  <c r="Q1032" i="34"/>
  <c r="P1032" i="34"/>
  <c r="O1036" i="34"/>
  <c r="Q1040" i="34"/>
  <c r="P1040" i="34"/>
  <c r="O1044" i="34"/>
  <c r="Q1048" i="34"/>
  <c r="P1048" i="34"/>
  <c r="O1052" i="34"/>
  <c r="Q1056" i="34"/>
  <c r="P1056" i="34"/>
  <c r="O1060" i="34"/>
  <c r="O1075" i="34"/>
  <c r="O1571" i="34"/>
  <c r="O1799" i="34"/>
  <c r="Q1097" i="34"/>
  <c r="O1101" i="34"/>
  <c r="P1113" i="34"/>
  <c r="P1183" i="34"/>
  <c r="Q1226" i="34"/>
  <c r="P1226" i="34"/>
  <c r="P1376" i="34"/>
  <c r="O1380" i="34"/>
  <c r="O1406" i="34"/>
  <c r="P1426" i="34"/>
  <c r="O1486" i="34"/>
  <c r="Q1594" i="34"/>
  <c r="O1609" i="34"/>
  <c r="O395" i="34"/>
  <c r="O549" i="34"/>
  <c r="P553" i="34"/>
  <c r="O557" i="34"/>
  <c r="P562" i="34"/>
  <c r="Q567" i="34"/>
  <c r="P567" i="34"/>
  <c r="O571" i="34"/>
  <c r="Q575" i="34"/>
  <c r="P575" i="34"/>
  <c r="O579" i="34"/>
  <c r="O605" i="34"/>
  <c r="O615" i="34"/>
  <c r="O1027" i="34"/>
  <c r="O24" i="34"/>
  <c r="P29" i="34"/>
  <c r="O839" i="34"/>
  <c r="O382" i="34"/>
  <c r="Q386" i="34"/>
  <c r="P386" i="34"/>
  <c r="O391" i="34"/>
  <c r="O400" i="34"/>
  <c r="P409" i="34"/>
  <c r="O409" i="34"/>
  <c r="O415" i="34"/>
  <c r="O420" i="34"/>
  <c r="O541" i="34"/>
  <c r="O35" i="34"/>
  <c r="P39" i="34"/>
  <c r="O43" i="34"/>
  <c r="Q225" i="34"/>
  <c r="Q236" i="34"/>
  <c r="P236" i="34"/>
  <c r="O240" i="34"/>
  <c r="O258" i="34"/>
  <c r="P262" i="34"/>
  <c r="O367" i="34"/>
  <c r="P373" i="34"/>
  <c r="Q583" i="34"/>
  <c r="P583" i="34"/>
  <c r="O587" i="34"/>
  <c r="Q591" i="34"/>
  <c r="P591" i="34"/>
  <c r="P621" i="34"/>
  <c r="O625" i="34"/>
  <c r="P653" i="34"/>
  <c r="O657" i="34"/>
  <c r="O686" i="34"/>
  <c r="Q690" i="34"/>
  <c r="P690" i="34"/>
  <c r="P715" i="34"/>
  <c r="Q734" i="34"/>
  <c r="P734" i="34"/>
  <c r="O738" i="34"/>
  <c r="O744" i="34"/>
  <c r="P748" i="34"/>
  <c r="O762" i="34"/>
  <c r="O766" i="34"/>
  <c r="O814" i="34"/>
  <c r="P145" i="34"/>
  <c r="Q151" i="34"/>
  <c r="P151" i="34"/>
  <c r="P158" i="34"/>
  <c r="O162" i="34"/>
  <c r="O183" i="34"/>
  <c r="Q187" i="34"/>
  <c r="P187" i="34"/>
  <c r="P194" i="34"/>
  <c r="O198" i="34"/>
  <c r="P209" i="34"/>
  <c r="O213" i="34"/>
  <c r="O1657" i="34"/>
  <c r="P1672" i="34"/>
  <c r="O49" i="34"/>
  <c r="Q61" i="34"/>
  <c r="O1041" i="34"/>
  <c r="Q1045" i="34"/>
  <c r="O1049" i="34"/>
  <c r="Q1053" i="34"/>
  <c r="O1057" i="34"/>
  <c r="Q1061" i="34"/>
  <c r="Q1373" i="34"/>
  <c r="Q1572" i="34"/>
  <c r="O1794" i="34"/>
  <c r="Q1098" i="34"/>
  <c r="O1102" i="34"/>
  <c r="P1114" i="34"/>
  <c r="O1184" i="34"/>
  <c r="P1355" i="34"/>
  <c r="Q1377" i="34"/>
  <c r="O1427" i="34"/>
  <c r="Q1487" i="34"/>
  <c r="P1487" i="34"/>
  <c r="O1595" i="34"/>
  <c r="P1604" i="34"/>
  <c r="Q823" i="34"/>
  <c r="Q550" i="34"/>
  <c r="Q558" i="34"/>
  <c r="O568" i="34"/>
  <c r="Q572" i="34"/>
  <c r="O576" i="34"/>
  <c r="Q580" i="34"/>
  <c r="Q606" i="34"/>
  <c r="Q25" i="34"/>
  <c r="Q30" i="34"/>
  <c r="Q840" i="34"/>
  <c r="Q383" i="34"/>
  <c r="O388" i="34"/>
  <c r="Q392" i="34"/>
  <c r="Q411" i="34"/>
  <c r="Q422" i="34"/>
  <c r="O542" i="34"/>
  <c r="Q222" i="34"/>
  <c r="Q226" i="34"/>
  <c r="O237" i="34"/>
  <c r="Q241" i="34"/>
  <c r="Q259" i="34"/>
  <c r="Q369" i="34"/>
  <c r="Q588" i="34"/>
  <c r="Q626" i="34"/>
  <c r="Q731" i="34"/>
  <c r="Q739" i="34"/>
  <c r="Q767" i="34"/>
  <c r="Q184" i="34"/>
  <c r="Q1647" i="34"/>
  <c r="Q1796" i="34"/>
  <c r="Q53" i="34"/>
  <c r="O1037" i="34"/>
  <c r="Q1659" i="34"/>
  <c r="Q1795" i="34"/>
  <c r="Q1797" i="34"/>
  <c r="P1797" i="34"/>
  <c r="P46" i="34"/>
  <c r="O50" i="34"/>
  <c r="P54" i="34"/>
  <c r="O58" i="34"/>
  <c r="P1030" i="34"/>
  <c r="O1034" i="34"/>
  <c r="P1038" i="34"/>
  <c r="O1042" i="34"/>
  <c r="P1046" i="34"/>
  <c r="O1050" i="34"/>
  <c r="P1054" i="34"/>
  <c r="O1058" i="34"/>
  <c r="Q1374" i="34"/>
  <c r="P1374" i="34"/>
  <c r="P1570" i="34"/>
  <c r="O1079" i="34"/>
  <c r="Q1099" i="34"/>
  <c r="O1103" i="34"/>
  <c r="P1115" i="34"/>
  <c r="O1227" i="34"/>
  <c r="Q1371" i="34"/>
  <c r="Q1391" i="34"/>
  <c r="Q1495" i="34"/>
  <c r="O1596" i="34"/>
  <c r="Q1605" i="34"/>
  <c r="P834" i="34"/>
  <c r="P546" i="34"/>
  <c r="Q551" i="34"/>
  <c r="P551" i="34"/>
  <c r="O555" i="34"/>
  <c r="P560" i="34"/>
  <c r="P565" i="34"/>
  <c r="O569" i="34"/>
  <c r="P573" i="34"/>
  <c r="O577" i="34"/>
  <c r="P581" i="34"/>
  <c r="Q607" i="34"/>
  <c r="P607" i="34"/>
  <c r="P1029" i="34"/>
  <c r="P26" i="34"/>
  <c r="O31" i="34"/>
  <c r="O837" i="34"/>
  <c r="O379" i="34"/>
  <c r="P384" i="34"/>
  <c r="O389" i="34"/>
  <c r="P393" i="34"/>
  <c r="P402" i="34"/>
  <c r="Q407" i="34"/>
  <c r="O412" i="34"/>
  <c r="O539" i="34"/>
  <c r="Q543" i="34"/>
  <c r="P37" i="34"/>
  <c r="O214" i="34"/>
  <c r="P223" i="34"/>
  <c r="O227" i="34"/>
  <c r="P234" i="34"/>
  <c r="O238" i="34"/>
  <c r="P242" i="34"/>
  <c r="Q260" i="34"/>
  <c r="P260" i="34"/>
  <c r="O264" i="34"/>
  <c r="Q370" i="34"/>
  <c r="P370" i="34"/>
  <c r="O377" i="34"/>
  <c r="O585" i="34"/>
  <c r="P589" i="34"/>
  <c r="Q619" i="34"/>
  <c r="P619" i="34"/>
  <c r="O623" i="34"/>
  <c r="Q651" i="34"/>
  <c r="O655" i="34"/>
  <c r="P659" i="34"/>
  <c r="P688" i="34"/>
  <c r="O692" i="34"/>
  <c r="P713" i="34"/>
  <c r="O717" i="34"/>
  <c r="P732" i="34"/>
  <c r="O736" i="34"/>
  <c r="O742" i="34"/>
  <c r="Q746" i="34"/>
  <c r="P746" i="34"/>
  <c r="O750" i="34"/>
  <c r="O764" i="34"/>
  <c r="P768" i="34"/>
  <c r="Q821" i="34"/>
  <c r="P821" i="34"/>
  <c r="P156" i="34"/>
  <c r="O181" i="34"/>
  <c r="P185" i="34"/>
  <c r="O189" i="34"/>
  <c r="P200" i="34"/>
  <c r="O211" i="34"/>
  <c r="Q1801" i="34"/>
  <c r="O1658" i="34"/>
  <c r="Q45" i="34"/>
  <c r="O57" i="34"/>
  <c r="Q1033" i="34"/>
  <c r="O1646" i="34"/>
  <c r="P1400" i="34"/>
  <c r="O47" i="34"/>
  <c r="P51" i="34"/>
  <c r="O55" i="34"/>
  <c r="P59" i="34"/>
  <c r="O1031" i="34"/>
  <c r="P1035" i="34"/>
  <c r="O1039" i="34"/>
  <c r="P1043" i="34"/>
  <c r="O1047" i="34"/>
  <c r="P1051" i="34"/>
  <c r="O1055" i="34"/>
  <c r="P1059" i="34"/>
  <c r="O1074" i="34"/>
  <c r="O1370" i="34"/>
  <c r="P1798" i="34"/>
  <c r="O1080" i="34"/>
  <c r="Q1100" i="34"/>
  <c r="O1151" i="34"/>
  <c r="O1228" i="34"/>
  <c r="P1372" i="34"/>
  <c r="P1379" i="34"/>
  <c r="Q1405" i="34"/>
  <c r="O1428" i="34"/>
  <c r="O1485" i="34"/>
  <c r="Q1582" i="34"/>
  <c r="O1602" i="34"/>
  <c r="Q1607" i="34"/>
  <c r="Q394" i="34"/>
  <c r="Q548" i="34"/>
  <c r="O552" i="34"/>
  <c r="Q556" i="34"/>
  <c r="Q561" i="34"/>
  <c r="Q570" i="34"/>
  <c r="Q578" i="34"/>
  <c r="Q614" i="34"/>
  <c r="Q23" i="34"/>
  <c r="Q838" i="34"/>
  <c r="Q380" i="34"/>
  <c r="Q390" i="34"/>
  <c r="P403" i="34"/>
  <c r="Q413" i="34"/>
  <c r="Q419" i="34"/>
  <c r="O540" i="34"/>
  <c r="Q544" i="34"/>
  <c r="Q38" i="34"/>
  <c r="Q239" i="34"/>
  <c r="Q257" i="34"/>
  <c r="O261" i="34"/>
  <c r="Q265" i="34"/>
  <c r="O371" i="34"/>
  <c r="Q378" i="34"/>
  <c r="Q586" i="34"/>
  <c r="O620" i="34"/>
  <c r="Q624" i="34"/>
  <c r="O652" i="34"/>
  <c r="Q685" i="34"/>
  <c r="Q693" i="34"/>
  <c r="Q737" i="34"/>
  <c r="Q743" i="34"/>
  <c r="O747" i="34"/>
  <c r="Q761" i="34"/>
  <c r="Q765" i="34"/>
  <c r="O144" i="34"/>
  <c r="Q157" i="34"/>
  <c r="Q182" i="34"/>
  <c r="Q193" i="34"/>
  <c r="O208" i="34"/>
  <c r="Q212" i="34"/>
  <c r="Q1429" i="34"/>
  <c r="Q1101" i="34"/>
  <c r="Q1113" i="34"/>
  <c r="Q1183" i="34"/>
  <c r="Q1376" i="34"/>
  <c r="Q1380" i="34"/>
  <c r="Q1406" i="34"/>
  <c r="Q1426" i="34"/>
  <c r="P1603" i="34"/>
  <c r="Q553" i="34"/>
  <c r="Q562" i="34"/>
  <c r="Q29" i="34"/>
  <c r="O33" i="34"/>
  <c r="Q409" i="34"/>
  <c r="P415" i="34"/>
  <c r="Q39" i="34"/>
  <c r="Q216" i="34"/>
  <c r="O229" i="34"/>
  <c r="Q262" i="34"/>
  <c r="Q373" i="34"/>
  <c r="Q621" i="34"/>
  <c r="Q653" i="34"/>
  <c r="O711" i="34"/>
  <c r="Q715" i="34"/>
  <c r="O719" i="34"/>
  <c r="Q748" i="34"/>
  <c r="P762" i="34"/>
  <c r="Q145" i="34"/>
  <c r="Q158" i="34"/>
  <c r="Q194" i="34"/>
  <c r="Q209" i="34"/>
  <c r="O1672" i="34"/>
  <c r="P49" i="34"/>
  <c r="P1041" i="34"/>
  <c r="P1049" i="34"/>
  <c r="P1057" i="34"/>
  <c r="O1373" i="34"/>
  <c r="P1794" i="34"/>
  <c r="Q1102" i="34"/>
  <c r="O1114" i="34"/>
  <c r="O1355" i="34"/>
  <c r="O1377" i="34"/>
  <c r="O1390" i="34"/>
  <c r="P1407" i="34"/>
  <c r="O1604" i="34"/>
  <c r="O823" i="34"/>
  <c r="P545" i="34"/>
  <c r="O550" i="34"/>
  <c r="P554" i="34"/>
  <c r="O558" i="34"/>
  <c r="O563" i="34"/>
  <c r="P568" i="34"/>
  <c r="P576" i="34"/>
  <c r="O606" i="34"/>
  <c r="O1024" i="34"/>
  <c r="Q1028" i="34"/>
  <c r="P1028" i="34"/>
  <c r="O30" i="34"/>
  <c r="P836" i="34"/>
  <c r="O840" i="34"/>
  <c r="P388" i="34"/>
  <c r="Q401" i="34"/>
  <c r="P401" i="34"/>
  <c r="P405" i="34"/>
  <c r="P411" i="34"/>
  <c r="O422" i="34"/>
  <c r="Q36" i="34"/>
  <c r="P36" i="34"/>
  <c r="O40" i="34"/>
  <c r="Q44" i="34"/>
  <c r="P44" i="34"/>
  <c r="O226" i="34"/>
  <c r="P230" i="34"/>
  <c r="P237" i="34"/>
  <c r="O259" i="34"/>
  <c r="P263" i="34"/>
  <c r="O369" i="34"/>
  <c r="P374" i="34"/>
  <c r="P584" i="34"/>
  <c r="O618" i="34"/>
  <c r="P622" i="34"/>
  <c r="O626" i="34"/>
  <c r="P654" i="34"/>
  <c r="Q658" i="34"/>
  <c r="P658" i="34"/>
  <c r="P691" i="34"/>
  <c r="P712" i="34"/>
  <c r="O716" i="34"/>
  <c r="P735" i="34"/>
  <c r="O745" i="34"/>
  <c r="P749" i="34"/>
  <c r="P763" i="34"/>
  <c r="O815" i="34"/>
  <c r="P146" i="34"/>
  <c r="P152" i="34"/>
  <c r="O159" i="34"/>
  <c r="Q163" i="34"/>
  <c r="P163" i="34"/>
  <c r="P188" i="34"/>
  <c r="O195" i="34"/>
  <c r="Q199" i="34"/>
  <c r="P199" i="34"/>
  <c r="P210" i="34"/>
  <c r="Q622" i="34"/>
  <c r="O687" i="34"/>
  <c r="Q712" i="34"/>
  <c r="Q735" i="34"/>
  <c r="Q749" i="34"/>
  <c r="O767" i="34"/>
  <c r="Q146" i="34"/>
  <c r="O184" i="34"/>
  <c r="Q188" i="34"/>
  <c r="Q210" i="34"/>
  <c r="Q1068" i="34"/>
  <c r="P1068" i="34"/>
  <c r="P99" i="34"/>
  <c r="O98" i="34"/>
  <c r="O127" i="34"/>
  <c r="O594" i="34"/>
  <c r="Q99" i="34"/>
  <c r="P127" i="34"/>
  <c r="O1068" i="34"/>
  <c r="O99" i="34"/>
  <c r="P98" i="34"/>
  <c r="Q127" i="34"/>
  <c r="P594" i="34"/>
  <c r="Q98" i="34"/>
  <c r="Q594" i="34"/>
  <c r="O1597" i="34"/>
  <c r="P1660" i="34"/>
  <c r="Q1757" i="34"/>
  <c r="P1757" i="34"/>
  <c r="O1673" i="34"/>
  <c r="P1081" i="34"/>
  <c r="Q1660" i="34"/>
  <c r="Q1081" i="34"/>
  <c r="O1496" i="34"/>
  <c r="P1673" i="34"/>
  <c r="P1597" i="34"/>
  <c r="O1660" i="34"/>
  <c r="O1757" i="34"/>
  <c r="Q1673" i="34"/>
  <c r="P1496" i="34"/>
  <c r="Q1597" i="34"/>
  <c r="O1081" i="34"/>
  <c r="Q1496" i="34"/>
  <c r="P65" i="34"/>
  <c r="Q65" i="34"/>
  <c r="O65" i="34"/>
  <c r="P593" i="34"/>
  <c r="O1062" i="34"/>
  <c r="P1067" i="34"/>
  <c r="P592" i="34"/>
  <c r="Q592" i="34"/>
  <c r="Q593" i="34"/>
  <c r="O592" i="34"/>
  <c r="Q1067" i="34"/>
  <c r="O1067" i="34"/>
  <c r="O593" i="34"/>
  <c r="P1062" i="34"/>
  <c r="Q1062" i="34"/>
  <c r="O137" i="34"/>
  <c r="P138" i="34"/>
  <c r="Q138" i="34"/>
  <c r="P137" i="34"/>
  <c r="O138" i="34"/>
  <c r="Q137" i="34"/>
  <c r="Q219" i="34"/>
  <c r="P219" i="34"/>
  <c r="O139" i="34"/>
  <c r="P139" i="34"/>
  <c r="Q139" i="34"/>
  <c r="O219" i="34"/>
  <c r="O90" i="34"/>
  <c r="P91" i="34"/>
  <c r="Q91" i="34"/>
  <c r="P90" i="34"/>
  <c r="O91" i="34"/>
  <c r="Q90" i="34"/>
  <c r="Q855" i="34"/>
  <c r="U855" i="34"/>
  <c r="Z855" i="34"/>
  <c r="O855" i="34"/>
  <c r="W855" i="34"/>
  <c r="P855" i="34"/>
  <c r="P801" i="34"/>
  <c r="Q801" i="34"/>
  <c r="U801" i="34"/>
  <c r="Z801" i="34"/>
  <c r="O801" i="34"/>
  <c r="W801" i="34"/>
  <c r="P775" i="34"/>
  <c r="Q775" i="34"/>
  <c r="U775" i="34"/>
  <c r="Z775" i="34"/>
  <c r="O775" i="34"/>
  <c r="W775" i="34"/>
  <c r="O847" i="34"/>
  <c r="W847" i="34"/>
  <c r="P847" i="34"/>
  <c r="Q847" i="34"/>
  <c r="U847" i="34"/>
  <c r="Z847" i="34"/>
  <c r="O843" i="34"/>
  <c r="W843" i="34"/>
  <c r="P843" i="34"/>
  <c r="Q843" i="34"/>
  <c r="U843" i="34"/>
  <c r="Z843" i="34"/>
  <c r="Z832" i="34"/>
  <c r="O832" i="34"/>
  <c r="W832" i="34"/>
  <c r="P832" i="34"/>
  <c r="Q832" i="34"/>
  <c r="U832" i="34"/>
  <c r="Z828" i="34"/>
  <c r="O828" i="34"/>
  <c r="W828" i="34"/>
  <c r="P828" i="34"/>
  <c r="Q828" i="34"/>
  <c r="U828" i="34"/>
  <c r="Z824" i="34"/>
  <c r="O824" i="34"/>
  <c r="W824" i="34"/>
  <c r="P824" i="34"/>
  <c r="Q824" i="34"/>
  <c r="U824" i="34"/>
  <c r="O810" i="34"/>
  <c r="W810" i="34"/>
  <c r="P810" i="34"/>
  <c r="Q810" i="34"/>
  <c r="U810" i="34"/>
  <c r="Z810" i="34"/>
  <c r="O806" i="34"/>
  <c r="W806" i="34"/>
  <c r="P806" i="34"/>
  <c r="Q806" i="34"/>
  <c r="U806" i="34"/>
  <c r="Z806" i="34"/>
  <c r="Z759" i="34"/>
  <c r="O759" i="34"/>
  <c r="W759" i="34"/>
  <c r="P759" i="34"/>
  <c r="Q759" i="34"/>
  <c r="U759" i="34"/>
  <c r="P755" i="34"/>
  <c r="Z755" i="34"/>
  <c r="O755" i="34"/>
  <c r="W755" i="34"/>
  <c r="Q755" i="34"/>
  <c r="U755" i="34"/>
  <c r="P703" i="34"/>
  <c r="Q703" i="34"/>
  <c r="U703" i="34"/>
  <c r="Z703" i="34"/>
  <c r="O703" i="34"/>
  <c r="W703" i="34"/>
  <c r="O684" i="34"/>
  <c r="W684" i="34"/>
  <c r="P684" i="34"/>
  <c r="Q684" i="34"/>
  <c r="U684" i="34"/>
  <c r="Z684" i="34"/>
  <c r="O680" i="34"/>
  <c r="W680" i="34"/>
  <c r="P680" i="34"/>
  <c r="Q680" i="34"/>
  <c r="U680" i="34"/>
  <c r="Z680" i="34"/>
  <c r="P771" i="34"/>
  <c r="Q771" i="34"/>
  <c r="U771" i="34"/>
  <c r="Z771" i="34"/>
  <c r="O771" i="34"/>
  <c r="W771" i="34"/>
  <c r="P727" i="34"/>
  <c r="Q727" i="34"/>
  <c r="U727" i="34"/>
  <c r="Z727" i="34"/>
  <c r="O727" i="34"/>
  <c r="W727" i="34"/>
  <c r="O708" i="34"/>
  <c r="W708" i="34"/>
  <c r="P708" i="34"/>
  <c r="Q708" i="34"/>
  <c r="U708" i="34"/>
  <c r="Z708" i="34"/>
  <c r="O704" i="34"/>
  <c r="W704" i="34"/>
  <c r="P704" i="34"/>
  <c r="Q704" i="34"/>
  <c r="U704" i="34"/>
  <c r="Z704" i="34"/>
  <c r="O676" i="34"/>
  <c r="W676" i="34"/>
  <c r="P676" i="34"/>
  <c r="Q676" i="34"/>
  <c r="U676" i="34"/>
  <c r="Z676" i="34"/>
  <c r="O672" i="34"/>
  <c r="W672" i="34"/>
  <c r="P672" i="34"/>
  <c r="Q672" i="34"/>
  <c r="U672" i="34"/>
  <c r="Z672" i="34"/>
  <c r="Z665" i="34"/>
  <c r="O665" i="34"/>
  <c r="W665" i="34"/>
  <c r="P665" i="34"/>
  <c r="Q665" i="34"/>
  <c r="U665" i="34"/>
  <c r="O660" i="34"/>
  <c r="W660" i="34"/>
  <c r="P660" i="34"/>
  <c r="Q660" i="34"/>
  <c r="U660" i="34"/>
  <c r="Z660" i="34"/>
  <c r="Z646" i="34"/>
  <c r="O646" i="34"/>
  <c r="W646" i="34"/>
  <c r="P646" i="34"/>
  <c r="Q646" i="34"/>
  <c r="U646" i="34"/>
  <c r="Z642" i="34"/>
  <c r="O642" i="34"/>
  <c r="W642" i="34"/>
  <c r="P642" i="34"/>
  <c r="Q642" i="34"/>
  <c r="U642" i="34"/>
  <c r="P273" i="34"/>
  <c r="Q273" i="34"/>
  <c r="U273" i="34"/>
  <c r="Z273" i="34"/>
  <c r="O273" i="34"/>
  <c r="W273" i="34"/>
  <c r="O254" i="34"/>
  <c r="W254" i="34"/>
  <c r="P254" i="34"/>
  <c r="Q254" i="34"/>
  <c r="U254" i="34"/>
  <c r="Z254" i="34"/>
  <c r="O246" i="34"/>
  <c r="W246" i="34"/>
  <c r="P246" i="34"/>
  <c r="Q246" i="34"/>
  <c r="U246" i="34"/>
  <c r="Z246" i="34"/>
  <c r="Q207" i="34"/>
  <c r="U207" i="34"/>
  <c r="Z207" i="34"/>
  <c r="O207" i="34"/>
  <c r="W207" i="34"/>
  <c r="P207" i="34"/>
  <c r="Z251" i="34"/>
  <c r="O251" i="34"/>
  <c r="W251" i="34"/>
  <c r="P251" i="34"/>
  <c r="Q251" i="34"/>
  <c r="U251" i="34"/>
  <c r="P616" i="34"/>
  <c r="Q616" i="34"/>
  <c r="U616" i="34"/>
  <c r="Z616" i="34"/>
  <c r="O616" i="34"/>
  <c r="W616" i="34"/>
  <c r="P679" i="34"/>
  <c r="Q679" i="34"/>
  <c r="U679" i="34"/>
  <c r="Z679" i="34"/>
  <c r="O679" i="34"/>
  <c r="W679" i="34"/>
  <c r="Z634" i="34"/>
  <c r="O634" i="34"/>
  <c r="W634" i="34"/>
  <c r="P634" i="34"/>
  <c r="Q634" i="34"/>
  <c r="U634" i="34"/>
  <c r="P628" i="34"/>
  <c r="Q628" i="34"/>
  <c r="U628" i="34"/>
  <c r="Z628" i="34"/>
  <c r="O628" i="34"/>
  <c r="W628" i="34"/>
  <c r="Z854" i="34"/>
  <c r="O854" i="34"/>
  <c r="W854" i="34"/>
  <c r="P854" i="34"/>
  <c r="Q854" i="34"/>
  <c r="U854" i="34"/>
  <c r="Q778" i="34"/>
  <c r="U778" i="34"/>
  <c r="Z778" i="34"/>
  <c r="O778" i="34"/>
  <c r="W778" i="34"/>
  <c r="P778" i="34"/>
  <c r="P852" i="34"/>
  <c r="Q852" i="34"/>
  <c r="U852" i="34"/>
  <c r="Z852" i="34"/>
  <c r="O852" i="34"/>
  <c r="W852" i="34"/>
  <c r="P850" i="34"/>
  <c r="Q850" i="34"/>
  <c r="U850" i="34"/>
  <c r="Z850" i="34"/>
  <c r="O850" i="34"/>
  <c r="W850" i="34"/>
  <c r="P846" i="34"/>
  <c r="Q846" i="34"/>
  <c r="U846" i="34"/>
  <c r="Z846" i="34"/>
  <c r="O846" i="34"/>
  <c r="W846" i="34"/>
  <c r="P842" i="34"/>
  <c r="Q842" i="34"/>
  <c r="U842" i="34"/>
  <c r="Z842" i="34"/>
  <c r="O842" i="34"/>
  <c r="W842" i="34"/>
  <c r="O831" i="34"/>
  <c r="W831" i="34"/>
  <c r="P831" i="34"/>
  <c r="Q831" i="34"/>
  <c r="U831" i="34"/>
  <c r="Z831" i="34"/>
  <c r="O827" i="34"/>
  <c r="W827" i="34"/>
  <c r="P827" i="34"/>
  <c r="Q827" i="34"/>
  <c r="U827" i="34"/>
  <c r="Z827" i="34"/>
  <c r="P813" i="34"/>
  <c r="Q813" i="34"/>
  <c r="U813" i="34"/>
  <c r="Z813" i="34"/>
  <c r="O813" i="34"/>
  <c r="W813" i="34"/>
  <c r="P809" i="34"/>
  <c r="Q809" i="34"/>
  <c r="U809" i="34"/>
  <c r="Z809" i="34"/>
  <c r="O809" i="34"/>
  <c r="W809" i="34"/>
  <c r="P805" i="34"/>
  <c r="Q805" i="34"/>
  <c r="U805" i="34"/>
  <c r="Z805" i="34"/>
  <c r="O805" i="34"/>
  <c r="W805" i="34"/>
  <c r="O758" i="34"/>
  <c r="W758" i="34"/>
  <c r="P758" i="34"/>
  <c r="Q758" i="34"/>
  <c r="U758" i="34"/>
  <c r="Z758" i="34"/>
  <c r="Q754" i="34"/>
  <c r="U754" i="34"/>
  <c r="O754" i="34"/>
  <c r="W754" i="34"/>
  <c r="P754" i="34"/>
  <c r="Z754" i="34"/>
  <c r="Q702" i="34"/>
  <c r="U702" i="34"/>
  <c r="Z702" i="34"/>
  <c r="O702" i="34"/>
  <c r="W702" i="34"/>
  <c r="P702" i="34"/>
  <c r="P683" i="34"/>
  <c r="Q683" i="34"/>
  <c r="U683" i="34"/>
  <c r="Z683" i="34"/>
  <c r="O683" i="34"/>
  <c r="W683" i="34"/>
  <c r="Q774" i="34"/>
  <c r="U774" i="34"/>
  <c r="Z774" i="34"/>
  <c r="O774" i="34"/>
  <c r="W774" i="34"/>
  <c r="P774" i="34"/>
  <c r="Q730" i="34"/>
  <c r="U730" i="34"/>
  <c r="Z730" i="34"/>
  <c r="O730" i="34"/>
  <c r="W730" i="34"/>
  <c r="P730" i="34"/>
  <c r="Q726" i="34"/>
  <c r="U726" i="34"/>
  <c r="Z726" i="34"/>
  <c r="O726" i="34"/>
  <c r="W726" i="34"/>
  <c r="P726" i="34"/>
  <c r="P707" i="34"/>
  <c r="Q707" i="34"/>
  <c r="U707" i="34"/>
  <c r="Z707" i="34"/>
  <c r="O707" i="34"/>
  <c r="W707" i="34"/>
  <c r="P695" i="34"/>
  <c r="Q695" i="34"/>
  <c r="U695" i="34"/>
  <c r="Z695" i="34"/>
  <c r="O695" i="34"/>
  <c r="W695" i="34"/>
  <c r="P675" i="34"/>
  <c r="Q675" i="34"/>
  <c r="U675" i="34"/>
  <c r="Z675" i="34"/>
  <c r="O675" i="34"/>
  <c r="W675" i="34"/>
  <c r="P671" i="34"/>
  <c r="Q671" i="34"/>
  <c r="U671" i="34"/>
  <c r="Z671" i="34"/>
  <c r="O671" i="34"/>
  <c r="W671" i="34"/>
  <c r="O664" i="34"/>
  <c r="W664" i="34"/>
  <c r="P664" i="34"/>
  <c r="Q664" i="34"/>
  <c r="U664" i="34"/>
  <c r="Z664" i="34"/>
  <c r="Z650" i="34"/>
  <c r="O650" i="34"/>
  <c r="W650" i="34"/>
  <c r="Q650" i="34"/>
  <c r="U650" i="34"/>
  <c r="P650" i="34"/>
  <c r="O645" i="34"/>
  <c r="W645" i="34"/>
  <c r="P645" i="34"/>
  <c r="Q645" i="34"/>
  <c r="U645" i="34"/>
  <c r="Z645" i="34"/>
  <c r="O629" i="34"/>
  <c r="W629" i="34"/>
  <c r="P629" i="34"/>
  <c r="Q629" i="34"/>
  <c r="U629" i="34"/>
  <c r="Z629" i="34"/>
  <c r="Q272" i="34"/>
  <c r="U272" i="34"/>
  <c r="Z272" i="34"/>
  <c r="O272" i="34"/>
  <c r="W272" i="34"/>
  <c r="P272" i="34"/>
  <c r="P253" i="34"/>
  <c r="Q253" i="34"/>
  <c r="U253" i="34"/>
  <c r="Z253" i="34"/>
  <c r="O253" i="34"/>
  <c r="W253" i="34"/>
  <c r="P245" i="34"/>
  <c r="Q245" i="34"/>
  <c r="U245" i="34"/>
  <c r="Z245" i="34"/>
  <c r="O245" i="34"/>
  <c r="W245" i="34"/>
  <c r="P220" i="34"/>
  <c r="Z220" i="34"/>
  <c r="O220" i="34"/>
  <c r="W220" i="34"/>
  <c r="Q220" i="34"/>
  <c r="U220" i="34"/>
  <c r="Q252" i="34"/>
  <c r="U252" i="34"/>
  <c r="Z252" i="34"/>
  <c r="O252" i="34"/>
  <c r="W252" i="34"/>
  <c r="P252" i="34"/>
  <c r="O668" i="34"/>
  <c r="W668" i="34"/>
  <c r="P668" i="34"/>
  <c r="Q668" i="34"/>
  <c r="U668" i="34"/>
  <c r="Z668" i="34"/>
  <c r="Z1063" i="34"/>
  <c r="O1063" i="34"/>
  <c r="W1063" i="34"/>
  <c r="P1063" i="34"/>
  <c r="Q1063" i="34"/>
  <c r="U1063" i="34"/>
  <c r="Q635" i="34"/>
  <c r="U635" i="34"/>
  <c r="Z635" i="34"/>
  <c r="O635" i="34"/>
  <c r="W635" i="34"/>
  <c r="P635" i="34"/>
  <c r="Q639" i="34"/>
  <c r="U639" i="34"/>
  <c r="Z639" i="34"/>
  <c r="O639" i="34"/>
  <c r="W639" i="34"/>
  <c r="P639" i="34"/>
  <c r="O853" i="34"/>
  <c r="W853" i="34"/>
  <c r="P853" i="34"/>
  <c r="Q853" i="34"/>
  <c r="U853" i="34"/>
  <c r="Z853" i="34"/>
  <c r="Z777" i="34"/>
  <c r="O777" i="34"/>
  <c r="W777" i="34"/>
  <c r="P777" i="34"/>
  <c r="Q777" i="34"/>
  <c r="U777" i="34"/>
  <c r="Q851" i="34"/>
  <c r="U851" i="34"/>
  <c r="Z851" i="34"/>
  <c r="O851" i="34"/>
  <c r="W851" i="34"/>
  <c r="P851" i="34"/>
  <c r="Q849" i="34"/>
  <c r="U849" i="34"/>
  <c r="Z849" i="34"/>
  <c r="O849" i="34"/>
  <c r="W849" i="34"/>
  <c r="P849" i="34"/>
  <c r="Q845" i="34"/>
  <c r="U845" i="34"/>
  <c r="Z845" i="34"/>
  <c r="O845" i="34"/>
  <c r="W845" i="34"/>
  <c r="P845" i="34"/>
  <c r="Q841" i="34"/>
  <c r="U841" i="34"/>
  <c r="Z841" i="34"/>
  <c r="O841" i="34"/>
  <c r="W841" i="34"/>
  <c r="P841" i="34"/>
  <c r="P830" i="34"/>
  <c r="Q830" i="34"/>
  <c r="U830" i="34"/>
  <c r="Z830" i="34"/>
  <c r="O830" i="34"/>
  <c r="W830" i="34"/>
  <c r="P826" i="34"/>
  <c r="Q826" i="34"/>
  <c r="U826" i="34"/>
  <c r="Z826" i="34"/>
  <c r="O826" i="34"/>
  <c r="W826" i="34"/>
  <c r="Q812" i="34"/>
  <c r="U812" i="34"/>
  <c r="Z812" i="34"/>
  <c r="O812" i="34"/>
  <c r="W812" i="34"/>
  <c r="P812" i="34"/>
  <c r="Q808" i="34"/>
  <c r="U808" i="34"/>
  <c r="Z808" i="34"/>
  <c r="O808" i="34"/>
  <c r="W808" i="34"/>
  <c r="P808" i="34"/>
  <c r="Q804" i="34"/>
  <c r="U804" i="34"/>
  <c r="Z804" i="34"/>
  <c r="O804" i="34"/>
  <c r="W804" i="34"/>
  <c r="P804" i="34"/>
  <c r="P757" i="34"/>
  <c r="Q757" i="34"/>
  <c r="U757" i="34"/>
  <c r="O757" i="34"/>
  <c r="Z757" i="34"/>
  <c r="W757" i="34"/>
  <c r="Z753" i="34"/>
  <c r="O753" i="34"/>
  <c r="P753" i="34"/>
  <c r="Q753" i="34"/>
  <c r="U753" i="34"/>
  <c r="W753" i="34"/>
  <c r="Z701" i="34"/>
  <c r="O701" i="34"/>
  <c r="W701" i="34"/>
  <c r="P701" i="34"/>
  <c r="Q701" i="34"/>
  <c r="U701" i="34"/>
  <c r="Q682" i="34"/>
  <c r="U682" i="34"/>
  <c r="Z682" i="34"/>
  <c r="O682" i="34"/>
  <c r="W682" i="34"/>
  <c r="P682" i="34"/>
  <c r="Z773" i="34"/>
  <c r="O773" i="34"/>
  <c r="W773" i="34"/>
  <c r="P773" i="34"/>
  <c r="Q773" i="34"/>
  <c r="U773" i="34"/>
  <c r="Z729" i="34"/>
  <c r="O729" i="34"/>
  <c r="W729" i="34"/>
  <c r="P729" i="34"/>
  <c r="Q729" i="34"/>
  <c r="U729" i="34"/>
  <c r="Z725" i="34"/>
  <c r="O725" i="34"/>
  <c r="W725" i="34"/>
  <c r="P725" i="34"/>
  <c r="Q725" i="34"/>
  <c r="U725" i="34"/>
  <c r="Z697" i="34"/>
  <c r="O697" i="34"/>
  <c r="W697" i="34"/>
  <c r="P697" i="34"/>
  <c r="Q697" i="34"/>
  <c r="U697" i="34"/>
  <c r="Q694" i="34"/>
  <c r="U694" i="34"/>
  <c r="Z694" i="34"/>
  <c r="O694" i="34"/>
  <c r="W694" i="34"/>
  <c r="P694" i="34"/>
  <c r="Q674" i="34"/>
  <c r="U674" i="34"/>
  <c r="Z674" i="34"/>
  <c r="O674" i="34"/>
  <c r="W674" i="34"/>
  <c r="P674" i="34"/>
  <c r="P667" i="34"/>
  <c r="Q667" i="34"/>
  <c r="U667" i="34"/>
  <c r="Z667" i="34"/>
  <c r="O667" i="34"/>
  <c r="W667" i="34"/>
  <c r="P663" i="34"/>
  <c r="Q663" i="34"/>
  <c r="U663" i="34"/>
  <c r="Z663" i="34"/>
  <c r="O663" i="34"/>
  <c r="W663" i="34"/>
  <c r="O649" i="34"/>
  <c r="W649" i="34"/>
  <c r="P649" i="34"/>
  <c r="Z649" i="34"/>
  <c r="Q649" i="34"/>
  <c r="U649" i="34"/>
  <c r="P644" i="34"/>
  <c r="Q644" i="34"/>
  <c r="U644" i="34"/>
  <c r="Z644" i="34"/>
  <c r="O644" i="34"/>
  <c r="W644" i="34"/>
  <c r="P1065" i="34"/>
  <c r="Q1065" i="34"/>
  <c r="U1065" i="34"/>
  <c r="Z1065" i="34"/>
  <c r="O1065" i="34"/>
  <c r="W1065" i="34"/>
  <c r="Q256" i="34"/>
  <c r="U256" i="34"/>
  <c r="Z256" i="34"/>
  <c r="O256" i="34"/>
  <c r="W256" i="34"/>
  <c r="P256" i="34"/>
  <c r="P249" i="34"/>
  <c r="Q249" i="34"/>
  <c r="U249" i="34"/>
  <c r="Z249" i="34"/>
  <c r="O249" i="34"/>
  <c r="W249" i="34"/>
  <c r="Q244" i="34"/>
  <c r="U244" i="34"/>
  <c r="Z244" i="34"/>
  <c r="O244" i="34"/>
  <c r="W244" i="34"/>
  <c r="P244" i="34"/>
  <c r="Z247" i="34"/>
  <c r="O247" i="34"/>
  <c r="W247" i="34"/>
  <c r="P247" i="34"/>
  <c r="Q247" i="34"/>
  <c r="U247" i="34"/>
  <c r="Z709" i="34"/>
  <c r="O709" i="34"/>
  <c r="W709" i="34"/>
  <c r="P709" i="34"/>
  <c r="Q709" i="34"/>
  <c r="U709" i="34"/>
  <c r="Z669" i="34"/>
  <c r="O669" i="34"/>
  <c r="W669" i="34"/>
  <c r="P669" i="34"/>
  <c r="Q669" i="34"/>
  <c r="U669" i="34"/>
  <c r="P632" i="34"/>
  <c r="Q632" i="34"/>
  <c r="U632" i="34"/>
  <c r="Z632" i="34"/>
  <c r="O632" i="34"/>
  <c r="W632" i="34"/>
  <c r="P636" i="34"/>
  <c r="Q636" i="34"/>
  <c r="U636" i="34"/>
  <c r="Z636" i="34"/>
  <c r="O636" i="34"/>
  <c r="W636" i="34"/>
  <c r="P640" i="34"/>
  <c r="Q640" i="34"/>
  <c r="U640" i="34"/>
  <c r="Z640" i="34"/>
  <c r="O640" i="34"/>
  <c r="W640" i="34"/>
  <c r="O802" i="34"/>
  <c r="W802" i="34"/>
  <c r="P802" i="34"/>
  <c r="Q802" i="34"/>
  <c r="U802" i="34"/>
  <c r="Z802" i="34"/>
  <c r="O776" i="34"/>
  <c r="W776" i="34"/>
  <c r="P776" i="34"/>
  <c r="Q776" i="34"/>
  <c r="U776" i="34"/>
  <c r="Z776" i="34"/>
  <c r="Z848" i="34"/>
  <c r="O848" i="34"/>
  <c r="W848" i="34"/>
  <c r="P848" i="34"/>
  <c r="Q848" i="34"/>
  <c r="U848" i="34"/>
  <c r="Z844" i="34"/>
  <c r="O844" i="34"/>
  <c r="W844" i="34"/>
  <c r="P844" i="34"/>
  <c r="Q844" i="34"/>
  <c r="U844" i="34"/>
  <c r="Q833" i="34"/>
  <c r="U833" i="34"/>
  <c r="Z833" i="34"/>
  <c r="O833" i="34"/>
  <c r="W833" i="34"/>
  <c r="P833" i="34"/>
  <c r="Q829" i="34"/>
  <c r="U829" i="34"/>
  <c r="Z829" i="34"/>
  <c r="O829" i="34"/>
  <c r="W829" i="34"/>
  <c r="P829" i="34"/>
  <c r="Q825" i="34"/>
  <c r="U825" i="34"/>
  <c r="Z825" i="34"/>
  <c r="O825" i="34"/>
  <c r="W825" i="34"/>
  <c r="P825" i="34"/>
  <c r="Z811" i="34"/>
  <c r="O811" i="34"/>
  <c r="W811" i="34"/>
  <c r="P811" i="34"/>
  <c r="Q811" i="34"/>
  <c r="U811" i="34"/>
  <c r="Z807" i="34"/>
  <c r="O807" i="34"/>
  <c r="W807" i="34"/>
  <c r="P807" i="34"/>
  <c r="Q807" i="34"/>
  <c r="U807" i="34"/>
  <c r="Q760" i="34"/>
  <c r="U760" i="34"/>
  <c r="Z760" i="34"/>
  <c r="O760" i="34"/>
  <c r="P760" i="34"/>
  <c r="W760" i="34"/>
  <c r="O756" i="34"/>
  <c r="W756" i="34"/>
  <c r="Q756" i="34"/>
  <c r="U756" i="34"/>
  <c r="Z756" i="34"/>
  <c r="P756" i="34"/>
  <c r="O752" i="34"/>
  <c r="W752" i="34"/>
  <c r="P752" i="34"/>
  <c r="Q752" i="34"/>
  <c r="U752" i="34"/>
  <c r="Z752" i="34"/>
  <c r="O700" i="34"/>
  <c r="W700" i="34"/>
  <c r="P700" i="34"/>
  <c r="Q700" i="34"/>
  <c r="U700" i="34"/>
  <c r="Z700" i="34"/>
  <c r="Z681" i="34"/>
  <c r="O681" i="34"/>
  <c r="W681" i="34"/>
  <c r="P681" i="34"/>
  <c r="Q681" i="34"/>
  <c r="U681" i="34"/>
  <c r="O772" i="34"/>
  <c r="W772" i="34"/>
  <c r="P772" i="34"/>
  <c r="Q772" i="34"/>
  <c r="U772" i="34"/>
  <c r="Z772" i="34"/>
  <c r="O728" i="34"/>
  <c r="W728" i="34"/>
  <c r="P728" i="34"/>
  <c r="Q728" i="34"/>
  <c r="U728" i="34"/>
  <c r="Z728" i="34"/>
  <c r="O724" i="34"/>
  <c r="W724" i="34"/>
  <c r="P724" i="34"/>
  <c r="Q724" i="34"/>
  <c r="U724" i="34"/>
  <c r="Z724" i="34"/>
  <c r="Z705" i="34"/>
  <c r="O705" i="34"/>
  <c r="W705" i="34"/>
  <c r="P705" i="34"/>
  <c r="Q705" i="34"/>
  <c r="U705" i="34"/>
  <c r="Z677" i="34"/>
  <c r="O677" i="34"/>
  <c r="W677" i="34"/>
  <c r="P677" i="34"/>
  <c r="Q677" i="34"/>
  <c r="U677" i="34"/>
  <c r="Z673" i="34"/>
  <c r="O673" i="34"/>
  <c r="W673" i="34"/>
  <c r="P673" i="34"/>
  <c r="Q673" i="34"/>
  <c r="U673" i="34"/>
  <c r="Q666" i="34"/>
  <c r="U666" i="34"/>
  <c r="Z666" i="34"/>
  <c r="O666" i="34"/>
  <c r="W666" i="34"/>
  <c r="P666" i="34"/>
  <c r="Z661" i="34"/>
  <c r="O661" i="34"/>
  <c r="W661" i="34"/>
  <c r="P661" i="34"/>
  <c r="Q661" i="34"/>
  <c r="U661" i="34"/>
  <c r="P648" i="34"/>
  <c r="Q648" i="34"/>
  <c r="U648" i="34"/>
  <c r="O648" i="34"/>
  <c r="W648" i="34"/>
  <c r="Z648" i="34"/>
  <c r="Q643" i="34"/>
  <c r="U643" i="34"/>
  <c r="Z643" i="34"/>
  <c r="O643" i="34"/>
  <c r="W643" i="34"/>
  <c r="P643" i="34"/>
  <c r="Q1064" i="34"/>
  <c r="U1064" i="34"/>
  <c r="Z1064" i="34"/>
  <c r="O1064" i="34"/>
  <c r="W1064" i="34"/>
  <c r="P1064" i="34"/>
  <c r="Z255" i="34"/>
  <c r="O255" i="34"/>
  <c r="W255" i="34"/>
  <c r="P255" i="34"/>
  <c r="Q255" i="34"/>
  <c r="U255" i="34"/>
  <c r="Q248" i="34"/>
  <c r="U248" i="34"/>
  <c r="Z248" i="34"/>
  <c r="O248" i="34"/>
  <c r="W248" i="34"/>
  <c r="P248" i="34"/>
  <c r="O221" i="34"/>
  <c r="Q221" i="34"/>
  <c r="U221" i="34"/>
  <c r="Z221" i="34"/>
  <c r="P221" i="34"/>
  <c r="W221" i="34"/>
  <c r="O250" i="34"/>
  <c r="W250" i="34"/>
  <c r="P250" i="34"/>
  <c r="Q250" i="34"/>
  <c r="U250" i="34"/>
  <c r="Z250" i="34"/>
  <c r="Q710" i="34"/>
  <c r="U710" i="34"/>
  <c r="Z710" i="34"/>
  <c r="O710" i="34"/>
  <c r="W710" i="34"/>
  <c r="P710" i="34"/>
  <c r="Q678" i="34"/>
  <c r="U678" i="34"/>
  <c r="Z678" i="34"/>
  <c r="O678" i="34"/>
  <c r="W678" i="34"/>
  <c r="P678" i="34"/>
  <c r="O633" i="34"/>
  <c r="W633" i="34"/>
  <c r="P633" i="34"/>
  <c r="Q633" i="34"/>
  <c r="U633" i="34"/>
  <c r="Z633" i="34"/>
  <c r="O637" i="34"/>
  <c r="W637" i="34"/>
  <c r="P637" i="34"/>
  <c r="Q637" i="34"/>
  <c r="U637" i="34"/>
  <c r="Z637" i="34"/>
  <c r="O641" i="34"/>
  <c r="W641" i="34"/>
  <c r="P641" i="34"/>
  <c r="Q641" i="34"/>
  <c r="U641" i="34"/>
  <c r="Z641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43" i="70"/>
  <c r="Z166" i="34" l="1"/>
  <c r="P166" i="34"/>
  <c r="Q166" i="34"/>
  <c r="U166" i="34"/>
  <c r="O166" i="34"/>
  <c r="W166" i="34"/>
  <c r="P176" i="34"/>
  <c r="Q176" i="34"/>
  <c r="U176" i="34"/>
  <c r="Z176" i="34"/>
  <c r="O176" i="34"/>
  <c r="W176" i="34"/>
  <c r="Z206" i="34"/>
  <c r="O206" i="34"/>
  <c r="W206" i="34"/>
  <c r="P206" i="34"/>
  <c r="Q206" i="34"/>
  <c r="U206" i="34"/>
  <c r="O165" i="34"/>
  <c r="W165" i="34"/>
  <c r="Q165" i="34"/>
  <c r="U165" i="34"/>
  <c r="Z165" i="34"/>
  <c r="P165" i="34"/>
  <c r="Q175" i="34"/>
  <c r="U175" i="34"/>
  <c r="Z175" i="34"/>
  <c r="O175" i="34"/>
  <c r="W175" i="34"/>
  <c r="P175" i="34"/>
  <c r="O205" i="34"/>
  <c r="W205" i="34"/>
  <c r="P205" i="34"/>
  <c r="Q205" i="34"/>
  <c r="U205" i="34"/>
  <c r="Z205" i="34"/>
  <c r="Z178" i="34"/>
  <c r="O178" i="34"/>
  <c r="W178" i="34"/>
  <c r="P178" i="34"/>
  <c r="Q178" i="34"/>
  <c r="U178" i="34"/>
  <c r="Z174" i="34"/>
  <c r="O174" i="34"/>
  <c r="W174" i="34"/>
  <c r="P174" i="34"/>
  <c r="Q174" i="34"/>
  <c r="U174" i="34"/>
  <c r="P204" i="34"/>
  <c r="Q204" i="34"/>
  <c r="U204" i="34"/>
  <c r="Z204" i="34"/>
  <c r="O204" i="34"/>
  <c r="W204" i="34"/>
  <c r="O177" i="34"/>
  <c r="W177" i="34"/>
  <c r="P177" i="34"/>
  <c r="Q177" i="34"/>
  <c r="U177" i="34"/>
  <c r="Z177" i="34"/>
  <c r="O173" i="34"/>
  <c r="W173" i="34"/>
  <c r="P173" i="34"/>
  <c r="Q173" i="34"/>
  <c r="U173" i="34"/>
  <c r="Z173" i="34"/>
  <c r="Z79" i="34" l="1"/>
  <c r="O79" i="34"/>
  <c r="W79" i="34"/>
  <c r="P79" i="34"/>
  <c r="Q79" i="34"/>
  <c r="U79" i="34"/>
  <c r="P97" i="34"/>
  <c r="Q97" i="34"/>
  <c r="U97" i="34"/>
  <c r="Z97" i="34"/>
  <c r="O97" i="34"/>
  <c r="W97" i="34"/>
  <c r="O102" i="34"/>
  <c r="W102" i="34"/>
  <c r="P102" i="34"/>
  <c r="Q102" i="34"/>
  <c r="U102" i="34"/>
  <c r="Z102" i="34"/>
  <c r="Z111" i="34"/>
  <c r="O111" i="34"/>
  <c r="W111" i="34"/>
  <c r="P111" i="34"/>
  <c r="Q111" i="34"/>
  <c r="U111" i="34"/>
  <c r="Q179" i="34"/>
  <c r="U179" i="34"/>
  <c r="Z179" i="34"/>
  <c r="O179" i="34"/>
  <c r="W179" i="34"/>
  <c r="P179" i="34"/>
  <c r="Z231" i="34"/>
  <c r="O231" i="34"/>
  <c r="W231" i="34"/>
  <c r="P231" i="34"/>
  <c r="Q231" i="34"/>
  <c r="U231" i="34"/>
  <c r="P69" i="34"/>
  <c r="Q69" i="34"/>
  <c r="U69" i="34"/>
  <c r="Z69" i="34"/>
  <c r="O69" i="34"/>
  <c r="W69" i="34"/>
  <c r="Q76" i="34"/>
  <c r="U76" i="34"/>
  <c r="Z76" i="34"/>
  <c r="O76" i="34"/>
  <c r="W76" i="34"/>
  <c r="P76" i="34"/>
  <c r="O217" i="34"/>
  <c r="W217" i="34"/>
  <c r="Q217" i="34"/>
  <c r="U217" i="34"/>
  <c r="Z217" i="34"/>
  <c r="P217" i="34"/>
  <c r="Q268" i="34"/>
  <c r="U268" i="34"/>
  <c r="Z268" i="34"/>
  <c r="O268" i="34"/>
  <c r="W268" i="34"/>
  <c r="P268" i="34"/>
  <c r="P140" i="34"/>
  <c r="Q140" i="34"/>
  <c r="U140" i="34"/>
  <c r="Z140" i="34"/>
  <c r="O140" i="34"/>
  <c r="W140" i="34"/>
  <c r="O121" i="34"/>
  <c r="W121" i="34"/>
  <c r="P121" i="34"/>
  <c r="Q121" i="34"/>
  <c r="U121" i="34"/>
  <c r="Z121" i="34"/>
  <c r="P128" i="34"/>
  <c r="Q128" i="34"/>
  <c r="U128" i="34"/>
  <c r="Z128" i="34"/>
  <c r="O128" i="34"/>
  <c r="W128" i="34"/>
  <c r="Q123" i="34"/>
  <c r="U123" i="34"/>
  <c r="Z123" i="34"/>
  <c r="O123" i="34"/>
  <c r="W123" i="34"/>
  <c r="P123" i="34"/>
  <c r="P170" i="34"/>
  <c r="Q170" i="34"/>
  <c r="Z170" i="34"/>
  <c r="W170" i="34"/>
  <c r="O170" i="34"/>
  <c r="U170" i="34"/>
  <c r="Z134" i="34"/>
  <c r="O134" i="34"/>
  <c r="W134" i="34"/>
  <c r="P134" i="34"/>
  <c r="Q134" i="34"/>
  <c r="U134" i="34"/>
  <c r="Q108" i="34"/>
  <c r="U108" i="34"/>
  <c r="Z108" i="34"/>
  <c r="O108" i="34"/>
  <c r="W108" i="34"/>
  <c r="P108" i="34"/>
  <c r="O86" i="34"/>
  <c r="W86" i="34"/>
  <c r="P86" i="34"/>
  <c r="Q86" i="34"/>
  <c r="U86" i="34"/>
  <c r="Z86" i="34"/>
  <c r="O118" i="34"/>
  <c r="Z118" i="34"/>
  <c r="W118" i="34"/>
  <c r="P118" i="34"/>
  <c r="Q118" i="34"/>
  <c r="U118" i="34"/>
  <c r="Q64" i="34"/>
  <c r="U64" i="34"/>
  <c r="Z64" i="34"/>
  <c r="O64" i="34"/>
  <c r="W64" i="34"/>
  <c r="P64" i="34"/>
  <c r="O78" i="34"/>
  <c r="W78" i="34"/>
  <c r="P78" i="34"/>
  <c r="Q78" i="34"/>
  <c r="U78" i="34"/>
  <c r="Z78" i="34"/>
  <c r="P89" i="34"/>
  <c r="Q89" i="34"/>
  <c r="U89" i="34"/>
  <c r="Z89" i="34"/>
  <c r="O89" i="34"/>
  <c r="W89" i="34"/>
  <c r="P85" i="34"/>
  <c r="Q85" i="34"/>
  <c r="U85" i="34"/>
  <c r="Z85" i="34"/>
  <c r="O85" i="34"/>
  <c r="W85" i="34"/>
  <c r="Q96" i="34"/>
  <c r="U96" i="34"/>
  <c r="Z96" i="34"/>
  <c r="O96" i="34"/>
  <c r="W96" i="34"/>
  <c r="P96" i="34"/>
  <c r="P101" i="34"/>
  <c r="Q101" i="34"/>
  <c r="U101" i="34"/>
  <c r="Z101" i="34"/>
  <c r="O101" i="34"/>
  <c r="W101" i="34"/>
  <c r="Q191" i="34"/>
  <c r="U191" i="34"/>
  <c r="Z191" i="34"/>
  <c r="O191" i="34"/>
  <c r="W191" i="34"/>
  <c r="P191" i="34"/>
  <c r="Z115" i="34"/>
  <c r="O115" i="34"/>
  <c r="W115" i="34"/>
  <c r="P115" i="34"/>
  <c r="Q115" i="34"/>
  <c r="U115" i="34"/>
  <c r="Q72" i="34"/>
  <c r="U72" i="34"/>
  <c r="Z72" i="34"/>
  <c r="O72" i="34"/>
  <c r="W72" i="34"/>
  <c r="P72" i="34"/>
  <c r="Q68" i="34"/>
  <c r="U68" i="34"/>
  <c r="Z68" i="34"/>
  <c r="O68" i="34"/>
  <c r="W68" i="34"/>
  <c r="P68" i="34"/>
  <c r="Z75" i="34"/>
  <c r="O75" i="34"/>
  <c r="W75" i="34"/>
  <c r="P75" i="34"/>
  <c r="Q75" i="34"/>
  <c r="U75" i="34"/>
  <c r="Z218" i="34"/>
  <c r="P218" i="34"/>
  <c r="Q218" i="34"/>
  <c r="U218" i="34"/>
  <c r="O218" i="34"/>
  <c r="W218" i="34"/>
  <c r="P269" i="34"/>
  <c r="Q269" i="34"/>
  <c r="U269" i="34"/>
  <c r="Z269" i="34"/>
  <c r="O269" i="34"/>
  <c r="W269" i="34"/>
  <c r="O141" i="34"/>
  <c r="W141" i="34"/>
  <c r="P141" i="34"/>
  <c r="Q141" i="34"/>
  <c r="U141" i="34"/>
  <c r="Z141" i="34"/>
  <c r="Q131" i="34"/>
  <c r="U131" i="34"/>
  <c r="Z131" i="34"/>
  <c r="O131" i="34"/>
  <c r="W131" i="34"/>
  <c r="P131" i="34"/>
  <c r="Z126" i="34"/>
  <c r="O126" i="34"/>
  <c r="W126" i="34"/>
  <c r="P126" i="34"/>
  <c r="Q126" i="34"/>
  <c r="U126" i="34"/>
  <c r="Z122" i="34"/>
  <c r="O122" i="34"/>
  <c r="W122" i="34"/>
  <c r="P122" i="34"/>
  <c r="Q122" i="34"/>
  <c r="U122" i="34"/>
  <c r="Q169" i="34"/>
  <c r="U169" i="34"/>
  <c r="Z169" i="34"/>
  <c r="O169" i="34"/>
  <c r="P169" i="34"/>
  <c r="W169" i="34"/>
  <c r="O133" i="34"/>
  <c r="W133" i="34"/>
  <c r="P133" i="34"/>
  <c r="Q133" i="34"/>
  <c r="U133" i="34"/>
  <c r="Z133" i="34"/>
  <c r="Q112" i="34"/>
  <c r="U112" i="34"/>
  <c r="Z112" i="34"/>
  <c r="O112" i="34"/>
  <c r="W112" i="34"/>
  <c r="P112" i="34"/>
  <c r="O110" i="34"/>
  <c r="W110" i="34"/>
  <c r="P110" i="34"/>
  <c r="Q110" i="34"/>
  <c r="U110" i="34"/>
  <c r="Z110" i="34"/>
  <c r="P117" i="34"/>
  <c r="O117" i="34"/>
  <c r="Z117" i="34"/>
  <c r="W117" i="34"/>
  <c r="Q117" i="34"/>
  <c r="U117" i="34"/>
  <c r="Z62" i="34"/>
  <c r="O62" i="34"/>
  <c r="W62" i="34"/>
  <c r="P62" i="34"/>
  <c r="Q62" i="34"/>
  <c r="U62" i="34"/>
  <c r="P77" i="34"/>
  <c r="Q77" i="34"/>
  <c r="U77" i="34"/>
  <c r="Z77" i="34"/>
  <c r="O77" i="34"/>
  <c r="W77" i="34"/>
  <c r="Q88" i="34"/>
  <c r="U88" i="34"/>
  <c r="Z88" i="34"/>
  <c r="O88" i="34"/>
  <c r="W88" i="34"/>
  <c r="P88" i="34"/>
  <c r="P93" i="34"/>
  <c r="Q93" i="34"/>
  <c r="U93" i="34"/>
  <c r="Z93" i="34"/>
  <c r="O93" i="34"/>
  <c r="W93" i="34"/>
  <c r="Z95" i="34"/>
  <c r="O95" i="34"/>
  <c r="W95" i="34"/>
  <c r="P95" i="34"/>
  <c r="Q95" i="34"/>
  <c r="U95" i="34"/>
  <c r="O106" i="34"/>
  <c r="W106" i="34"/>
  <c r="P106" i="34"/>
  <c r="Q106" i="34"/>
  <c r="U106" i="34"/>
  <c r="Z106" i="34"/>
  <c r="Z190" i="34"/>
  <c r="O190" i="34"/>
  <c r="W190" i="34"/>
  <c r="P190" i="34"/>
  <c r="Q190" i="34"/>
  <c r="U190" i="34"/>
  <c r="O114" i="34"/>
  <c r="W114" i="34"/>
  <c r="P114" i="34"/>
  <c r="Q114" i="34"/>
  <c r="U114" i="34"/>
  <c r="Z114" i="34"/>
  <c r="Z71" i="34"/>
  <c r="O71" i="34"/>
  <c r="W71" i="34"/>
  <c r="P71" i="34"/>
  <c r="Q71" i="34"/>
  <c r="U71" i="34"/>
  <c r="Z67" i="34"/>
  <c r="O67" i="34"/>
  <c r="W67" i="34"/>
  <c r="P67" i="34"/>
  <c r="Q67" i="34"/>
  <c r="U67" i="34"/>
  <c r="P81" i="34"/>
  <c r="Q81" i="34"/>
  <c r="U81" i="34"/>
  <c r="Z81" i="34"/>
  <c r="O81" i="34"/>
  <c r="W81" i="34"/>
  <c r="P233" i="34"/>
  <c r="Q233" i="34"/>
  <c r="U233" i="34"/>
  <c r="Z233" i="34"/>
  <c r="O233" i="34"/>
  <c r="W233" i="34"/>
  <c r="O270" i="34"/>
  <c r="W270" i="34"/>
  <c r="P270" i="34"/>
  <c r="Q270" i="34"/>
  <c r="U270" i="34"/>
  <c r="Z270" i="34"/>
  <c r="P120" i="34"/>
  <c r="Q120" i="34"/>
  <c r="U120" i="34"/>
  <c r="Z120" i="34"/>
  <c r="O120" i="34"/>
  <c r="W120" i="34"/>
  <c r="Z130" i="34"/>
  <c r="O130" i="34"/>
  <c r="W130" i="34"/>
  <c r="P130" i="34"/>
  <c r="Q130" i="34"/>
  <c r="U130" i="34"/>
  <c r="O125" i="34"/>
  <c r="W125" i="34"/>
  <c r="P125" i="34"/>
  <c r="Q125" i="34"/>
  <c r="U125" i="34"/>
  <c r="Z125" i="34"/>
  <c r="P172" i="34"/>
  <c r="Q172" i="34"/>
  <c r="U172" i="34"/>
  <c r="Z172" i="34"/>
  <c r="O172" i="34"/>
  <c r="W172" i="34"/>
  <c r="P136" i="34"/>
  <c r="Q136" i="34"/>
  <c r="U136" i="34"/>
  <c r="Z136" i="34"/>
  <c r="O136" i="34"/>
  <c r="W136" i="34"/>
  <c r="P132" i="34"/>
  <c r="Q132" i="34"/>
  <c r="U132" i="34"/>
  <c r="Z132" i="34"/>
  <c r="O132" i="34"/>
  <c r="W132" i="34"/>
  <c r="P73" i="34"/>
  <c r="Q73" i="34"/>
  <c r="U73" i="34"/>
  <c r="Z73" i="34"/>
  <c r="O73" i="34"/>
  <c r="W73" i="34"/>
  <c r="P109" i="34"/>
  <c r="Q109" i="34"/>
  <c r="U109" i="34"/>
  <c r="Z109" i="34"/>
  <c r="O109" i="34"/>
  <c r="W109" i="34"/>
  <c r="P113" i="34"/>
  <c r="Q113" i="34"/>
  <c r="U113" i="34"/>
  <c r="Z113" i="34"/>
  <c r="O113" i="34"/>
  <c r="W113" i="34"/>
  <c r="Q80" i="34"/>
  <c r="U80" i="34"/>
  <c r="Z80" i="34"/>
  <c r="O80" i="34"/>
  <c r="W80" i="34"/>
  <c r="P80" i="34"/>
  <c r="O74" i="34"/>
  <c r="W74" i="34"/>
  <c r="P74" i="34"/>
  <c r="Q74" i="34"/>
  <c r="U74" i="34"/>
  <c r="Z74" i="34"/>
  <c r="Z87" i="34"/>
  <c r="O87" i="34"/>
  <c r="W87" i="34"/>
  <c r="P87" i="34"/>
  <c r="Q87" i="34"/>
  <c r="U87" i="34"/>
  <c r="Q92" i="34"/>
  <c r="U92" i="34"/>
  <c r="Z92" i="34"/>
  <c r="O92" i="34"/>
  <c r="W92" i="34"/>
  <c r="P92" i="34"/>
  <c r="O94" i="34"/>
  <c r="W94" i="34"/>
  <c r="P94" i="34"/>
  <c r="Q94" i="34"/>
  <c r="U94" i="34"/>
  <c r="Z94" i="34"/>
  <c r="P105" i="34"/>
  <c r="Q105" i="34"/>
  <c r="U105" i="34"/>
  <c r="Z105" i="34"/>
  <c r="O105" i="34"/>
  <c r="W105" i="34"/>
  <c r="P180" i="34"/>
  <c r="Q180" i="34"/>
  <c r="U180" i="34"/>
  <c r="Z180" i="34"/>
  <c r="O180" i="34"/>
  <c r="W180" i="34"/>
  <c r="Q232" i="34"/>
  <c r="U232" i="34"/>
  <c r="Z232" i="34"/>
  <c r="O232" i="34"/>
  <c r="W232" i="34"/>
  <c r="P232" i="34"/>
  <c r="O70" i="34"/>
  <c r="W70" i="34"/>
  <c r="P70" i="34"/>
  <c r="Q70" i="34"/>
  <c r="U70" i="34"/>
  <c r="Z70" i="34"/>
  <c r="O66" i="34"/>
  <c r="W66" i="34"/>
  <c r="P66" i="34"/>
  <c r="Q66" i="34"/>
  <c r="U66" i="34"/>
  <c r="Z66" i="34"/>
  <c r="P192" i="34"/>
  <c r="Q192" i="34"/>
  <c r="U192" i="34"/>
  <c r="Z192" i="34"/>
  <c r="O192" i="34"/>
  <c r="W192" i="34"/>
  <c r="Z267" i="34"/>
  <c r="O267" i="34"/>
  <c r="W267" i="34"/>
  <c r="P267" i="34"/>
  <c r="Q267" i="34"/>
  <c r="U267" i="34"/>
  <c r="Z271" i="34"/>
  <c r="O271" i="34"/>
  <c r="W271" i="34"/>
  <c r="P271" i="34"/>
  <c r="Q271" i="34"/>
  <c r="U271" i="34"/>
  <c r="O82" i="34"/>
  <c r="W82" i="34"/>
  <c r="P82" i="34"/>
  <c r="Q82" i="34"/>
  <c r="U82" i="34"/>
  <c r="Z82" i="34"/>
  <c r="O129" i="34"/>
  <c r="W129" i="34"/>
  <c r="P129" i="34"/>
  <c r="Q129" i="34"/>
  <c r="U129" i="34"/>
  <c r="Z129" i="34"/>
  <c r="P124" i="34"/>
  <c r="Q124" i="34"/>
  <c r="U124" i="34"/>
  <c r="Z124" i="34"/>
  <c r="O124" i="34"/>
  <c r="W124" i="34"/>
  <c r="Q171" i="34"/>
  <c r="U171" i="34"/>
  <c r="Z171" i="34"/>
  <c r="O171" i="34"/>
  <c r="W171" i="34"/>
  <c r="P171" i="34"/>
  <c r="Q135" i="34"/>
  <c r="U135" i="34"/>
  <c r="Z135" i="34"/>
  <c r="O135" i="34"/>
  <c r="W135" i="34"/>
  <c r="P135" i="34"/>
  <c r="B751" i="34"/>
  <c r="A751" i="34" s="1"/>
  <c r="B723" i="34"/>
  <c r="A723" i="34" s="1"/>
  <c r="B722" i="34"/>
  <c r="A722" i="34" s="1"/>
  <c r="B721" i="34"/>
  <c r="A721" i="34" s="1"/>
  <c r="B699" i="34"/>
  <c r="A699" i="34" s="1"/>
  <c r="B698" i="34"/>
  <c r="A698" i="34" s="1"/>
  <c r="B631" i="34"/>
  <c r="A631" i="34" s="1"/>
  <c r="B630" i="34"/>
  <c r="A630" i="34" s="1"/>
  <c r="Q631" i="34" l="1"/>
  <c r="U631" i="34"/>
  <c r="R631" i="34"/>
  <c r="Z631" i="34"/>
  <c r="O631" i="34"/>
  <c r="S631" i="34"/>
  <c r="W631" i="34"/>
  <c r="P631" i="34"/>
  <c r="T631" i="34"/>
  <c r="R275" i="34"/>
  <c r="O275" i="34"/>
  <c r="P275" i="34"/>
  <c r="T275" i="34"/>
  <c r="Q275" i="34"/>
  <c r="U275" i="34"/>
  <c r="W275" i="34"/>
  <c r="S275" i="34"/>
  <c r="Z275" i="34"/>
  <c r="P723" i="34"/>
  <c r="T723" i="34"/>
  <c r="Q723" i="34"/>
  <c r="U723" i="34"/>
  <c r="R723" i="34"/>
  <c r="Z723" i="34"/>
  <c r="O723" i="34"/>
  <c r="S723" i="34"/>
  <c r="W723" i="34"/>
  <c r="R103" i="34"/>
  <c r="Z103" i="34"/>
  <c r="O103" i="34"/>
  <c r="S103" i="34"/>
  <c r="W103" i="34"/>
  <c r="P103" i="34"/>
  <c r="T103" i="34"/>
  <c r="Q103" i="34"/>
  <c r="U103" i="34"/>
  <c r="P168" i="34"/>
  <c r="Z168" i="34"/>
  <c r="O168" i="34"/>
  <c r="W168" i="34"/>
  <c r="U168" i="34"/>
  <c r="Q168" i="34"/>
  <c r="O276" i="34"/>
  <c r="S276" i="34"/>
  <c r="W276" i="34"/>
  <c r="P276" i="34"/>
  <c r="T276" i="34"/>
  <c r="Q276" i="34"/>
  <c r="R276" i="34"/>
  <c r="U276" i="34"/>
  <c r="Z276" i="34"/>
  <c r="P699" i="34"/>
  <c r="T699" i="34"/>
  <c r="Q699" i="34"/>
  <c r="U699" i="34"/>
  <c r="R699" i="34"/>
  <c r="Z699" i="34"/>
  <c r="O699" i="34"/>
  <c r="S699" i="34"/>
  <c r="W699" i="34"/>
  <c r="P751" i="34"/>
  <c r="T751" i="34"/>
  <c r="Q751" i="34"/>
  <c r="U751" i="34"/>
  <c r="R751" i="34"/>
  <c r="Z751" i="34"/>
  <c r="O751" i="34"/>
  <c r="S751" i="34"/>
  <c r="W751" i="34"/>
  <c r="O274" i="34"/>
  <c r="S274" i="34"/>
  <c r="W274" i="34"/>
  <c r="P274" i="34"/>
  <c r="T274" i="34"/>
  <c r="Q274" i="34"/>
  <c r="U274" i="34"/>
  <c r="R274" i="34"/>
  <c r="Z274" i="34"/>
  <c r="R154" i="34"/>
  <c r="Z154" i="34"/>
  <c r="O154" i="34"/>
  <c r="S154" i="34"/>
  <c r="W154" i="34"/>
  <c r="P154" i="34"/>
  <c r="T154" i="34"/>
  <c r="Q154" i="34"/>
  <c r="U154" i="34"/>
  <c r="O201" i="34"/>
  <c r="S201" i="34"/>
  <c r="W201" i="34"/>
  <c r="P201" i="34"/>
  <c r="T201" i="34"/>
  <c r="Q201" i="34"/>
  <c r="U201" i="34"/>
  <c r="R201" i="34"/>
  <c r="Z201" i="34"/>
  <c r="R630" i="34"/>
  <c r="Z630" i="34"/>
  <c r="O630" i="34"/>
  <c r="S630" i="34"/>
  <c r="W630" i="34"/>
  <c r="P630" i="34"/>
  <c r="T630" i="34"/>
  <c r="Q630" i="34"/>
  <c r="U630" i="34"/>
  <c r="R721" i="34"/>
  <c r="Z721" i="34"/>
  <c r="O721" i="34"/>
  <c r="S721" i="34"/>
  <c r="W721" i="34"/>
  <c r="P721" i="34"/>
  <c r="T721" i="34"/>
  <c r="Q721" i="34"/>
  <c r="U721" i="34"/>
  <c r="O153" i="34"/>
  <c r="S153" i="34"/>
  <c r="W153" i="34"/>
  <c r="P153" i="34"/>
  <c r="T153" i="34"/>
  <c r="Q153" i="34"/>
  <c r="U153" i="34"/>
  <c r="R153" i="34"/>
  <c r="Z153" i="34"/>
  <c r="Q722" i="34"/>
  <c r="U722" i="34"/>
  <c r="R722" i="34"/>
  <c r="Z722" i="34"/>
  <c r="O722" i="34"/>
  <c r="S722" i="34"/>
  <c r="W722" i="34"/>
  <c r="P722" i="34"/>
  <c r="T722" i="34"/>
  <c r="Q167" i="34"/>
  <c r="U167" i="34"/>
  <c r="O167" i="34"/>
  <c r="W167" i="34"/>
  <c r="P167" i="34"/>
  <c r="Z167" i="34"/>
  <c r="Q698" i="34"/>
  <c r="U698" i="34"/>
  <c r="R698" i="34"/>
  <c r="Z698" i="34"/>
  <c r="O698" i="34"/>
  <c r="S698" i="34"/>
  <c r="W698" i="34"/>
  <c r="P698" i="34"/>
  <c r="T698" i="34"/>
  <c r="A14" i="71"/>
  <c r="E37" i="71" s="1"/>
  <c r="A19" i="71"/>
  <c r="A20" i="71"/>
  <c r="A17" i="71"/>
  <c r="A18" i="71"/>
  <c r="B741" i="34"/>
  <c r="A741" i="34" s="1"/>
  <c r="A16" i="71"/>
  <c r="A15" i="71"/>
  <c r="T10" i="34"/>
  <c r="R202" i="34" l="1"/>
  <c r="Z202" i="34"/>
  <c r="O202" i="34"/>
  <c r="S202" i="34"/>
  <c r="W202" i="34"/>
  <c r="P202" i="34"/>
  <c r="T202" i="34"/>
  <c r="Q202" i="34"/>
  <c r="U202" i="34"/>
  <c r="R741" i="34"/>
  <c r="Z741" i="34"/>
  <c r="O741" i="34"/>
  <c r="S741" i="34"/>
  <c r="W741" i="34"/>
  <c r="P741" i="34"/>
  <c r="T741" i="34"/>
  <c r="Q741" i="34"/>
  <c r="U741" i="34"/>
  <c r="A36" i="71"/>
  <c r="H2" i="71"/>
  <c r="R10" i="34"/>
  <c r="E6" i="43" l="1"/>
  <c r="O8" i="43"/>
  <c r="N8" i="43"/>
  <c r="T278" i="34" l="1"/>
  <c r="S279" i="34"/>
  <c r="T283" i="34"/>
  <c r="T280" i="34"/>
  <c r="R284" i="34"/>
  <c r="S293" i="34"/>
  <c r="R290" i="34"/>
  <c r="R282" i="34"/>
  <c r="S291" i="34"/>
  <c r="R278" i="34"/>
  <c r="T279" i="34"/>
  <c r="R292" i="34"/>
  <c r="R280" i="34"/>
  <c r="S284" i="34"/>
  <c r="R281" i="34"/>
  <c r="S290" i="34"/>
  <c r="S282" i="34"/>
  <c r="S278" i="34"/>
  <c r="R283" i="34"/>
  <c r="S292" i="34"/>
  <c r="S280" i="34"/>
  <c r="T293" i="34"/>
  <c r="S281" i="34"/>
  <c r="T290" i="34"/>
  <c r="T291" i="34"/>
  <c r="R279" i="34"/>
  <c r="S283" i="34"/>
  <c r="T292" i="34"/>
  <c r="T284" i="34"/>
  <c r="R293" i="34"/>
  <c r="T281" i="34"/>
  <c r="T282" i="34"/>
  <c r="R291" i="34"/>
  <c r="R203" i="34"/>
  <c r="S203" i="34"/>
  <c r="T203" i="34"/>
  <c r="R100" i="34"/>
  <c r="S100" i="34"/>
  <c r="T100" i="34"/>
  <c r="R147" i="34"/>
  <c r="T155" i="34"/>
  <c r="R150" i="34"/>
  <c r="S147" i="34"/>
  <c r="R155" i="34"/>
  <c r="T147" i="34"/>
  <c r="S150" i="34"/>
  <c r="S155" i="34"/>
  <c r="T150" i="34"/>
  <c r="T228" i="34"/>
  <c r="R149" i="34"/>
  <c r="T182" i="34"/>
  <c r="R186" i="34"/>
  <c r="R197" i="34"/>
  <c r="S224" i="34"/>
  <c r="T216" i="34"/>
  <c r="S229" i="34"/>
  <c r="S236" i="34"/>
  <c r="T240" i="34"/>
  <c r="T262" i="34"/>
  <c r="S145" i="34"/>
  <c r="T158" i="34"/>
  <c r="R183" i="34"/>
  <c r="S187" i="34"/>
  <c r="R194" i="34"/>
  <c r="R222" i="34"/>
  <c r="S226" i="34"/>
  <c r="T230" i="34"/>
  <c r="S241" i="34"/>
  <c r="S259" i="34"/>
  <c r="T263" i="34"/>
  <c r="S159" i="34"/>
  <c r="T163" i="34"/>
  <c r="R188" i="34"/>
  <c r="T199" i="34"/>
  <c r="S210" i="34"/>
  <c r="R215" i="34"/>
  <c r="S227" i="34"/>
  <c r="S242" i="34"/>
  <c r="R148" i="34"/>
  <c r="R189" i="34"/>
  <c r="T196" i="34"/>
  <c r="T200" i="34"/>
  <c r="S144" i="34"/>
  <c r="S149" i="34"/>
  <c r="R182" i="34"/>
  <c r="R193" i="34"/>
  <c r="T197" i="34"/>
  <c r="T224" i="34"/>
  <c r="S225" i="34"/>
  <c r="T229" i="34"/>
  <c r="T236" i="34"/>
  <c r="T258" i="34"/>
  <c r="R262" i="34"/>
  <c r="T145" i="34"/>
  <c r="R162" i="34"/>
  <c r="S183" i="34"/>
  <c r="T187" i="34"/>
  <c r="R198" i="34"/>
  <c r="S222" i="34"/>
  <c r="T226" i="34"/>
  <c r="S237" i="34"/>
  <c r="T241" i="34"/>
  <c r="T259" i="34"/>
  <c r="S146" i="34"/>
  <c r="T159" i="34"/>
  <c r="R163" i="34"/>
  <c r="R195" i="34"/>
  <c r="R199" i="34"/>
  <c r="T210" i="34"/>
  <c r="S223" i="34"/>
  <c r="T227" i="34"/>
  <c r="T242" i="34"/>
  <c r="R181" i="34"/>
  <c r="S189" i="34"/>
  <c r="R196" i="34"/>
  <c r="R228" i="34"/>
  <c r="T144" i="34"/>
  <c r="T149" i="34"/>
  <c r="S186" i="34"/>
  <c r="T193" i="34"/>
  <c r="S197" i="34"/>
  <c r="R216" i="34"/>
  <c r="T225" i="34"/>
  <c r="R229" i="34"/>
  <c r="R240" i="34"/>
  <c r="R258" i="34"/>
  <c r="S262" i="34"/>
  <c r="R158" i="34"/>
  <c r="S162" i="34"/>
  <c r="T183" i="34"/>
  <c r="S194" i="34"/>
  <c r="S198" i="34"/>
  <c r="T222" i="34"/>
  <c r="R230" i="34"/>
  <c r="T237" i="34"/>
  <c r="R241" i="34"/>
  <c r="R263" i="34"/>
  <c r="T146" i="34"/>
  <c r="R159" i="34"/>
  <c r="S188" i="34"/>
  <c r="T195" i="34"/>
  <c r="S199" i="34"/>
  <c r="S215" i="34"/>
  <c r="T223" i="34"/>
  <c r="R227" i="34"/>
  <c r="S148" i="34"/>
  <c r="S181" i="34"/>
  <c r="T189" i="34"/>
  <c r="R200" i="34"/>
  <c r="S228" i="34"/>
  <c r="R144" i="34"/>
  <c r="S182" i="34"/>
  <c r="T186" i="34"/>
  <c r="S193" i="34"/>
  <c r="R224" i="34"/>
  <c r="S216" i="34"/>
  <c r="R225" i="34"/>
  <c r="R236" i="34"/>
  <c r="S240" i="34"/>
  <c r="S258" i="34"/>
  <c r="R145" i="34"/>
  <c r="S158" i="34"/>
  <c r="T162" i="34"/>
  <c r="R187" i="34"/>
  <c r="T194" i="34"/>
  <c r="T198" i="34"/>
  <c r="R226" i="34"/>
  <c r="S230" i="34"/>
  <c r="R237" i="34"/>
  <c r="R259" i="34"/>
  <c r="S263" i="34"/>
  <c r="R146" i="34"/>
  <c r="S163" i="34"/>
  <c r="T188" i="34"/>
  <c r="S195" i="34"/>
  <c r="R210" i="34"/>
  <c r="T215" i="34"/>
  <c r="R223" i="34"/>
  <c r="R242" i="34"/>
  <c r="T148" i="34"/>
  <c r="T181" i="34"/>
  <c r="S196" i="34"/>
  <c r="S200" i="34"/>
  <c r="T99" i="34"/>
  <c r="R99" i="34"/>
  <c r="S99" i="34"/>
  <c r="R98" i="34"/>
  <c r="S98" i="34"/>
  <c r="T98" i="34"/>
  <c r="R137" i="34"/>
  <c r="T138" i="34"/>
  <c r="T137" i="34"/>
  <c r="S137" i="34"/>
  <c r="S138" i="34"/>
  <c r="R138" i="34"/>
  <c r="R139" i="34"/>
  <c r="T219" i="34"/>
  <c r="S139" i="34"/>
  <c r="R219" i="34"/>
  <c r="T139" i="34"/>
  <c r="S219" i="34"/>
  <c r="R90" i="34"/>
  <c r="R91" i="34"/>
  <c r="T91" i="34"/>
  <c r="S90" i="34"/>
  <c r="S91" i="34"/>
  <c r="T90" i="34"/>
  <c r="R273" i="34"/>
  <c r="R254" i="34"/>
  <c r="S246" i="34"/>
  <c r="R220" i="34"/>
  <c r="R244" i="34"/>
  <c r="T247" i="34"/>
  <c r="S221" i="34"/>
  <c r="S273" i="34"/>
  <c r="S254" i="34"/>
  <c r="R245" i="34"/>
  <c r="S220" i="34"/>
  <c r="S244" i="34"/>
  <c r="R255" i="34"/>
  <c r="T221" i="34"/>
  <c r="T273" i="34"/>
  <c r="T246" i="34"/>
  <c r="S245" i="34"/>
  <c r="T220" i="34"/>
  <c r="R247" i="34"/>
  <c r="S255" i="34"/>
  <c r="R221" i="34"/>
  <c r="T254" i="34"/>
  <c r="R246" i="34"/>
  <c r="T245" i="34"/>
  <c r="T244" i="34"/>
  <c r="S247" i="34"/>
  <c r="T255" i="34"/>
  <c r="R166" i="34"/>
  <c r="T176" i="34"/>
  <c r="R165" i="34"/>
  <c r="S205" i="34"/>
  <c r="T178" i="34"/>
  <c r="R174" i="34"/>
  <c r="R177" i="34"/>
  <c r="S173" i="34"/>
  <c r="S166" i="34"/>
  <c r="R176" i="34"/>
  <c r="R175" i="34"/>
  <c r="T205" i="34"/>
  <c r="R178" i="34"/>
  <c r="T204" i="34"/>
  <c r="S177" i="34"/>
  <c r="T173" i="34"/>
  <c r="T166" i="34"/>
  <c r="S165" i="34"/>
  <c r="S175" i="34"/>
  <c r="R205" i="34"/>
  <c r="S174" i="34"/>
  <c r="R204" i="34"/>
  <c r="T177" i="34"/>
  <c r="S176" i="34"/>
  <c r="T165" i="34"/>
  <c r="T175" i="34"/>
  <c r="S178" i="34"/>
  <c r="T174" i="34"/>
  <c r="S204" i="34"/>
  <c r="R173" i="34"/>
  <c r="R79" i="34"/>
  <c r="S77" i="34"/>
  <c r="T88" i="34"/>
  <c r="T95" i="34"/>
  <c r="S114" i="34"/>
  <c r="T67" i="34"/>
  <c r="S120" i="34"/>
  <c r="T130" i="34"/>
  <c r="R136" i="34"/>
  <c r="R112" i="34"/>
  <c r="S110" i="34"/>
  <c r="T117" i="34"/>
  <c r="S80" i="34"/>
  <c r="T74" i="34"/>
  <c r="S87" i="34"/>
  <c r="R94" i="34"/>
  <c r="T105" i="34"/>
  <c r="R180" i="34"/>
  <c r="S192" i="34"/>
  <c r="T82" i="34"/>
  <c r="T129" i="34"/>
  <c r="R73" i="34"/>
  <c r="S86" i="34"/>
  <c r="S97" i="34"/>
  <c r="S111" i="34"/>
  <c r="S179" i="34"/>
  <c r="R231" i="34"/>
  <c r="S76" i="34"/>
  <c r="T217" i="34"/>
  <c r="R268" i="34"/>
  <c r="R123" i="34"/>
  <c r="T134" i="34"/>
  <c r="S118" i="34"/>
  <c r="T89" i="34"/>
  <c r="S96" i="34"/>
  <c r="S101" i="34"/>
  <c r="S68" i="34"/>
  <c r="S75" i="34"/>
  <c r="T218" i="34"/>
  <c r="R131" i="34"/>
  <c r="T122" i="34"/>
  <c r="T133" i="34"/>
  <c r="S79" i="34"/>
  <c r="T77" i="34"/>
  <c r="T93" i="34"/>
  <c r="R95" i="34"/>
  <c r="T114" i="34"/>
  <c r="R81" i="34"/>
  <c r="T120" i="34"/>
  <c r="R130" i="34"/>
  <c r="S132" i="34"/>
  <c r="S112" i="34"/>
  <c r="T110" i="34"/>
  <c r="S113" i="34"/>
  <c r="T80" i="34"/>
  <c r="R74" i="34"/>
  <c r="R92" i="34"/>
  <c r="S94" i="34"/>
  <c r="R105" i="34"/>
  <c r="S66" i="34"/>
  <c r="T192" i="34"/>
  <c r="R82" i="34"/>
  <c r="R135" i="34"/>
  <c r="S73" i="34"/>
  <c r="T86" i="34"/>
  <c r="R102" i="34"/>
  <c r="T111" i="34"/>
  <c r="T179" i="34"/>
  <c r="R69" i="34"/>
  <c r="T76" i="34"/>
  <c r="R217" i="34"/>
  <c r="R121" i="34"/>
  <c r="S123" i="34"/>
  <c r="R134" i="34"/>
  <c r="S78" i="34"/>
  <c r="R89" i="34"/>
  <c r="T96" i="34"/>
  <c r="S115" i="34"/>
  <c r="T68" i="34"/>
  <c r="T75" i="34"/>
  <c r="R269" i="34"/>
  <c r="S131" i="34"/>
  <c r="R122" i="34"/>
  <c r="T79" i="34"/>
  <c r="R88" i="34"/>
  <c r="R93" i="34"/>
  <c r="S95" i="34"/>
  <c r="R67" i="34"/>
  <c r="S81" i="34"/>
  <c r="R120" i="34"/>
  <c r="S136" i="34"/>
  <c r="T132" i="34"/>
  <c r="T112" i="34"/>
  <c r="R117" i="34"/>
  <c r="T113" i="34"/>
  <c r="R80" i="34"/>
  <c r="T87" i="34"/>
  <c r="S92" i="34"/>
  <c r="T94" i="34"/>
  <c r="S180" i="34"/>
  <c r="T66" i="34"/>
  <c r="R192" i="34"/>
  <c r="R129" i="34"/>
  <c r="S135" i="34"/>
  <c r="T73" i="34"/>
  <c r="T97" i="34"/>
  <c r="S102" i="34"/>
  <c r="R111" i="34"/>
  <c r="S231" i="34"/>
  <c r="S69" i="34"/>
  <c r="R76" i="34"/>
  <c r="S268" i="34"/>
  <c r="S121" i="34"/>
  <c r="T123" i="34"/>
  <c r="T118" i="34"/>
  <c r="T78" i="34"/>
  <c r="S89" i="34"/>
  <c r="T101" i="34"/>
  <c r="T115" i="34"/>
  <c r="R68" i="34"/>
  <c r="R218" i="34"/>
  <c r="S269" i="34"/>
  <c r="T131" i="34"/>
  <c r="R133" i="34"/>
  <c r="R77" i="34"/>
  <c r="S88" i="34"/>
  <c r="S93" i="34"/>
  <c r="R114" i="34"/>
  <c r="S67" i="34"/>
  <c r="T81" i="34"/>
  <c r="S130" i="34"/>
  <c r="T136" i="34"/>
  <c r="R132" i="34"/>
  <c r="R110" i="34"/>
  <c r="S117" i="34"/>
  <c r="R113" i="34"/>
  <c r="S74" i="34"/>
  <c r="R87" i="34"/>
  <c r="T92" i="34"/>
  <c r="S105" i="34"/>
  <c r="T180" i="34"/>
  <c r="R66" i="34"/>
  <c r="S82" i="34"/>
  <c r="S129" i="34"/>
  <c r="T135" i="34"/>
  <c r="R86" i="34"/>
  <c r="R97" i="34"/>
  <c r="T102" i="34"/>
  <c r="R179" i="34"/>
  <c r="T231" i="34"/>
  <c r="T69" i="34"/>
  <c r="S217" i="34"/>
  <c r="T268" i="34"/>
  <c r="T121" i="34"/>
  <c r="S134" i="34"/>
  <c r="R118" i="34"/>
  <c r="R78" i="34"/>
  <c r="R96" i="34"/>
  <c r="R101" i="34"/>
  <c r="R115" i="34"/>
  <c r="R75" i="34"/>
  <c r="S218" i="34"/>
  <c r="T269" i="34"/>
  <c r="S122" i="34"/>
  <c r="S133" i="34"/>
  <c r="T167" i="34"/>
  <c r="T168" i="34"/>
  <c r="S168" i="34"/>
  <c r="S167" i="34"/>
  <c r="R167" i="34"/>
  <c r="R168" i="34"/>
  <c r="B617" i="34"/>
  <c r="A617" i="34" s="1"/>
  <c r="B627" i="34"/>
  <c r="A627" i="34" s="1"/>
  <c r="B647" i="34"/>
  <c r="A647" i="34" s="1"/>
  <c r="B696" i="34"/>
  <c r="A696" i="34" s="1"/>
  <c r="B706" i="34"/>
  <c r="A706" i="34" s="1"/>
  <c r="B720" i="34"/>
  <c r="A720" i="34" s="1"/>
  <c r="B740" i="34"/>
  <c r="A740" i="34" s="1"/>
  <c r="B803" i="34"/>
  <c r="A803" i="34" s="1"/>
  <c r="O740" i="34" l="1"/>
  <c r="S740" i="34"/>
  <c r="W740" i="34"/>
  <c r="P740" i="34"/>
  <c r="T740" i="34"/>
  <c r="Q740" i="34"/>
  <c r="U740" i="34"/>
  <c r="R740" i="34"/>
  <c r="Z740" i="34"/>
  <c r="Q647" i="34"/>
  <c r="U647" i="34"/>
  <c r="R647" i="34"/>
  <c r="Z647" i="34"/>
  <c r="O647" i="34"/>
  <c r="S647" i="34"/>
  <c r="W647" i="34"/>
  <c r="P647" i="34"/>
  <c r="T647" i="34"/>
  <c r="R243" i="34"/>
  <c r="Z243" i="34"/>
  <c r="O243" i="34"/>
  <c r="S243" i="34"/>
  <c r="W243" i="34"/>
  <c r="P243" i="34"/>
  <c r="T243" i="34"/>
  <c r="Q243" i="34"/>
  <c r="U243" i="34"/>
  <c r="O720" i="34"/>
  <c r="S720" i="34"/>
  <c r="W720" i="34"/>
  <c r="P720" i="34"/>
  <c r="T720" i="34"/>
  <c r="Q720" i="34"/>
  <c r="U720" i="34"/>
  <c r="R720" i="34"/>
  <c r="Z720" i="34"/>
  <c r="Q627" i="34"/>
  <c r="U627" i="34"/>
  <c r="R627" i="34"/>
  <c r="Z627" i="34"/>
  <c r="O627" i="34"/>
  <c r="S627" i="34"/>
  <c r="W627" i="34"/>
  <c r="P627" i="34"/>
  <c r="T627" i="34"/>
  <c r="Q116" i="34"/>
  <c r="U116" i="34"/>
  <c r="R116" i="34"/>
  <c r="O116" i="34"/>
  <c r="S116" i="34"/>
  <c r="W116" i="34"/>
  <c r="P116" i="34"/>
  <c r="T116" i="34"/>
  <c r="Z116" i="34"/>
  <c r="R83" i="34"/>
  <c r="Z83" i="34"/>
  <c r="O83" i="34"/>
  <c r="S83" i="34"/>
  <c r="W83" i="34"/>
  <c r="P83" i="34"/>
  <c r="T83" i="34"/>
  <c r="Q83" i="34"/>
  <c r="U83" i="34"/>
  <c r="Q706" i="34"/>
  <c r="U706" i="34"/>
  <c r="R706" i="34"/>
  <c r="Z706" i="34"/>
  <c r="O706" i="34"/>
  <c r="S706" i="34"/>
  <c r="W706" i="34"/>
  <c r="P706" i="34"/>
  <c r="T706" i="34"/>
  <c r="O617" i="34"/>
  <c r="S617" i="34"/>
  <c r="W617" i="34"/>
  <c r="P617" i="34"/>
  <c r="T617" i="34"/>
  <c r="Q617" i="34"/>
  <c r="U617" i="34"/>
  <c r="R617" i="34"/>
  <c r="Z617" i="34"/>
  <c r="R803" i="34"/>
  <c r="Z803" i="34"/>
  <c r="O803" i="34"/>
  <c r="S803" i="34"/>
  <c r="W803" i="34"/>
  <c r="P803" i="34"/>
  <c r="T803" i="34"/>
  <c r="Q803" i="34"/>
  <c r="U803" i="34"/>
  <c r="O696" i="34"/>
  <c r="S696" i="34"/>
  <c r="W696" i="34"/>
  <c r="P696" i="34"/>
  <c r="T696" i="34"/>
  <c r="Q696" i="34"/>
  <c r="U696" i="34"/>
  <c r="R696" i="34"/>
  <c r="Z696" i="34"/>
  <c r="O266" i="34"/>
  <c r="S266" i="34"/>
  <c r="W266" i="34"/>
  <c r="P266" i="34"/>
  <c r="T266" i="34"/>
  <c r="Q266" i="34"/>
  <c r="U266" i="34"/>
  <c r="R266" i="34"/>
  <c r="Z266" i="34"/>
  <c r="C42" i="15"/>
  <c r="D42" i="15"/>
  <c r="C35" i="15"/>
  <c r="D35" i="15"/>
  <c r="D32" i="15"/>
  <c r="D33" i="15" s="1"/>
  <c r="C25" i="15"/>
  <c r="D25" i="15"/>
  <c r="C18" i="15"/>
  <c r="D18" i="15"/>
  <c r="Q119" i="34" l="1"/>
  <c r="U119" i="34"/>
  <c r="R119" i="34"/>
  <c r="A45" i="43" s="1"/>
  <c r="Z119" i="34"/>
  <c r="O119" i="34"/>
  <c r="S119" i="34"/>
  <c r="W119" i="34"/>
  <c r="P119" i="34"/>
  <c r="T119" i="34"/>
  <c r="B53" i="43" l="1"/>
  <c r="C68" i="43"/>
  <c r="G57" i="43"/>
  <c r="F66" i="43"/>
  <c r="E56" i="43"/>
  <c r="D60" i="43"/>
  <c r="F67" i="43"/>
  <c r="D61" i="43"/>
  <c r="G58" i="43"/>
  <c r="G59" i="43"/>
  <c r="D56" i="43"/>
  <c r="B67" i="43"/>
  <c r="B68" i="43"/>
  <c r="F68" i="43"/>
  <c r="A64" i="43"/>
  <c r="H64" i="43" s="1"/>
  <c r="E66" i="43"/>
  <c r="C56" i="43"/>
  <c r="C60" i="43"/>
  <c r="F56" i="43"/>
  <c r="G56" i="43"/>
  <c r="C66" i="43"/>
  <c r="C55" i="43"/>
  <c r="G60" i="43"/>
  <c r="E62" i="43"/>
  <c r="A59" i="43"/>
  <c r="H59" i="43" s="1"/>
  <c r="B49" i="43"/>
  <c r="G63" i="43"/>
  <c r="A67" i="43"/>
  <c r="H67" i="43" s="1"/>
  <c r="C62" i="43"/>
  <c r="F60" i="43"/>
  <c r="A56" i="43"/>
  <c r="B61" i="43"/>
  <c r="A57" i="43"/>
  <c r="B60" i="43"/>
  <c r="D55" i="43"/>
  <c r="D63" i="43"/>
  <c r="F62" i="43"/>
  <c r="F58" i="43"/>
  <c r="F63" i="43"/>
  <c r="F65" i="43"/>
  <c r="B62" i="43"/>
  <c r="A61" i="43"/>
  <c r="H61" i="43" s="1"/>
  <c r="G55" i="43"/>
  <c r="E58" i="43"/>
  <c r="A66" i="43"/>
  <c r="H66" i="43" s="1"/>
  <c r="E55" i="43"/>
  <c r="D64" i="43"/>
  <c r="E65" i="43"/>
  <c r="B58" i="43"/>
  <c r="B63" i="43"/>
  <c r="B64" i="43"/>
  <c r="D59" i="43"/>
  <c r="A62" i="43"/>
  <c r="H62" i="43" s="1"/>
  <c r="C61" i="43"/>
  <c r="F55" i="43"/>
  <c r="B65" i="43"/>
  <c r="C57" i="43"/>
  <c r="B66" i="43"/>
  <c r="B55" i="43"/>
  <c r="E64" i="43"/>
  <c r="A63" i="43"/>
  <c r="H63" i="43" s="1"/>
  <c r="C58" i="43"/>
  <c r="A68" i="43"/>
  <c r="H68" i="43" s="1"/>
  <c r="C59" i="43"/>
  <c r="D62" i="43"/>
  <c r="F57" i="43"/>
  <c r="B56" i="43"/>
  <c r="A65" i="43"/>
  <c r="H65" i="43" s="1"/>
  <c r="C63" i="43"/>
  <c r="E61" i="43"/>
  <c r="F64" i="43"/>
  <c r="A60" i="43"/>
  <c r="H60" i="43" s="1"/>
  <c r="D58" i="43"/>
  <c r="C67" i="43"/>
  <c r="G67" i="43"/>
  <c r="B59" i="43"/>
  <c r="E68" i="43"/>
  <c r="E57" i="43"/>
  <c r="D65" i="43"/>
  <c r="G64" i="43"/>
  <c r="E63" i="43"/>
  <c r="D66" i="43"/>
  <c r="F61" i="43"/>
  <c r="C64" i="43"/>
  <c r="G65" i="43"/>
  <c r="A58" i="43"/>
  <c r="D67" i="43"/>
  <c r="E59" i="43"/>
  <c r="D68" i="43"/>
  <c r="D57" i="43"/>
  <c r="G66" i="43"/>
  <c r="C65" i="43"/>
  <c r="E60" i="43"/>
  <c r="G61" i="43"/>
  <c r="B57" i="43"/>
  <c r="F59" i="43"/>
  <c r="G68" i="43"/>
  <c r="E67" i="43"/>
  <c r="G62" i="43"/>
  <c r="A55" i="43"/>
  <c r="F52" i="43"/>
  <c r="F48" i="43"/>
  <c r="G54" i="43"/>
  <c r="E52" i="43"/>
  <c r="C46" i="43"/>
  <c r="D52" i="43"/>
  <c r="D48" i="43"/>
  <c r="F46" i="43"/>
  <c r="A54" i="43"/>
  <c r="F47" i="43"/>
  <c r="C53" i="43"/>
  <c r="C49" i="43"/>
  <c r="E47" i="43"/>
  <c r="D50" i="43"/>
  <c r="D46" i="43"/>
  <c r="A52" i="43"/>
  <c r="C50" i="43"/>
  <c r="C52" i="43"/>
  <c r="C48" i="43"/>
  <c r="G53" i="43"/>
  <c r="B52" i="43"/>
  <c r="G45" i="43"/>
  <c r="D51" i="43"/>
  <c r="D47" i="43"/>
  <c r="F45" i="43"/>
  <c r="E49" i="43"/>
  <c r="E45" i="43"/>
  <c r="G52" i="43"/>
  <c r="G48" i="43"/>
  <c r="B47" i="43"/>
  <c r="A50" i="43"/>
  <c r="A46" i="43"/>
  <c r="E51" i="43"/>
  <c r="G49" i="43"/>
  <c r="B54" i="43"/>
  <c r="B50" i="43"/>
  <c r="B46" i="43"/>
  <c r="D53" i="43"/>
  <c r="F51" i="43"/>
  <c r="D45" i="43"/>
  <c r="A51" i="43"/>
  <c r="A47" i="43"/>
  <c r="C45" i="43"/>
  <c r="E48" i="43"/>
  <c r="C54" i="43"/>
  <c r="F50" i="43"/>
  <c r="A49" i="43"/>
  <c r="G51" i="43"/>
  <c r="G47" i="43"/>
  <c r="F54" i="43"/>
  <c r="B51" i="43"/>
  <c r="D49" i="43"/>
  <c r="B45" i="43"/>
  <c r="E53" i="43"/>
  <c r="C47" i="43"/>
  <c r="E54" i="43"/>
  <c r="E50" i="43"/>
  <c r="E46" i="43"/>
  <c r="D54" i="43"/>
  <c r="B48" i="43"/>
  <c r="F53" i="43"/>
  <c r="F49" i="43"/>
  <c r="A48" i="43"/>
  <c r="G50" i="43"/>
  <c r="G46" i="43"/>
  <c r="A53" i="43"/>
  <c r="C51" i="43"/>
  <c r="A24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7" i="68"/>
  <c r="A38" i="68"/>
  <c r="F20" i="68"/>
  <c r="F21" i="68" s="1"/>
  <c r="F22" i="68" s="1"/>
  <c r="C20" i="68"/>
  <c r="A12" i="68"/>
  <c r="A8" i="68"/>
  <c r="A13" i="68"/>
  <c r="D20" i="68"/>
  <c r="E13" i="68"/>
  <c r="E11" i="68"/>
  <c r="E25" i="68" l="1"/>
  <c r="G20" i="68" s="1"/>
  <c r="A10" i="68"/>
  <c r="L14" i="64"/>
  <c r="L18" i="64" s="1"/>
  <c r="L15" i="64"/>
  <c r="L16" i="64"/>
  <c r="H20" i="68" l="1"/>
  <c r="G21" i="68" s="1"/>
  <c r="H21" i="68" s="1"/>
  <c r="G22" i="68" s="1"/>
  <c r="H22" i="68" s="1"/>
  <c r="G25" i="68" l="1"/>
  <c r="B2035" i="34" l="1"/>
  <c r="B2036" i="34"/>
  <c r="B2037" i="34"/>
  <c r="B2038" i="34"/>
  <c r="B2039" i="34"/>
  <c r="B2040" i="34"/>
  <c r="O2038" i="34" l="1"/>
  <c r="Q2038" i="34"/>
  <c r="U2038" i="34"/>
  <c r="W2038" i="34"/>
  <c r="P2038" i="34"/>
  <c r="Z2038" i="34"/>
  <c r="Q2037" i="34"/>
  <c r="U2037" i="34"/>
  <c r="O2037" i="34"/>
  <c r="W2037" i="34"/>
  <c r="P2037" i="34"/>
  <c r="A2037" i="34"/>
  <c r="Z2037" i="34"/>
  <c r="P2036" i="34"/>
  <c r="W2036" i="34"/>
  <c r="Q2036" i="34"/>
  <c r="U2036" i="34"/>
  <c r="A2036" i="34"/>
  <c r="O2036" i="34"/>
  <c r="Z2036" i="34"/>
  <c r="Q2039" i="34"/>
  <c r="U2039" i="34"/>
  <c r="P2039" i="34"/>
  <c r="W2039" i="34"/>
  <c r="O2039" i="34"/>
  <c r="Z2039" i="34"/>
  <c r="O2035" i="34"/>
  <c r="P2035" i="34"/>
  <c r="Q2035" i="34"/>
  <c r="U2035" i="34"/>
  <c r="W2035" i="34"/>
  <c r="A2035" i="34"/>
  <c r="Z2035" i="34"/>
  <c r="A2038" i="34"/>
  <c r="P2040" i="34"/>
  <c r="Q2040" i="34"/>
  <c r="U2040" i="34"/>
  <c r="Z2040" i="34"/>
  <c r="O2040" i="34"/>
  <c r="A2039" i="34"/>
  <c r="A2040" i="34"/>
  <c r="I6" i="43"/>
  <c r="I228" i="55" l="1" a="1"/>
  <c r="I228" i="55" s="1"/>
  <c r="I360" i="55" a="1"/>
  <c r="I360" i="55" s="1"/>
  <c r="I240" i="55" a="1"/>
  <c r="I240" i="55" s="1"/>
  <c r="I269" i="55" a="1"/>
  <c r="I269" i="55" s="1"/>
  <c r="I313" i="55" a="1"/>
  <c r="I313" i="55" s="1"/>
  <c r="I327" i="55" a="1"/>
  <c r="I327" i="55" s="1"/>
  <c r="I336" i="55" a="1"/>
  <c r="I336" i="55" s="1"/>
  <c r="I310" i="55" a="1"/>
  <c r="I310" i="55" s="1"/>
  <c r="I376" i="55" a="1"/>
  <c r="I376" i="55" s="1"/>
  <c r="I219" i="55" a="1"/>
  <c r="I219" i="55" s="1"/>
  <c r="G223" i="55" a="1"/>
  <c r="G223" i="55" s="1"/>
  <c r="G322" i="55" a="1"/>
  <c r="G322" i="55" s="1"/>
  <c r="G306" i="55" a="1"/>
  <c r="G306" i="55" s="1"/>
  <c r="G305" i="55" a="1"/>
  <c r="G305" i="55" s="1"/>
  <c r="G258" i="55" a="1"/>
  <c r="G258" i="55" s="1"/>
  <c r="G290" i="55" a="1"/>
  <c r="G290" i="55" s="1"/>
  <c r="G229" i="55" a="1"/>
  <c r="G229" i="55" s="1"/>
  <c r="G325" i="55" a="1"/>
  <c r="G325" i="55" s="1"/>
  <c r="I284" i="55" a="1"/>
  <c r="I284" i="55" s="1"/>
  <c r="I309" i="55" a="1"/>
  <c r="I309" i="55" s="1"/>
  <c r="I352" i="55" a="1"/>
  <c r="I352" i="55" s="1"/>
  <c r="I259" i="55" a="1"/>
  <c r="I259" i="55" s="1"/>
  <c r="I361" i="55" a="1"/>
  <c r="I361" i="55" s="1"/>
  <c r="I359" i="55" a="1"/>
  <c r="I359" i="55" s="1"/>
  <c r="I223" i="55" a="1"/>
  <c r="I223" i="55" s="1"/>
  <c r="I322" i="55" a="1"/>
  <c r="I322" i="55" s="1"/>
  <c r="I306" i="55" a="1"/>
  <c r="I306" i="55" s="1"/>
  <c r="I305" i="55" a="1"/>
  <c r="I305" i="55" s="1"/>
  <c r="I258" i="55" a="1"/>
  <c r="I258" i="55" s="1"/>
  <c r="I290" i="55" a="1"/>
  <c r="I290" i="55" s="1"/>
  <c r="I229" i="55" a="1"/>
  <c r="I229" i="55" s="1"/>
  <c r="I329" i="55" a="1"/>
  <c r="I329" i="55" s="1"/>
  <c r="I357" i="55" a="1"/>
  <c r="I357" i="55" s="1"/>
  <c r="I231" i="55" a="1"/>
  <c r="I231" i="55" s="1"/>
  <c r="I340" i="55" a="1"/>
  <c r="I340" i="55" s="1"/>
  <c r="I294" i="55" a="1"/>
  <c r="I294" i="55" s="1"/>
  <c r="I256" i="55" a="1"/>
  <c r="I256" i="55" s="1"/>
  <c r="G360" i="55" a="1"/>
  <c r="G360" i="55" s="1"/>
  <c r="G269" i="55" a="1"/>
  <c r="G269" i="55" s="1"/>
  <c r="G352" i="55" a="1"/>
  <c r="G352" i="55" s="1"/>
  <c r="G340" i="55" a="1"/>
  <c r="G340" i="55" s="1"/>
  <c r="G256" i="55" a="1"/>
  <c r="G256" i="55" s="1"/>
  <c r="G219" i="55" a="1"/>
  <c r="G219" i="55" s="1"/>
  <c r="I289" i="55" a="1"/>
  <c r="I289" i="55" s="1"/>
  <c r="I354" i="55" a="1"/>
  <c r="I354" i="55" s="1"/>
  <c r="I292" i="55" a="1"/>
  <c r="I292" i="55" s="1"/>
  <c r="I375" i="55" a="1"/>
  <c r="I375" i="55" s="1"/>
  <c r="I372" i="55" a="1"/>
  <c r="I372" i="55" s="1"/>
  <c r="G284" i="55" a="1"/>
  <c r="G284" i="55" s="1"/>
  <c r="G366" i="55" a="1"/>
  <c r="G366" i="55" s="1"/>
  <c r="G225" i="55" a="1"/>
  <c r="G225" i="55" s="1"/>
  <c r="G315" i="55" a="1"/>
  <c r="G315" i="55" s="1"/>
  <c r="I14" i="55" a="1"/>
  <c r="I14" i="55" s="1"/>
  <c r="I308" i="55" a="1"/>
  <c r="I308" i="55" s="1"/>
  <c r="G281" i="55" a="1"/>
  <c r="G281" i="55" s="1"/>
  <c r="I281" i="55" a="1"/>
  <c r="I281" i="55" s="1"/>
  <c r="I151" i="55" a="1"/>
  <c r="I151" i="55" s="1"/>
  <c r="G140" i="55" a="1"/>
  <c r="G140" i="55" s="1"/>
  <c r="I143" i="55" a="1"/>
  <c r="I143" i="55" s="1"/>
  <c r="G147" i="55" a="1"/>
  <c r="G147" i="55" s="1"/>
  <c r="G191" i="55" a="1"/>
  <c r="G191" i="55" s="1"/>
  <c r="I199" i="55" a="1"/>
  <c r="I199" i="55" s="1"/>
  <c r="G207" i="55" a="1"/>
  <c r="G207" i="55" s="1"/>
  <c r="G215" i="55" a="1"/>
  <c r="G215" i="55" s="1"/>
  <c r="I211" i="55" a="1"/>
  <c r="I211" i="55" s="1"/>
  <c r="G196" i="55" a="1"/>
  <c r="G196" i="55" s="1"/>
  <c r="I203" i="55" a="1"/>
  <c r="I203" i="55" s="1"/>
  <c r="G214" i="55" a="1"/>
  <c r="G214" i="55" s="1"/>
  <c r="G192" i="55" a="1"/>
  <c r="G192" i="55" s="1"/>
  <c r="I200" i="55" a="1"/>
  <c r="I200" i="55" s="1"/>
  <c r="G209" i="55" a="1"/>
  <c r="G209" i="55" s="1"/>
  <c r="I192" i="55" a="1"/>
  <c r="I192" i="55" s="1"/>
  <c r="G201" i="55" a="1"/>
  <c r="G201" i="55" s="1"/>
  <c r="I209" i="55" a="1"/>
  <c r="I209" i="55" s="1"/>
  <c r="G156" i="55" a="1"/>
  <c r="G156" i="55" s="1"/>
  <c r="G164" i="55" a="1"/>
  <c r="G164" i="55" s="1"/>
  <c r="G172" i="55" a="1"/>
  <c r="G172" i="55" s="1"/>
  <c r="G180" i="55" a="1"/>
  <c r="G180" i="55" s="1"/>
  <c r="G188" i="55" a="1"/>
  <c r="G188" i="55" s="1"/>
  <c r="I154" i="55" a="1"/>
  <c r="I154" i="55" s="1"/>
  <c r="I162" i="55" a="1"/>
  <c r="I162" i="55" s="1"/>
  <c r="I170" i="55" a="1"/>
  <c r="I170" i="55" s="1"/>
  <c r="I178" i="55" a="1"/>
  <c r="I178" i="55" s="1"/>
  <c r="I186" i="55" a="1"/>
  <c r="I186" i="55" s="1"/>
  <c r="G155" i="55" a="1"/>
  <c r="G155" i="55" s="1"/>
  <c r="G163" i="55" a="1"/>
  <c r="G163" i="55" s="1"/>
  <c r="G171" i="55" a="1"/>
  <c r="G171" i="55" s="1"/>
  <c r="G179" i="55" a="1"/>
  <c r="G179" i="55" s="1"/>
  <c r="I155" i="55" a="1"/>
  <c r="I155" i="55" s="1"/>
  <c r="G228" i="55" a="1"/>
  <c r="G228" i="55" s="1"/>
  <c r="G240" i="55" a="1"/>
  <c r="G240" i="55" s="1"/>
  <c r="G309" i="55" a="1"/>
  <c r="G309" i="55" s="1"/>
  <c r="K309" i="55" s="1"/>
  <c r="G231" i="55" a="1"/>
  <c r="G231" i="55" s="1"/>
  <c r="G336" i="55" a="1"/>
  <c r="G336" i="55" s="1"/>
  <c r="G376" i="55" a="1"/>
  <c r="G376" i="55" s="1"/>
  <c r="I260" i="55" a="1"/>
  <c r="I260" i="55" s="1"/>
  <c r="I366" i="55" a="1"/>
  <c r="I366" i="55" s="1"/>
  <c r="I225" i="55" a="1"/>
  <c r="I225" i="55" s="1"/>
  <c r="I315" i="55" a="1"/>
  <c r="I315" i="55" s="1"/>
  <c r="G321" i="55" a="1"/>
  <c r="G321" i="55" s="1"/>
  <c r="G241" i="55" a="1"/>
  <c r="G241" i="55" s="1"/>
  <c r="G317" i="55" a="1"/>
  <c r="G317" i="55" s="1"/>
  <c r="G277" i="55" a="1"/>
  <c r="G277" i="55" s="1"/>
  <c r="G302" i="55" a="1"/>
  <c r="G302" i="55" s="1"/>
  <c r="I316" i="55" a="1"/>
  <c r="I316" i="55" s="1"/>
  <c r="I297" i="55" a="1"/>
  <c r="I297" i="55" s="1"/>
  <c r="G150" i="55" a="1"/>
  <c r="G150" i="55" s="1"/>
  <c r="G146" i="55" a="1"/>
  <c r="G146" i="55" s="1"/>
  <c r="I141" i="55" a="1"/>
  <c r="I141" i="55" s="1"/>
  <c r="G145" i="55" a="1"/>
  <c r="G145" i="55" s="1"/>
  <c r="G194" i="55" a="1"/>
  <c r="G194" i="55" s="1"/>
  <c r="I201" i="55" a="1"/>
  <c r="I201" i="55" s="1"/>
  <c r="I208" i="55" a="1"/>
  <c r="I208" i="55" s="1"/>
  <c r="I215" i="55" a="1"/>
  <c r="I215" i="55" s="1"/>
  <c r="I191" i="55" a="1"/>
  <c r="I191" i="55" s="1"/>
  <c r="G198" i="55" a="1"/>
  <c r="G198" i="55" s="1"/>
  <c r="G206" i="55" a="1"/>
  <c r="G206" i="55" s="1"/>
  <c r="I325" i="55" a="1"/>
  <c r="I325" i="55" s="1"/>
  <c r="G329" i="55" a="1"/>
  <c r="G329" i="55" s="1"/>
  <c r="G327" i="55" a="1"/>
  <c r="G327" i="55" s="1"/>
  <c r="K327" i="55" s="1"/>
  <c r="G361" i="55" a="1"/>
  <c r="G361" i="55" s="1"/>
  <c r="G294" i="55" a="1"/>
  <c r="G294" i="55" s="1"/>
  <c r="G359" i="55" a="1"/>
  <c r="G359" i="55" s="1"/>
  <c r="I321" i="55" a="1"/>
  <c r="I321" i="55" s="1"/>
  <c r="I241" i="55" a="1"/>
  <c r="I241" i="55" s="1"/>
  <c r="I317" i="55" a="1"/>
  <c r="I317" i="55" s="1"/>
  <c r="I277" i="55" a="1"/>
  <c r="I277" i="55" s="1"/>
  <c r="G358" i="55" a="1"/>
  <c r="G358" i="55" s="1"/>
  <c r="G224" i="55" a="1"/>
  <c r="G224" i="55" s="1"/>
  <c r="G308" i="55" a="1"/>
  <c r="G308" i="55" s="1"/>
  <c r="G356" i="55" a="1"/>
  <c r="G356" i="55" s="1"/>
  <c r="I356" i="55" a="1"/>
  <c r="I356" i="55" s="1"/>
  <c r="G139" i="55" a="1"/>
  <c r="G139" i="55" s="1"/>
  <c r="G144" i="55" a="1"/>
  <c r="G144" i="55" s="1"/>
  <c r="G357" i="55" a="1"/>
  <c r="G357" i="55" s="1"/>
  <c r="K357" i="55" s="1"/>
  <c r="G313" i="55" a="1"/>
  <c r="G313" i="55" s="1"/>
  <c r="K313" i="55" s="1"/>
  <c r="G259" i="55" a="1"/>
  <c r="G259" i="55" s="1"/>
  <c r="G310" i="55" a="1"/>
  <c r="G310" i="55" s="1"/>
  <c r="K310" i="55" s="1"/>
  <c r="I358" i="55" a="1"/>
  <c r="I358" i="55" s="1"/>
  <c r="I224" i="55" a="1"/>
  <c r="I224" i="55" s="1"/>
  <c r="G260" i="55" a="1"/>
  <c r="G260" i="55" s="1"/>
  <c r="G289" i="55" a="1"/>
  <c r="G289" i="55" s="1"/>
  <c r="G354" i="55" a="1"/>
  <c r="G354" i="55" s="1"/>
  <c r="G292" i="55" a="1"/>
  <c r="G292" i="55" s="1"/>
  <c r="G375" i="55" a="1"/>
  <c r="G375" i="55" s="1"/>
  <c r="G372" i="55" a="1"/>
  <c r="G372" i="55" s="1"/>
  <c r="G14" i="55" a="1"/>
  <c r="G14" i="55" s="1"/>
  <c r="K14" i="55" s="1"/>
  <c r="G316" i="55" a="1"/>
  <c r="G316" i="55" s="1"/>
  <c r="I302" i="55" a="1"/>
  <c r="I302" i="55" s="1"/>
  <c r="G297" i="55" a="1"/>
  <c r="G297" i="55" s="1"/>
  <c r="G148" i="55" a="1"/>
  <c r="G148" i="55" s="1"/>
  <c r="G142" i="55" a="1"/>
  <c r="G142" i="55" s="1"/>
  <c r="I145" i="55" a="1"/>
  <c r="I145" i="55" s="1"/>
  <c r="G151" i="55" a="1"/>
  <c r="G151" i="55" s="1"/>
  <c r="K151" i="55" s="1"/>
  <c r="G141" i="55" a="1"/>
  <c r="G141" i="55" s="1"/>
  <c r="I197" i="55" a="1"/>
  <c r="I197" i="55" s="1"/>
  <c r="I204" i="55" a="1"/>
  <c r="I204" i="55" s="1"/>
  <c r="I212" i="55" a="1"/>
  <c r="I212" i="55" s="1"/>
  <c r="I214" i="55" a="1"/>
  <c r="I214" i="55" s="1"/>
  <c r="I194" i="55" a="1"/>
  <c r="I194" i="55" s="1"/>
  <c r="G202" i="55" a="1"/>
  <c r="G202" i="55" s="1"/>
  <c r="G210" i="55" a="1"/>
  <c r="G210" i="55" s="1"/>
  <c r="G143" i="55" a="1"/>
  <c r="G143" i="55" s="1"/>
  <c r="I207" i="55" a="1"/>
  <c r="I207" i="55" s="1"/>
  <c r="I196" i="55" a="1"/>
  <c r="I196" i="55" s="1"/>
  <c r="I206" i="55" a="1"/>
  <c r="I206" i="55" s="1"/>
  <c r="G195" i="55" a="1"/>
  <c r="G195" i="55" s="1"/>
  <c r="I205" i="55" a="1"/>
  <c r="I205" i="55" s="1"/>
  <c r="G158" i="55" a="1"/>
  <c r="G158" i="55" s="1"/>
  <c r="G168" i="55" a="1"/>
  <c r="G168" i="55" s="1"/>
  <c r="G178" i="55" a="1"/>
  <c r="G178" i="55" s="1"/>
  <c r="I189" i="55" a="1"/>
  <c r="I189" i="55" s="1"/>
  <c r="I158" i="55" a="1"/>
  <c r="I158" i="55" s="1"/>
  <c r="I168" i="55" a="1"/>
  <c r="I168" i="55" s="1"/>
  <c r="I180" i="55" a="1"/>
  <c r="I180" i="55" s="1"/>
  <c r="G185" i="55" a="1"/>
  <c r="G185" i="55" s="1"/>
  <c r="G161" i="55" a="1"/>
  <c r="G161" i="55" s="1"/>
  <c r="G173" i="55" a="1"/>
  <c r="G173" i="55" s="1"/>
  <c r="G183" i="55" a="1"/>
  <c r="G183" i="55" s="1"/>
  <c r="I161" i="55" a="1"/>
  <c r="I161" i="55" s="1"/>
  <c r="I169" i="55" a="1"/>
  <c r="I169" i="55" s="1"/>
  <c r="I177" i="55" a="1"/>
  <c r="I177" i="55" s="1"/>
  <c r="I185" i="55" a="1"/>
  <c r="I185" i="55" s="1"/>
  <c r="G149" i="55" a="1"/>
  <c r="G149" i="55" s="1"/>
  <c r="I146" i="55" a="1"/>
  <c r="I146" i="55" s="1"/>
  <c r="I179" i="55" a="1"/>
  <c r="I179" i="55" s="1"/>
  <c r="I144" i="55" a="1"/>
  <c r="I144" i="55" s="1"/>
  <c r="I173" i="55" a="1"/>
  <c r="I173" i="55" s="1"/>
  <c r="I150" i="55" a="1"/>
  <c r="I150" i="55" s="1"/>
  <c r="I140" i="55" a="1"/>
  <c r="I140" i="55" s="1"/>
  <c r="I195" i="55" a="1"/>
  <c r="I195" i="55" s="1"/>
  <c r="I198" i="55" a="1"/>
  <c r="I198" i="55" s="1"/>
  <c r="I210" i="55" a="1"/>
  <c r="I210" i="55" s="1"/>
  <c r="G197" i="55" a="1"/>
  <c r="G197" i="55" s="1"/>
  <c r="G208" i="55" a="1"/>
  <c r="G208" i="55" s="1"/>
  <c r="G160" i="55" a="1"/>
  <c r="G160" i="55" s="1"/>
  <c r="G170" i="55" a="1"/>
  <c r="G170" i="55" s="1"/>
  <c r="K170" i="55" s="1"/>
  <c r="G182" i="55" a="1"/>
  <c r="G182" i="55" s="1"/>
  <c r="G187" i="55" a="1"/>
  <c r="G187" i="55" s="1"/>
  <c r="I160" i="55" a="1"/>
  <c r="I160" i="55" s="1"/>
  <c r="I172" i="55" a="1"/>
  <c r="I172" i="55" s="1"/>
  <c r="I182" i="55" a="1"/>
  <c r="I182" i="55" s="1"/>
  <c r="G153" i="55" a="1"/>
  <c r="G153" i="55" s="1"/>
  <c r="G165" i="55" a="1"/>
  <c r="G165" i="55" s="1"/>
  <c r="G175" i="55" a="1"/>
  <c r="G175" i="55" s="1"/>
  <c r="I153" i="55" a="1"/>
  <c r="I153" i="55" s="1"/>
  <c r="I163" i="55" a="1"/>
  <c r="I163" i="55" s="1"/>
  <c r="I171" i="55" a="1"/>
  <c r="I171" i="55" s="1"/>
  <c r="I187" i="55" a="1"/>
  <c r="I187" i="55" s="1"/>
  <c r="I165" i="55" a="1"/>
  <c r="I165" i="55" s="1"/>
  <c r="G189" i="55" a="1"/>
  <c r="G189" i="55" s="1"/>
  <c r="I148" i="55" a="1"/>
  <c r="I148" i="55" s="1"/>
  <c r="I147" i="55" a="1"/>
  <c r="I147" i="55" s="1"/>
  <c r="G203" i="55" a="1"/>
  <c r="G203" i="55" s="1"/>
  <c r="K203" i="55" s="1"/>
  <c r="G193" i="55" a="1"/>
  <c r="G193" i="55" s="1"/>
  <c r="G190" i="55" a="1"/>
  <c r="G190" i="55" s="1"/>
  <c r="I202" i="55" a="1"/>
  <c r="I202" i="55" s="1"/>
  <c r="G213" i="55" a="1"/>
  <c r="G213" i="55" s="1"/>
  <c r="G199" i="55" a="1"/>
  <c r="G199" i="55" s="1"/>
  <c r="K199" i="55" s="1"/>
  <c r="G212" i="55" a="1"/>
  <c r="G212" i="55" s="1"/>
  <c r="G152" i="55" a="1"/>
  <c r="G152" i="55" s="1"/>
  <c r="G162" i="55" a="1"/>
  <c r="G162" i="55" s="1"/>
  <c r="G174" i="55" a="1"/>
  <c r="G174" i="55" s="1"/>
  <c r="G184" i="55" a="1"/>
  <c r="G184" i="55" s="1"/>
  <c r="I152" i="55" a="1"/>
  <c r="I152" i="55" s="1"/>
  <c r="I164" i="55" a="1"/>
  <c r="I164" i="55" s="1"/>
  <c r="I174" i="55" a="1"/>
  <c r="I174" i="55" s="1"/>
  <c r="I184" i="55" a="1"/>
  <c r="I184" i="55" s="1"/>
  <c r="G157" i="55" a="1"/>
  <c r="G157" i="55" s="1"/>
  <c r="G167" i="55" a="1"/>
  <c r="G167" i="55" s="1"/>
  <c r="G177" i="55" a="1"/>
  <c r="G177" i="55" s="1"/>
  <c r="I157" i="55" a="1"/>
  <c r="I157" i="55" s="1"/>
  <c r="I181" i="55" a="1"/>
  <c r="I181" i="55" s="1"/>
  <c r="I142" i="55" a="1"/>
  <c r="I142" i="55" s="1"/>
  <c r="I139" i="55" a="1"/>
  <c r="I139" i="55" s="1"/>
  <c r="G211" i="55" a="1"/>
  <c r="G211" i="55" s="1"/>
  <c r="G200" i="55" a="1"/>
  <c r="G200" i="55" s="1"/>
  <c r="I193" i="55" a="1"/>
  <c r="I193" i="55" s="1"/>
  <c r="G205" i="55" a="1"/>
  <c r="G205" i="55" s="1"/>
  <c r="I190" i="55" a="1"/>
  <c r="I190" i="55" s="1"/>
  <c r="G204" i="55" a="1"/>
  <c r="G204" i="55" s="1"/>
  <c r="I213" i="55" a="1"/>
  <c r="I213" i="55" s="1"/>
  <c r="G154" i="55" a="1"/>
  <c r="G154" i="55" s="1"/>
  <c r="K154" i="55" s="1"/>
  <c r="G166" i="55" a="1"/>
  <c r="G166" i="55" s="1"/>
  <c r="G176" i="55" a="1"/>
  <c r="G176" i="55" s="1"/>
  <c r="G186" i="55" a="1"/>
  <c r="G186" i="55" s="1"/>
  <c r="I156" i="55" a="1"/>
  <c r="I156" i="55" s="1"/>
  <c r="I166" i="55" a="1"/>
  <c r="I166" i="55" s="1"/>
  <c r="I176" i="55" a="1"/>
  <c r="I176" i="55" s="1"/>
  <c r="I188" i="55" a="1"/>
  <c r="I188" i="55" s="1"/>
  <c r="G159" i="55" a="1"/>
  <c r="G159" i="55" s="1"/>
  <c r="G169" i="55" a="1"/>
  <c r="G169" i="55" s="1"/>
  <c r="G181" i="55" a="1"/>
  <c r="G181" i="55" s="1"/>
  <c r="I159" i="55" a="1"/>
  <c r="I159" i="55" s="1"/>
  <c r="I167" i="55" a="1"/>
  <c r="I167" i="55" s="1"/>
  <c r="I175" i="55" a="1"/>
  <c r="I175" i="55" s="1"/>
  <c r="I183" i="55" a="1"/>
  <c r="I183" i="55" s="1"/>
  <c r="I149" i="55" a="1"/>
  <c r="I149" i="55" s="1"/>
  <c r="A16" i="12"/>
  <c r="K260" i="55" l="1"/>
  <c r="K256" i="55"/>
  <c r="K359" i="55"/>
  <c r="K375" i="55"/>
  <c r="K240" i="55"/>
  <c r="K269" i="55"/>
  <c r="K294" i="55"/>
  <c r="K259" i="55"/>
  <c r="K336" i="55"/>
  <c r="K354" i="55"/>
  <c r="K376" i="55"/>
  <c r="K228" i="55"/>
  <c r="K143" i="55"/>
  <c r="K308" i="55"/>
  <c r="K200" i="55"/>
  <c r="K316" i="55"/>
  <c r="K361" i="55"/>
  <c r="K205" i="55"/>
  <c r="A44" i="43"/>
  <c r="C44" i="43"/>
  <c r="E44" i="43"/>
  <c r="G44" i="43"/>
  <c r="D44" i="43"/>
  <c r="B44" i="43"/>
  <c r="F44" i="43"/>
  <c r="K340" i="55"/>
  <c r="K197" i="55"/>
  <c r="K219" i="55"/>
  <c r="K352" i="55"/>
  <c r="K360" i="55"/>
  <c r="K297" i="55"/>
  <c r="K356" i="55"/>
  <c r="K302" i="55"/>
  <c r="K225" i="55"/>
  <c r="K290" i="55"/>
  <c r="K322" i="55"/>
  <c r="K358" i="55"/>
  <c r="K317" i="55"/>
  <c r="K258" i="55"/>
  <c r="K223" i="55"/>
  <c r="K315" i="55"/>
  <c r="K366" i="55"/>
  <c r="K305" i="55"/>
  <c r="K224" i="55"/>
  <c r="K281" i="55"/>
  <c r="K306" i="55"/>
  <c r="K284" i="55"/>
  <c r="K141" i="55"/>
  <c r="K186" i="55"/>
  <c r="K178" i="55"/>
  <c r="K292" i="55"/>
  <c r="K329" i="55"/>
  <c r="K211" i="55"/>
  <c r="K144" i="55"/>
  <c r="K177" i="55"/>
  <c r="K159" i="55"/>
  <c r="K231" i="55"/>
  <c r="K193" i="55"/>
  <c r="K153" i="55"/>
  <c r="K204" i="55"/>
  <c r="K212" i="55"/>
  <c r="K165" i="55"/>
  <c r="K185" i="55"/>
  <c r="K192" i="55"/>
  <c r="K181" i="55"/>
  <c r="K149" i="55"/>
  <c r="K157" i="55"/>
  <c r="K142" i="55"/>
  <c r="K169" i="55"/>
  <c r="K372" i="55"/>
  <c r="K289" i="55"/>
  <c r="K162" i="55"/>
  <c r="K150" i="55"/>
  <c r="K166" i="55"/>
  <c r="K208" i="55"/>
  <c r="K175" i="55"/>
  <c r="K161" i="55"/>
  <c r="K158" i="55"/>
  <c r="K206" i="55"/>
  <c r="K145" i="55"/>
  <c r="K321" i="55"/>
  <c r="K155" i="55"/>
  <c r="K172" i="55"/>
  <c r="K196" i="55"/>
  <c r="K207" i="55"/>
  <c r="K190" i="55"/>
  <c r="K198" i="55"/>
  <c r="K179" i="55"/>
  <c r="K164" i="55"/>
  <c r="K201" i="55"/>
  <c r="K140" i="55"/>
  <c r="K160" i="55"/>
  <c r="K210" i="55"/>
  <c r="K189" i="55"/>
  <c r="K183" i="55"/>
  <c r="K202" i="55"/>
  <c r="K277" i="55"/>
  <c r="K241" i="55"/>
  <c r="K171" i="55"/>
  <c r="K188" i="55"/>
  <c r="K156" i="55"/>
  <c r="K214" i="55"/>
  <c r="K191" i="55"/>
  <c r="K229" i="55"/>
  <c r="K176" i="55"/>
  <c r="K152" i="55"/>
  <c r="K184" i="55"/>
  <c r="K174" i="55"/>
  <c r="K187" i="55"/>
  <c r="K167" i="55"/>
  <c r="K213" i="55"/>
  <c r="K182" i="55"/>
  <c r="K173" i="55"/>
  <c r="K168" i="55"/>
  <c r="K195" i="55"/>
  <c r="K148" i="55"/>
  <c r="K139" i="55"/>
  <c r="K194" i="55"/>
  <c r="K146" i="55"/>
  <c r="K163" i="55"/>
  <c r="K180" i="55"/>
  <c r="K209" i="55"/>
  <c r="K215" i="55"/>
  <c r="K147" i="55"/>
  <c r="K325" i="55"/>
  <c r="A12" i="43"/>
  <c r="G74" i="43" s="1"/>
  <c r="G135" i="55" a="1"/>
  <c r="G135" i="55" s="1"/>
  <c r="A16" i="55"/>
  <c r="B15" i="55"/>
  <c r="A15" i="55" s="1"/>
  <c r="B13" i="55"/>
  <c r="B12" i="55"/>
  <c r="F2" i="43" l="1"/>
  <c r="A73" i="43"/>
  <c r="K20" i="34"/>
  <c r="K19" i="34"/>
  <c r="K17" i="34"/>
  <c r="K11" i="34"/>
  <c r="K10" i="34" l="1"/>
  <c r="B11" i="34"/>
  <c r="U11" i="34" s="1"/>
  <c r="B12" i="34"/>
  <c r="B13" i="34"/>
  <c r="B15" i="34"/>
  <c r="B16" i="34"/>
  <c r="B21" i="34"/>
  <c r="A21" i="34" s="1"/>
  <c r="B17" i="34"/>
  <c r="A17" i="34" s="1"/>
  <c r="B18" i="34"/>
  <c r="A18" i="34" s="1"/>
  <c r="B19" i="34"/>
  <c r="A19" i="34" s="1"/>
  <c r="B20" i="34"/>
  <c r="A20" i="34" s="1"/>
  <c r="B10" i="34"/>
  <c r="U10" i="34" l="1"/>
  <c r="W10" i="34"/>
  <c r="U12" i="34"/>
  <c r="A12" i="34"/>
  <c r="U13" i="34"/>
  <c r="A13" i="34"/>
  <c r="U16" i="34"/>
  <c r="A16" i="34"/>
  <c r="U15" i="34"/>
  <c r="A15" i="34"/>
  <c r="U17" i="34"/>
  <c r="U20" i="34"/>
  <c r="U19" i="34"/>
  <c r="U18" i="34"/>
  <c r="U21" i="34"/>
  <c r="P15" i="34"/>
  <c r="Q15" i="34"/>
  <c r="O15" i="34"/>
  <c r="Z15" i="34"/>
  <c r="P17" i="34"/>
  <c r="Q17" i="34"/>
  <c r="O17" i="34"/>
  <c r="Z17" i="34"/>
  <c r="O13" i="34"/>
  <c r="Z13" i="34"/>
  <c r="P13" i="34"/>
  <c r="Q13" i="34"/>
  <c r="O18" i="34"/>
  <c r="Z18" i="34"/>
  <c r="P18" i="34"/>
  <c r="Q18" i="34"/>
  <c r="O20" i="34"/>
  <c r="Z20" i="34"/>
  <c r="P20" i="34"/>
  <c r="Q20" i="34"/>
  <c r="P21" i="34"/>
  <c r="Q21" i="34"/>
  <c r="O21" i="34"/>
  <c r="Z21" i="34"/>
  <c r="P12" i="34"/>
  <c r="Q12" i="34"/>
  <c r="O12" i="34"/>
  <c r="Z12" i="34"/>
  <c r="P19" i="34"/>
  <c r="Q19" i="34"/>
  <c r="O19" i="34"/>
  <c r="Z19" i="34"/>
  <c r="O16" i="34"/>
  <c r="Z16" i="34"/>
  <c r="P16" i="34"/>
  <c r="Q16" i="34"/>
  <c r="O11" i="34"/>
  <c r="Z11" i="34"/>
  <c r="P11" i="34"/>
  <c r="Q11" i="34"/>
  <c r="P10" i="34"/>
  <c r="Z10" i="34"/>
  <c r="O10" i="34"/>
  <c r="G7" i="57"/>
  <c r="D17" i="12"/>
  <c r="C17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L18" i="77" s="1"/>
  <c r="D17" i="77"/>
  <c r="F16" i="77"/>
  <c r="B23" i="77"/>
  <c r="A30" i="77"/>
  <c r="A22" i="77"/>
  <c r="B16" i="77"/>
  <c r="F28" i="77"/>
  <c r="F18" i="77"/>
  <c r="E21" i="77"/>
  <c r="L21" i="77" s="1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K29" i="77" s="1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H22" i="74" l="1"/>
  <c r="J19" i="77"/>
  <c r="I16" i="74"/>
  <c r="I17" i="74"/>
  <c r="H24" i="77"/>
  <c r="H20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T8" i="4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1" i="15"/>
  <c r="D21" i="15"/>
  <c r="C37" i="15"/>
  <c r="C54" i="15" s="1"/>
  <c r="D37" i="15"/>
  <c r="D54" i="15" l="1"/>
  <c r="F36" i="74"/>
  <c r="F37" i="74" s="1"/>
  <c r="G34" i="77"/>
  <c r="F33" i="77"/>
  <c r="F34" i="77" s="1"/>
  <c r="G28" i="78"/>
  <c r="G24" i="75"/>
  <c r="F23" i="75"/>
  <c r="F24" i="75" s="1"/>
  <c r="G37" i="74"/>
  <c r="D39" i="15"/>
  <c r="G29" i="78" l="1"/>
  <c r="F28" i="78"/>
  <c r="F29" i="78" s="1"/>
  <c r="B11" i="61"/>
  <c r="I367" i="60"/>
  <c r="I243" i="60"/>
  <c r="A242" i="60"/>
  <c r="I136" i="60"/>
  <c r="C136" i="60"/>
  <c r="I56" i="60"/>
  <c r="C56" i="60"/>
  <c r="A31" i="58"/>
  <c r="I13" i="58"/>
  <c r="C8" i="58"/>
  <c r="A73" i="57"/>
  <c r="L13" i="57"/>
  <c r="K13" i="57"/>
  <c r="I7" i="57"/>
  <c r="D7" i="56"/>
  <c r="C7" i="56"/>
  <c r="D5" i="56"/>
  <c r="F381" i="55"/>
  <c r="F382" i="55" s="1"/>
  <c r="E381" i="55"/>
  <c r="A381" i="55"/>
  <c r="I135" i="55" a="1"/>
  <c r="I135" i="55" s="1"/>
  <c r="I18" i="55" a="1"/>
  <c r="I18" i="55" s="1"/>
  <c r="G18" i="55" a="1"/>
  <c r="G18" i="55" s="1"/>
  <c r="G217" i="55" s="1"/>
  <c r="F16" i="55"/>
  <c r="F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D65" i="60" l="1"/>
  <c r="E65" i="60"/>
  <c r="F65" i="60"/>
  <c r="F66" i="60"/>
  <c r="F67" i="60"/>
  <c r="F68" i="60"/>
  <c r="F69" i="60"/>
  <c r="F70" i="60"/>
  <c r="F71" i="60"/>
  <c r="F72" i="60"/>
  <c r="F73" i="60"/>
  <c r="F74" i="60"/>
  <c r="F75" i="60"/>
  <c r="F76" i="60"/>
  <c r="F77" i="60"/>
  <c r="F78" i="60"/>
  <c r="F79" i="60"/>
  <c r="F80" i="60"/>
  <c r="F81" i="60"/>
  <c r="F82" i="60"/>
  <c r="F83" i="60"/>
  <c r="F84" i="60"/>
  <c r="F85" i="60"/>
  <c r="F86" i="60"/>
  <c r="F87" i="60"/>
  <c r="F88" i="60"/>
  <c r="F89" i="60"/>
  <c r="F90" i="60"/>
  <c r="F91" i="60"/>
  <c r="F92" i="60"/>
  <c r="F93" i="60"/>
  <c r="F94" i="60"/>
  <c r="F95" i="60"/>
  <c r="F96" i="60"/>
  <c r="F97" i="60"/>
  <c r="F98" i="60"/>
  <c r="F99" i="60"/>
  <c r="F100" i="60"/>
  <c r="F101" i="60"/>
  <c r="F102" i="60"/>
  <c r="F103" i="60"/>
  <c r="F104" i="60"/>
  <c r="F105" i="60"/>
  <c r="F106" i="60"/>
  <c r="F107" i="60"/>
  <c r="D66" i="60"/>
  <c r="G68" i="60"/>
  <c r="E69" i="60"/>
  <c r="D70" i="60"/>
  <c r="G72" i="60"/>
  <c r="E73" i="60"/>
  <c r="D74" i="60"/>
  <c r="G76" i="60"/>
  <c r="E77" i="60"/>
  <c r="D78" i="60"/>
  <c r="G80" i="60"/>
  <c r="E81" i="60"/>
  <c r="D82" i="60"/>
  <c r="D85" i="60"/>
  <c r="D87" i="60"/>
  <c r="D89" i="60"/>
  <c r="D91" i="60"/>
  <c r="D93" i="60"/>
  <c r="D95" i="60"/>
  <c r="D97" i="60"/>
  <c r="D99" i="60"/>
  <c r="D101" i="60"/>
  <c r="D103" i="60"/>
  <c r="D105" i="60"/>
  <c r="D107" i="60"/>
  <c r="E110" i="60"/>
  <c r="E111" i="60"/>
  <c r="E112" i="60"/>
  <c r="E120" i="60"/>
  <c r="E122" i="60"/>
  <c r="E127" i="60"/>
  <c r="E128" i="60"/>
  <c r="E130" i="60"/>
  <c r="E133" i="60"/>
  <c r="F108" i="60"/>
  <c r="F110" i="60"/>
  <c r="F121" i="60"/>
  <c r="G65" i="60"/>
  <c r="E66" i="60"/>
  <c r="D67" i="60"/>
  <c r="G69" i="60"/>
  <c r="E70" i="60"/>
  <c r="D71" i="60"/>
  <c r="G73" i="60"/>
  <c r="E74" i="60"/>
  <c r="D75" i="60"/>
  <c r="G77" i="60"/>
  <c r="E78" i="60"/>
  <c r="D79" i="60"/>
  <c r="G81" i="60"/>
  <c r="E82" i="60"/>
  <c r="D83" i="60"/>
  <c r="G84" i="60"/>
  <c r="E85" i="60"/>
  <c r="G86" i="60"/>
  <c r="E87" i="60"/>
  <c r="G88" i="60"/>
  <c r="E89" i="60"/>
  <c r="G90" i="60"/>
  <c r="E91" i="60"/>
  <c r="G92" i="60"/>
  <c r="E93" i="60"/>
  <c r="G94" i="60"/>
  <c r="E95" i="60"/>
  <c r="G96" i="60"/>
  <c r="E97" i="60"/>
  <c r="G98" i="60"/>
  <c r="E99" i="60"/>
  <c r="G100" i="60"/>
  <c r="E101" i="60"/>
  <c r="G102" i="60"/>
  <c r="E103" i="60"/>
  <c r="G104" i="60"/>
  <c r="E105" i="60"/>
  <c r="E107" i="60"/>
  <c r="F109" i="60"/>
  <c r="F114" i="60"/>
  <c r="F115" i="60"/>
  <c r="F116" i="60"/>
  <c r="F117" i="60"/>
  <c r="G66" i="60"/>
  <c r="E67" i="60"/>
  <c r="D68" i="60"/>
  <c r="G70" i="60"/>
  <c r="E71" i="60"/>
  <c r="D72" i="60"/>
  <c r="G74" i="60"/>
  <c r="E75" i="60"/>
  <c r="D76" i="60"/>
  <c r="G78" i="60"/>
  <c r="E79" i="60"/>
  <c r="D80" i="60"/>
  <c r="G82" i="60"/>
  <c r="E83" i="60"/>
  <c r="D84" i="60"/>
  <c r="D86" i="60"/>
  <c r="D88" i="60"/>
  <c r="D90" i="60"/>
  <c r="D92" i="60"/>
  <c r="D94" i="60"/>
  <c r="D96" i="60"/>
  <c r="D98" i="60"/>
  <c r="D100" i="60"/>
  <c r="D102" i="60"/>
  <c r="D104" i="60"/>
  <c r="D106" i="60"/>
  <c r="G67" i="60"/>
  <c r="E68" i="60"/>
  <c r="D69" i="60"/>
  <c r="H69" i="60" s="1"/>
  <c r="J69" i="60" s="1"/>
  <c r="G71" i="60"/>
  <c r="E72" i="60"/>
  <c r="D73" i="60"/>
  <c r="H73" i="60" s="1"/>
  <c r="J73" i="60" s="1"/>
  <c r="G75" i="60"/>
  <c r="E76" i="60"/>
  <c r="D77" i="60"/>
  <c r="H77" i="60" s="1"/>
  <c r="J77" i="60" s="1"/>
  <c r="G79" i="60"/>
  <c r="E80" i="60"/>
  <c r="D81" i="60"/>
  <c r="H81" i="60" s="1"/>
  <c r="J81" i="60" s="1"/>
  <c r="G83" i="60"/>
  <c r="E84" i="60"/>
  <c r="G85" i="60"/>
  <c r="E86" i="60"/>
  <c r="G87" i="60"/>
  <c r="E88" i="60"/>
  <c r="G89" i="60"/>
  <c r="E90" i="60"/>
  <c r="G91" i="60"/>
  <c r="E92" i="60"/>
  <c r="G93" i="60"/>
  <c r="E94" i="60"/>
  <c r="G95" i="60"/>
  <c r="E96" i="60"/>
  <c r="G97" i="60"/>
  <c r="E98" i="60"/>
  <c r="G99" i="60"/>
  <c r="E100" i="60"/>
  <c r="G101" i="60"/>
  <c r="E102" i="60"/>
  <c r="G103" i="60"/>
  <c r="E104" i="60"/>
  <c r="G105" i="60"/>
  <c r="E106" i="60"/>
  <c r="G107" i="60"/>
  <c r="D108" i="60"/>
  <c r="G108" i="60"/>
  <c r="D109" i="60"/>
  <c r="G109" i="60"/>
  <c r="D110" i="60"/>
  <c r="G110" i="60"/>
  <c r="D111" i="60"/>
  <c r="G111" i="60"/>
  <c r="D112" i="60"/>
  <c r="G112" i="60"/>
  <c r="D113" i="60"/>
  <c r="G113" i="60"/>
  <c r="D114" i="60"/>
  <c r="G114" i="60"/>
  <c r="D115" i="60"/>
  <c r="G115" i="60"/>
  <c r="D116" i="60"/>
  <c r="G116" i="60"/>
  <c r="D117" i="60"/>
  <c r="G117" i="60"/>
  <c r="D118" i="60"/>
  <c r="G118" i="60"/>
  <c r="D119" i="60"/>
  <c r="G119" i="60"/>
  <c r="D120" i="60"/>
  <c r="G120" i="60"/>
  <c r="D121" i="60"/>
  <c r="G121" i="60"/>
  <c r="D122" i="60"/>
  <c r="G122" i="60"/>
  <c r="D123" i="60"/>
  <c r="G123" i="60"/>
  <c r="D124" i="60"/>
  <c r="G124" i="60"/>
  <c r="D125" i="60"/>
  <c r="G125" i="60"/>
  <c r="D126" i="60"/>
  <c r="G126" i="60"/>
  <c r="D127" i="60"/>
  <c r="G127" i="60"/>
  <c r="D128" i="60"/>
  <c r="G128" i="60"/>
  <c r="D129" i="60"/>
  <c r="G129" i="60"/>
  <c r="D130" i="60"/>
  <c r="G130" i="60"/>
  <c r="D131" i="60"/>
  <c r="G131" i="60"/>
  <c r="D132" i="60"/>
  <c r="G132" i="60"/>
  <c r="D133" i="60"/>
  <c r="G133" i="60"/>
  <c r="D134" i="60"/>
  <c r="G134" i="60"/>
  <c r="E108" i="60"/>
  <c r="E109" i="60"/>
  <c r="E113" i="60"/>
  <c r="E114" i="60"/>
  <c r="E115" i="60"/>
  <c r="E116" i="60"/>
  <c r="E117" i="60"/>
  <c r="E118" i="60"/>
  <c r="E119" i="60"/>
  <c r="E121" i="60"/>
  <c r="E123" i="60"/>
  <c r="E124" i="60"/>
  <c r="E125" i="60"/>
  <c r="E126" i="60"/>
  <c r="E129" i="60"/>
  <c r="E131" i="60"/>
  <c r="E132" i="60"/>
  <c r="E134" i="60"/>
  <c r="G106" i="60"/>
  <c r="F111" i="60"/>
  <c r="F112" i="60"/>
  <c r="F113" i="60"/>
  <c r="F118" i="60"/>
  <c r="F119" i="60"/>
  <c r="F120" i="60"/>
  <c r="F122" i="60"/>
  <c r="F123" i="60"/>
  <c r="F124" i="60"/>
  <c r="F125" i="60"/>
  <c r="F126" i="60"/>
  <c r="F127" i="60"/>
  <c r="F128" i="60"/>
  <c r="F129" i="60"/>
  <c r="F130" i="60"/>
  <c r="F131" i="60"/>
  <c r="F132" i="60"/>
  <c r="F133" i="60"/>
  <c r="F134" i="60"/>
  <c r="F50" i="60"/>
  <c r="E51" i="60"/>
  <c r="D52" i="60"/>
  <c r="G52" i="60"/>
  <c r="F54" i="60"/>
  <c r="F51" i="60"/>
  <c r="E52" i="60"/>
  <c r="D53" i="60"/>
  <c r="G53" i="60"/>
  <c r="D50" i="60"/>
  <c r="G50" i="60"/>
  <c r="F52" i="60"/>
  <c r="E53" i="60"/>
  <c r="D54" i="60"/>
  <c r="G54" i="60"/>
  <c r="E50" i="60"/>
  <c r="D51" i="60"/>
  <c r="G51" i="60"/>
  <c r="F53" i="60"/>
  <c r="E54" i="60"/>
  <c r="F7" i="60"/>
  <c r="E8" i="60"/>
  <c r="D9" i="60"/>
  <c r="G9" i="60"/>
  <c r="F11" i="60"/>
  <c r="E12" i="60"/>
  <c r="D13" i="60"/>
  <c r="G13" i="60"/>
  <c r="F15" i="60"/>
  <c r="E16" i="60"/>
  <c r="D17" i="60"/>
  <c r="G17" i="60"/>
  <c r="F19" i="60"/>
  <c r="E20" i="60"/>
  <c r="D21" i="60"/>
  <c r="G21" i="60"/>
  <c r="F23" i="60"/>
  <c r="E24" i="60"/>
  <c r="D25" i="60"/>
  <c r="G25" i="60"/>
  <c r="F27" i="60"/>
  <c r="E28" i="60"/>
  <c r="D29" i="60"/>
  <c r="G29" i="60"/>
  <c r="F31" i="60"/>
  <c r="D33" i="60"/>
  <c r="G33" i="60"/>
  <c r="E36" i="60"/>
  <c r="D37" i="60"/>
  <c r="G37" i="60"/>
  <c r="E40" i="60"/>
  <c r="D41" i="60"/>
  <c r="G41" i="60"/>
  <c r="F43" i="60"/>
  <c r="D45" i="60"/>
  <c r="G45" i="60"/>
  <c r="F47" i="60"/>
  <c r="D34" i="60"/>
  <c r="F36" i="60"/>
  <c r="E37" i="60"/>
  <c r="G38" i="60"/>
  <c r="F44" i="60"/>
  <c r="E45" i="60"/>
  <c r="F8" i="60"/>
  <c r="E9" i="60"/>
  <c r="D10" i="60"/>
  <c r="G10" i="60"/>
  <c r="F12" i="60"/>
  <c r="E13" i="60"/>
  <c r="D14" i="60"/>
  <c r="G14" i="60"/>
  <c r="F16" i="60"/>
  <c r="E17" i="60"/>
  <c r="D18" i="60"/>
  <c r="G18" i="60"/>
  <c r="F20" i="60"/>
  <c r="E21" i="60"/>
  <c r="D22" i="60"/>
  <c r="G22" i="60"/>
  <c r="F24" i="60"/>
  <c r="E25" i="60"/>
  <c r="D26" i="60"/>
  <c r="G26" i="60"/>
  <c r="F28" i="60"/>
  <c r="E29" i="60"/>
  <c r="D30" i="60"/>
  <c r="G30" i="60"/>
  <c r="E41" i="60"/>
  <c r="D42" i="60"/>
  <c r="G42" i="60"/>
  <c r="D46" i="60"/>
  <c r="D7" i="60"/>
  <c r="G7" i="60"/>
  <c r="F9" i="60"/>
  <c r="E10" i="60"/>
  <c r="D11" i="60"/>
  <c r="G11" i="60"/>
  <c r="F13" i="60"/>
  <c r="E14" i="60"/>
  <c r="D15" i="60"/>
  <c r="G15" i="60"/>
  <c r="F17" i="60"/>
  <c r="E18" i="60"/>
  <c r="D19" i="60"/>
  <c r="G19" i="60"/>
  <c r="F21" i="60"/>
  <c r="E22" i="60"/>
  <c r="D23" i="60"/>
  <c r="G23" i="60"/>
  <c r="F25" i="60"/>
  <c r="E26" i="60"/>
  <c r="D27" i="60"/>
  <c r="G27" i="60"/>
  <c r="F29" i="60"/>
  <c r="E30" i="60"/>
  <c r="D31" i="60"/>
  <c r="G31" i="60"/>
  <c r="F33" i="60"/>
  <c r="E34" i="60"/>
  <c r="D35" i="60"/>
  <c r="G35" i="60"/>
  <c r="F37" i="60"/>
  <c r="E38" i="60"/>
  <c r="D39" i="60"/>
  <c r="G39" i="60"/>
  <c r="E7" i="60"/>
  <c r="D8" i="60"/>
  <c r="G8" i="60"/>
  <c r="F10" i="60"/>
  <c r="E11" i="60"/>
  <c r="D12" i="60"/>
  <c r="G12" i="60"/>
  <c r="F14" i="60"/>
  <c r="E15" i="60"/>
  <c r="D16" i="60"/>
  <c r="G16" i="60"/>
  <c r="F18" i="60"/>
  <c r="E19" i="60"/>
  <c r="D20" i="60"/>
  <c r="G20" i="60"/>
  <c r="F22" i="60"/>
  <c r="E23" i="60"/>
  <c r="D24" i="60"/>
  <c r="G24" i="60"/>
  <c r="F26" i="60"/>
  <c r="E27" i="60"/>
  <c r="D28" i="60"/>
  <c r="G28" i="60"/>
  <c r="F30" i="60"/>
  <c r="E31" i="60"/>
  <c r="D32" i="60"/>
  <c r="G32" i="60"/>
  <c r="F34" i="60"/>
  <c r="E35" i="60"/>
  <c r="D36" i="60"/>
  <c r="G36" i="60"/>
  <c r="F38" i="60"/>
  <c r="E39" i="60"/>
  <c r="D40" i="60"/>
  <c r="G40" i="60"/>
  <c r="F42" i="60"/>
  <c r="E43" i="60"/>
  <c r="D44" i="60"/>
  <c r="G44" i="60"/>
  <c r="F46" i="60"/>
  <c r="E47" i="60"/>
  <c r="D48" i="60"/>
  <c r="G48" i="60"/>
  <c r="E32" i="60"/>
  <c r="F35" i="60"/>
  <c r="F39" i="60"/>
  <c r="E44" i="60"/>
  <c r="E48" i="60"/>
  <c r="D49" i="60"/>
  <c r="G49" i="60"/>
  <c r="D6" i="60"/>
  <c r="F32" i="60"/>
  <c r="E33" i="60"/>
  <c r="G34" i="60"/>
  <c r="D38" i="60"/>
  <c r="H38" i="60" s="1"/>
  <c r="J38" i="60" s="1"/>
  <c r="F40" i="60"/>
  <c r="G46" i="60"/>
  <c r="F48" i="60"/>
  <c r="D47" i="60"/>
  <c r="F49" i="60"/>
  <c r="F41" i="60"/>
  <c r="E42" i="60"/>
  <c r="D43" i="60"/>
  <c r="G47" i="60"/>
  <c r="G43" i="60"/>
  <c r="F45" i="60"/>
  <c r="E46" i="60"/>
  <c r="E49" i="60"/>
  <c r="V63" i="34"/>
  <c r="V287" i="34"/>
  <c r="V818" i="34"/>
  <c r="V817" i="34"/>
  <c r="V816" i="34"/>
  <c r="V820" i="34"/>
  <c r="V819" i="34"/>
  <c r="V798" i="34"/>
  <c r="V800" i="34"/>
  <c r="V799" i="34"/>
  <c r="V797" i="34"/>
  <c r="V796" i="34"/>
  <c r="V795" i="34"/>
  <c r="V794" i="34"/>
  <c r="V791" i="34"/>
  <c r="V793" i="34"/>
  <c r="V792" i="34"/>
  <c r="V790" i="34"/>
  <c r="V789" i="34"/>
  <c r="V784" i="34"/>
  <c r="V786" i="34"/>
  <c r="V788" i="34"/>
  <c r="V787" i="34"/>
  <c r="V782" i="34"/>
  <c r="V785" i="34"/>
  <c r="V783" i="34"/>
  <c r="V779" i="34"/>
  <c r="V781" i="34"/>
  <c r="V780" i="34"/>
  <c r="V434" i="34"/>
  <c r="V376" i="34"/>
  <c r="V424" i="34"/>
  <c r="V490" i="34"/>
  <c r="V487" i="34"/>
  <c r="V484" i="34"/>
  <c r="V481" i="34"/>
  <c r="V478" i="34"/>
  <c r="V475" i="34"/>
  <c r="V472" i="34"/>
  <c r="V469" i="34"/>
  <c r="V465" i="34"/>
  <c r="V462" i="34"/>
  <c r="V458" i="34"/>
  <c r="V453" i="34"/>
  <c r="V449" i="34"/>
  <c r="V446" i="34"/>
  <c r="V443" i="34"/>
  <c r="V440" i="34"/>
  <c r="V437" i="34"/>
  <c r="V433" i="34"/>
  <c r="V430" i="34"/>
  <c r="V427" i="34"/>
  <c r="V421" i="34"/>
  <c r="V418" i="34"/>
  <c r="V414" i="34"/>
  <c r="V416" i="34"/>
  <c r="V410" i="34"/>
  <c r="V406" i="34"/>
  <c r="V399" i="34"/>
  <c r="V396" i="34"/>
  <c r="V387" i="34"/>
  <c r="V381" i="34"/>
  <c r="V375" i="34"/>
  <c r="V372" i="34"/>
  <c r="V368" i="34"/>
  <c r="V365" i="34"/>
  <c r="V359" i="34"/>
  <c r="V355" i="34"/>
  <c r="V351" i="34"/>
  <c r="V347" i="34"/>
  <c r="V341" i="34"/>
  <c r="V332" i="34"/>
  <c r="V327" i="34"/>
  <c r="V323" i="34"/>
  <c r="V318" i="34"/>
  <c r="V313" i="34"/>
  <c r="V306" i="34"/>
  <c r="V300" i="34"/>
  <c r="V13" i="34"/>
  <c r="V14" i="34"/>
  <c r="V18" i="34"/>
  <c r="V64" i="34"/>
  <c r="V68" i="34"/>
  <c r="V11" i="34"/>
  <c r="V15" i="34"/>
  <c r="V19" i="34"/>
  <c r="V65" i="34"/>
  <c r="V69" i="34"/>
  <c r="V12" i="34"/>
  <c r="V16" i="34"/>
  <c r="V20" i="34"/>
  <c r="V66" i="34"/>
  <c r="V70" i="34"/>
  <c r="V17" i="34"/>
  <c r="V21" i="34"/>
  <c r="V62" i="34"/>
  <c r="V67" i="34"/>
  <c r="V71" i="34"/>
  <c r="V75" i="34"/>
  <c r="V79" i="34"/>
  <c r="V84" i="34"/>
  <c r="V88" i="34"/>
  <c r="V92" i="34"/>
  <c r="V96" i="34"/>
  <c r="V100" i="34"/>
  <c r="V105" i="34"/>
  <c r="V109" i="34"/>
  <c r="V113" i="34"/>
  <c r="V118" i="34"/>
  <c r="V119" i="34"/>
  <c r="V123" i="34"/>
  <c r="V127" i="34"/>
  <c r="V131" i="34"/>
  <c r="V135" i="34"/>
  <c r="V139" i="34"/>
  <c r="V143" i="34"/>
  <c r="V147" i="34"/>
  <c r="V151" i="34"/>
  <c r="V157" i="34"/>
  <c r="V161" i="34"/>
  <c r="V165" i="34"/>
  <c r="V171" i="34"/>
  <c r="V175" i="34"/>
  <c r="V179" i="34"/>
  <c r="V183" i="34"/>
  <c r="V187" i="34"/>
  <c r="V191" i="34"/>
  <c r="V195" i="34"/>
  <c r="V199" i="34"/>
  <c r="V205" i="34"/>
  <c r="V209" i="34"/>
  <c r="V213" i="34"/>
  <c r="V217" i="34"/>
  <c r="V221" i="34"/>
  <c r="V225" i="34"/>
  <c r="V229" i="34"/>
  <c r="V233" i="34"/>
  <c r="V237" i="34"/>
  <c r="V241" i="34"/>
  <c r="V246" i="34"/>
  <c r="V250" i="34"/>
  <c r="V254" i="34"/>
  <c r="V258" i="34"/>
  <c r="V262" i="34"/>
  <c r="V267" i="34"/>
  <c r="V271" i="34"/>
  <c r="V278" i="34"/>
  <c r="V282" i="34"/>
  <c r="V286" i="34"/>
  <c r="V291" i="34"/>
  <c r="V295" i="34"/>
  <c r="V299" i="34"/>
  <c r="V304" i="34"/>
  <c r="V309" i="34"/>
  <c r="V314" i="34"/>
  <c r="V319" i="34"/>
  <c r="V324" i="34"/>
  <c r="V329" i="34"/>
  <c r="V334" i="34"/>
  <c r="V338" i="34"/>
  <c r="V343" i="34"/>
  <c r="V348" i="34"/>
  <c r="V353" i="34"/>
  <c r="V358" i="34"/>
  <c r="V363" i="34"/>
  <c r="V369" i="34"/>
  <c r="V374" i="34"/>
  <c r="V380" i="34"/>
  <c r="V385" i="34"/>
  <c r="V390" i="34"/>
  <c r="V394" i="34"/>
  <c r="V400" i="34"/>
  <c r="V404" i="34"/>
  <c r="V409" i="34"/>
  <c r="V74" i="34"/>
  <c r="V78" i="34"/>
  <c r="V82" i="34"/>
  <c r="V83" i="34"/>
  <c r="V87" i="34"/>
  <c r="V91" i="34"/>
  <c r="V95" i="34"/>
  <c r="V99" i="34"/>
  <c r="V104" i="34"/>
  <c r="V108" i="34"/>
  <c r="V112" i="34"/>
  <c r="V117" i="34"/>
  <c r="V122" i="34"/>
  <c r="V126" i="34"/>
  <c r="V130" i="34"/>
  <c r="V134" i="34"/>
  <c r="V138" i="34"/>
  <c r="V142" i="34"/>
  <c r="V146" i="34"/>
  <c r="V150" i="34"/>
  <c r="V156" i="34"/>
  <c r="V160" i="34"/>
  <c r="V164" i="34"/>
  <c r="V170" i="34"/>
  <c r="V174" i="34"/>
  <c r="V178" i="34"/>
  <c r="V182" i="34"/>
  <c r="V186" i="34"/>
  <c r="V190" i="34"/>
  <c r="V194" i="34"/>
  <c r="V198" i="34"/>
  <c r="V204" i="34"/>
  <c r="V208" i="34"/>
  <c r="V212" i="34"/>
  <c r="V216" i="34"/>
  <c r="V220" i="34"/>
  <c r="V224" i="34"/>
  <c r="V228" i="34"/>
  <c r="V232" i="34"/>
  <c r="V236" i="34"/>
  <c r="V240" i="34"/>
  <c r="V245" i="34"/>
  <c r="V249" i="34"/>
  <c r="V253" i="34"/>
  <c r="V257" i="34"/>
  <c r="V261" i="34"/>
  <c r="V265" i="34"/>
  <c r="V266" i="34"/>
  <c r="V270" i="34"/>
  <c r="V277" i="34"/>
  <c r="V281" i="34"/>
  <c r="V285" i="34"/>
  <c r="V290" i="34"/>
  <c r="V294" i="34"/>
  <c r="V298" i="34"/>
  <c r="V303" i="34"/>
  <c r="V308" i="34"/>
  <c r="V312" i="34"/>
  <c r="V317" i="34"/>
  <c r="V322" i="34"/>
  <c r="V328" i="34"/>
  <c r="V333" i="34"/>
  <c r="V337" i="34"/>
  <c r="V342" i="34"/>
  <c r="V346" i="34"/>
  <c r="V352" i="34"/>
  <c r="V357" i="34"/>
  <c r="V362" i="34"/>
  <c r="V367" i="34"/>
  <c r="V373" i="34"/>
  <c r="V379" i="34"/>
  <c r="V384" i="34"/>
  <c r="V389" i="34"/>
  <c r="V393" i="34"/>
  <c r="V398" i="34"/>
  <c r="V403" i="34"/>
  <c r="V408" i="34"/>
  <c r="V73" i="34"/>
  <c r="V77" i="34"/>
  <c r="V81" i="34"/>
  <c r="V86" i="34"/>
  <c r="V90" i="34"/>
  <c r="V94" i="34"/>
  <c r="V98" i="34"/>
  <c r="V102" i="34"/>
  <c r="V103" i="34"/>
  <c r="V107" i="34"/>
  <c r="V111" i="34"/>
  <c r="V115" i="34"/>
  <c r="V116" i="34"/>
  <c r="V121" i="34"/>
  <c r="V125" i="34"/>
  <c r="V129" i="34"/>
  <c r="V133" i="34"/>
  <c r="V137" i="34"/>
  <c r="V141" i="34"/>
  <c r="V145" i="34"/>
  <c r="V149" i="34"/>
  <c r="V155" i="34"/>
  <c r="V159" i="34"/>
  <c r="V163" i="34"/>
  <c r="V169" i="34"/>
  <c r="V173" i="34"/>
  <c r="V177" i="34"/>
  <c r="V181" i="34"/>
  <c r="V185" i="34"/>
  <c r="V189" i="34"/>
  <c r="V193" i="34"/>
  <c r="V197" i="34"/>
  <c r="V203" i="34"/>
  <c r="V207" i="34"/>
  <c r="V211" i="34"/>
  <c r="V215" i="34"/>
  <c r="V219" i="34"/>
  <c r="V223" i="34"/>
  <c r="V227" i="34"/>
  <c r="V231" i="34"/>
  <c r="V235" i="34"/>
  <c r="V239" i="34"/>
  <c r="V244" i="34"/>
  <c r="V248" i="34"/>
  <c r="V252" i="34"/>
  <c r="V256" i="34"/>
  <c r="V260" i="34"/>
  <c r="V264" i="34"/>
  <c r="V269" i="34"/>
  <c r="V273" i="34"/>
  <c r="V274" i="34"/>
  <c r="V275" i="34"/>
  <c r="V276" i="34"/>
  <c r="V280" i="34"/>
  <c r="V284" i="34"/>
  <c r="V289" i="34"/>
  <c r="V293" i="34"/>
  <c r="V297" i="34"/>
  <c r="V302" i="34"/>
  <c r="V307" i="34"/>
  <c r="V311" i="34"/>
  <c r="V316" i="34"/>
  <c r="V321" i="34"/>
  <c r="V326" i="34"/>
  <c r="V331" i="34"/>
  <c r="V336" i="34"/>
  <c r="V340" i="34"/>
  <c r="V345" i="34"/>
  <c r="V350" i="34"/>
  <c r="V356" i="34"/>
  <c r="V361" i="34"/>
  <c r="V366" i="34"/>
  <c r="V371" i="34"/>
  <c r="V378" i="34"/>
  <c r="V383" i="34"/>
  <c r="V388" i="34"/>
  <c r="V392" i="34"/>
  <c r="V397" i="34"/>
  <c r="V402" i="34"/>
  <c r="V407" i="34"/>
  <c r="V72" i="34"/>
  <c r="V76" i="34"/>
  <c r="V80" i="34"/>
  <c r="V85" i="34"/>
  <c r="V89" i="34"/>
  <c r="V93" i="34"/>
  <c r="V97" i="34"/>
  <c r="V101" i="34"/>
  <c r="V106" i="34"/>
  <c r="V110" i="34"/>
  <c r="V114" i="34"/>
  <c r="V120" i="34"/>
  <c r="V124" i="34"/>
  <c r="V128" i="34"/>
  <c r="V132" i="34"/>
  <c r="V136" i="34"/>
  <c r="V140" i="34"/>
  <c r="V144" i="34"/>
  <c r="V148" i="34"/>
  <c r="V152" i="34"/>
  <c r="V153" i="34"/>
  <c r="V154" i="34"/>
  <c r="V158" i="34"/>
  <c r="V162" i="34"/>
  <c r="V166" i="34"/>
  <c r="V167" i="34"/>
  <c r="V168" i="34"/>
  <c r="V172" i="34"/>
  <c r="V176" i="34"/>
  <c r="V180" i="34"/>
  <c r="V184" i="34"/>
  <c r="V188" i="34"/>
  <c r="V192" i="34"/>
  <c r="V196" i="34"/>
  <c r="V200" i="34"/>
  <c r="V201" i="34"/>
  <c r="V202" i="34"/>
  <c r="V206" i="34"/>
  <c r="V210" i="34"/>
  <c r="V214" i="34"/>
  <c r="V218" i="34"/>
  <c r="V222" i="34"/>
  <c r="V226" i="34"/>
  <c r="V230" i="34"/>
  <c r="V234" i="34"/>
  <c r="V238" i="34"/>
  <c r="V242" i="34"/>
  <c r="V243" i="34"/>
  <c r="V247" i="34"/>
  <c r="V251" i="34"/>
  <c r="V255" i="34"/>
  <c r="V259" i="34"/>
  <c r="V263" i="34"/>
  <c r="V268" i="34"/>
  <c r="V272" i="34"/>
  <c r="V279" i="34"/>
  <c r="V283" i="34"/>
  <c r="V288" i="34"/>
  <c r="V292" i="34"/>
  <c r="V296" i="34"/>
  <c r="V301" i="34"/>
  <c r="V305" i="34"/>
  <c r="V310" i="34"/>
  <c r="V315" i="34"/>
  <c r="V320" i="34"/>
  <c r="V325" i="34"/>
  <c r="V330" i="34"/>
  <c r="V335" i="34"/>
  <c r="V339" i="34"/>
  <c r="V344" i="34"/>
  <c r="V349" i="34"/>
  <c r="V354" i="34"/>
  <c r="V360" i="34"/>
  <c r="V364" i="34"/>
  <c r="V370" i="34"/>
  <c r="V377" i="34"/>
  <c r="V382" i="34"/>
  <c r="V386" i="34"/>
  <c r="V391" i="34"/>
  <c r="V395" i="34"/>
  <c r="V401" i="34"/>
  <c r="V405" i="34"/>
  <c r="V411" i="34"/>
  <c r="V413" i="34"/>
  <c r="V419" i="34"/>
  <c r="V425" i="34"/>
  <c r="V431" i="34"/>
  <c r="V438" i="34"/>
  <c r="V444" i="34"/>
  <c r="V450" i="34"/>
  <c r="V455" i="34"/>
  <c r="V460" i="34"/>
  <c r="V466" i="34"/>
  <c r="V471" i="34"/>
  <c r="V477" i="34"/>
  <c r="V483" i="34"/>
  <c r="V489" i="34"/>
  <c r="V494" i="34"/>
  <c r="V498" i="34"/>
  <c r="V502" i="34"/>
  <c r="V506" i="34"/>
  <c r="V510" i="34"/>
  <c r="V514" i="34"/>
  <c r="V518" i="34"/>
  <c r="V522" i="34"/>
  <c r="V526" i="34"/>
  <c r="V530" i="34"/>
  <c r="V534" i="34"/>
  <c r="V538" i="34"/>
  <c r="V542" i="34"/>
  <c r="V546" i="34"/>
  <c r="V550" i="34"/>
  <c r="V554" i="34"/>
  <c r="V558" i="34"/>
  <c r="V562" i="34"/>
  <c r="V566" i="34"/>
  <c r="V570" i="34"/>
  <c r="V574" i="34"/>
  <c r="V578" i="34"/>
  <c r="V582" i="34"/>
  <c r="V586" i="34"/>
  <c r="V590" i="34"/>
  <c r="V596" i="34"/>
  <c r="V600" i="34"/>
  <c r="V604" i="34"/>
  <c r="V608" i="34"/>
  <c r="V612" i="34"/>
  <c r="V616" i="34"/>
  <c r="V617" i="34"/>
  <c r="V621" i="34"/>
  <c r="V625" i="34"/>
  <c r="V632" i="34"/>
  <c r="V636" i="34"/>
  <c r="V640" i="34"/>
  <c r="V644" i="34"/>
  <c r="V649" i="34"/>
  <c r="V653" i="34"/>
  <c r="V657" i="34"/>
  <c r="V661" i="34"/>
  <c r="V665" i="34"/>
  <c r="V669" i="34"/>
  <c r="V673" i="34"/>
  <c r="V677" i="34"/>
  <c r="V681" i="34"/>
  <c r="V685" i="34"/>
  <c r="V689" i="34"/>
  <c r="V693" i="34"/>
  <c r="V700" i="34"/>
  <c r="V704" i="34"/>
  <c r="V709" i="34"/>
  <c r="V713" i="34"/>
  <c r="V717" i="34"/>
  <c r="V725" i="34"/>
  <c r="V729" i="34"/>
  <c r="V733" i="34"/>
  <c r="V737" i="34"/>
  <c r="V743" i="34"/>
  <c r="V747" i="34"/>
  <c r="V752" i="34"/>
  <c r="V756" i="34"/>
  <c r="V412" i="34"/>
  <c r="V417" i="34"/>
  <c r="V423" i="34"/>
  <c r="V429" i="34"/>
  <c r="V436" i="34"/>
  <c r="V442" i="34"/>
  <c r="V448" i="34"/>
  <c r="V454" i="34"/>
  <c r="V459" i="34"/>
  <c r="V464" i="34"/>
  <c r="V470" i="34"/>
  <c r="V476" i="34"/>
  <c r="V482" i="34"/>
  <c r="V488" i="34"/>
  <c r="V493" i="34"/>
  <c r="V497" i="34"/>
  <c r="V501" i="34"/>
  <c r="V505" i="34"/>
  <c r="V509" i="34"/>
  <c r="V513" i="34"/>
  <c r="V517" i="34"/>
  <c r="V521" i="34"/>
  <c r="V525" i="34"/>
  <c r="V529" i="34"/>
  <c r="V533" i="34"/>
  <c r="V537" i="34"/>
  <c r="V541" i="34"/>
  <c r="V545" i="34"/>
  <c r="V549" i="34"/>
  <c r="V553" i="34"/>
  <c r="V557" i="34"/>
  <c r="V561" i="34"/>
  <c r="V565" i="34"/>
  <c r="V569" i="34"/>
  <c r="V573" i="34"/>
  <c r="V577" i="34"/>
  <c r="V581" i="34"/>
  <c r="V585" i="34"/>
  <c r="V589" i="34"/>
  <c r="V595" i="34"/>
  <c r="V599" i="34"/>
  <c r="V603" i="34"/>
  <c r="V607" i="34"/>
  <c r="V611" i="34"/>
  <c r="V615" i="34"/>
  <c r="V620" i="34"/>
  <c r="V624" i="34"/>
  <c r="V629" i="34"/>
  <c r="V630" i="34"/>
  <c r="V631" i="34"/>
  <c r="V635" i="34"/>
  <c r="V639" i="34"/>
  <c r="V643" i="34"/>
  <c r="V648" i="34"/>
  <c r="V652" i="34"/>
  <c r="V656" i="34"/>
  <c r="V660" i="34"/>
  <c r="V664" i="34"/>
  <c r="V668" i="34"/>
  <c r="V672" i="34"/>
  <c r="V676" i="34"/>
  <c r="V680" i="34"/>
  <c r="V684" i="34"/>
  <c r="V688" i="34"/>
  <c r="V692" i="34"/>
  <c r="V697" i="34"/>
  <c r="V698" i="34"/>
  <c r="V699" i="34"/>
  <c r="V703" i="34"/>
  <c r="V708" i="34"/>
  <c r="V712" i="34"/>
  <c r="V716" i="34"/>
  <c r="V724" i="34"/>
  <c r="V728" i="34"/>
  <c r="V732" i="34"/>
  <c r="V736" i="34"/>
  <c r="V742" i="34"/>
  <c r="V746" i="34"/>
  <c r="V750" i="34"/>
  <c r="V751" i="34"/>
  <c r="V755" i="34"/>
  <c r="V422" i="34"/>
  <c r="V428" i="34"/>
  <c r="V435" i="34"/>
  <c r="V441" i="34"/>
  <c r="V447" i="34"/>
  <c r="V452" i="34"/>
  <c r="V457" i="34"/>
  <c r="V463" i="34"/>
  <c r="V468" i="34"/>
  <c r="V474" i="34"/>
  <c r="V480" i="34"/>
  <c r="V486" i="34"/>
  <c r="V492" i="34"/>
  <c r="V496" i="34"/>
  <c r="V500" i="34"/>
  <c r="V504" i="34"/>
  <c r="V508" i="34"/>
  <c r="V512" i="34"/>
  <c r="V516" i="34"/>
  <c r="V520" i="34"/>
  <c r="V524" i="34"/>
  <c r="V528" i="34"/>
  <c r="V532" i="34"/>
  <c r="V536" i="34"/>
  <c r="V540" i="34"/>
  <c r="V544" i="34"/>
  <c r="V548" i="34"/>
  <c r="V552" i="34"/>
  <c r="V556" i="34"/>
  <c r="V560" i="34"/>
  <c r="V564" i="34"/>
  <c r="V568" i="34"/>
  <c r="V572" i="34"/>
  <c r="V576" i="34"/>
  <c r="V580" i="34"/>
  <c r="V584" i="34"/>
  <c r="V588" i="34"/>
  <c r="V592" i="34"/>
  <c r="V594" i="34"/>
  <c r="V598" i="34"/>
  <c r="V602" i="34"/>
  <c r="V606" i="34"/>
  <c r="V610" i="34"/>
  <c r="V614" i="34"/>
  <c r="V619" i="34"/>
  <c r="V623" i="34"/>
  <c r="V628" i="34"/>
  <c r="V634" i="34"/>
  <c r="V638" i="34"/>
  <c r="V642" i="34"/>
  <c r="V646" i="34"/>
  <c r="V647" i="34"/>
  <c r="V651" i="34"/>
  <c r="V655" i="34"/>
  <c r="V659" i="34"/>
  <c r="V663" i="34"/>
  <c r="V667" i="34"/>
  <c r="V671" i="34"/>
  <c r="V675" i="34"/>
  <c r="V679" i="34"/>
  <c r="V683" i="34"/>
  <c r="V687" i="34"/>
  <c r="V691" i="34"/>
  <c r="V695" i="34"/>
  <c r="V696" i="34"/>
  <c r="V702" i="34"/>
  <c r="V707" i="34"/>
  <c r="V711" i="34"/>
  <c r="V715" i="34"/>
  <c r="V719" i="34"/>
  <c r="V720" i="34"/>
  <c r="V721" i="34"/>
  <c r="V722" i="34"/>
  <c r="V723" i="34"/>
  <c r="V727" i="34"/>
  <c r="V731" i="34"/>
  <c r="V735" i="34"/>
  <c r="V739" i="34"/>
  <c r="V740" i="34"/>
  <c r="V741" i="34"/>
  <c r="V745" i="34"/>
  <c r="V749" i="34"/>
  <c r="V754" i="34"/>
  <c r="V758" i="34"/>
  <c r="V415" i="34"/>
  <c r="V420" i="34"/>
  <c r="V426" i="34"/>
  <c r="V432" i="34"/>
  <c r="V439" i="34"/>
  <c r="V445" i="34"/>
  <c r="V451" i="34"/>
  <c r="V456" i="34"/>
  <c r="V461" i="34"/>
  <c r="V467" i="34"/>
  <c r="V473" i="34"/>
  <c r="V479" i="34"/>
  <c r="V485" i="34"/>
  <c r="V491" i="34"/>
  <c r="V495" i="34"/>
  <c r="V499" i="34"/>
  <c r="V503" i="34"/>
  <c r="V507" i="34"/>
  <c r="V511" i="34"/>
  <c r="V515" i="34"/>
  <c r="V519" i="34"/>
  <c r="V523" i="34"/>
  <c r="V527" i="34"/>
  <c r="V531" i="34"/>
  <c r="V535" i="34"/>
  <c r="V539" i="34"/>
  <c r="V543" i="34"/>
  <c r="V547" i="34"/>
  <c r="V551" i="34"/>
  <c r="V555" i="34"/>
  <c r="V559" i="34"/>
  <c r="V563" i="34"/>
  <c r="V567" i="34"/>
  <c r="V571" i="34"/>
  <c r="V575" i="34"/>
  <c r="V579" i="34"/>
  <c r="V583" i="34"/>
  <c r="V587" i="34"/>
  <c r="V591" i="34"/>
  <c r="V593" i="34"/>
  <c r="V597" i="34"/>
  <c r="V601" i="34"/>
  <c r="V605" i="34"/>
  <c r="V609" i="34"/>
  <c r="V613" i="34"/>
  <c r="V618" i="34"/>
  <c r="V622" i="34"/>
  <c r="V626" i="34"/>
  <c r="V627" i="34"/>
  <c r="V633" i="34"/>
  <c r="V637" i="34"/>
  <c r="V641" i="34"/>
  <c r="V645" i="34"/>
  <c r="V650" i="34"/>
  <c r="V654" i="34"/>
  <c r="V658" i="34"/>
  <c r="V662" i="34"/>
  <c r="V666" i="34"/>
  <c r="V670" i="34"/>
  <c r="V674" i="34"/>
  <c r="V678" i="34"/>
  <c r="V682" i="34"/>
  <c r="V686" i="34"/>
  <c r="V690" i="34"/>
  <c r="V694" i="34"/>
  <c r="V701" i="34"/>
  <c r="V705" i="34"/>
  <c r="V706" i="34"/>
  <c r="V710" i="34"/>
  <c r="V714" i="34"/>
  <c r="V718" i="34"/>
  <c r="V726" i="34"/>
  <c r="V730" i="34"/>
  <c r="V734" i="34"/>
  <c r="V738" i="34"/>
  <c r="V744" i="34"/>
  <c r="V748" i="34"/>
  <c r="V753" i="34"/>
  <c r="V757" i="34"/>
  <c r="V762" i="34"/>
  <c r="V766" i="34"/>
  <c r="V770" i="34"/>
  <c r="V774" i="34"/>
  <c r="V778" i="34"/>
  <c r="V805" i="34"/>
  <c r="V809" i="34"/>
  <c r="V813" i="34"/>
  <c r="V822" i="34"/>
  <c r="V826" i="34"/>
  <c r="V830" i="34"/>
  <c r="V834" i="34"/>
  <c r="V838" i="34"/>
  <c r="V842" i="34"/>
  <c r="V846" i="34"/>
  <c r="V850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976" i="34"/>
  <c r="V980" i="34"/>
  <c r="V984" i="34"/>
  <c r="V988" i="34"/>
  <c r="V992" i="34"/>
  <c r="V996" i="34"/>
  <c r="V1000" i="34"/>
  <c r="V1004" i="34"/>
  <c r="V1008" i="34"/>
  <c r="V1012" i="34"/>
  <c r="V1016" i="34"/>
  <c r="V1020" i="34"/>
  <c r="V1024" i="34"/>
  <c r="V1028" i="34"/>
  <c r="V24" i="34"/>
  <c r="V28" i="34"/>
  <c r="V32" i="34"/>
  <c r="V36" i="34"/>
  <c r="V40" i="34"/>
  <c r="V44" i="34"/>
  <c r="V48" i="34"/>
  <c r="V52" i="34"/>
  <c r="V56" i="34"/>
  <c r="V60" i="34"/>
  <c r="V1032" i="34"/>
  <c r="V1036" i="34"/>
  <c r="V1040" i="34"/>
  <c r="V1044" i="34"/>
  <c r="V1048" i="34"/>
  <c r="V1052" i="34"/>
  <c r="V1056" i="34"/>
  <c r="V1060" i="34"/>
  <c r="V1066" i="34"/>
  <c r="V1070" i="34"/>
  <c r="V1074" i="34"/>
  <c r="V1078" i="34"/>
  <c r="V1082" i="34"/>
  <c r="V761" i="34"/>
  <c r="V765" i="34"/>
  <c r="V769" i="34"/>
  <c r="V773" i="34"/>
  <c r="V777" i="34"/>
  <c r="V804" i="34"/>
  <c r="V808" i="34"/>
  <c r="V812" i="34"/>
  <c r="V821" i="34"/>
  <c r="V825" i="34"/>
  <c r="V829" i="34"/>
  <c r="V833" i="34"/>
  <c r="V837" i="34"/>
  <c r="V841" i="34"/>
  <c r="V845" i="34"/>
  <c r="V849" i="34"/>
  <c r="V851" i="34"/>
  <c r="V855" i="34"/>
  <c r="V859" i="34"/>
  <c r="V863" i="34"/>
  <c r="V867" i="34"/>
  <c r="V871" i="34"/>
  <c r="V875" i="34"/>
  <c r="V879" i="34"/>
  <c r="V883" i="34"/>
  <c r="V887" i="34"/>
  <c r="V891" i="34"/>
  <c r="V895" i="34"/>
  <c r="V899" i="34"/>
  <c r="V903" i="34"/>
  <c r="V907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975" i="34"/>
  <c r="V979" i="34"/>
  <c r="V983" i="34"/>
  <c r="V987" i="34"/>
  <c r="V991" i="34"/>
  <c r="V995" i="34"/>
  <c r="V999" i="34"/>
  <c r="V1003" i="34"/>
  <c r="V1007" i="34"/>
  <c r="V1011" i="34"/>
  <c r="V1015" i="34"/>
  <c r="V1019" i="34"/>
  <c r="V1023" i="34"/>
  <c r="V1027" i="34"/>
  <c r="V23" i="34"/>
  <c r="V27" i="34"/>
  <c r="V31" i="34"/>
  <c r="V35" i="34"/>
  <c r="V39" i="34"/>
  <c r="V43" i="34"/>
  <c r="V47" i="34"/>
  <c r="V51" i="34"/>
  <c r="V55" i="34"/>
  <c r="V59" i="34"/>
  <c r="V1031" i="34"/>
  <c r="V1035" i="34"/>
  <c r="V1039" i="34"/>
  <c r="V1043" i="34"/>
  <c r="V1047" i="34"/>
  <c r="V1051" i="34"/>
  <c r="V1055" i="34"/>
  <c r="V1059" i="34"/>
  <c r="V1065" i="34"/>
  <c r="V1069" i="34"/>
  <c r="V1073" i="34"/>
  <c r="V1077" i="34"/>
  <c r="V1081" i="34"/>
  <c r="V1085" i="34"/>
  <c r="V760" i="34"/>
  <c r="V764" i="34"/>
  <c r="V768" i="34"/>
  <c r="V772" i="34"/>
  <c r="V776" i="34"/>
  <c r="V802" i="34"/>
  <c r="V803" i="34"/>
  <c r="V807" i="34"/>
  <c r="V811" i="34"/>
  <c r="V815" i="34"/>
  <c r="V824" i="34"/>
  <c r="V828" i="34"/>
  <c r="V832" i="34"/>
  <c r="V836" i="34"/>
  <c r="V840" i="34"/>
  <c r="V844" i="34"/>
  <c r="V848" i="34"/>
  <c r="V854" i="34"/>
  <c r="V858" i="34"/>
  <c r="V862" i="34"/>
  <c r="V866" i="34"/>
  <c r="V870" i="34"/>
  <c r="V874" i="34"/>
  <c r="V878" i="34"/>
  <c r="V882" i="34"/>
  <c r="V886" i="34"/>
  <c r="V890" i="34"/>
  <c r="V894" i="34"/>
  <c r="V898" i="34"/>
  <c r="V902" i="34"/>
  <c r="V906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8" i="34"/>
  <c r="V982" i="34"/>
  <c r="V986" i="34"/>
  <c r="V990" i="34"/>
  <c r="V994" i="34"/>
  <c r="V998" i="34"/>
  <c r="V1002" i="34"/>
  <c r="V1006" i="34"/>
  <c r="V1010" i="34"/>
  <c r="V1014" i="34"/>
  <c r="V1018" i="34"/>
  <c r="V1022" i="34"/>
  <c r="V1026" i="34"/>
  <c r="V22" i="34"/>
  <c r="V26" i="34"/>
  <c r="V30" i="34"/>
  <c r="V34" i="34"/>
  <c r="V38" i="34"/>
  <c r="V42" i="34"/>
  <c r="V46" i="34"/>
  <c r="V50" i="34"/>
  <c r="V54" i="34"/>
  <c r="V58" i="34"/>
  <c r="V1030" i="34"/>
  <c r="V1034" i="34"/>
  <c r="V1038" i="34"/>
  <c r="V1042" i="34"/>
  <c r="V1046" i="34"/>
  <c r="V1050" i="34"/>
  <c r="V1054" i="34"/>
  <c r="V1058" i="34"/>
  <c r="V1062" i="34"/>
  <c r="V1064" i="34"/>
  <c r="V1068" i="34"/>
  <c r="V1072" i="34"/>
  <c r="V1076" i="34"/>
  <c r="V1080" i="34"/>
  <c r="V1084" i="34"/>
  <c r="V759" i="34"/>
  <c r="V763" i="34"/>
  <c r="V767" i="34"/>
  <c r="V771" i="34"/>
  <c r="V775" i="34"/>
  <c r="V801" i="34"/>
  <c r="V806" i="34"/>
  <c r="V810" i="34"/>
  <c r="V814" i="34"/>
  <c r="V823" i="34"/>
  <c r="V827" i="34"/>
  <c r="V831" i="34"/>
  <c r="V835" i="34"/>
  <c r="V839" i="34"/>
  <c r="V843" i="34"/>
  <c r="V847" i="34"/>
  <c r="V853" i="34"/>
  <c r="V857" i="34"/>
  <c r="V861" i="34"/>
  <c r="V865" i="34"/>
  <c r="V869" i="34"/>
  <c r="V873" i="34"/>
  <c r="V877" i="34"/>
  <c r="V881" i="34"/>
  <c r="V885" i="34"/>
  <c r="V889" i="34"/>
  <c r="V893" i="34"/>
  <c r="V897" i="34"/>
  <c r="V901" i="34"/>
  <c r="V905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977" i="34"/>
  <c r="V981" i="34"/>
  <c r="V985" i="34"/>
  <c r="V989" i="34"/>
  <c r="V993" i="34"/>
  <c r="V997" i="34"/>
  <c r="V1001" i="34"/>
  <c r="V1005" i="34"/>
  <c r="V1009" i="34"/>
  <c r="V1013" i="34"/>
  <c r="V1017" i="34"/>
  <c r="V1021" i="34"/>
  <c r="V1025" i="34"/>
  <c r="V1029" i="34"/>
  <c r="V25" i="34"/>
  <c r="V29" i="34"/>
  <c r="V33" i="34"/>
  <c r="V37" i="34"/>
  <c r="V41" i="34"/>
  <c r="V45" i="34"/>
  <c r="V49" i="34"/>
  <c r="V53" i="34"/>
  <c r="V57" i="34"/>
  <c r="V61" i="34"/>
  <c r="V1033" i="34"/>
  <c r="V1037" i="34"/>
  <c r="V1041" i="34"/>
  <c r="V1045" i="34"/>
  <c r="V1049" i="34"/>
  <c r="V1053" i="34"/>
  <c r="V1057" i="34"/>
  <c r="V1061" i="34"/>
  <c r="V1063" i="34"/>
  <c r="V1067" i="34"/>
  <c r="V1071" i="34"/>
  <c r="V1075" i="34"/>
  <c r="V1079" i="34"/>
  <c r="V1083" i="34"/>
  <c r="V1088" i="34"/>
  <c r="V1092" i="34"/>
  <c r="V1096" i="34"/>
  <c r="V1097" i="34"/>
  <c r="V1098" i="34"/>
  <c r="V1099" i="34"/>
  <c r="V1100" i="34"/>
  <c r="V1101" i="34"/>
  <c r="V1102" i="34"/>
  <c r="V1103" i="34"/>
  <c r="V1107" i="34"/>
  <c r="V1111" i="34"/>
  <c r="V1117" i="34"/>
  <c r="V1121" i="34"/>
  <c r="V1125" i="34"/>
  <c r="V1129" i="34"/>
  <c r="V1133" i="34"/>
  <c r="V1137" i="34"/>
  <c r="V1141" i="34"/>
  <c r="V1145" i="34"/>
  <c r="V1149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6" i="34"/>
  <c r="V1290" i="34"/>
  <c r="V1294" i="34"/>
  <c r="V1298" i="34"/>
  <c r="V1302" i="34"/>
  <c r="V1306" i="34"/>
  <c r="V1310" i="34"/>
  <c r="V1314" i="34"/>
  <c r="V1318" i="34"/>
  <c r="V1322" i="34"/>
  <c r="V1326" i="34"/>
  <c r="V1330" i="34"/>
  <c r="V1334" i="34"/>
  <c r="V1338" i="34"/>
  <c r="V1342" i="34"/>
  <c r="V1346" i="34"/>
  <c r="V1350" i="34"/>
  <c r="V1354" i="34"/>
  <c r="V1355" i="34"/>
  <c r="V1359" i="34"/>
  <c r="V1363" i="34"/>
  <c r="V1367" i="34"/>
  <c r="V1371" i="34"/>
  <c r="V1375" i="34"/>
  <c r="V1379" i="34"/>
  <c r="V1380" i="34"/>
  <c r="V1384" i="34"/>
  <c r="V1388" i="34"/>
  <c r="V1392" i="34"/>
  <c r="V1396" i="34"/>
  <c r="V1400" i="34"/>
  <c r="V1087" i="34"/>
  <c r="V1091" i="34"/>
  <c r="V1095" i="34"/>
  <c r="V1106" i="34"/>
  <c r="V1110" i="34"/>
  <c r="V1116" i="34"/>
  <c r="V1120" i="34"/>
  <c r="V1124" i="34"/>
  <c r="V1128" i="34"/>
  <c r="V1132" i="34"/>
  <c r="V1136" i="34"/>
  <c r="V1140" i="34"/>
  <c r="V1144" i="34"/>
  <c r="V1148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5" i="34"/>
  <c r="V1289" i="34"/>
  <c r="V1293" i="34"/>
  <c r="V1297" i="34"/>
  <c r="V1301" i="34"/>
  <c r="V1305" i="34"/>
  <c r="V1309" i="34"/>
  <c r="V1313" i="34"/>
  <c r="V1317" i="34"/>
  <c r="V1321" i="34"/>
  <c r="V1325" i="34"/>
  <c r="V1329" i="34"/>
  <c r="V1333" i="34"/>
  <c r="V1337" i="34"/>
  <c r="V1341" i="34"/>
  <c r="V1345" i="34"/>
  <c r="V1349" i="34"/>
  <c r="V1353" i="34"/>
  <c r="V1358" i="34"/>
  <c r="V1362" i="34"/>
  <c r="V1366" i="34"/>
  <c r="V1370" i="34"/>
  <c r="V1374" i="34"/>
  <c r="V1378" i="34"/>
  <c r="V1383" i="34"/>
  <c r="V1387" i="34"/>
  <c r="V1391" i="34"/>
  <c r="V1395" i="34"/>
  <c r="V1086" i="34"/>
  <c r="V1090" i="34"/>
  <c r="V1094" i="34"/>
  <c r="V1105" i="34"/>
  <c r="V1109" i="34"/>
  <c r="V1113" i="34"/>
  <c r="V1114" i="34"/>
  <c r="V1115" i="34"/>
  <c r="V1119" i="34"/>
  <c r="V1123" i="34"/>
  <c r="V1127" i="34"/>
  <c r="V1131" i="34"/>
  <c r="V1135" i="34"/>
  <c r="V1139" i="34"/>
  <c r="V1143" i="34"/>
  <c r="V1147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4" i="34"/>
  <c r="V1288" i="34"/>
  <c r="V1292" i="34"/>
  <c r="V1296" i="34"/>
  <c r="V1300" i="34"/>
  <c r="V1304" i="34"/>
  <c r="V1308" i="34"/>
  <c r="V1312" i="34"/>
  <c r="V1316" i="34"/>
  <c r="V1320" i="34"/>
  <c r="V1324" i="34"/>
  <c r="V1328" i="34"/>
  <c r="V1332" i="34"/>
  <c r="V1336" i="34"/>
  <c r="V1340" i="34"/>
  <c r="V1344" i="34"/>
  <c r="V1348" i="34"/>
  <c r="V1352" i="34"/>
  <c r="V1357" i="34"/>
  <c r="V1361" i="34"/>
  <c r="V1365" i="34"/>
  <c r="V1369" i="34"/>
  <c r="V1373" i="34"/>
  <c r="V1377" i="34"/>
  <c r="V1382" i="34"/>
  <c r="V1386" i="34"/>
  <c r="V1390" i="34"/>
  <c r="V1394" i="34"/>
  <c r="V1398" i="34"/>
  <c r="V1089" i="34"/>
  <c r="V1093" i="34"/>
  <c r="V1104" i="34"/>
  <c r="V1108" i="34"/>
  <c r="V1112" i="34"/>
  <c r="V1118" i="34"/>
  <c r="V1122" i="34"/>
  <c r="V1126" i="34"/>
  <c r="V1130" i="34"/>
  <c r="V1134" i="34"/>
  <c r="V1138" i="34"/>
  <c r="V1142" i="34"/>
  <c r="V1146" i="34"/>
  <c r="V1150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3" i="34"/>
  <c r="V1287" i="34"/>
  <c r="V1291" i="34"/>
  <c r="V1295" i="34"/>
  <c r="V1299" i="34"/>
  <c r="V1303" i="34"/>
  <c r="V1307" i="34"/>
  <c r="V1311" i="34"/>
  <c r="V1315" i="34"/>
  <c r="V1319" i="34"/>
  <c r="V1323" i="34"/>
  <c r="V1327" i="34"/>
  <c r="V1331" i="34"/>
  <c r="V1335" i="34"/>
  <c r="V1339" i="34"/>
  <c r="V1343" i="34"/>
  <c r="V1347" i="34"/>
  <c r="V1351" i="34"/>
  <c r="V1356" i="34"/>
  <c r="V1360" i="34"/>
  <c r="V1364" i="34"/>
  <c r="V1368" i="34"/>
  <c r="V1372" i="34"/>
  <c r="V1376" i="34"/>
  <c r="V1381" i="34"/>
  <c r="V1385" i="34"/>
  <c r="V1389" i="34"/>
  <c r="V1393" i="34"/>
  <c r="V1397" i="34"/>
  <c r="V1399" i="34"/>
  <c r="V1402" i="34"/>
  <c r="V1411" i="34"/>
  <c r="V1415" i="34"/>
  <c r="V1419" i="34"/>
  <c r="V1423" i="34"/>
  <c r="V1427" i="34"/>
  <c r="V1428" i="34"/>
  <c r="V1432" i="34"/>
  <c r="V1436" i="34"/>
  <c r="V1440" i="34"/>
  <c r="V1444" i="34"/>
  <c r="V1448" i="34"/>
  <c r="V1452" i="34"/>
  <c r="V1456" i="34"/>
  <c r="V1460" i="34"/>
  <c r="V1464" i="34"/>
  <c r="V1468" i="34"/>
  <c r="V1472" i="34"/>
  <c r="V1476" i="34"/>
  <c r="V1480" i="34"/>
  <c r="V1484" i="34"/>
  <c r="V1488" i="34"/>
  <c r="V1492" i="34"/>
  <c r="V1497" i="34"/>
  <c r="V1501" i="34"/>
  <c r="V1505" i="34"/>
  <c r="V1509" i="34"/>
  <c r="V1513" i="34"/>
  <c r="V1517" i="34"/>
  <c r="V1521" i="34"/>
  <c r="V1525" i="34"/>
  <c r="V1529" i="34"/>
  <c r="V1533" i="34"/>
  <c r="V1537" i="34"/>
  <c r="V1541" i="34"/>
  <c r="V1545" i="34"/>
  <c r="V1549" i="34"/>
  <c r="V1553" i="34"/>
  <c r="V1557" i="34"/>
  <c r="V1561" i="34"/>
  <c r="V1565" i="34"/>
  <c r="V1569" i="34"/>
  <c r="V1573" i="34"/>
  <c r="V1577" i="34"/>
  <c r="V1581" i="34"/>
  <c r="V1582" i="34"/>
  <c r="V1586" i="34"/>
  <c r="V1590" i="34"/>
  <c r="V1595" i="34"/>
  <c r="V1599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5" i="34"/>
  <c r="V1679" i="34"/>
  <c r="V1683" i="34"/>
  <c r="V1687" i="34"/>
  <c r="V1691" i="34"/>
  <c r="V1695" i="34"/>
  <c r="V1699" i="34"/>
  <c r="V1703" i="34"/>
  <c r="V1707" i="34"/>
  <c r="V1711" i="34"/>
  <c r="V1715" i="34"/>
  <c r="V1719" i="34"/>
  <c r="V1723" i="34"/>
  <c r="V1727" i="34"/>
  <c r="V1731" i="34"/>
  <c r="V1735" i="34"/>
  <c r="V1739" i="34"/>
  <c r="V1743" i="34"/>
  <c r="V1747" i="34"/>
  <c r="V1751" i="34"/>
  <c r="V1755" i="34"/>
  <c r="V1759" i="34"/>
  <c r="V1763" i="34"/>
  <c r="V1767" i="34"/>
  <c r="V1771" i="34"/>
  <c r="V1775" i="34"/>
  <c r="V1779" i="34"/>
  <c r="V1783" i="34"/>
  <c r="V1787" i="34"/>
  <c r="V1791" i="34"/>
  <c r="V1796" i="34"/>
  <c r="V1803" i="34"/>
  <c r="V1807" i="34"/>
  <c r="V1811" i="34"/>
  <c r="V1815" i="34"/>
  <c r="V1816" i="34"/>
  <c r="V1820" i="34"/>
  <c r="V1824" i="34"/>
  <c r="V1828" i="34"/>
  <c r="V1832" i="34"/>
  <c r="V1836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15" i="34"/>
  <c r="V1919" i="34"/>
  <c r="V1923" i="34"/>
  <c r="V1927" i="34"/>
  <c r="V1931" i="34"/>
  <c r="V1935" i="34"/>
  <c r="V1939" i="34"/>
  <c r="V1943" i="34"/>
  <c r="V1947" i="34"/>
  <c r="V1951" i="34"/>
  <c r="V1955" i="34"/>
  <c r="V1959" i="34"/>
  <c r="V1963" i="34"/>
  <c r="V1967" i="34"/>
  <c r="V1971" i="34"/>
  <c r="V1975" i="34"/>
  <c r="V1979" i="34"/>
  <c r="V1983" i="34"/>
  <c r="V1987" i="34"/>
  <c r="V1991" i="34"/>
  <c r="V1995" i="34"/>
  <c r="V1999" i="34"/>
  <c r="V2003" i="34"/>
  <c r="V2007" i="34"/>
  <c r="V2011" i="34"/>
  <c r="V2015" i="34"/>
  <c r="V2019" i="34"/>
  <c r="V2023" i="34"/>
  <c r="V2029" i="34"/>
  <c r="V2033" i="34"/>
  <c r="V1401" i="34"/>
  <c r="V1410" i="34"/>
  <c r="V1414" i="34"/>
  <c r="V1418" i="34"/>
  <c r="V1422" i="34"/>
  <c r="V1426" i="34"/>
  <c r="V1431" i="34"/>
  <c r="V1435" i="34"/>
  <c r="V1439" i="34"/>
  <c r="V1443" i="34"/>
  <c r="V1447" i="34"/>
  <c r="V1451" i="34"/>
  <c r="V1455" i="34"/>
  <c r="V1459" i="34"/>
  <c r="V1463" i="34"/>
  <c r="V1467" i="34"/>
  <c r="V1471" i="34"/>
  <c r="V1475" i="34"/>
  <c r="V1479" i="34"/>
  <c r="V1483" i="34"/>
  <c r="V1487" i="34"/>
  <c r="V1491" i="34"/>
  <c r="V1496" i="34"/>
  <c r="V1500" i="34"/>
  <c r="V1504" i="34"/>
  <c r="V1508" i="34"/>
  <c r="V1512" i="34"/>
  <c r="V1516" i="34"/>
  <c r="V1520" i="34"/>
  <c r="V1524" i="34"/>
  <c r="V1528" i="34"/>
  <c r="V1532" i="34"/>
  <c r="V1536" i="34"/>
  <c r="V1540" i="34"/>
  <c r="V1544" i="34"/>
  <c r="V1548" i="34"/>
  <c r="V1552" i="34"/>
  <c r="V1556" i="34"/>
  <c r="V1560" i="34"/>
  <c r="V1564" i="34"/>
  <c r="V1568" i="34"/>
  <c r="V1572" i="34"/>
  <c r="V1576" i="34"/>
  <c r="V1580" i="34"/>
  <c r="V1585" i="34"/>
  <c r="V1589" i="34"/>
  <c r="V1593" i="34"/>
  <c r="V1594" i="34"/>
  <c r="V1598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4" i="34"/>
  <c r="V1678" i="34"/>
  <c r="V1682" i="34"/>
  <c r="V1686" i="34"/>
  <c r="V1690" i="34"/>
  <c r="V1694" i="34"/>
  <c r="V1698" i="34"/>
  <c r="V1702" i="34"/>
  <c r="V1706" i="34"/>
  <c r="V1710" i="34"/>
  <c r="V1714" i="34"/>
  <c r="V1718" i="34"/>
  <c r="V1722" i="34"/>
  <c r="V1726" i="34"/>
  <c r="V1730" i="34"/>
  <c r="V1734" i="34"/>
  <c r="V1738" i="34"/>
  <c r="V1742" i="34"/>
  <c r="V1746" i="34"/>
  <c r="V1750" i="34"/>
  <c r="V1754" i="34"/>
  <c r="V1758" i="34"/>
  <c r="V1762" i="34"/>
  <c r="V1766" i="34"/>
  <c r="V1770" i="34"/>
  <c r="V1774" i="34"/>
  <c r="V1778" i="34"/>
  <c r="V1782" i="34"/>
  <c r="V1786" i="34"/>
  <c r="V1790" i="34"/>
  <c r="V1794" i="34"/>
  <c r="V1795" i="34"/>
  <c r="V1799" i="34"/>
  <c r="V1800" i="34"/>
  <c r="V1801" i="34"/>
  <c r="V1802" i="34"/>
  <c r="V1806" i="34"/>
  <c r="V1810" i="34"/>
  <c r="V1814" i="34"/>
  <c r="V1819" i="34"/>
  <c r="V1823" i="34"/>
  <c r="V1827" i="34"/>
  <c r="V1831" i="34"/>
  <c r="V1835" i="34"/>
  <c r="V1839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14" i="34"/>
  <c r="V1918" i="34"/>
  <c r="V1922" i="34"/>
  <c r="V1926" i="34"/>
  <c r="V1930" i="34"/>
  <c r="V1934" i="34"/>
  <c r="V1938" i="34"/>
  <c r="V1942" i="34"/>
  <c r="V1946" i="34"/>
  <c r="V1950" i="34"/>
  <c r="V1954" i="34"/>
  <c r="V1958" i="34"/>
  <c r="V1962" i="34"/>
  <c r="V1966" i="34"/>
  <c r="V1970" i="34"/>
  <c r="V1974" i="34"/>
  <c r="V1978" i="34"/>
  <c r="V1982" i="34"/>
  <c r="V1986" i="34"/>
  <c r="V1990" i="34"/>
  <c r="V1994" i="34"/>
  <c r="V1998" i="34"/>
  <c r="V2002" i="34"/>
  <c r="V2006" i="34"/>
  <c r="V2010" i="34"/>
  <c r="V2014" i="34"/>
  <c r="V2018" i="34"/>
  <c r="V2022" i="34"/>
  <c r="V2026" i="34"/>
  <c r="V2027" i="34"/>
  <c r="V2028" i="34"/>
  <c r="V2032" i="34"/>
  <c r="V1404" i="34"/>
  <c r="V1405" i="34"/>
  <c r="V1406" i="34"/>
  <c r="V1407" i="34"/>
  <c r="V1408" i="34"/>
  <c r="V1409" i="34"/>
  <c r="V1413" i="34"/>
  <c r="V1417" i="34"/>
  <c r="V1421" i="34"/>
  <c r="V1425" i="34"/>
  <c r="V1430" i="34"/>
  <c r="V1434" i="34"/>
  <c r="V1438" i="34"/>
  <c r="V1442" i="34"/>
  <c r="V1446" i="34"/>
  <c r="V1450" i="34"/>
  <c r="V1454" i="34"/>
  <c r="V1458" i="34"/>
  <c r="V1462" i="34"/>
  <c r="V1466" i="34"/>
  <c r="V1470" i="34"/>
  <c r="V1474" i="34"/>
  <c r="V1478" i="34"/>
  <c r="V1482" i="34"/>
  <c r="V1486" i="34"/>
  <c r="V1490" i="34"/>
  <c r="V1494" i="34"/>
  <c r="V1495" i="34"/>
  <c r="V1499" i="34"/>
  <c r="V1503" i="34"/>
  <c r="V1507" i="34"/>
  <c r="V1511" i="34"/>
  <c r="V1515" i="34"/>
  <c r="V1519" i="34"/>
  <c r="V1523" i="34"/>
  <c r="V1527" i="34"/>
  <c r="V1531" i="34"/>
  <c r="V1535" i="34"/>
  <c r="V1539" i="34"/>
  <c r="V1543" i="34"/>
  <c r="V1547" i="34"/>
  <c r="V1551" i="34"/>
  <c r="V1555" i="34"/>
  <c r="V1559" i="34"/>
  <c r="V1563" i="34"/>
  <c r="V1567" i="34"/>
  <c r="V1571" i="34"/>
  <c r="V1575" i="34"/>
  <c r="V1579" i="34"/>
  <c r="V1584" i="34"/>
  <c r="V1588" i="34"/>
  <c r="V1592" i="34"/>
  <c r="V1597" i="34"/>
  <c r="V1601" i="34"/>
  <c r="V1602" i="34"/>
  <c r="V1603" i="34"/>
  <c r="V1604" i="34"/>
  <c r="V1605" i="34"/>
  <c r="V1606" i="34"/>
  <c r="V1607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3" i="34"/>
  <c r="V1677" i="34"/>
  <c r="V1681" i="34"/>
  <c r="V1685" i="34"/>
  <c r="V1689" i="34"/>
  <c r="V1693" i="34"/>
  <c r="V1697" i="34"/>
  <c r="V1701" i="34"/>
  <c r="V1705" i="34"/>
  <c r="V1709" i="34"/>
  <c r="V1713" i="34"/>
  <c r="V1717" i="34"/>
  <c r="V1721" i="34"/>
  <c r="V1725" i="34"/>
  <c r="V1729" i="34"/>
  <c r="V1733" i="34"/>
  <c r="V1737" i="34"/>
  <c r="V1741" i="34"/>
  <c r="V1745" i="34"/>
  <c r="V1749" i="34"/>
  <c r="V1753" i="34"/>
  <c r="V1757" i="34"/>
  <c r="V1761" i="34"/>
  <c r="V1765" i="34"/>
  <c r="V1769" i="34"/>
  <c r="V1773" i="34"/>
  <c r="V1777" i="34"/>
  <c r="V1781" i="34"/>
  <c r="V1785" i="34"/>
  <c r="V1789" i="34"/>
  <c r="V1793" i="34"/>
  <c r="V1798" i="34"/>
  <c r="V1805" i="34"/>
  <c r="V1809" i="34"/>
  <c r="V1813" i="34"/>
  <c r="V1818" i="34"/>
  <c r="V1822" i="34"/>
  <c r="V1826" i="34"/>
  <c r="V1830" i="34"/>
  <c r="V1834" i="34"/>
  <c r="V1838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08" i="34"/>
  <c r="V1909" i="34"/>
  <c r="V1910" i="34"/>
  <c r="V1911" i="34"/>
  <c r="V1912" i="34"/>
  <c r="V1913" i="34"/>
  <c r="V1917" i="34"/>
  <c r="V1921" i="34"/>
  <c r="V1925" i="34"/>
  <c r="V1929" i="34"/>
  <c r="V1933" i="34"/>
  <c r="V1937" i="34"/>
  <c r="V1941" i="34"/>
  <c r="V1945" i="34"/>
  <c r="V1949" i="34"/>
  <c r="V1953" i="34"/>
  <c r="V1957" i="34"/>
  <c r="V1961" i="34"/>
  <c r="V1965" i="34"/>
  <c r="V1969" i="34"/>
  <c r="V1973" i="34"/>
  <c r="V1977" i="34"/>
  <c r="V1981" i="34"/>
  <c r="V1985" i="34"/>
  <c r="V1989" i="34"/>
  <c r="V1993" i="34"/>
  <c r="V1997" i="34"/>
  <c r="V2001" i="34"/>
  <c r="V2005" i="34"/>
  <c r="V2009" i="34"/>
  <c r="V2013" i="34"/>
  <c r="V2017" i="34"/>
  <c r="V2021" i="34"/>
  <c r="V2025" i="34"/>
  <c r="V2031" i="34"/>
  <c r="V1403" i="34"/>
  <c r="V1412" i="34"/>
  <c r="V1416" i="34"/>
  <c r="V1420" i="34"/>
  <c r="V1424" i="34"/>
  <c r="V1429" i="34"/>
  <c r="V1433" i="34"/>
  <c r="V1437" i="34"/>
  <c r="V1441" i="34"/>
  <c r="V1445" i="34"/>
  <c r="V1449" i="34"/>
  <c r="V1453" i="34"/>
  <c r="V1457" i="34"/>
  <c r="V1461" i="34"/>
  <c r="V1465" i="34"/>
  <c r="V1469" i="34"/>
  <c r="V1473" i="34"/>
  <c r="V1477" i="34"/>
  <c r="V1481" i="34"/>
  <c r="V1485" i="34"/>
  <c r="V1489" i="34"/>
  <c r="V1493" i="34"/>
  <c r="V1498" i="34"/>
  <c r="V1502" i="34"/>
  <c r="V1506" i="34"/>
  <c r="V1510" i="34"/>
  <c r="V1514" i="34"/>
  <c r="V1518" i="34"/>
  <c r="V1522" i="34"/>
  <c r="V1526" i="34"/>
  <c r="V1530" i="34"/>
  <c r="V1534" i="34"/>
  <c r="V1538" i="34"/>
  <c r="V1542" i="34"/>
  <c r="V1546" i="34"/>
  <c r="V1550" i="34"/>
  <c r="V1554" i="34"/>
  <c r="V1558" i="34"/>
  <c r="V1562" i="34"/>
  <c r="V1566" i="34"/>
  <c r="V1570" i="34"/>
  <c r="V1574" i="34"/>
  <c r="V1578" i="34"/>
  <c r="V1583" i="34"/>
  <c r="V1587" i="34"/>
  <c r="V1591" i="34"/>
  <c r="V1596" i="34"/>
  <c r="V1600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2" i="34"/>
  <c r="V1676" i="34"/>
  <c r="V1680" i="34"/>
  <c r="V1684" i="34"/>
  <c r="V1688" i="34"/>
  <c r="V1692" i="34"/>
  <c r="V1696" i="34"/>
  <c r="V1700" i="34"/>
  <c r="V1704" i="34"/>
  <c r="V1708" i="34"/>
  <c r="V1712" i="34"/>
  <c r="V1716" i="34"/>
  <c r="V1720" i="34"/>
  <c r="V1724" i="34"/>
  <c r="V1728" i="34"/>
  <c r="V1732" i="34"/>
  <c r="V1736" i="34"/>
  <c r="V1740" i="34"/>
  <c r="V1744" i="34"/>
  <c r="V1748" i="34"/>
  <c r="V1752" i="34"/>
  <c r="V1756" i="34"/>
  <c r="V1760" i="34"/>
  <c r="V1764" i="34"/>
  <c r="V1768" i="34"/>
  <c r="V1772" i="34"/>
  <c r="V1776" i="34"/>
  <c r="V1780" i="34"/>
  <c r="V1784" i="34"/>
  <c r="V1788" i="34"/>
  <c r="V1792" i="34"/>
  <c r="V1797" i="34"/>
  <c r="V1804" i="34"/>
  <c r="V1808" i="34"/>
  <c r="V1812" i="34"/>
  <c r="V1817" i="34"/>
  <c r="V1821" i="34"/>
  <c r="V1825" i="34"/>
  <c r="V1829" i="34"/>
  <c r="V1833" i="34"/>
  <c r="V1837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6" i="34"/>
  <c r="V1920" i="34"/>
  <c r="V1924" i="34"/>
  <c r="V1928" i="34"/>
  <c r="V1932" i="34"/>
  <c r="V1936" i="34"/>
  <c r="V1940" i="34"/>
  <c r="V1944" i="34"/>
  <c r="V1948" i="34"/>
  <c r="V1952" i="34"/>
  <c r="V1956" i="34"/>
  <c r="V1960" i="34"/>
  <c r="V1964" i="34"/>
  <c r="V1968" i="34"/>
  <c r="V1972" i="34"/>
  <c r="V1976" i="34"/>
  <c r="V1980" i="34"/>
  <c r="V1984" i="34"/>
  <c r="V1988" i="34"/>
  <c r="V1992" i="34"/>
  <c r="V1996" i="34"/>
  <c r="V2000" i="34"/>
  <c r="V2004" i="34"/>
  <c r="V2008" i="34"/>
  <c r="V2012" i="34"/>
  <c r="V2016" i="34"/>
  <c r="V2020" i="34"/>
  <c r="V2024" i="34"/>
  <c r="V2030" i="34"/>
  <c r="V2034" i="34"/>
  <c r="V2036" i="34"/>
  <c r="V2037" i="34"/>
  <c r="V2038" i="34"/>
  <c r="V2039" i="34"/>
  <c r="V2035" i="34"/>
  <c r="E251" i="60"/>
  <c r="E252" i="60"/>
  <c r="D253" i="60"/>
  <c r="G253" i="60"/>
  <c r="F258" i="60"/>
  <c r="F259" i="60"/>
  <c r="F260" i="60"/>
  <c r="E261" i="60"/>
  <c r="D262" i="60"/>
  <c r="G262" i="60"/>
  <c r="D263" i="60"/>
  <c r="G263" i="60"/>
  <c r="D264" i="60"/>
  <c r="G264" i="60"/>
  <c r="F266" i="60"/>
  <c r="F267" i="60"/>
  <c r="F268" i="60"/>
  <c r="E269" i="60"/>
  <c r="D270" i="60"/>
  <c r="G270" i="60"/>
  <c r="D271" i="60"/>
  <c r="G271" i="60"/>
  <c r="D272" i="60"/>
  <c r="G272" i="60"/>
  <c r="F274" i="60"/>
  <c r="F275" i="60"/>
  <c r="F276" i="60"/>
  <c r="F277" i="60"/>
  <c r="E278" i="60"/>
  <c r="E279" i="60"/>
  <c r="E280" i="60"/>
  <c r="E281" i="60"/>
  <c r="D282" i="60"/>
  <c r="G282" i="60"/>
  <c r="D283" i="60"/>
  <c r="G283" i="60"/>
  <c r="D284" i="60"/>
  <c r="G284" i="60"/>
  <c r="D285" i="60"/>
  <c r="G285" i="60"/>
  <c r="F290" i="60"/>
  <c r="F291" i="60"/>
  <c r="F292" i="60"/>
  <c r="F293" i="60"/>
  <c r="E294" i="60"/>
  <c r="E295" i="60"/>
  <c r="E296" i="60"/>
  <c r="E297" i="60"/>
  <c r="D298" i="60"/>
  <c r="G298" i="60"/>
  <c r="D299" i="60"/>
  <c r="G299" i="60"/>
  <c r="D300" i="60"/>
  <c r="G300" i="60"/>
  <c r="D301" i="60"/>
  <c r="G301" i="60"/>
  <c r="F306" i="60"/>
  <c r="F307" i="60"/>
  <c r="F308" i="60"/>
  <c r="F309" i="60"/>
  <c r="E310" i="60"/>
  <c r="E311" i="60"/>
  <c r="E312" i="60"/>
  <c r="E313" i="60"/>
  <c r="D314" i="60"/>
  <c r="G314" i="60"/>
  <c r="D315" i="60"/>
  <c r="G315" i="60"/>
  <c r="D316" i="60"/>
  <c r="G316" i="60"/>
  <c r="D317" i="60"/>
  <c r="G317" i="60"/>
  <c r="F322" i="60"/>
  <c r="F323" i="60"/>
  <c r="F324" i="60"/>
  <c r="F325" i="60"/>
  <c r="E326" i="60"/>
  <c r="E327" i="60"/>
  <c r="E328" i="60"/>
  <c r="E329" i="60"/>
  <c r="D330" i="60"/>
  <c r="G330" i="60"/>
  <c r="D331" i="60"/>
  <c r="G331" i="60"/>
  <c r="D332" i="60"/>
  <c r="F251" i="60"/>
  <c r="F252" i="60"/>
  <c r="E253" i="60"/>
  <c r="D254" i="60"/>
  <c r="G254" i="60"/>
  <c r="D255" i="60"/>
  <c r="G255" i="60"/>
  <c r="D256" i="60"/>
  <c r="G256" i="60"/>
  <c r="D257" i="60"/>
  <c r="G257" i="60"/>
  <c r="F261" i="60"/>
  <c r="E262" i="60"/>
  <c r="E263" i="60"/>
  <c r="E264" i="60"/>
  <c r="D265" i="60"/>
  <c r="G265" i="60"/>
  <c r="F269" i="60"/>
  <c r="E270" i="60"/>
  <c r="E271" i="60"/>
  <c r="E272" i="60"/>
  <c r="D273" i="60"/>
  <c r="G273" i="60"/>
  <c r="F278" i="60"/>
  <c r="F279" i="60"/>
  <c r="F280" i="60"/>
  <c r="F281" i="60"/>
  <c r="E282" i="60"/>
  <c r="E283" i="60"/>
  <c r="E284" i="60"/>
  <c r="E285" i="60"/>
  <c r="F253" i="60"/>
  <c r="E254" i="60"/>
  <c r="E255" i="60"/>
  <c r="E256" i="60"/>
  <c r="E257" i="60"/>
  <c r="D258" i="60"/>
  <c r="G258" i="60"/>
  <c r="D259" i="60"/>
  <c r="G259" i="60"/>
  <c r="D260" i="60"/>
  <c r="G260" i="60"/>
  <c r="F262" i="60"/>
  <c r="F263" i="60"/>
  <c r="F264" i="60"/>
  <c r="E265" i="60"/>
  <c r="D266" i="60"/>
  <c r="G266" i="60"/>
  <c r="D267" i="60"/>
  <c r="G267" i="60"/>
  <c r="D268" i="60"/>
  <c r="G268" i="60"/>
  <c r="F270" i="60"/>
  <c r="F271" i="60"/>
  <c r="F272" i="60"/>
  <c r="E273" i="60"/>
  <c r="D274" i="60"/>
  <c r="G274" i="60"/>
  <c r="D275" i="60"/>
  <c r="D251" i="60"/>
  <c r="H251" i="60" s="1"/>
  <c r="G251" i="60"/>
  <c r="D252" i="60"/>
  <c r="G252" i="60"/>
  <c r="F254" i="60"/>
  <c r="F255" i="60"/>
  <c r="F256" i="60"/>
  <c r="F257" i="60"/>
  <c r="E258" i="60"/>
  <c r="E259" i="60"/>
  <c r="E260" i="60"/>
  <c r="D261" i="60"/>
  <c r="H261" i="60" s="1"/>
  <c r="G261" i="60"/>
  <c r="F265" i="60"/>
  <c r="E266" i="60"/>
  <c r="E267" i="60"/>
  <c r="E268" i="60"/>
  <c r="D269" i="60"/>
  <c r="G269" i="60"/>
  <c r="F273" i="60"/>
  <c r="E274" i="60"/>
  <c r="E275" i="60"/>
  <c r="E276" i="60"/>
  <c r="E277" i="60"/>
  <c r="D278" i="60"/>
  <c r="G278" i="60"/>
  <c r="D279" i="60"/>
  <c r="G279" i="60"/>
  <c r="D280" i="60"/>
  <c r="G280" i="60"/>
  <c r="D281" i="60"/>
  <c r="G281" i="60"/>
  <c r="F286" i="60"/>
  <c r="F287" i="60"/>
  <c r="F288" i="60"/>
  <c r="F289" i="60"/>
  <c r="E290" i="60"/>
  <c r="E291" i="60"/>
  <c r="E292" i="60"/>
  <c r="E293" i="60"/>
  <c r="D294" i="60"/>
  <c r="G294" i="60"/>
  <c r="D295" i="60"/>
  <c r="G295" i="60"/>
  <c r="D296" i="60"/>
  <c r="G296" i="60"/>
  <c r="D297" i="60"/>
  <c r="G297" i="60"/>
  <c r="F302" i="60"/>
  <c r="F303" i="60"/>
  <c r="F304" i="60"/>
  <c r="F305" i="60"/>
  <c r="E306" i="60"/>
  <c r="E307" i="60"/>
  <c r="E308" i="60"/>
  <c r="E309" i="60"/>
  <c r="D310" i="60"/>
  <c r="G310" i="60"/>
  <c r="D311" i="60"/>
  <c r="G311" i="60"/>
  <c r="D312" i="60"/>
  <c r="G312" i="60"/>
  <c r="D313" i="60"/>
  <c r="G313" i="60"/>
  <c r="F318" i="60"/>
  <c r="F319" i="60"/>
  <c r="F320" i="60"/>
  <c r="F321" i="60"/>
  <c r="E322" i="60"/>
  <c r="E323" i="60"/>
  <c r="E324" i="60"/>
  <c r="E325" i="60"/>
  <c r="D326" i="60"/>
  <c r="G326" i="60"/>
  <c r="D327" i="60"/>
  <c r="G327" i="60"/>
  <c r="D328" i="60"/>
  <c r="G328" i="60"/>
  <c r="D329" i="60"/>
  <c r="G329" i="60"/>
  <c r="G275" i="60"/>
  <c r="G277" i="60"/>
  <c r="F283" i="60"/>
  <c r="F285" i="60"/>
  <c r="E286" i="60"/>
  <c r="E287" i="60"/>
  <c r="E288" i="60"/>
  <c r="E289" i="60"/>
  <c r="D290" i="60"/>
  <c r="D291" i="60"/>
  <c r="D292" i="60"/>
  <c r="D293" i="60"/>
  <c r="G306" i="60"/>
  <c r="G307" i="60"/>
  <c r="G308" i="60"/>
  <c r="G309" i="60"/>
  <c r="F314" i="60"/>
  <c r="F315" i="60"/>
  <c r="F316" i="60"/>
  <c r="F317" i="60"/>
  <c r="E318" i="60"/>
  <c r="E319" i="60"/>
  <c r="E320" i="60"/>
  <c r="E321" i="60"/>
  <c r="D322" i="60"/>
  <c r="D323" i="60"/>
  <c r="D324" i="60"/>
  <c r="D325" i="60"/>
  <c r="F332" i="60"/>
  <c r="F333" i="60"/>
  <c r="E334" i="60"/>
  <c r="E335" i="60"/>
  <c r="E336" i="60"/>
  <c r="E337" i="60"/>
  <c r="D338" i="60"/>
  <c r="G338" i="60"/>
  <c r="D339" i="60"/>
  <c r="G339" i="60"/>
  <c r="D340" i="60"/>
  <c r="G340" i="60"/>
  <c r="D341" i="60"/>
  <c r="G341" i="60"/>
  <c r="F346" i="60"/>
  <c r="F347" i="60"/>
  <c r="F348" i="60"/>
  <c r="F349" i="60"/>
  <c r="E350" i="60"/>
  <c r="E351" i="60"/>
  <c r="E352" i="60"/>
  <c r="E353" i="60"/>
  <c r="D354" i="60"/>
  <c r="G354" i="60"/>
  <c r="D355" i="60"/>
  <c r="G355" i="60"/>
  <c r="D356" i="60"/>
  <c r="G356" i="60"/>
  <c r="D357" i="60"/>
  <c r="G357" i="60"/>
  <c r="F362" i="60"/>
  <c r="F363" i="60"/>
  <c r="F364" i="60"/>
  <c r="F365" i="60"/>
  <c r="D276" i="60"/>
  <c r="G286" i="60"/>
  <c r="G287" i="60"/>
  <c r="G288" i="60"/>
  <c r="G289" i="60"/>
  <c r="F294" i="60"/>
  <c r="F295" i="60"/>
  <c r="F296" i="60"/>
  <c r="F297" i="60"/>
  <c r="E298" i="60"/>
  <c r="E299" i="60"/>
  <c r="E300" i="60"/>
  <c r="E301" i="60"/>
  <c r="D302" i="60"/>
  <c r="D303" i="60"/>
  <c r="D304" i="60"/>
  <c r="D305" i="60"/>
  <c r="G318" i="60"/>
  <c r="G319" i="60"/>
  <c r="G320" i="60"/>
  <c r="G321" i="60"/>
  <c r="F326" i="60"/>
  <c r="F327" i="60"/>
  <c r="F328" i="60"/>
  <c r="F329" i="60"/>
  <c r="E330" i="60"/>
  <c r="E331" i="60"/>
  <c r="F334" i="60"/>
  <c r="F335" i="60"/>
  <c r="F336" i="60"/>
  <c r="F337" i="60"/>
  <c r="E338" i="60"/>
  <c r="E339" i="60"/>
  <c r="E340" i="60"/>
  <c r="E341" i="60"/>
  <c r="D342" i="60"/>
  <c r="G342" i="60"/>
  <c r="D343" i="60"/>
  <c r="G343" i="60"/>
  <c r="D344" i="60"/>
  <c r="G344" i="60"/>
  <c r="D345" i="60"/>
  <c r="G345" i="60"/>
  <c r="F350" i="60"/>
  <c r="F351" i="60"/>
  <c r="F352" i="60"/>
  <c r="F353" i="60"/>
  <c r="E354" i="60"/>
  <c r="E355" i="60"/>
  <c r="E356" i="60"/>
  <c r="E357" i="60"/>
  <c r="D358" i="60"/>
  <c r="G358" i="60"/>
  <c r="D359" i="60"/>
  <c r="G359" i="60"/>
  <c r="D360" i="60"/>
  <c r="G360" i="60"/>
  <c r="D361" i="60"/>
  <c r="G361" i="60"/>
  <c r="G276" i="60"/>
  <c r="F282" i="60"/>
  <c r="F284" i="60"/>
  <c r="G290" i="60"/>
  <c r="G291" i="60"/>
  <c r="G292" i="60"/>
  <c r="G293" i="60"/>
  <c r="F298" i="60"/>
  <c r="F299" i="60"/>
  <c r="F300" i="60"/>
  <c r="F301" i="60"/>
  <c r="E302" i="60"/>
  <c r="E303" i="60"/>
  <c r="E304" i="60"/>
  <c r="E305" i="60"/>
  <c r="D306" i="60"/>
  <c r="D307" i="60"/>
  <c r="D308" i="60"/>
  <c r="D309" i="60"/>
  <c r="G322" i="60"/>
  <c r="G323" i="60"/>
  <c r="G324" i="60"/>
  <c r="G325" i="60"/>
  <c r="F330" i="60"/>
  <c r="F331" i="60"/>
  <c r="G332" i="60"/>
  <c r="D333" i="60"/>
  <c r="G333" i="60"/>
  <c r="F338" i="60"/>
  <c r="F339" i="60"/>
  <c r="F340" i="60"/>
  <c r="F341" i="60"/>
  <c r="E342" i="60"/>
  <c r="E343" i="60"/>
  <c r="E344" i="60"/>
  <c r="E345" i="60"/>
  <c r="D346" i="60"/>
  <c r="G346" i="60"/>
  <c r="D347" i="60"/>
  <c r="D277" i="60"/>
  <c r="H277" i="60" s="1"/>
  <c r="D286" i="60"/>
  <c r="H286" i="60" s="1"/>
  <c r="D287" i="60"/>
  <c r="H287" i="60" s="1"/>
  <c r="D288" i="60"/>
  <c r="H288" i="60" s="1"/>
  <c r="D289" i="60"/>
  <c r="H289" i="60" s="1"/>
  <c r="G302" i="60"/>
  <c r="G303" i="60"/>
  <c r="G304" i="60"/>
  <c r="G305" i="60"/>
  <c r="F310" i="60"/>
  <c r="F311" i="60"/>
  <c r="F312" i="60"/>
  <c r="F313" i="60"/>
  <c r="E314" i="60"/>
  <c r="E315" i="60"/>
  <c r="E316" i="60"/>
  <c r="E317" i="60"/>
  <c r="D318" i="60"/>
  <c r="H318" i="60" s="1"/>
  <c r="D319" i="60"/>
  <c r="H319" i="60" s="1"/>
  <c r="D320" i="60"/>
  <c r="H320" i="60" s="1"/>
  <c r="D321" i="60"/>
  <c r="H321" i="60" s="1"/>
  <c r="E332" i="60"/>
  <c r="E333" i="60"/>
  <c r="D334" i="60"/>
  <c r="G334" i="60"/>
  <c r="D335" i="60"/>
  <c r="G335" i="60"/>
  <c r="D336" i="60"/>
  <c r="G336" i="60"/>
  <c r="D337" i="60"/>
  <c r="G337" i="60"/>
  <c r="F342" i="60"/>
  <c r="F343" i="60"/>
  <c r="F344" i="60"/>
  <c r="F345" i="60"/>
  <c r="E346" i="60"/>
  <c r="E347" i="60"/>
  <c r="E348" i="60"/>
  <c r="E349" i="60"/>
  <c r="D350" i="60"/>
  <c r="G350" i="60"/>
  <c r="D351" i="60"/>
  <c r="G351" i="60"/>
  <c r="D352" i="60"/>
  <c r="G352" i="60"/>
  <c r="D353" i="60"/>
  <c r="G353" i="60"/>
  <c r="F358" i="60"/>
  <c r="F359" i="60"/>
  <c r="F360" i="60"/>
  <c r="F361" i="60"/>
  <c r="E362" i="60"/>
  <c r="E363" i="60"/>
  <c r="E364" i="60"/>
  <c r="E365" i="60"/>
  <c r="G347" i="60"/>
  <c r="G349" i="60"/>
  <c r="F355" i="60"/>
  <c r="F357" i="60"/>
  <c r="E359" i="60"/>
  <c r="E361" i="60"/>
  <c r="D363" i="60"/>
  <c r="D348" i="60"/>
  <c r="G363" i="60"/>
  <c r="G364" i="60"/>
  <c r="G365" i="60"/>
  <c r="G348" i="60"/>
  <c r="F354" i="60"/>
  <c r="F356" i="60"/>
  <c r="E358" i="60"/>
  <c r="E360" i="60"/>
  <c r="D362" i="60"/>
  <c r="D349" i="60"/>
  <c r="H349" i="60" s="1"/>
  <c r="G362" i="60"/>
  <c r="D364" i="60"/>
  <c r="H364" i="60" s="1"/>
  <c r="D365" i="60"/>
  <c r="H365" i="60" s="1"/>
  <c r="V2040" i="34"/>
  <c r="W12" i="34"/>
  <c r="W15" i="34"/>
  <c r="W17" i="34"/>
  <c r="W19" i="34"/>
  <c r="W21" i="34"/>
  <c r="W11" i="34"/>
  <c r="W16" i="34"/>
  <c r="W20" i="34"/>
  <c r="W13" i="34"/>
  <c r="W18" i="34"/>
  <c r="W2040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I217" i="55"/>
  <c r="G241" i="60"/>
  <c r="F241" i="60"/>
  <c r="D241" i="60"/>
  <c r="G240" i="60"/>
  <c r="F240" i="60"/>
  <c r="D240" i="60"/>
  <c r="G239" i="60"/>
  <c r="F239" i="60"/>
  <c r="D239" i="60"/>
  <c r="G238" i="60"/>
  <c r="F238" i="60"/>
  <c r="D238" i="60"/>
  <c r="G237" i="60"/>
  <c r="F237" i="60"/>
  <c r="D237" i="60"/>
  <c r="G236" i="60"/>
  <c r="F236" i="60"/>
  <c r="D236" i="60"/>
  <c r="G235" i="60"/>
  <c r="F235" i="60"/>
  <c r="D235" i="60"/>
  <c r="G234" i="60"/>
  <c r="F234" i="60"/>
  <c r="D234" i="60"/>
  <c r="G233" i="60"/>
  <c r="F233" i="60"/>
  <c r="D233" i="60"/>
  <c r="E241" i="60"/>
  <c r="E240" i="60"/>
  <c r="E239" i="60"/>
  <c r="E238" i="60"/>
  <c r="E237" i="60"/>
  <c r="E236" i="60"/>
  <c r="E235" i="60"/>
  <c r="E234" i="60"/>
  <c r="E233" i="60"/>
  <c r="E232" i="60"/>
  <c r="E231" i="60"/>
  <c r="E230" i="60"/>
  <c r="E229" i="60"/>
  <c r="E228" i="60"/>
  <c r="E227" i="60"/>
  <c r="E226" i="60"/>
  <c r="E225" i="60"/>
  <c r="E224" i="60"/>
  <c r="E223" i="60"/>
  <c r="E222" i="60"/>
  <c r="F232" i="60"/>
  <c r="G231" i="60"/>
  <c r="D231" i="60"/>
  <c r="F230" i="60"/>
  <c r="G229" i="60"/>
  <c r="D229" i="60"/>
  <c r="F228" i="60"/>
  <c r="G227" i="60"/>
  <c r="D227" i="60"/>
  <c r="F226" i="60"/>
  <c r="G225" i="60"/>
  <c r="D225" i="60"/>
  <c r="F224" i="60"/>
  <c r="G223" i="60"/>
  <c r="D223" i="60"/>
  <c r="F222" i="60"/>
  <c r="G221" i="60"/>
  <c r="E221" i="60"/>
  <c r="E220" i="60"/>
  <c r="E219" i="60"/>
  <c r="E218" i="60"/>
  <c r="E217" i="60"/>
  <c r="E216" i="60"/>
  <c r="E215" i="60"/>
  <c r="E214" i="60"/>
  <c r="E213" i="60"/>
  <c r="E212" i="60"/>
  <c r="E211" i="60"/>
  <c r="E210" i="60"/>
  <c r="E209" i="60"/>
  <c r="E208" i="60"/>
  <c r="E207" i="60"/>
  <c r="E206" i="60"/>
  <c r="E205" i="60"/>
  <c r="E204" i="60"/>
  <c r="E203" i="60"/>
  <c r="E202" i="60"/>
  <c r="E201" i="60"/>
  <c r="E200" i="60"/>
  <c r="E199" i="60"/>
  <c r="E198" i="60"/>
  <c r="E197" i="60"/>
  <c r="E196" i="60"/>
  <c r="E195" i="60"/>
  <c r="E194" i="60"/>
  <c r="E193" i="60"/>
  <c r="E192" i="60"/>
  <c r="E191" i="60"/>
  <c r="E190" i="60"/>
  <c r="E189" i="60"/>
  <c r="E188" i="60"/>
  <c r="E187" i="60"/>
  <c r="E186" i="60"/>
  <c r="E185" i="60"/>
  <c r="E184" i="60"/>
  <c r="E183" i="60"/>
  <c r="E182" i="60"/>
  <c r="E181" i="60"/>
  <c r="E180" i="60"/>
  <c r="E179" i="60"/>
  <c r="E178" i="60"/>
  <c r="E177" i="60"/>
  <c r="E176" i="60"/>
  <c r="G232" i="60"/>
  <c r="D232" i="60"/>
  <c r="F231" i="60"/>
  <c r="G230" i="60"/>
  <c r="D230" i="60"/>
  <c r="F229" i="60"/>
  <c r="G228" i="60"/>
  <c r="D228" i="60"/>
  <c r="F227" i="60"/>
  <c r="G226" i="60"/>
  <c r="D226" i="60"/>
  <c r="F225" i="60"/>
  <c r="G224" i="60"/>
  <c r="D224" i="60"/>
  <c r="F223" i="60"/>
  <c r="G222" i="60"/>
  <c r="D222" i="60"/>
  <c r="F221" i="60"/>
  <c r="D221" i="60"/>
  <c r="G220" i="60"/>
  <c r="F220" i="60"/>
  <c r="D220" i="60"/>
  <c r="G219" i="60"/>
  <c r="F219" i="60"/>
  <c r="D219" i="60"/>
  <c r="G218" i="60"/>
  <c r="F218" i="60"/>
  <c r="D218" i="60"/>
  <c r="G217" i="60"/>
  <c r="F217" i="60"/>
  <c r="D217" i="60"/>
  <c r="G216" i="60"/>
  <c r="F216" i="60"/>
  <c r="D216" i="60"/>
  <c r="G215" i="60"/>
  <c r="F215" i="60"/>
  <c r="D215" i="60"/>
  <c r="G214" i="60"/>
  <c r="F214" i="60"/>
  <c r="D214" i="60"/>
  <c r="G213" i="60"/>
  <c r="F213" i="60"/>
  <c r="D213" i="60"/>
  <c r="G212" i="60"/>
  <c r="F212" i="60"/>
  <c r="D212" i="60"/>
  <c r="G211" i="60"/>
  <c r="F211" i="60"/>
  <c r="D211" i="60"/>
  <c r="G210" i="60"/>
  <c r="F210" i="60"/>
  <c r="D210" i="60"/>
  <c r="G209" i="60"/>
  <c r="F209" i="60"/>
  <c r="D209" i="60"/>
  <c r="G208" i="60"/>
  <c r="F208" i="60"/>
  <c r="D208" i="60"/>
  <c r="G207" i="60"/>
  <c r="F207" i="60"/>
  <c r="D207" i="60"/>
  <c r="G206" i="60"/>
  <c r="F206" i="60"/>
  <c r="D206" i="60"/>
  <c r="G205" i="60"/>
  <c r="F205" i="60"/>
  <c r="D205" i="60"/>
  <c r="G204" i="60"/>
  <c r="F204" i="60"/>
  <c r="D204" i="60"/>
  <c r="G203" i="60"/>
  <c r="F203" i="60"/>
  <c r="D203" i="60"/>
  <c r="G202" i="60"/>
  <c r="F202" i="60"/>
  <c r="D202" i="60"/>
  <c r="G201" i="60"/>
  <c r="F201" i="60"/>
  <c r="D201" i="60"/>
  <c r="G200" i="60"/>
  <c r="F200" i="60"/>
  <c r="D200" i="60"/>
  <c r="G199" i="60"/>
  <c r="F199" i="60"/>
  <c r="D199" i="60"/>
  <c r="G198" i="60"/>
  <c r="F198" i="60"/>
  <c r="D198" i="60"/>
  <c r="G197" i="60"/>
  <c r="F197" i="60"/>
  <c r="D197" i="60"/>
  <c r="G196" i="60"/>
  <c r="F196" i="60"/>
  <c r="D196" i="60"/>
  <c r="G195" i="60"/>
  <c r="F195" i="60"/>
  <c r="D195" i="60"/>
  <c r="G194" i="60"/>
  <c r="F194" i="60"/>
  <c r="D194" i="60"/>
  <c r="G193" i="60"/>
  <c r="F193" i="60"/>
  <c r="D193" i="60"/>
  <c r="G192" i="60"/>
  <c r="F192" i="60"/>
  <c r="D192" i="60"/>
  <c r="G191" i="60"/>
  <c r="F191" i="60"/>
  <c r="D191" i="60"/>
  <c r="G190" i="60"/>
  <c r="F190" i="60"/>
  <c r="D190" i="60"/>
  <c r="G189" i="60"/>
  <c r="F189" i="60"/>
  <c r="D189" i="60"/>
  <c r="G188" i="60"/>
  <c r="F188" i="60"/>
  <c r="D188" i="60"/>
  <c r="G187" i="60"/>
  <c r="F187" i="60"/>
  <c r="D187" i="60"/>
  <c r="G186" i="60"/>
  <c r="F186" i="60"/>
  <c r="D186" i="60"/>
  <c r="G185" i="60"/>
  <c r="F185" i="60"/>
  <c r="D185" i="60"/>
  <c r="G184" i="60"/>
  <c r="F184" i="60"/>
  <c r="D184" i="60"/>
  <c r="G183" i="60"/>
  <c r="F183" i="60"/>
  <c r="D183" i="60"/>
  <c r="G182" i="60"/>
  <c r="F182" i="60"/>
  <c r="D182" i="60"/>
  <c r="G181" i="60"/>
  <c r="F181" i="60"/>
  <c r="D181" i="60"/>
  <c r="G180" i="60"/>
  <c r="F180" i="60"/>
  <c r="D180" i="60"/>
  <c r="G179" i="60"/>
  <c r="F179" i="60"/>
  <c r="D179" i="60"/>
  <c r="G178" i="60"/>
  <c r="F178" i="60"/>
  <c r="D178" i="60"/>
  <c r="G177" i="60"/>
  <c r="F177" i="60"/>
  <c r="D177" i="60"/>
  <c r="G176" i="60"/>
  <c r="F176" i="60"/>
  <c r="D176" i="60"/>
  <c r="G175" i="60"/>
  <c r="F175" i="60"/>
  <c r="D175" i="60"/>
  <c r="G174" i="60"/>
  <c r="F174" i="60"/>
  <c r="D174" i="60"/>
  <c r="G173" i="60"/>
  <c r="F173" i="60"/>
  <c r="D173" i="60"/>
  <c r="G172" i="60"/>
  <c r="F172" i="60"/>
  <c r="D172" i="60"/>
  <c r="G171" i="60"/>
  <c r="F171" i="60"/>
  <c r="D171" i="60"/>
  <c r="G170" i="60"/>
  <c r="F170" i="60"/>
  <c r="D170" i="60"/>
  <c r="G169" i="60"/>
  <c r="F169" i="60"/>
  <c r="D169" i="60"/>
  <c r="G168" i="60"/>
  <c r="F168" i="60"/>
  <c r="D168" i="60"/>
  <c r="G167" i="60"/>
  <c r="F167" i="60"/>
  <c r="D167" i="60"/>
  <c r="G166" i="60"/>
  <c r="F166" i="60"/>
  <c r="D166" i="60"/>
  <c r="G165" i="60"/>
  <c r="F165" i="60"/>
  <c r="D165" i="60"/>
  <c r="G164" i="60"/>
  <c r="E175" i="60"/>
  <c r="E174" i="60"/>
  <c r="E173" i="60"/>
  <c r="E172" i="60"/>
  <c r="E171" i="60"/>
  <c r="E170" i="60"/>
  <c r="E169" i="60"/>
  <c r="E168" i="60"/>
  <c r="E167" i="60"/>
  <c r="E166" i="60"/>
  <c r="E165" i="60"/>
  <c r="E164" i="60"/>
  <c r="E163" i="60"/>
  <c r="E162" i="60"/>
  <c r="E161" i="60"/>
  <c r="E160" i="60"/>
  <c r="E159" i="60"/>
  <c r="F164" i="60"/>
  <c r="G163" i="60"/>
  <c r="D163" i="60"/>
  <c r="F162" i="60"/>
  <c r="G161" i="60"/>
  <c r="D161" i="60"/>
  <c r="F160" i="60"/>
  <c r="G159" i="60"/>
  <c r="D159" i="60"/>
  <c r="G158" i="60"/>
  <c r="F158" i="60"/>
  <c r="D158" i="60"/>
  <c r="F157" i="60"/>
  <c r="G155" i="60"/>
  <c r="F155" i="60"/>
  <c r="D155" i="60"/>
  <c r="D154" i="60"/>
  <c r="G153" i="60"/>
  <c r="F153" i="60"/>
  <c r="D152" i="60"/>
  <c r="G151" i="60"/>
  <c r="F151" i="60"/>
  <c r="D150" i="60"/>
  <c r="G149" i="60"/>
  <c r="F149" i="60"/>
  <c r="D149" i="60"/>
  <c r="D164" i="60"/>
  <c r="F163" i="60"/>
  <c r="G162" i="60"/>
  <c r="D162" i="60"/>
  <c r="F161" i="60"/>
  <c r="G160" i="60"/>
  <c r="D160" i="60"/>
  <c r="F159" i="60"/>
  <c r="E158" i="60"/>
  <c r="E157" i="60"/>
  <c r="E156" i="60"/>
  <c r="E155" i="60"/>
  <c r="E154" i="60"/>
  <c r="E153" i="60"/>
  <c r="E152" i="60"/>
  <c r="E151" i="60"/>
  <c r="E150" i="60"/>
  <c r="E149" i="60"/>
  <c r="G157" i="60"/>
  <c r="D157" i="60"/>
  <c r="G156" i="60"/>
  <c r="F156" i="60"/>
  <c r="D156" i="60"/>
  <c r="G154" i="60"/>
  <c r="F154" i="60"/>
  <c r="D153" i="60"/>
  <c r="G152" i="60"/>
  <c r="F152" i="60"/>
  <c r="D151" i="60"/>
  <c r="G150" i="60"/>
  <c r="F150" i="60"/>
  <c r="F63" i="60"/>
  <c r="D64" i="60"/>
  <c r="G64" i="60"/>
  <c r="E64" i="60"/>
  <c r="D63" i="60"/>
  <c r="G63" i="60"/>
  <c r="F64" i="60"/>
  <c r="E63" i="60"/>
  <c r="L14" i="54"/>
  <c r="L15" i="54" s="1"/>
  <c r="L16" i="54" s="1"/>
  <c r="L18" i="54"/>
  <c r="L19" i="54" s="1"/>
  <c r="F145" i="60"/>
  <c r="D146" i="60"/>
  <c r="G146" i="60"/>
  <c r="F147" i="60"/>
  <c r="D148" i="60"/>
  <c r="G148" i="60"/>
  <c r="E145" i="60"/>
  <c r="E147" i="60"/>
  <c r="F144" i="60"/>
  <c r="D144" i="60"/>
  <c r="E146" i="60"/>
  <c r="D145" i="60"/>
  <c r="F146" i="60"/>
  <c r="G147" i="60"/>
  <c r="E144" i="60"/>
  <c r="E148" i="60"/>
  <c r="G144" i="60"/>
  <c r="G145" i="60"/>
  <c r="D147" i="60"/>
  <c r="F148" i="60"/>
  <c r="G6" i="60"/>
  <c r="E6" i="60"/>
  <c r="F6" i="60"/>
  <c r="D250" i="60"/>
  <c r="F250" i="60"/>
  <c r="E250" i="60"/>
  <c r="G250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107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381" i="55"/>
  <c r="V10" i="34"/>
  <c r="A30" i="47" s="1"/>
  <c r="K135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6" i="55"/>
  <c r="K13" i="55"/>
  <c r="G381" i="55"/>
  <c r="G16" i="55"/>
  <c r="K12" i="55"/>
  <c r="K18" i="55"/>
  <c r="I13" i="61"/>
  <c r="I14" i="61" s="1"/>
  <c r="C13" i="61"/>
  <c r="C14" i="61" s="1"/>
  <c r="H252" i="60" l="1"/>
  <c r="H269" i="60"/>
  <c r="H346" i="60"/>
  <c r="H307" i="60"/>
  <c r="H360" i="60"/>
  <c r="H358" i="60"/>
  <c r="H344" i="60"/>
  <c r="H342" i="60"/>
  <c r="H302" i="60"/>
  <c r="H325" i="60"/>
  <c r="H293" i="60"/>
  <c r="H329" i="60"/>
  <c r="H327" i="60"/>
  <c r="H313" i="60"/>
  <c r="H311" i="60"/>
  <c r="H297" i="60"/>
  <c r="H295" i="60"/>
  <c r="H281" i="60"/>
  <c r="H279" i="60"/>
  <c r="H274" i="60"/>
  <c r="H259" i="60"/>
  <c r="H265" i="60"/>
  <c r="H271" i="60"/>
  <c r="H363" i="60"/>
  <c r="H352" i="60"/>
  <c r="H350" i="60"/>
  <c r="H336" i="60"/>
  <c r="H334" i="60"/>
  <c r="H306" i="60"/>
  <c r="H305" i="60"/>
  <c r="H276" i="60"/>
  <c r="H356" i="60"/>
  <c r="H354" i="60"/>
  <c r="H340" i="60"/>
  <c r="H338" i="60"/>
  <c r="H324" i="60"/>
  <c r="H292" i="60"/>
  <c r="H267" i="60"/>
  <c r="H257" i="60"/>
  <c r="H255" i="60"/>
  <c r="H331" i="60"/>
  <c r="H317" i="60"/>
  <c r="H315" i="60"/>
  <c r="H301" i="60"/>
  <c r="H299" i="60"/>
  <c r="H285" i="60"/>
  <c r="H283" i="60"/>
  <c r="H264" i="60"/>
  <c r="H262" i="60"/>
  <c r="H153" i="60"/>
  <c r="H348" i="60"/>
  <c r="H347" i="60"/>
  <c r="H333" i="60"/>
  <c r="H309" i="60"/>
  <c r="H361" i="60"/>
  <c r="H359" i="60"/>
  <c r="H345" i="60"/>
  <c r="H343" i="60"/>
  <c r="H304" i="60"/>
  <c r="H323" i="60"/>
  <c r="H291" i="60"/>
  <c r="H328" i="60"/>
  <c r="H326" i="60"/>
  <c r="H312" i="60"/>
  <c r="H310" i="60"/>
  <c r="H296" i="60"/>
  <c r="H294" i="60"/>
  <c r="H280" i="60"/>
  <c r="H278" i="60"/>
  <c r="H275" i="60"/>
  <c r="H260" i="60"/>
  <c r="H258" i="60"/>
  <c r="H272" i="60"/>
  <c r="H270" i="60"/>
  <c r="H362" i="60"/>
  <c r="H353" i="60"/>
  <c r="H351" i="60"/>
  <c r="H337" i="60"/>
  <c r="H335" i="60"/>
  <c r="H308" i="60"/>
  <c r="H303" i="60"/>
  <c r="H357" i="60"/>
  <c r="H355" i="60"/>
  <c r="H341" i="60"/>
  <c r="H339" i="60"/>
  <c r="H322" i="60"/>
  <c r="H290" i="60"/>
  <c r="H268" i="60"/>
  <c r="H266" i="60"/>
  <c r="H273" i="60"/>
  <c r="H256" i="60"/>
  <c r="H254" i="60"/>
  <c r="H332" i="60"/>
  <c r="H330" i="60"/>
  <c r="H316" i="60"/>
  <c r="H314" i="60"/>
  <c r="H300" i="60"/>
  <c r="H298" i="60"/>
  <c r="H284" i="60"/>
  <c r="H282" i="60"/>
  <c r="H263" i="60"/>
  <c r="H253" i="60"/>
  <c r="H147" i="60"/>
  <c r="H145" i="60"/>
  <c r="H150" i="60"/>
  <c r="H149" i="60"/>
  <c r="H146" i="60"/>
  <c r="H151" i="60"/>
  <c r="H154" i="60"/>
  <c r="H144" i="60"/>
  <c r="H148" i="60"/>
  <c r="H152" i="60"/>
  <c r="H133" i="60"/>
  <c r="J133" i="60" s="1"/>
  <c r="H110" i="60"/>
  <c r="J110" i="60" s="1"/>
  <c r="H80" i="60"/>
  <c r="J80" i="60" s="1"/>
  <c r="H83" i="60"/>
  <c r="J83" i="60" s="1"/>
  <c r="H67" i="60"/>
  <c r="J67" i="60" s="1"/>
  <c r="H70" i="60"/>
  <c r="J70" i="60" s="1"/>
  <c r="H65" i="60"/>
  <c r="J65" i="60" s="1"/>
  <c r="H131" i="60"/>
  <c r="J131" i="60" s="1"/>
  <c r="H129" i="60"/>
  <c r="J129" i="60" s="1"/>
  <c r="H127" i="60"/>
  <c r="J127" i="60" s="1"/>
  <c r="H125" i="60"/>
  <c r="J125" i="60" s="1"/>
  <c r="H123" i="60"/>
  <c r="J123" i="60" s="1"/>
  <c r="H121" i="60"/>
  <c r="J121" i="60" s="1"/>
  <c r="H119" i="60"/>
  <c r="J119" i="60" s="1"/>
  <c r="H117" i="60"/>
  <c r="J117" i="60" s="1"/>
  <c r="H115" i="60"/>
  <c r="J115" i="60" s="1"/>
  <c r="H113" i="60"/>
  <c r="J113" i="60" s="1"/>
  <c r="H111" i="60"/>
  <c r="J111" i="60" s="1"/>
  <c r="H109" i="60"/>
  <c r="J109" i="60" s="1"/>
  <c r="H104" i="60"/>
  <c r="J104" i="60" s="1"/>
  <c r="H100" i="60"/>
  <c r="J100" i="60" s="1"/>
  <c r="H96" i="60"/>
  <c r="J96" i="60" s="1"/>
  <c r="H92" i="60"/>
  <c r="J92" i="60" s="1"/>
  <c r="H88" i="60"/>
  <c r="J88" i="60" s="1"/>
  <c r="H84" i="60"/>
  <c r="J84" i="60" s="1"/>
  <c r="H68" i="60"/>
  <c r="J68" i="60" s="1"/>
  <c r="H71" i="60"/>
  <c r="J71" i="60" s="1"/>
  <c r="H105" i="60"/>
  <c r="J105" i="60" s="1"/>
  <c r="H101" i="60"/>
  <c r="J101" i="60" s="1"/>
  <c r="H97" i="60"/>
  <c r="J97" i="60" s="1"/>
  <c r="H93" i="60"/>
  <c r="J93" i="60" s="1"/>
  <c r="H89" i="60"/>
  <c r="J89" i="60" s="1"/>
  <c r="H85" i="60"/>
  <c r="J85" i="60" s="1"/>
  <c r="H74" i="60"/>
  <c r="J74" i="60" s="1"/>
  <c r="H72" i="60"/>
  <c r="J72" i="60" s="1"/>
  <c r="H75" i="60"/>
  <c r="J75" i="60" s="1"/>
  <c r="H78" i="60"/>
  <c r="J78" i="60" s="1"/>
  <c r="H63" i="60"/>
  <c r="H64" i="60"/>
  <c r="H134" i="60"/>
  <c r="J134" i="60" s="1"/>
  <c r="H132" i="60"/>
  <c r="J132" i="60" s="1"/>
  <c r="H130" i="60"/>
  <c r="J130" i="60" s="1"/>
  <c r="H128" i="60"/>
  <c r="J128" i="60" s="1"/>
  <c r="H126" i="60"/>
  <c r="J126" i="60" s="1"/>
  <c r="H124" i="60"/>
  <c r="J124" i="60" s="1"/>
  <c r="H122" i="60"/>
  <c r="J122" i="60" s="1"/>
  <c r="H120" i="60"/>
  <c r="J120" i="60" s="1"/>
  <c r="H118" i="60"/>
  <c r="J118" i="60" s="1"/>
  <c r="H116" i="60"/>
  <c r="J116" i="60" s="1"/>
  <c r="H114" i="60"/>
  <c r="J114" i="60" s="1"/>
  <c r="H112" i="60"/>
  <c r="J112" i="60" s="1"/>
  <c r="H108" i="60"/>
  <c r="J108" i="60" s="1"/>
  <c r="H106" i="60"/>
  <c r="J106" i="60" s="1"/>
  <c r="H102" i="60"/>
  <c r="J102" i="60" s="1"/>
  <c r="H98" i="60"/>
  <c r="J98" i="60" s="1"/>
  <c r="H94" i="60"/>
  <c r="J94" i="60" s="1"/>
  <c r="H90" i="60"/>
  <c r="J90" i="60" s="1"/>
  <c r="H86" i="60"/>
  <c r="J86" i="60" s="1"/>
  <c r="H76" i="60"/>
  <c r="J76" i="60" s="1"/>
  <c r="H79" i="60"/>
  <c r="J79" i="60" s="1"/>
  <c r="H107" i="60"/>
  <c r="J107" i="60" s="1"/>
  <c r="H103" i="60"/>
  <c r="J103" i="60" s="1"/>
  <c r="H99" i="60"/>
  <c r="J99" i="60" s="1"/>
  <c r="H95" i="60"/>
  <c r="J95" i="60" s="1"/>
  <c r="H91" i="60"/>
  <c r="J91" i="60" s="1"/>
  <c r="H87" i="60"/>
  <c r="J87" i="60" s="1"/>
  <c r="H82" i="60"/>
  <c r="J82" i="60" s="1"/>
  <c r="H66" i="60"/>
  <c r="J66" i="60" s="1"/>
  <c r="H51" i="60"/>
  <c r="J51" i="60" s="1"/>
  <c r="H54" i="60"/>
  <c r="J54" i="60" s="1"/>
  <c r="H50" i="60"/>
  <c r="J50" i="60" s="1"/>
  <c r="H53" i="60"/>
  <c r="J53" i="60" s="1"/>
  <c r="H52" i="60"/>
  <c r="J52" i="60" s="1"/>
  <c r="H16" i="60"/>
  <c r="J16" i="60" s="1"/>
  <c r="H28" i="60"/>
  <c r="J28" i="60" s="1"/>
  <c r="H12" i="60"/>
  <c r="J12" i="60" s="1"/>
  <c r="H48" i="60"/>
  <c r="J48" i="60" s="1"/>
  <c r="H32" i="60"/>
  <c r="J32" i="60" s="1"/>
  <c r="H31" i="60"/>
  <c r="J31" i="60" s="1"/>
  <c r="H15" i="60"/>
  <c r="J15" i="60" s="1"/>
  <c r="H18" i="60"/>
  <c r="J18" i="60" s="1"/>
  <c r="H34" i="60"/>
  <c r="J34" i="60" s="1"/>
  <c r="H33" i="60"/>
  <c r="J33" i="60" s="1"/>
  <c r="H29" i="60"/>
  <c r="J29" i="60" s="1"/>
  <c r="H13" i="60"/>
  <c r="J13" i="60" s="1"/>
  <c r="H6" i="60"/>
  <c r="H44" i="60"/>
  <c r="J44" i="60" s="1"/>
  <c r="H27" i="60"/>
  <c r="J27" i="60" s="1"/>
  <c r="H11" i="60"/>
  <c r="J11" i="60" s="1"/>
  <c r="H42" i="60"/>
  <c r="J42" i="60" s="1"/>
  <c r="H30" i="60"/>
  <c r="J30" i="60" s="1"/>
  <c r="H14" i="60"/>
  <c r="J14" i="60" s="1"/>
  <c r="H45" i="60"/>
  <c r="J45" i="60" s="1"/>
  <c r="H41" i="60"/>
  <c r="J41" i="60" s="1"/>
  <c r="H37" i="60"/>
  <c r="J37" i="60" s="1"/>
  <c r="H25" i="60"/>
  <c r="J25" i="60" s="1"/>
  <c r="H9" i="60"/>
  <c r="J9" i="60" s="1"/>
  <c r="H43" i="60"/>
  <c r="J43" i="60" s="1"/>
  <c r="H40" i="60"/>
  <c r="J40" i="60" s="1"/>
  <c r="H24" i="60"/>
  <c r="J24" i="60" s="1"/>
  <c r="H8" i="60"/>
  <c r="J8" i="60" s="1"/>
  <c r="H39" i="60"/>
  <c r="J39" i="60" s="1"/>
  <c r="H23" i="60"/>
  <c r="J23" i="60" s="1"/>
  <c r="H7" i="60"/>
  <c r="J7" i="60" s="1"/>
  <c r="H26" i="60"/>
  <c r="J26" i="60" s="1"/>
  <c r="H10" i="60"/>
  <c r="J10" i="60" s="1"/>
  <c r="H21" i="60"/>
  <c r="J21" i="60" s="1"/>
  <c r="H47" i="60"/>
  <c r="J47" i="60" s="1"/>
  <c r="H49" i="60"/>
  <c r="J49" i="60" s="1"/>
  <c r="H36" i="60"/>
  <c r="J36" i="60" s="1"/>
  <c r="H20" i="60"/>
  <c r="J20" i="60" s="1"/>
  <c r="H35" i="60"/>
  <c r="J35" i="60" s="1"/>
  <c r="H19" i="60"/>
  <c r="J19" i="60" s="1"/>
  <c r="H46" i="60"/>
  <c r="J46" i="60" s="1"/>
  <c r="H22" i="60"/>
  <c r="J22" i="60" s="1"/>
  <c r="H17" i="60"/>
  <c r="J17" i="60" s="1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106" i="14"/>
  <c r="H250" i="60"/>
  <c r="J358" i="60"/>
  <c r="J348" i="60"/>
  <c r="J353" i="60"/>
  <c r="J351" i="60"/>
  <c r="J347" i="60"/>
  <c r="J333" i="60"/>
  <c r="J325" i="60"/>
  <c r="J293" i="60"/>
  <c r="J329" i="60"/>
  <c r="J327" i="60"/>
  <c r="J313" i="60"/>
  <c r="J311" i="60"/>
  <c r="J297" i="60"/>
  <c r="J295" i="60"/>
  <c r="J281" i="60"/>
  <c r="J279" i="60"/>
  <c r="J274" i="60"/>
  <c r="J259" i="60"/>
  <c r="J265" i="60"/>
  <c r="J331" i="60"/>
  <c r="J317" i="60"/>
  <c r="J315" i="60"/>
  <c r="J301" i="60"/>
  <c r="J299" i="60"/>
  <c r="J285" i="60"/>
  <c r="J283" i="60"/>
  <c r="J264" i="60"/>
  <c r="J262" i="60"/>
  <c r="J308" i="60"/>
  <c r="J361" i="60"/>
  <c r="J359" i="60"/>
  <c r="J345" i="60"/>
  <c r="J343" i="60"/>
  <c r="J305" i="60"/>
  <c r="J356" i="60"/>
  <c r="J350" i="60"/>
  <c r="J340" i="60"/>
  <c r="J324" i="60"/>
  <c r="J292" i="60"/>
  <c r="J280" i="60"/>
  <c r="J269" i="60"/>
  <c r="J267" i="60"/>
  <c r="J257" i="60"/>
  <c r="J272" i="60"/>
  <c r="J270" i="60"/>
  <c r="J362" i="60"/>
  <c r="J352" i="60"/>
  <c r="J342" i="60"/>
  <c r="J307" i="60"/>
  <c r="J304" i="60"/>
  <c r="J323" i="60"/>
  <c r="J291" i="60"/>
  <c r="J328" i="60"/>
  <c r="J326" i="60"/>
  <c r="J312" i="60"/>
  <c r="J310" i="60"/>
  <c r="J296" i="60"/>
  <c r="J294" i="60"/>
  <c r="J278" i="60"/>
  <c r="J275" i="60"/>
  <c r="J260" i="60"/>
  <c r="J258" i="60"/>
  <c r="J256" i="60"/>
  <c r="J332" i="60"/>
  <c r="J330" i="60"/>
  <c r="J316" i="60"/>
  <c r="J314" i="60"/>
  <c r="J300" i="60"/>
  <c r="J298" i="60"/>
  <c r="J284" i="60"/>
  <c r="J282" i="60"/>
  <c r="J263" i="60"/>
  <c r="J306" i="60"/>
  <c r="J360" i="60"/>
  <c r="J354" i="60"/>
  <c r="J344" i="60"/>
  <c r="J338" i="60"/>
  <c r="J303" i="60"/>
  <c r="J357" i="60"/>
  <c r="J355" i="60"/>
  <c r="J341" i="60"/>
  <c r="J339" i="60"/>
  <c r="J322" i="60"/>
  <c r="J290" i="60"/>
  <c r="J252" i="60"/>
  <c r="J268" i="60"/>
  <c r="J266" i="60"/>
  <c r="J273" i="60"/>
  <c r="J271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J346" i="60"/>
  <c r="J365" i="60"/>
  <c r="J349" i="60"/>
  <c r="J58" i="57"/>
  <c r="J59" i="57"/>
  <c r="J43" i="57"/>
  <c r="K217" i="55"/>
  <c r="J51" i="57"/>
  <c r="J33" i="57"/>
  <c r="J46" i="57"/>
  <c r="J47" i="57"/>
  <c r="J29" i="57"/>
  <c r="H164" i="60"/>
  <c r="J164" i="60" s="1"/>
  <c r="J28" i="57"/>
  <c r="J32" i="57"/>
  <c r="J25" i="57"/>
  <c r="H176" i="60"/>
  <c r="J176" i="60" s="1"/>
  <c r="H180" i="60"/>
  <c r="J180" i="60" s="1"/>
  <c r="H184" i="60"/>
  <c r="J184" i="60" s="1"/>
  <c r="H188" i="60"/>
  <c r="J188" i="60" s="1"/>
  <c r="H192" i="60"/>
  <c r="J192" i="60" s="1"/>
  <c r="H196" i="60"/>
  <c r="J196" i="60" s="1"/>
  <c r="H200" i="60"/>
  <c r="J200" i="60" s="1"/>
  <c r="H204" i="60"/>
  <c r="J204" i="60" s="1"/>
  <c r="H208" i="60"/>
  <c r="J208" i="60" s="1"/>
  <c r="H212" i="60"/>
  <c r="J212" i="60" s="1"/>
  <c r="H216" i="60"/>
  <c r="J216" i="60" s="1"/>
  <c r="H220" i="60"/>
  <c r="J220" i="60" s="1"/>
  <c r="H224" i="60"/>
  <c r="J224" i="60" s="1"/>
  <c r="H232" i="60"/>
  <c r="J232" i="60" s="1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J309" i="60"/>
  <c r="J319" i="60"/>
  <c r="J321" i="60"/>
  <c r="J335" i="60"/>
  <c r="J337" i="60"/>
  <c r="J318" i="60"/>
  <c r="J320" i="60"/>
  <c r="J334" i="60"/>
  <c r="J336" i="60"/>
  <c r="J363" i="60"/>
  <c r="J364" i="60"/>
  <c r="J261" i="60"/>
  <c r="J277" i="60"/>
  <c r="J276" i="60"/>
  <c r="J286" i="60"/>
  <c r="J288" i="60"/>
  <c r="J302" i="60"/>
  <c r="J287" i="60"/>
  <c r="J289" i="60"/>
  <c r="H179" i="60"/>
  <c r="J179" i="60" s="1"/>
  <c r="H183" i="60"/>
  <c r="J183" i="60" s="1"/>
  <c r="H187" i="60"/>
  <c r="J187" i="60" s="1"/>
  <c r="H191" i="60"/>
  <c r="J191" i="60" s="1"/>
  <c r="H195" i="60"/>
  <c r="J195" i="60" s="1"/>
  <c r="H199" i="60"/>
  <c r="J199" i="60" s="1"/>
  <c r="H203" i="60"/>
  <c r="J203" i="60" s="1"/>
  <c r="H207" i="60"/>
  <c r="J207" i="60" s="1"/>
  <c r="H211" i="60"/>
  <c r="J211" i="60" s="1"/>
  <c r="H215" i="60"/>
  <c r="J215" i="60" s="1"/>
  <c r="H219" i="60"/>
  <c r="J219" i="60" s="1"/>
  <c r="H222" i="60"/>
  <c r="J222" i="60" s="1"/>
  <c r="H230" i="60"/>
  <c r="J230" i="60" s="1"/>
  <c r="H157" i="60"/>
  <c r="J157" i="60" s="1"/>
  <c r="J149" i="60"/>
  <c r="J153" i="60"/>
  <c r="J152" i="60"/>
  <c r="J151" i="60"/>
  <c r="J150" i="60"/>
  <c r="H162" i="60"/>
  <c r="J162" i="60" s="1"/>
  <c r="B24" i="56"/>
  <c r="F24" i="56"/>
  <c r="H155" i="60"/>
  <c r="J155" i="60" s="1"/>
  <c r="H158" i="60"/>
  <c r="J158" i="60" s="1"/>
  <c r="H165" i="60"/>
  <c r="J165" i="60" s="1"/>
  <c r="H169" i="60"/>
  <c r="J169" i="60" s="1"/>
  <c r="H173" i="60"/>
  <c r="J173" i="60" s="1"/>
  <c r="H177" i="60"/>
  <c r="J177" i="60" s="1"/>
  <c r="H181" i="60"/>
  <c r="J181" i="60" s="1"/>
  <c r="H185" i="60"/>
  <c r="J185" i="60" s="1"/>
  <c r="H189" i="60"/>
  <c r="J189" i="60" s="1"/>
  <c r="H193" i="60"/>
  <c r="J193" i="60" s="1"/>
  <c r="H197" i="60"/>
  <c r="J197" i="60" s="1"/>
  <c r="H201" i="60"/>
  <c r="J201" i="60" s="1"/>
  <c r="H205" i="60"/>
  <c r="J205" i="60" s="1"/>
  <c r="H209" i="60"/>
  <c r="J209" i="60" s="1"/>
  <c r="H213" i="60"/>
  <c r="J213" i="60" s="1"/>
  <c r="H217" i="60"/>
  <c r="J217" i="60" s="1"/>
  <c r="H221" i="60"/>
  <c r="J221" i="60" s="1"/>
  <c r="H226" i="60"/>
  <c r="J226" i="60" s="1"/>
  <c r="H225" i="60"/>
  <c r="J225" i="60" s="1"/>
  <c r="H234" i="60"/>
  <c r="J234" i="60" s="1"/>
  <c r="H238" i="60"/>
  <c r="J238" i="60" s="1"/>
  <c r="H163" i="60"/>
  <c r="J163" i="60" s="1"/>
  <c r="H168" i="60"/>
  <c r="J168" i="60" s="1"/>
  <c r="H172" i="60"/>
  <c r="J172" i="60" s="1"/>
  <c r="H223" i="60"/>
  <c r="J223" i="60" s="1"/>
  <c r="H231" i="60"/>
  <c r="J231" i="60" s="1"/>
  <c r="H233" i="60"/>
  <c r="J233" i="60" s="1"/>
  <c r="H237" i="60"/>
  <c r="J237" i="60" s="1"/>
  <c r="H241" i="60"/>
  <c r="J241" i="60" s="1"/>
  <c r="H161" i="60"/>
  <c r="J161" i="60" s="1"/>
  <c r="H167" i="60"/>
  <c r="J167" i="60" s="1"/>
  <c r="H171" i="60"/>
  <c r="J171" i="60" s="1"/>
  <c r="H175" i="60"/>
  <c r="J175" i="60" s="1"/>
  <c r="H229" i="60"/>
  <c r="J229" i="60" s="1"/>
  <c r="H236" i="60"/>
  <c r="J236" i="60" s="1"/>
  <c r="H240" i="60"/>
  <c r="J240" i="60" s="1"/>
  <c r="H156" i="60"/>
  <c r="J156" i="60" s="1"/>
  <c r="H160" i="60"/>
  <c r="J160" i="60" s="1"/>
  <c r="J154" i="60"/>
  <c r="H159" i="60"/>
  <c r="J159" i="60" s="1"/>
  <c r="H166" i="60"/>
  <c r="J166" i="60" s="1"/>
  <c r="H170" i="60"/>
  <c r="J170" i="60" s="1"/>
  <c r="H174" i="60"/>
  <c r="J174" i="60" s="1"/>
  <c r="H178" i="60"/>
  <c r="J178" i="60" s="1"/>
  <c r="H182" i="60"/>
  <c r="J182" i="60" s="1"/>
  <c r="H186" i="60"/>
  <c r="J186" i="60" s="1"/>
  <c r="H190" i="60"/>
  <c r="J190" i="60" s="1"/>
  <c r="H194" i="60"/>
  <c r="J194" i="60" s="1"/>
  <c r="H198" i="60"/>
  <c r="J198" i="60" s="1"/>
  <c r="H202" i="60"/>
  <c r="J202" i="60" s="1"/>
  <c r="H206" i="60"/>
  <c r="J206" i="60" s="1"/>
  <c r="H210" i="60"/>
  <c r="J210" i="60" s="1"/>
  <c r="H214" i="60"/>
  <c r="J214" i="60" s="1"/>
  <c r="H218" i="60"/>
  <c r="J218" i="60" s="1"/>
  <c r="H228" i="60"/>
  <c r="J228" i="60" s="1"/>
  <c r="H227" i="60"/>
  <c r="J227" i="60" s="1"/>
  <c r="H235" i="60"/>
  <c r="J235" i="60" s="1"/>
  <c r="H239" i="60"/>
  <c r="J239" i="60" s="1"/>
  <c r="J64" i="60"/>
  <c r="J63" i="60"/>
  <c r="M9" i="39"/>
  <c r="H102" i="14"/>
  <c r="G102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J6" i="60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K381" i="55"/>
  <c r="J17" i="57"/>
  <c r="H23" i="57"/>
  <c r="H16" i="57"/>
  <c r="H18" i="57"/>
  <c r="B13" i="61"/>
  <c r="H243" i="60" l="1"/>
  <c r="H245" i="60" s="1"/>
  <c r="G3" i="47"/>
  <c r="C66" i="47"/>
  <c r="H17" i="56"/>
  <c r="H19" i="56"/>
  <c r="H20" i="56"/>
  <c r="H23" i="56"/>
  <c r="D25" i="56"/>
  <c r="H18" i="56"/>
  <c r="H24" i="56"/>
  <c r="H21" i="56"/>
  <c r="H22" i="56"/>
  <c r="G3" i="56"/>
  <c r="G4" i="56"/>
  <c r="H367" i="60"/>
  <c r="H369" i="60" s="1"/>
  <c r="D24" i="56"/>
  <c r="H136" i="60"/>
  <c r="H138" i="60" s="1"/>
  <c r="J255" i="60"/>
  <c r="J253" i="60"/>
  <c r="J254" i="60"/>
  <c r="J251" i="60"/>
  <c r="J147" i="60"/>
  <c r="J146" i="60"/>
  <c r="J148" i="60"/>
  <c r="J145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103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H56" i="60"/>
  <c r="H58" i="60" s="1"/>
  <c r="B14" i="61"/>
  <c r="I15" i="14"/>
  <c r="I13" i="42"/>
  <c r="J103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68" i="42"/>
  <c r="I69" i="42"/>
  <c r="J250" i="60"/>
  <c r="H27" i="56"/>
  <c r="I16" i="71"/>
  <c r="J16" i="71"/>
  <c r="J16" i="14"/>
  <c r="G70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29" i="56"/>
  <c r="J17" i="71" l="1"/>
  <c r="I17" i="71"/>
  <c r="I17" i="14"/>
  <c r="J17" i="14"/>
  <c r="I6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6" i="71" s="1"/>
  <c r="I25" i="14"/>
  <c r="J25" i="14"/>
  <c r="H63" i="47"/>
  <c r="J26" i="71"/>
  <c r="I16" i="47"/>
  <c r="H16" i="47"/>
  <c r="J27" i="71" l="1"/>
  <c r="J26" i="14"/>
  <c r="I26" i="14"/>
  <c r="I27" i="71"/>
  <c r="H17" i="47"/>
  <c r="I17" i="47"/>
  <c r="I27" i="14" l="1"/>
  <c r="J27" i="14"/>
  <c r="I28" i="71"/>
  <c r="J28" i="71"/>
  <c r="I18" i="47"/>
  <c r="H18" i="47"/>
  <c r="J28" i="14" l="1"/>
  <c r="I28" i="14"/>
  <c r="J29" i="71"/>
  <c r="I29" i="71"/>
  <c r="H19" i="47"/>
  <c r="I19" i="47"/>
  <c r="I29" i="14" l="1"/>
  <c r="J29" i="14"/>
  <c r="I30" i="71"/>
  <c r="J30" i="71"/>
  <c r="I20" i="47"/>
  <c r="H20" i="47"/>
  <c r="J30" i="14" l="1"/>
  <c r="H21" i="47"/>
  <c r="I21" i="47"/>
  <c r="I30" i="14"/>
  <c r="F38" i="43"/>
  <c r="F70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31" i="14" l="1"/>
  <c r="I22" i="47"/>
  <c r="H22" i="47"/>
  <c r="J31" i="14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70" i="43"/>
  <c r="H71" i="43" s="1"/>
  <c r="J32" i="14" l="1"/>
  <c r="I23" i="47"/>
  <c r="H23" i="47"/>
  <c r="I32" i="14"/>
  <c r="I33" i="14" l="1"/>
  <c r="H24" i="47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31" i="47" l="1"/>
  <c r="H31" i="47"/>
  <c r="I40" i="14"/>
  <c r="I41" i="14" s="1"/>
  <c r="H32" i="47" l="1"/>
  <c r="I32" i="47"/>
  <c r="J41" i="14"/>
  <c r="J42" i="14" s="1"/>
  <c r="I33" i="47" l="1"/>
  <c r="H33" i="47"/>
  <c r="I42" i="14"/>
  <c r="I43" i="14" s="1"/>
  <c r="H34" i="47" l="1"/>
  <c r="I34" i="47"/>
  <c r="J43" i="14"/>
  <c r="J44" i="14" s="1"/>
  <c r="I35" i="47" l="1"/>
  <c r="H35" i="47"/>
  <c r="I44" i="14"/>
  <c r="I45" i="14" s="1"/>
  <c r="H36" i="47" l="1"/>
  <c r="I36" i="47"/>
  <c r="J45" i="14"/>
  <c r="J46" i="14" s="1"/>
  <c r="I37" i="47" l="1"/>
  <c r="H37" i="47"/>
  <c r="I46" i="14"/>
  <c r="I47" i="14" s="1"/>
  <c r="H38" i="47" l="1"/>
  <c r="I38" i="47"/>
  <c r="I39" i="47" s="1"/>
  <c r="J47" i="14"/>
  <c r="J48" i="14" s="1"/>
  <c r="H39" i="47" l="1"/>
  <c r="H40" i="47" s="1"/>
  <c r="I48" i="14"/>
  <c r="I49" i="14" s="1"/>
  <c r="I40" i="47" l="1"/>
  <c r="I41" i="47" s="1"/>
  <c r="J49" i="14"/>
  <c r="J50" i="14" s="1"/>
  <c r="I50" i="14" l="1"/>
  <c r="I51" i="14" s="1"/>
  <c r="H41" i="47"/>
  <c r="H42" i="47" s="1"/>
  <c r="J51" i="14" l="1"/>
  <c r="J52" i="14" s="1"/>
  <c r="I42" i="47"/>
  <c r="I43" i="47" s="1"/>
  <c r="I52" i="14" l="1"/>
  <c r="I53" i="14" s="1"/>
  <c r="H43" i="47"/>
  <c r="H44" i="47" s="1"/>
  <c r="J53" i="14" l="1"/>
  <c r="J54" i="14" s="1"/>
  <c r="I44" i="47"/>
  <c r="I45" i="47" s="1"/>
  <c r="I54" i="14" l="1"/>
  <c r="I55" i="14" s="1"/>
  <c r="H45" i="47"/>
  <c r="H46" i="47" s="1"/>
  <c r="J55" i="14" l="1"/>
  <c r="J56" i="14" s="1"/>
  <c r="I46" i="47"/>
  <c r="I47" i="47" s="1"/>
  <c r="I56" i="14" l="1"/>
  <c r="I57" i="14" s="1"/>
  <c r="H47" i="47"/>
  <c r="H48" i="47" s="1"/>
  <c r="J57" i="14" l="1"/>
  <c r="J58" i="14" s="1"/>
  <c r="I48" i="47"/>
  <c r="I49" i="47" s="1"/>
  <c r="I58" i="14" l="1"/>
  <c r="I59" i="14" s="1"/>
  <c r="H49" i="47"/>
  <c r="H50" i="47" s="1"/>
  <c r="J59" i="14" l="1"/>
  <c r="J60" i="14" s="1"/>
  <c r="I50" i="47"/>
  <c r="I51" i="47" s="1"/>
  <c r="I60" i="14" l="1"/>
  <c r="I61" i="14" s="1"/>
  <c r="H51" i="47"/>
  <c r="H52" i="47" s="1"/>
  <c r="J144" i="60"/>
  <c r="J61" i="14" l="1"/>
  <c r="J62" i="14" s="1"/>
  <c r="I52" i="47"/>
  <c r="I53" i="47" s="1"/>
  <c r="I62" i="14" l="1"/>
  <c r="I63" i="14" s="1"/>
  <c r="H53" i="47"/>
  <c r="H54" i="47" s="1"/>
  <c r="J63" i="14" l="1"/>
  <c r="J64" i="14" s="1"/>
  <c r="I54" i="47"/>
  <c r="I55" i="47" s="1"/>
  <c r="I64" i="14" l="1"/>
  <c r="I65" i="14" s="1"/>
  <c r="H55" i="47"/>
  <c r="H56" i="47" s="1"/>
  <c r="J65" i="14" l="1"/>
  <c r="J66" i="14" s="1"/>
  <c r="I56" i="47"/>
  <c r="I57" i="47" s="1"/>
  <c r="I66" i="14" l="1"/>
  <c r="I67" i="14" s="1"/>
  <c r="H57" i="47"/>
  <c r="H58" i="47" s="1"/>
  <c r="J67" i="14" l="1"/>
  <c r="J68" i="14" s="1"/>
  <c r="I58" i="47"/>
  <c r="I59" i="47" s="1"/>
  <c r="I68" i="14" l="1"/>
  <c r="I69" i="14" s="1"/>
  <c r="H59" i="47"/>
  <c r="H60" i="47" s="1"/>
  <c r="J69" i="14" l="1"/>
  <c r="J70" i="14" s="1"/>
  <c r="I60" i="47"/>
  <c r="I70" i="14" l="1"/>
  <c r="I71" i="14" s="1"/>
  <c r="J71" i="14" l="1"/>
  <c r="J72" i="14" s="1"/>
  <c r="I72" i="14" l="1"/>
  <c r="I73" i="14" s="1"/>
  <c r="J73" i="14" l="1"/>
  <c r="J74" i="14" s="1"/>
  <c r="I74" i="14" l="1"/>
  <c r="I75" i="14" s="1"/>
  <c r="J75" i="14" l="1"/>
  <c r="J76" i="14" s="1"/>
  <c r="I76" i="14" l="1"/>
  <c r="I77" i="14" s="1"/>
  <c r="J77" i="14" l="1"/>
  <c r="J78" i="14" s="1"/>
  <c r="I78" i="14" l="1"/>
  <c r="I79" i="14" s="1"/>
  <c r="J79" i="14" l="1"/>
  <c r="J80" i="14" s="1"/>
  <c r="I80" i="14" l="1"/>
  <c r="I81" i="14" s="1"/>
  <c r="J81" i="14" l="1"/>
  <c r="J82" i="14" s="1"/>
  <c r="I82" i="14" l="1"/>
  <c r="I83" i="14" s="1"/>
  <c r="J83" i="14" l="1"/>
  <c r="J84" i="14" s="1"/>
  <c r="I84" i="14" l="1"/>
  <c r="I85" i="14" s="1"/>
  <c r="J85" i="14" l="1"/>
  <c r="J86" i="14" s="1"/>
  <c r="I86" i="14" l="1"/>
  <c r="I87" i="14" s="1"/>
  <c r="J87" i="14" l="1"/>
  <c r="J88" i="14" s="1"/>
  <c r="I88" i="14" l="1"/>
  <c r="I89" i="14" s="1"/>
  <c r="J89" i="14" l="1"/>
  <c r="J90" i="14" s="1"/>
  <c r="I90" i="14" l="1"/>
  <c r="I91" i="14" s="1"/>
  <c r="J91" i="14" l="1"/>
  <c r="J92" i="14" s="1"/>
  <c r="I92" i="14" l="1"/>
  <c r="I93" i="14" s="1"/>
  <c r="J93" i="14" l="1"/>
  <c r="J94" i="14" s="1"/>
  <c r="I94" i="14" l="1"/>
  <c r="I95" i="14" s="1"/>
  <c r="J95" i="14" l="1"/>
  <c r="J96" i="14" s="1"/>
  <c r="I96" i="14" l="1"/>
  <c r="I97" i="14" s="1"/>
  <c r="J97" i="14" l="1"/>
  <c r="J98" i="14" s="1"/>
  <c r="I98" i="14" l="1"/>
  <c r="I99" i="14" s="1"/>
  <c r="J99" i="14" l="1"/>
  <c r="J100" i="14" s="1"/>
  <c r="I100" i="14" l="1"/>
  <c r="F42" i="57" l="1"/>
  <c r="J42" i="57" l="1"/>
  <c r="J74" i="57" s="1"/>
  <c r="H42" i="57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A252" i="60" l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A349" i="60" s="1"/>
  <c r="A350" i="60" s="1"/>
  <c r="A351" i="60" s="1"/>
  <c r="A352" i="60" s="1"/>
  <c r="A353" i="60" s="1"/>
  <c r="A354" i="60" s="1"/>
  <c r="A355" i="60" s="1"/>
  <c r="A356" i="60" s="1"/>
  <c r="A357" i="60" s="1"/>
  <c r="A358" i="60" s="1"/>
  <c r="A359" i="60" s="1"/>
  <c r="A360" i="60" s="1"/>
  <c r="A361" i="60" s="1"/>
  <c r="A362" i="60" s="1"/>
  <c r="A363" i="60" s="1"/>
  <c r="A364" i="60" s="1"/>
  <c r="A365" i="60" s="1"/>
  <c r="K2050" i="34" l="1"/>
  <c r="J164" i="55" a="1"/>
  <c r="J164" i="55" s="1"/>
  <c r="F50" i="15" a="1"/>
  <c r="F50" i="15" s="1"/>
  <c r="J294" i="55" a="1"/>
  <c r="J294" i="55" s="1"/>
  <c r="J275" i="55" a="1"/>
  <c r="J275" i="55" s="1"/>
  <c r="J326" i="55" a="1"/>
  <c r="J326" i="55" s="1"/>
  <c r="J147" i="55" a="1"/>
  <c r="J147" i="55" s="1"/>
  <c r="J168" i="55" a="1"/>
  <c r="J168" i="55" s="1"/>
  <c r="J274" i="55" a="1"/>
  <c r="J274" i="55" s="1"/>
  <c r="J149" i="55" a="1"/>
  <c r="J149" i="55" s="1"/>
  <c r="J371" i="55" a="1"/>
  <c r="J371" i="55" s="1"/>
  <c r="J196" i="55" a="1"/>
  <c r="J196" i="55" s="1"/>
  <c r="J204" i="55" a="1"/>
  <c r="J204" i="55" s="1"/>
  <c r="J329" i="55" a="1"/>
  <c r="J329" i="55" s="1"/>
  <c r="D13" i="39"/>
  <c r="J209" i="55" a="1"/>
  <c r="J209" i="55" s="1"/>
  <c r="J323" i="55" a="1"/>
  <c r="J323" i="55" s="1"/>
  <c r="J176" i="55" a="1"/>
  <c r="J176" i="55" s="1"/>
  <c r="J219" i="55" a="1"/>
  <c r="J219" i="55" s="1"/>
  <c r="J190" i="55" a="1"/>
  <c r="J190" i="55" s="1"/>
  <c r="J169" i="55" a="1"/>
  <c r="J169" i="55" s="1"/>
  <c r="J310" i="55" a="1"/>
  <c r="J310" i="55" s="1"/>
  <c r="J173" i="55" a="1"/>
  <c r="J173" i="55" s="1"/>
  <c r="J259" i="55" a="1"/>
  <c r="J259" i="55" s="1"/>
  <c r="J231" i="55" a="1"/>
  <c r="J231" i="55" s="1"/>
  <c r="J195" i="55" a="1"/>
  <c r="J195" i="55" s="1"/>
  <c r="J199" i="55" a="1"/>
  <c r="J199" i="55" s="1"/>
  <c r="J376" i="55" a="1"/>
  <c r="J376" i="55" s="1"/>
  <c r="J373" i="55" a="1"/>
  <c r="J373" i="55" s="1"/>
  <c r="J284" i="55" a="1"/>
  <c r="J284" i="55" s="1"/>
  <c r="J161" i="55" a="1"/>
  <c r="J161" i="55" s="1"/>
  <c r="J198" i="55" a="1"/>
  <c r="J198" i="55" s="1"/>
  <c r="F51" i="15" a="1"/>
  <c r="F51" i="15" s="1"/>
  <c r="J188" i="55" a="1"/>
  <c r="J188" i="55" s="1"/>
  <c r="J145" i="55" a="1"/>
  <c r="J145" i="55" s="1"/>
  <c r="F53" i="15" a="1"/>
  <c r="F53" i="15" s="1"/>
  <c r="J158" i="55" a="1"/>
  <c r="J158" i="55" s="1"/>
  <c r="J157" i="55" a="1"/>
  <c r="J157" i="55" s="1"/>
  <c r="J359" i="55" a="1"/>
  <c r="J359" i="55" s="1"/>
  <c r="J311" i="55" a="1"/>
  <c r="J311" i="55" s="1"/>
  <c r="J244" i="55" a="1"/>
  <c r="J244" i="55" s="1"/>
  <c r="J339" i="55" a="1"/>
  <c r="J339" i="55" s="1"/>
  <c r="J263" i="55" a="1"/>
  <c r="J263" i="55" s="1"/>
  <c r="J211" i="55" a="1"/>
  <c r="J211" i="55" s="1"/>
  <c r="J250" i="55" a="1"/>
  <c r="J250" i="55" s="1"/>
  <c r="J210" i="55" a="1"/>
  <c r="J210" i="55" s="1"/>
  <c r="J251" i="55" a="1"/>
  <c r="J251" i="55" s="1"/>
  <c r="J138" i="55" a="1"/>
  <c r="J138" i="55" s="1"/>
  <c r="J13" i="55" a="1"/>
  <c r="J13" i="55" s="1"/>
  <c r="J136" i="55" a="1"/>
  <c r="J136" i="55" s="1"/>
  <c r="J372" i="55" a="1"/>
  <c r="J372" i="55" s="1"/>
  <c r="J159" i="55" a="1"/>
  <c r="J159" i="55" s="1"/>
  <c r="F48" i="15" a="1"/>
  <c r="F48" i="15" s="1"/>
  <c r="J361" i="55" a="1"/>
  <c r="J361" i="55" s="1"/>
  <c r="J358" i="55" a="1"/>
  <c r="J358" i="55" s="1"/>
  <c r="J352" i="55" a="1"/>
  <c r="J352" i="55" s="1"/>
  <c r="J234" i="55" a="1"/>
  <c r="J234" i="55" s="1"/>
  <c r="J282" i="55" a="1"/>
  <c r="J282" i="55" s="1"/>
  <c r="J253" i="55" a="1"/>
  <c r="J253" i="55" s="1"/>
  <c r="J307" i="55" a="1"/>
  <c r="J307" i="55" s="1"/>
  <c r="J285" i="55" a="1"/>
  <c r="J285" i="55" s="1"/>
  <c r="J271" i="55" a="1"/>
  <c r="J271" i="55" s="1"/>
  <c r="J309" i="55" a="1"/>
  <c r="J309" i="55" s="1"/>
  <c r="J332" i="55" a="1"/>
  <c r="J332" i="55" s="1"/>
  <c r="J140" i="55" a="1"/>
  <c r="J140" i="55" s="1"/>
  <c r="J152" i="55" a="1"/>
  <c r="J152" i="55" s="1"/>
  <c r="J191" i="55" a="1"/>
  <c r="J191" i="55" s="1"/>
  <c r="J207" i="55" a="1"/>
  <c r="J207" i="55" s="1"/>
  <c r="J289" i="55" a="1"/>
  <c r="J289" i="55" s="1"/>
  <c r="J14" i="55" a="1"/>
  <c r="J14" i="55" s="1"/>
  <c r="J229" i="55" a="1"/>
  <c r="J229" i="55" s="1"/>
  <c r="J226" i="55" a="1"/>
  <c r="J226" i="55" s="1"/>
  <c r="J295" i="55" a="1"/>
  <c r="J295" i="55" s="1"/>
  <c r="J266" i="55" a="1"/>
  <c r="J266" i="55" s="1"/>
  <c r="J287" i="55" a="1"/>
  <c r="J287" i="55" s="1"/>
  <c r="J235" i="55" a="1"/>
  <c r="J235" i="55" s="1"/>
  <c r="J180" i="55" a="1"/>
  <c r="J180" i="55" s="1"/>
  <c r="J320" i="55" a="1"/>
  <c r="J320" i="55" s="1"/>
  <c r="J154" i="55" a="1"/>
  <c r="J154" i="55" s="1"/>
  <c r="J135" i="55" a="1"/>
  <c r="J135" i="55" s="1"/>
  <c r="J202" i="55" a="1"/>
  <c r="J202" i="55" s="1"/>
  <c r="J139" i="55" a="1"/>
  <c r="J139" i="55" s="1"/>
  <c r="J343" i="55" a="1"/>
  <c r="J343" i="55" s="1"/>
  <c r="J335" i="55" a="1"/>
  <c r="J335" i="55" s="1"/>
  <c r="J273" i="55" a="1"/>
  <c r="J273" i="55" s="1"/>
  <c r="J369" i="55" a="1"/>
  <c r="J369" i="55" s="1"/>
  <c r="J367" i="55" a="1"/>
  <c r="J367" i="55" s="1"/>
  <c r="J319" i="55" a="1"/>
  <c r="J319" i="55" s="1"/>
  <c r="J177" i="55" a="1"/>
  <c r="J177" i="55" s="1"/>
  <c r="J238" i="55" a="1"/>
  <c r="J238" i="55" s="1"/>
  <c r="J360" i="55" a="1"/>
  <c r="J360" i="55" s="1"/>
  <c r="J201" i="55" a="1"/>
  <c r="J201" i="55" s="1"/>
  <c r="J349" i="55" a="1"/>
  <c r="J349" i="55" s="1"/>
  <c r="J313" i="55" a="1"/>
  <c r="J313" i="55" s="1"/>
  <c r="J182" i="55" a="1"/>
  <c r="J182" i="55" s="1"/>
  <c r="J298" i="55" a="1"/>
  <c r="J298" i="55" s="1"/>
  <c r="J316" i="55" a="1"/>
  <c r="J316" i="55" s="1"/>
  <c r="J366" i="55" a="1"/>
  <c r="J366" i="55" s="1"/>
  <c r="J255" i="55" a="1"/>
  <c r="J255" i="55" s="1"/>
  <c r="J365" i="55" a="1"/>
  <c r="J365" i="55" s="1"/>
  <c r="J232" i="55" a="1"/>
  <c r="J232" i="55" s="1"/>
  <c r="J353" i="55" a="1"/>
  <c r="J353" i="55" s="1"/>
  <c r="J205" i="55" a="1"/>
  <c r="J205" i="55" s="1"/>
  <c r="J333" i="55" a="1"/>
  <c r="J333" i="55" s="1"/>
  <c r="J350" i="55" a="1"/>
  <c r="J350" i="55" s="1"/>
  <c r="J268" i="55" a="1"/>
  <c r="J268" i="55" s="1"/>
  <c r="J374" i="55" a="1"/>
  <c r="J374" i="55" s="1"/>
  <c r="J293" i="55" a="1"/>
  <c r="J293" i="55" s="1"/>
  <c r="J368" i="55" a="1"/>
  <c r="J368" i="55" s="1"/>
  <c r="J355" i="55" a="1"/>
  <c r="J355" i="55" s="1"/>
  <c r="J174" i="55" a="1"/>
  <c r="J174" i="55" s="1"/>
  <c r="J254" i="55" a="1"/>
  <c r="J254" i="55" s="1"/>
  <c r="J223" i="55" a="1"/>
  <c r="J223" i="55" s="1"/>
  <c r="J378" i="55" a="1"/>
  <c r="J378" i="55" s="1"/>
  <c r="J224" i="55" a="1"/>
  <c r="J224" i="55" s="1"/>
  <c r="J379" i="55" a="1"/>
  <c r="J379" i="55" s="1"/>
  <c r="J324" i="55" a="1"/>
  <c r="J324" i="55" s="1"/>
  <c r="J283" i="55" a="1"/>
  <c r="J283" i="55" s="1"/>
  <c r="J246" i="55" a="1"/>
  <c r="J246" i="55" s="1"/>
  <c r="J280" i="55" a="1"/>
  <c r="J280" i="55" s="1"/>
  <c r="J377" i="55" a="1"/>
  <c r="J377" i="55" s="1"/>
  <c r="J362" i="55" a="1"/>
  <c r="J362" i="55" s="1"/>
  <c r="J288" i="55" a="1"/>
  <c r="J288" i="55" s="1"/>
  <c r="J338" i="55" a="1"/>
  <c r="J338" i="55" s="1"/>
  <c r="J249" i="55" a="1"/>
  <c r="J249" i="55" s="1"/>
  <c r="J245" i="55" a="1"/>
  <c r="J245" i="55" s="1"/>
  <c r="J227" i="55" a="1"/>
  <c r="J227" i="55" s="1"/>
  <c r="J330" i="55" a="1"/>
  <c r="J330" i="55" s="1"/>
  <c r="J279" i="55" a="1"/>
  <c r="J279" i="55" s="1"/>
  <c r="J242" i="55" a="1"/>
  <c r="J242" i="55" s="1"/>
  <c r="J214" i="55" a="1"/>
  <c r="J214" i="55" s="1"/>
  <c r="J292" i="55" a="1"/>
  <c r="J292" i="55" s="1"/>
  <c r="J300" i="55" a="1"/>
  <c r="J300" i="55" s="1"/>
  <c r="J261" i="55" a="1"/>
  <c r="J261" i="55" s="1"/>
  <c r="J328" i="55" a="1"/>
  <c r="J328" i="55" s="1"/>
  <c r="J237" i="55" a="1"/>
  <c r="J237" i="55" s="1"/>
  <c r="J233" i="55" a="1"/>
  <c r="J233" i="55" s="1"/>
  <c r="J334" i="55" a="1"/>
  <c r="J334" i="55" s="1"/>
  <c r="J248" i="55" a="1"/>
  <c r="J248" i="55" s="1"/>
  <c r="J301" i="55" a="1"/>
  <c r="J301" i="55" s="1"/>
  <c r="J341" i="55" a="1"/>
  <c r="J341" i="55" s="1"/>
  <c r="J347" i="55" a="1"/>
  <c r="J347" i="55" s="1"/>
  <c r="J192" i="55" a="1"/>
  <c r="J192" i="55" s="1"/>
  <c r="J303" i="55" a="1"/>
  <c r="J303" i="55" s="1"/>
  <c r="J265" i="55" a="1"/>
  <c r="J265" i="55" s="1"/>
  <c r="J314" i="55" a="1"/>
  <c r="J314" i="55" s="1"/>
  <c r="J375" i="55" a="1"/>
  <c r="J375" i="55" s="1"/>
  <c r="J342" i="55" a="1"/>
  <c r="J342" i="55" s="1"/>
  <c r="J247" i="55" a="1"/>
  <c r="J247" i="55" s="1"/>
  <c r="J363" i="55" a="1"/>
  <c r="J363" i="55" s="1"/>
  <c r="J264" i="55" a="1"/>
  <c r="J264" i="55" s="1"/>
  <c r="J286" i="55" a="1"/>
  <c r="J286" i="55" s="1"/>
  <c r="J345" i="55" a="1"/>
  <c r="J345" i="55" s="1"/>
  <c r="J262" i="55" a="1"/>
  <c r="J262" i="55" s="1"/>
  <c r="J243" i="55" a="1"/>
  <c r="J243" i="55" s="1"/>
  <c r="J304" i="55" a="1"/>
  <c r="J304" i="55" s="1"/>
  <c r="J299" i="55" a="1"/>
  <c r="J299" i="55" s="1"/>
  <c r="J291" i="55" a="1"/>
  <c r="J291" i="55" s="1"/>
  <c r="J340" i="55" a="1"/>
  <c r="J340" i="55" s="1"/>
  <c r="J200" i="55" a="1"/>
  <c r="J200" i="55" s="1"/>
  <c r="J260" i="55" a="1"/>
  <c r="J260" i="55" s="1"/>
  <c r="J256" i="55" a="1"/>
  <c r="J256" i="55" s="1"/>
  <c r="J241" i="55" a="1"/>
  <c r="J241" i="55" s="1"/>
  <c r="J321" i="55" a="1"/>
  <c r="J321" i="55" s="1"/>
  <c r="J236" i="55" a="1"/>
  <c r="J236" i="55" s="1"/>
  <c r="J167" i="55" a="1"/>
  <c r="J167" i="55" s="1"/>
  <c r="J370" i="55" a="1"/>
  <c r="J370" i="55" s="1"/>
  <c r="J220" i="55" a="1"/>
  <c r="J220" i="55" s="1"/>
  <c r="J305" i="55" a="1"/>
  <c r="J305" i="55" s="1"/>
  <c r="J364" i="55" a="1"/>
  <c r="J364" i="55" s="1"/>
  <c r="H170" i="55" a="1"/>
  <c r="H170" i="55" s="1"/>
  <c r="H336" i="55" a="1"/>
  <c r="H336" i="55" s="1"/>
  <c r="H329" i="55" a="1"/>
  <c r="H329" i="55" s="1"/>
  <c r="H156" i="55" a="1"/>
  <c r="H156" i="55" s="1"/>
  <c r="E50" i="15" a="1"/>
  <c r="E50" i="15" s="1"/>
  <c r="I50" i="15" s="1"/>
  <c r="F13" i="70" a="1"/>
  <c r="F13" i="70" s="1"/>
  <c r="H175" i="55" a="1"/>
  <c r="H175" i="55" s="1"/>
  <c r="H163" i="55" a="1"/>
  <c r="H163" i="55" s="1"/>
  <c r="H258" i="55" a="1"/>
  <c r="H258" i="55" s="1"/>
  <c r="H325" i="55" a="1"/>
  <c r="H325" i="55" s="1"/>
  <c r="J230" i="55" a="1"/>
  <c r="J230" i="55" s="1"/>
  <c r="H165" i="55" a="1"/>
  <c r="H165" i="55" s="1"/>
  <c r="E51" i="15" a="1"/>
  <c r="E51" i="15" s="1"/>
  <c r="I51" i="15" s="1"/>
  <c r="H171" i="55" a="1"/>
  <c r="H171" i="55" s="1"/>
  <c r="H221" i="55" a="1"/>
  <c r="H221" i="55" s="1"/>
  <c r="F43" i="15" a="1"/>
  <c r="F43" i="15" s="1"/>
  <c r="F44" i="15" s="1"/>
  <c r="E47" i="15" a="1"/>
  <c r="E47" i="15" s="1"/>
  <c r="H150" i="55" a="1"/>
  <c r="H150" i="55" s="1"/>
  <c r="H302" i="55" a="1"/>
  <c r="H302" i="55" s="1"/>
  <c r="H317" i="55" a="1"/>
  <c r="H317" i="55" s="1"/>
  <c r="H185" i="55" a="1"/>
  <c r="H185" i="55" s="1"/>
  <c r="H144" i="55" a="1"/>
  <c r="H144" i="55" s="1"/>
  <c r="H142" i="55" a="1"/>
  <c r="H142" i="55" s="1"/>
  <c r="H323" i="55" a="1"/>
  <c r="H323" i="55" s="1"/>
  <c r="L323" i="55" s="1"/>
  <c r="H215" i="55" a="1"/>
  <c r="H215" i="55" s="1"/>
  <c r="E49" i="15" a="1"/>
  <c r="E49" i="15" s="1"/>
  <c r="H143" i="55" a="1"/>
  <c r="H143" i="55" s="1"/>
  <c r="H315" i="55" a="1"/>
  <c r="H315" i="55" s="1"/>
  <c r="H228" i="55" a="1"/>
  <c r="H228" i="55" s="1"/>
  <c r="H270" i="55" a="1"/>
  <c r="H270" i="55" s="1"/>
  <c r="H278" i="55" a="1"/>
  <c r="H278" i="55" s="1"/>
  <c r="H225" i="55" a="1"/>
  <c r="H225" i="55" s="1"/>
  <c r="H203" i="55" a="1"/>
  <c r="H203" i="55" s="1"/>
  <c r="H344" i="55" a="1"/>
  <c r="H344" i="55" s="1"/>
  <c r="H267" i="55" a="1"/>
  <c r="H267" i="55" s="1"/>
  <c r="H318" i="55" a="1"/>
  <c r="H318" i="55" s="1"/>
  <c r="H152" i="55" a="1"/>
  <c r="H152" i="55" s="1"/>
  <c r="H349" i="55" a="1"/>
  <c r="H349" i="55" s="1"/>
  <c r="H191" i="55" a="1"/>
  <c r="H191" i="55" s="1"/>
  <c r="H207" i="55" a="1"/>
  <c r="H207" i="55" s="1"/>
  <c r="L207" i="55" s="1"/>
  <c r="H297" i="55" a="1"/>
  <c r="H297" i="55" s="1"/>
  <c r="H277" i="55" a="1"/>
  <c r="H277" i="55" s="1"/>
  <c r="H238" i="55" a="1"/>
  <c r="H238" i="55" s="1"/>
  <c r="H320" i="55" a="1"/>
  <c r="H320" i="55" s="1"/>
  <c r="H251" i="55" a="1"/>
  <c r="H251" i="55" s="1"/>
  <c r="H314" i="55" a="1"/>
  <c r="H314" i="55" s="1"/>
  <c r="H205" i="55" a="1"/>
  <c r="H205" i="55" s="1"/>
  <c r="H219" i="55" a="1"/>
  <c r="H219" i="55" s="1"/>
  <c r="H310" i="55" a="1"/>
  <c r="H310" i="55" s="1"/>
  <c r="H239" i="55" a="1"/>
  <c r="H239" i="55" s="1"/>
  <c r="H184" i="55" a="1"/>
  <c r="H184" i="55" s="1"/>
  <c r="H211" i="55" a="1"/>
  <c r="H211" i="55" s="1"/>
  <c r="L211" i="55" s="1"/>
  <c r="H327" i="55" a="1"/>
  <c r="H327" i="55" s="1"/>
  <c r="H196" i="55" a="1"/>
  <c r="H196" i="55" s="1"/>
  <c r="L196" i="55" s="1"/>
  <c r="H240" i="55" a="1"/>
  <c r="H240" i="55" s="1"/>
  <c r="H371" i="55" a="1"/>
  <c r="H371" i="55" s="1"/>
  <c r="H208" i="55" a="1"/>
  <c r="H208" i="55" s="1"/>
  <c r="H147" i="55" a="1"/>
  <c r="H147" i="55" s="1"/>
  <c r="H186" i="55" a="1"/>
  <c r="H186" i="55" s="1"/>
  <c r="H269" i="55" a="1"/>
  <c r="H269" i="55" s="1"/>
  <c r="H294" i="55" a="1"/>
  <c r="H294" i="55" s="1"/>
  <c r="L294" i="55" s="1"/>
  <c r="H157" i="55" a="1"/>
  <c r="H157" i="55" s="1"/>
  <c r="H359" i="55" a="1"/>
  <c r="H359" i="55" s="1"/>
  <c r="H182" i="55" a="1"/>
  <c r="H182" i="55" s="1"/>
  <c r="H257" i="55" a="1"/>
  <c r="H257" i="55" s="1"/>
  <c r="H322" i="55" a="1"/>
  <c r="H322" i="55" s="1"/>
  <c r="H135" i="55" a="1"/>
  <c r="H135" i="55" s="1"/>
  <c r="L135" i="55" s="1"/>
  <c r="H366" i="55" a="1"/>
  <c r="H366" i="55" s="1"/>
  <c r="L366" i="55" s="1"/>
  <c r="H309" i="55" a="1"/>
  <c r="H309" i="55" s="1"/>
  <c r="L309" i="55" s="1"/>
  <c r="H249" i="55" a="1"/>
  <c r="H249" i="55" s="1"/>
  <c r="H174" i="55" a="1"/>
  <c r="H174" i="55" s="1"/>
  <c r="H347" i="55" a="1"/>
  <c r="H347" i="55" s="1"/>
  <c r="H254" i="55" a="1"/>
  <c r="H254" i="55" s="1"/>
  <c r="H192" i="55" a="1"/>
  <c r="H192" i="55" s="1"/>
  <c r="H303" i="55" a="1"/>
  <c r="H303" i="55" s="1"/>
  <c r="L303" i="55" s="1"/>
  <c r="H223" i="55" a="1"/>
  <c r="H223" i="55" s="1"/>
  <c r="H375" i="55" a="1"/>
  <c r="H375" i="55" s="1"/>
  <c r="H220" i="55" a="1"/>
  <c r="H220" i="55" s="1"/>
  <c r="L220" i="55" s="1"/>
  <c r="H199" i="55" a="1"/>
  <c r="H199" i="55" s="1"/>
  <c r="H176" i="55" a="1"/>
  <c r="H176" i="55" s="1"/>
  <c r="L176" i="55" s="1"/>
  <c r="F17" i="70" a="1"/>
  <c r="F17" i="70" s="1"/>
  <c r="H197" i="55" a="1"/>
  <c r="H197" i="55" s="1"/>
  <c r="H153" i="55" a="1"/>
  <c r="H153" i="55" s="1"/>
  <c r="H274" i="55" a="1"/>
  <c r="H274" i="55" s="1"/>
  <c r="H168" i="55" a="1"/>
  <c r="H168" i="55" s="1"/>
  <c r="L168" i="55" s="1"/>
  <c r="H141" i="55" a="1"/>
  <c r="H141" i="55" s="1"/>
  <c r="H148" i="55" a="1"/>
  <c r="H148" i="55" s="1"/>
  <c r="H189" i="55" a="1"/>
  <c r="H189" i="55" s="1"/>
  <c r="H193" i="55" a="1"/>
  <c r="H193" i="55" s="1"/>
  <c r="H151" i="55" a="1"/>
  <c r="H151" i="55" s="1"/>
  <c r="H356" i="55" a="1"/>
  <c r="H356" i="55" s="1"/>
  <c r="H178" i="55" a="1"/>
  <c r="H178" i="55" s="1"/>
  <c r="H140" i="55" a="1"/>
  <c r="H140" i="55" s="1"/>
  <c r="H272" i="55" a="1"/>
  <c r="H272" i="55" s="1"/>
  <c r="H351" i="55" a="1"/>
  <c r="H351" i="55" s="1"/>
  <c r="H194" i="55" a="1"/>
  <c r="H194" i="55" s="1"/>
  <c r="H213" i="55" a="1"/>
  <c r="H213" i="55" s="1"/>
  <c r="H166" i="55" a="1"/>
  <c r="H166" i="55" s="1"/>
  <c r="H222" i="55" a="1"/>
  <c r="H222" i="55" s="1"/>
  <c r="H348" i="55" a="1"/>
  <c r="H348" i="55" s="1"/>
  <c r="H372" i="55" a="1"/>
  <c r="H372" i="55" s="1"/>
  <c r="H202" i="55" a="1"/>
  <c r="H202" i="55" s="1"/>
  <c r="H159" i="55" a="1"/>
  <c r="H159" i="55" s="1"/>
  <c r="L159" i="55" s="1"/>
  <c r="E48" i="15" a="1"/>
  <c r="E48" i="15" s="1"/>
  <c r="I48" i="15" s="1"/>
  <c r="H139" i="55" a="1"/>
  <c r="H139" i="55" s="1"/>
  <c r="H195" i="55" a="1"/>
  <c r="H195" i="55" s="1"/>
  <c r="H181" i="55" a="1"/>
  <c r="H181" i="55" s="1"/>
  <c r="H136" i="55" a="1"/>
  <c r="H136" i="55" s="1"/>
  <c r="L136" i="55" s="1"/>
  <c r="H259" i="55" a="1"/>
  <c r="H259" i="55" s="1"/>
  <c r="L259" i="55" s="1"/>
  <c r="H231" i="55" a="1"/>
  <c r="H231" i="55" s="1"/>
  <c r="L231" i="55" s="1"/>
  <c r="H190" i="55" a="1"/>
  <c r="H190" i="55" s="1"/>
  <c r="L190" i="55" s="1"/>
  <c r="H290" i="55" a="1"/>
  <c r="H290" i="55" s="1"/>
  <c r="H354" i="55" a="1"/>
  <c r="H354" i="55" s="1"/>
  <c r="H162" i="55" a="1"/>
  <c r="H162" i="55" s="1"/>
  <c r="H308" i="55" a="1"/>
  <c r="H308" i="55" s="1"/>
  <c r="H284" i="55" a="1"/>
  <c r="H284" i="55" s="1"/>
  <c r="H357" i="55" a="1"/>
  <c r="H357" i="55" s="1"/>
  <c r="H373" i="55" a="1"/>
  <c r="H373" i="55" s="1"/>
  <c r="L373" i="55" s="1"/>
  <c r="H158" i="55" a="1"/>
  <c r="H158" i="55" s="1"/>
  <c r="L158" i="55" s="1"/>
  <c r="H285" i="55" a="1"/>
  <c r="H285" i="55" s="1"/>
  <c r="H340" i="55" a="1"/>
  <c r="H340" i="55" s="1"/>
  <c r="H281" i="55" a="1"/>
  <c r="H281" i="55" s="1"/>
  <c r="H252" i="55" a="1"/>
  <c r="H252" i="55" s="1"/>
  <c r="H331" i="55" a="1"/>
  <c r="H331" i="55" s="1"/>
  <c r="H306" i="55" a="1"/>
  <c r="H306" i="55" s="1"/>
  <c r="H206" i="55" a="1"/>
  <c r="H206" i="55" s="1"/>
  <c r="H212" i="55" a="1"/>
  <c r="H212" i="55" s="1"/>
  <c r="H244" i="55" a="1"/>
  <c r="H244" i="55" s="1"/>
  <c r="H229" i="55" a="1"/>
  <c r="H229" i="55" s="1"/>
  <c r="H237" i="55" a="1"/>
  <c r="H237" i="55" s="1"/>
  <c r="H260" i="55" a="1"/>
  <c r="H260" i="55" s="1"/>
  <c r="L260" i="55" s="1"/>
  <c r="H256" i="55" a="1"/>
  <c r="H256" i="55" s="1"/>
  <c r="H241" i="55" a="1"/>
  <c r="H241" i="55" s="1"/>
  <c r="H321" i="55" a="1"/>
  <c r="H321" i="55" s="1"/>
  <c r="L321" i="55" s="1"/>
  <c r="H214" i="55" a="1"/>
  <c r="H214" i="55" s="1"/>
  <c r="H167" i="55" a="1"/>
  <c r="H167" i="55" s="1"/>
  <c r="H305" i="55" a="1"/>
  <c r="H305" i="55" s="1"/>
  <c r="H224" i="55" a="1"/>
  <c r="H224" i="55" s="1"/>
  <c r="H177" i="55" a="1"/>
  <c r="H177" i="55" s="1"/>
  <c r="L177" i="55" s="1"/>
  <c r="H342" i="55" a="1"/>
  <c r="H342" i="55" s="1"/>
  <c r="H146" i="55" a="1"/>
  <c r="H146" i="55" s="1"/>
  <c r="H173" i="55" a="1"/>
  <c r="H173" i="55" s="1"/>
  <c r="H200" i="55" a="1"/>
  <c r="H200" i="55" s="1"/>
  <c r="L200" i="55" s="1"/>
  <c r="H287" i="55" a="1"/>
  <c r="H287" i="55" s="1"/>
  <c r="E31" i="15" a="1"/>
  <c r="E31" i="15" s="1"/>
  <c r="E13" i="12" a="1"/>
  <c r="E13" i="12" s="1"/>
  <c r="E8" i="12" a="1"/>
  <c r="E8" i="12" s="1"/>
  <c r="E28" i="15" a="1"/>
  <c r="E28" i="15" s="1"/>
  <c r="E18" i="12" s="1"/>
  <c r="F12" i="12" a="1"/>
  <c r="F12" i="12" s="1"/>
  <c r="H204" i="55" a="1"/>
  <c r="H204" i="55" s="1"/>
  <c r="L204" i="55" s="1"/>
  <c r="E45" i="15" a="1"/>
  <c r="E45" i="15" s="1"/>
  <c r="F10" i="12" a="1"/>
  <c r="F10" i="12" s="1"/>
  <c r="F22" i="15" a="1"/>
  <c r="F22" i="15" s="1"/>
  <c r="E38" i="70" a="1"/>
  <c r="E38" i="70" s="1"/>
  <c r="H243" i="55" a="1"/>
  <c r="H243" i="55" s="1"/>
  <c r="H334" i="55" a="1"/>
  <c r="H334" i="55" s="1"/>
  <c r="L334" i="55" s="1"/>
  <c r="H268" i="55" a="1"/>
  <c r="H268" i="55" s="1"/>
  <c r="H330" i="55" a="1"/>
  <c r="H330" i="55" s="1"/>
  <c r="H236" i="55" a="1"/>
  <c r="H236" i="55" s="1"/>
  <c r="H307" i="55" a="1"/>
  <c r="H307" i="55" s="1"/>
  <c r="H246" i="55" a="1"/>
  <c r="H246" i="55" s="1"/>
  <c r="L246" i="55" s="1"/>
  <c r="H343" i="55" a="1"/>
  <c r="H343" i="55" s="1"/>
  <c r="F36" i="15" a="1"/>
  <c r="F36" i="15" s="1"/>
  <c r="E11" i="12" a="1"/>
  <c r="E11" i="12" s="1"/>
  <c r="F38" i="70" a="1"/>
  <c r="F38" i="70" s="1"/>
  <c r="H253" i="55" a="1"/>
  <c r="H253" i="55" s="1"/>
  <c r="H273" i="55" a="1"/>
  <c r="H273" i="55" s="1"/>
  <c r="L273" i="55" s="1"/>
  <c r="H248" i="55" a="1"/>
  <c r="H248" i="55" s="1"/>
  <c r="H227" i="55" a="1"/>
  <c r="H227" i="55" s="1"/>
  <c r="H233" i="55" a="1"/>
  <c r="H233" i="55" s="1"/>
  <c r="E15" i="70" a="1"/>
  <c r="E15" i="70" s="1"/>
  <c r="E21" i="70" a="1"/>
  <c r="E21" i="70" s="1"/>
  <c r="H210" i="55" a="1"/>
  <c r="H210" i="55" s="1"/>
  <c r="H292" i="55" a="1"/>
  <c r="H292" i="55" s="1"/>
  <c r="L292" i="55" s="1"/>
  <c r="H172" i="55" a="1"/>
  <c r="H172" i="55" s="1"/>
  <c r="H13" i="55" a="1"/>
  <c r="H13" i="55" s="1"/>
  <c r="L13" i="55" s="1"/>
  <c r="H14" i="55" a="1"/>
  <c r="H14" i="55" s="1"/>
  <c r="H352" i="55" a="1"/>
  <c r="H352" i="55" s="1"/>
  <c r="L352" i="55" s="1"/>
  <c r="E46" i="15" a="1"/>
  <c r="E46" i="15" s="1"/>
  <c r="E52" i="15" a="1"/>
  <c r="E52" i="15" s="1"/>
  <c r="H376" i="55" a="1"/>
  <c r="H376" i="55" s="1"/>
  <c r="L376" i="55" s="1"/>
  <c r="H316" i="55" a="1"/>
  <c r="H316" i="55" s="1"/>
  <c r="L316" i="55" s="1"/>
  <c r="H311" i="55" a="1"/>
  <c r="H311" i="55" s="1"/>
  <c r="H155" i="55" a="1"/>
  <c r="H155" i="55" s="1"/>
  <c r="F28" i="15" a="1"/>
  <c r="F28" i="15" s="1"/>
  <c r="F18" i="12" s="1"/>
  <c r="E12" i="12" a="1"/>
  <c r="E12" i="12" s="1"/>
  <c r="F13" i="12" a="1"/>
  <c r="F13" i="12" s="1"/>
  <c r="H313" i="55" a="1"/>
  <c r="H313" i="55" s="1"/>
  <c r="L313" i="55" s="1"/>
  <c r="H160" i="55" a="1"/>
  <c r="H160" i="55" s="1"/>
  <c r="H169" i="55" a="1"/>
  <c r="H169" i="55" s="1"/>
  <c r="L169" i="55" s="1"/>
  <c r="E22" i="15" a="1"/>
  <c r="E22" i="15" s="1"/>
  <c r="F27" i="70" a="1"/>
  <c r="F27" i="70" s="1"/>
  <c r="H362" i="55" a="1"/>
  <c r="H362" i="55" s="1"/>
  <c r="H378" i="55" a="1"/>
  <c r="H378" i="55" s="1"/>
  <c r="H282" i="55" a="1"/>
  <c r="H282" i="55" s="1"/>
  <c r="H339" i="55" a="1"/>
  <c r="H339" i="55" s="1"/>
  <c r="L339" i="55" s="1"/>
  <c r="F19" i="15" a="1"/>
  <c r="F19" i="15" s="1"/>
  <c r="H288" i="55" a="1"/>
  <c r="H288" i="55" s="1"/>
  <c r="H350" i="55" a="1"/>
  <c r="H350" i="55" s="1"/>
  <c r="L350" i="55" s="1"/>
  <c r="H328" i="55" a="1"/>
  <c r="H328" i="55" s="1"/>
  <c r="H245" i="55" a="1"/>
  <c r="H245" i="55" s="1"/>
  <c r="H300" i="55" a="1"/>
  <c r="H300" i="55" s="1"/>
  <c r="H295" i="55" a="1"/>
  <c r="H295" i="55" s="1"/>
  <c r="L295" i="55" s="1"/>
  <c r="H363" i="55" a="1"/>
  <c r="H363" i="55" s="1"/>
  <c r="L363" i="55" s="1"/>
  <c r="H187" i="55" a="1"/>
  <c r="H187" i="55" s="1"/>
  <c r="E14" i="12" a="1"/>
  <c r="E14" i="12" s="1"/>
  <c r="E34" i="15" a="1"/>
  <c r="E34" i="15" s="1"/>
  <c r="F31" i="70" a="1"/>
  <c r="F31" i="70" s="1"/>
  <c r="H266" i="55" a="1"/>
  <c r="H266" i="55" s="1"/>
  <c r="H289" i="55" a="1"/>
  <c r="H289" i="55" s="1"/>
  <c r="L289" i="55" s="1"/>
  <c r="H361" i="55" a="1"/>
  <c r="H361" i="55" s="1"/>
  <c r="E12" i="15" a="1"/>
  <c r="E12" i="15" s="1"/>
  <c r="F14" i="15" a="1"/>
  <c r="F14" i="15" s="1"/>
  <c r="F44" i="70" s="1"/>
  <c r="E14" i="70" a="1"/>
  <c r="E14" i="70" s="1"/>
  <c r="E18" i="70" a="1"/>
  <c r="E18" i="70" s="1"/>
  <c r="F29" i="15" a="1"/>
  <c r="F29" i="15" s="1"/>
  <c r="F25" i="70" a="1"/>
  <c r="F25" i="70" s="1"/>
  <c r="H312" i="55" a="1"/>
  <c r="H312" i="55" s="1"/>
  <c r="F14" i="12" a="1"/>
  <c r="F14" i="12" s="1"/>
  <c r="H164" i="55" a="1"/>
  <c r="H164" i="55" s="1"/>
  <c r="L164" i="55" s="1"/>
  <c r="H209" i="55" a="1"/>
  <c r="H209" i="55" s="1"/>
  <c r="L209" i="55" s="1"/>
  <c r="H360" i="55" a="1"/>
  <c r="H360" i="55" s="1"/>
  <c r="H198" i="55" a="1"/>
  <c r="H198" i="55" s="1"/>
  <c r="E20" i="15" a="1"/>
  <c r="E20" i="15" s="1"/>
  <c r="H226" i="55" a="1"/>
  <c r="H226" i="55" s="1"/>
  <c r="L226" i="55" s="1"/>
  <c r="F12" i="70" a="1"/>
  <c r="F12" i="70" s="1"/>
  <c r="H377" i="55" a="1"/>
  <c r="H377" i="55" s="1"/>
  <c r="L377" i="55" s="1"/>
  <c r="H365" i="55" a="1"/>
  <c r="H365" i="55" s="1"/>
  <c r="L365" i="55" s="1"/>
  <c r="E26" i="15" a="1"/>
  <c r="E26" i="15" s="1"/>
  <c r="E27" i="15" s="1"/>
  <c r="J18" i="55" a="1"/>
  <c r="J18" i="55" s="1"/>
  <c r="H324" i="55" a="1"/>
  <c r="H324" i="55" s="1"/>
  <c r="L324" i="55" s="1"/>
  <c r="H319" i="55" a="1"/>
  <c r="H319" i="55" s="1"/>
  <c r="F30" i="15" a="1"/>
  <c r="F30" i="15" s="1"/>
  <c r="F41" i="15" a="1"/>
  <c r="F41" i="15" s="1"/>
  <c r="E43" i="15" a="1"/>
  <c r="E43" i="15" s="1"/>
  <c r="F38" i="15" a="1"/>
  <c r="F38" i="15" s="1"/>
  <c r="F6" i="12" a="1"/>
  <c r="F6" i="12" s="1"/>
  <c r="F15" i="70" a="1"/>
  <c r="F15" i="70" s="1"/>
  <c r="E25" i="70" a="1"/>
  <c r="E25" i="70" s="1"/>
  <c r="F10" i="15" a="1"/>
  <c r="F10" i="15" s="1"/>
  <c r="E30" i="15" a="1"/>
  <c r="E30" i="15" s="1"/>
  <c r="H180" i="55" a="1"/>
  <c r="H180" i="55" s="1"/>
  <c r="L180" i="55" s="1"/>
  <c r="H370" i="55" a="1"/>
  <c r="H370" i="55" s="1"/>
  <c r="H161" i="55" a="1"/>
  <c r="H161" i="55" s="1"/>
  <c r="L161" i="55" s="1"/>
  <c r="H301" i="55" a="1"/>
  <c r="H301" i="55" s="1"/>
  <c r="L301" i="55" s="1"/>
  <c r="H358" i="55" a="1"/>
  <c r="H358" i="55" s="1"/>
  <c r="E27" i="70" a="1"/>
  <c r="E27" i="70" s="1"/>
  <c r="H183" i="55" a="1"/>
  <c r="H183" i="55" s="1"/>
  <c r="H188" i="55" a="1"/>
  <c r="H188" i="55" s="1"/>
  <c r="F18" i="70" a="1"/>
  <c r="F18" i="70" s="1"/>
  <c r="E10" i="12" a="1"/>
  <c r="E10" i="12" s="1"/>
  <c r="H346" i="55" a="1"/>
  <c r="H346" i="55" s="1"/>
  <c r="E15" i="12" a="1"/>
  <c r="E15" i="12" s="1"/>
  <c r="E31" i="70" a="1"/>
  <c r="E31" i="70" s="1"/>
  <c r="E14" i="15" a="1"/>
  <c r="E14" i="15" s="1"/>
  <c r="E44" i="70" s="1"/>
  <c r="F14" i="70" a="1"/>
  <c r="F14" i="70" s="1"/>
  <c r="E24" i="15" a="1"/>
  <c r="E24" i="15" s="1"/>
  <c r="E17" i="70" a="1"/>
  <c r="E17" i="70" s="1"/>
  <c r="H368" i="55" a="1"/>
  <c r="H368" i="55" s="1"/>
  <c r="L368" i="55" s="1"/>
  <c r="H291" i="55" a="1"/>
  <c r="H291" i="55" s="1"/>
  <c r="H374" i="55" a="1"/>
  <c r="H374" i="55" s="1"/>
  <c r="L374" i="55" s="1"/>
  <c r="H333" i="55" a="1"/>
  <c r="H333" i="55" s="1"/>
  <c r="H242" i="55" a="1"/>
  <c r="H242" i="55" s="1"/>
  <c r="H298" i="55" a="1"/>
  <c r="H298" i="55" s="1"/>
  <c r="H293" i="55" a="1"/>
  <c r="H293" i="55" s="1"/>
  <c r="L293" i="55" s="1"/>
  <c r="H345" i="55" a="1"/>
  <c r="H345" i="55" s="1"/>
  <c r="L345" i="55" s="1"/>
  <c r="H286" i="55" a="1"/>
  <c r="H286" i="55" s="1"/>
  <c r="H341" i="55" a="1"/>
  <c r="H341" i="55" s="1"/>
  <c r="L341" i="55" s="1"/>
  <c r="H261" i="55" a="1"/>
  <c r="H261" i="55" s="1"/>
  <c r="H326" i="55" a="1"/>
  <c r="H326" i="55" s="1"/>
  <c r="H283" i="55" a="1"/>
  <c r="H283" i="55" s="1"/>
  <c r="H262" i="55" a="1"/>
  <c r="H262" i="55" s="1"/>
  <c r="L262" i="55" s="1"/>
  <c r="H369" i="55" a="1"/>
  <c r="H369" i="55" s="1"/>
  <c r="H271" i="55" a="1"/>
  <c r="H271" i="55" s="1"/>
  <c r="H255" i="55" a="1"/>
  <c r="H255" i="55" s="1"/>
  <c r="F40" i="15" a="1"/>
  <c r="F40" i="15" s="1"/>
  <c r="E23" i="15" a="1"/>
  <c r="E23" i="15" s="1"/>
  <c r="F20" i="15" a="1"/>
  <c r="F20" i="15" s="1"/>
  <c r="F19" i="70" a="1"/>
  <c r="F19" i="70" s="1"/>
  <c r="E10" i="15" a="1"/>
  <c r="E10" i="15" s="1"/>
  <c r="H299" i="55" a="1"/>
  <c r="H299" i="55" s="1"/>
  <c r="L299" i="55" s="1"/>
  <c r="F21" i="70" a="1"/>
  <c r="F21" i="70" s="1"/>
  <c r="H367" i="55" a="1"/>
  <c r="H367" i="55" s="1"/>
  <c r="F35" i="70" a="1"/>
  <c r="F35" i="70" s="1"/>
  <c r="E29" i="15" a="1"/>
  <c r="E29" i="15" s="1"/>
  <c r="F15" i="15" a="1"/>
  <c r="F15" i="15" s="1"/>
  <c r="E17" i="15" a="1"/>
  <c r="E17" i="15" s="1"/>
  <c r="E36" i="15" a="1"/>
  <c r="E36" i="15" s="1"/>
  <c r="H201" i="55" a="1"/>
  <c r="H201" i="55" s="1"/>
  <c r="L201" i="55" s="1"/>
  <c r="F11" i="12" a="1"/>
  <c r="F11" i="12" s="1"/>
  <c r="F12" i="15" a="1"/>
  <c r="F12" i="15" s="1"/>
  <c r="F8" i="12" a="1"/>
  <c r="F8" i="12" s="1"/>
  <c r="H263" i="55" a="1"/>
  <c r="H263" i="55" s="1"/>
  <c r="L263" i="55" s="1"/>
  <c r="H279" i="55" a="1"/>
  <c r="H279" i="55" s="1"/>
  <c r="E11" i="70" a="1"/>
  <c r="E11" i="70" s="1"/>
  <c r="H355" i="55" a="1"/>
  <c r="H355" i="55" s="1"/>
  <c r="L355" i="55" s="1"/>
  <c r="E19" i="15" a="1"/>
  <c r="E19" i="15" s="1"/>
  <c r="E38" i="15" a="1"/>
  <c r="E38" i="15" s="1"/>
  <c r="E12" i="70" a="1"/>
  <c r="E12" i="70" s="1"/>
  <c r="F17" i="15" a="1"/>
  <c r="F17" i="15" s="1"/>
  <c r="H275" i="55" a="1"/>
  <c r="H275" i="55" s="1"/>
  <c r="L275" i="55" s="1"/>
  <c r="H12" i="55" a="1"/>
  <c r="H12" i="55" s="1"/>
  <c r="F24" i="15" a="1"/>
  <c r="F24" i="15" s="1"/>
  <c r="E13" i="70" a="1"/>
  <c r="E13" i="70" s="1"/>
  <c r="G13" i="70" s="1"/>
  <c r="H179" i="55" a="1"/>
  <c r="H179" i="55" s="1"/>
  <c r="E15" i="15" a="1"/>
  <c r="E15" i="15" s="1"/>
  <c r="F31" i="15" a="1"/>
  <c r="F31" i="15" s="1"/>
  <c r="F23" i="15" a="1"/>
  <c r="F23" i="15" s="1"/>
  <c r="H379" i="55" a="1"/>
  <c r="H379" i="55" s="1"/>
  <c r="L379" i="55" s="1"/>
  <c r="H232" i="55" a="1"/>
  <c r="H232" i="55" s="1"/>
  <c r="H18" i="55" a="1"/>
  <c r="H18" i="55" s="1"/>
  <c r="H280" i="55" a="1"/>
  <c r="H280" i="55" s="1"/>
  <c r="H353" i="55" a="1"/>
  <c r="H353" i="55" s="1"/>
  <c r="E6" i="12" a="1"/>
  <c r="E6" i="12" s="1"/>
  <c r="E41" i="15" a="1"/>
  <c r="E41" i="15" s="1"/>
  <c r="H235" i="55" a="1"/>
  <c r="H235" i="55" s="1"/>
  <c r="L235" i="55" s="1"/>
  <c r="E53" i="15" a="1"/>
  <c r="E53" i="15" s="1"/>
  <c r="I53" i="15" s="1"/>
  <c r="H154" i="55" a="1"/>
  <c r="H154" i="55" s="1"/>
  <c r="H276" i="55" a="1"/>
  <c r="H276" i="55" s="1"/>
  <c r="F34" i="15" a="1"/>
  <c r="F34" i="15" s="1"/>
  <c r="H332" i="55" a="1"/>
  <c r="H332" i="55" s="1"/>
  <c r="H137" i="55" a="1"/>
  <c r="H137" i="55" s="1"/>
  <c r="H364" i="55" a="1"/>
  <c r="H364" i="55" s="1"/>
  <c r="H234" i="55" a="1"/>
  <c r="H234" i="55" s="1"/>
  <c r="L234" i="55" s="1"/>
  <c r="F26" i="15" a="1"/>
  <c r="F26" i="15" s="1"/>
  <c r="F27" i="15" s="1"/>
  <c r="H304" i="55" a="1"/>
  <c r="H304" i="55" s="1"/>
  <c r="F7" i="70" a="1"/>
  <c r="F7" i="70" s="1"/>
  <c r="E40" i="15" a="1"/>
  <c r="E40" i="15" s="1"/>
  <c r="H250" i="55" a="1"/>
  <c r="H250" i="55" s="1"/>
  <c r="L250" i="55" s="1"/>
  <c r="H338" i="55" a="1"/>
  <c r="H338" i="55" s="1"/>
  <c r="H265" i="55" a="1"/>
  <c r="H265" i="55" s="1"/>
  <c r="E7" i="70" a="1"/>
  <c r="E7" i="70" s="1"/>
  <c r="H335" i="55" a="1"/>
  <c r="H335" i="55" s="1"/>
  <c r="F15" i="12" a="1"/>
  <c r="F15" i="12" s="1"/>
  <c r="H149" i="55" a="1"/>
  <c r="H149" i="55" s="1"/>
  <c r="H145" i="55" a="1"/>
  <c r="H145" i="55" s="1"/>
  <c r="L145" i="55" s="1"/>
  <c r="L195" i="55" l="1"/>
  <c r="L157" i="55"/>
  <c r="L353" i="55"/>
  <c r="L261" i="55"/>
  <c r="L188" i="55"/>
  <c r="L362" i="55"/>
  <c r="L210" i="55"/>
  <c r="L139" i="55"/>
  <c r="L149" i="55"/>
  <c r="L361" i="55"/>
  <c r="L282" i="55"/>
  <c r="L238" i="55"/>
  <c r="L154" i="55"/>
  <c r="G17" i="70"/>
  <c r="L358" i="55"/>
  <c r="L288" i="55"/>
  <c r="L173" i="55"/>
  <c r="L224" i="55"/>
  <c r="L147" i="55"/>
  <c r="L248" i="55"/>
  <c r="L182" i="55"/>
  <c r="L219" i="55"/>
  <c r="L255" i="55"/>
  <c r="L370" i="55"/>
  <c r="L214" i="55"/>
  <c r="L359" i="55"/>
  <c r="L205" i="55"/>
  <c r="L191" i="55"/>
  <c r="H13" i="12"/>
  <c r="J81" i="55" a="1"/>
  <c r="J81" i="55" s="1"/>
  <c r="J50" i="55" a="1"/>
  <c r="J50" i="55" s="1"/>
  <c r="J123" i="55" a="1"/>
  <c r="J123" i="55" s="1"/>
  <c r="J90" i="55" a="1"/>
  <c r="J90" i="55" s="1"/>
  <c r="J99" i="55" a="1"/>
  <c r="J99" i="55" s="1"/>
  <c r="H60" i="55" a="1"/>
  <c r="H60" i="55" s="1"/>
  <c r="H131" i="55" a="1"/>
  <c r="H131" i="55" s="1"/>
  <c r="J83" i="55" a="1"/>
  <c r="J83" i="55" s="1"/>
  <c r="J67" i="55" a="1"/>
  <c r="J67" i="55" s="1"/>
  <c r="J38" i="55" a="1"/>
  <c r="J38" i="55" s="1"/>
  <c r="H97" i="55" a="1"/>
  <c r="H97" i="55" s="1"/>
  <c r="J51" i="55" a="1"/>
  <c r="J51" i="55" s="1"/>
  <c r="J124" i="55" a="1"/>
  <c r="J124" i="55" s="1"/>
  <c r="H96" i="55" a="1"/>
  <c r="H96" i="55" s="1"/>
  <c r="J25" i="55" a="1"/>
  <c r="J25" i="55" s="1"/>
  <c r="H49" i="55" a="1"/>
  <c r="H49" i="55" s="1"/>
  <c r="J102" i="55" a="1"/>
  <c r="J102" i="55" s="1"/>
  <c r="J79" i="55" a="1"/>
  <c r="J79" i="55" s="1"/>
  <c r="H121" i="55" a="1"/>
  <c r="H121" i="55" s="1"/>
  <c r="H22" i="55" a="1"/>
  <c r="H22" i="55" s="1"/>
  <c r="J63" i="55" a="1"/>
  <c r="J63" i="55" s="1"/>
  <c r="H32" i="55" a="1"/>
  <c r="H32" i="55" s="1"/>
  <c r="H103" i="55" a="1"/>
  <c r="H103" i="55" s="1"/>
  <c r="J89" i="55" a="1"/>
  <c r="J89" i="55" s="1"/>
  <c r="J74" i="55" a="1"/>
  <c r="J74" i="55" s="1"/>
  <c r="J39" i="55" a="1"/>
  <c r="J39" i="55" s="1"/>
  <c r="H111" i="55" a="1"/>
  <c r="H111" i="55" s="1"/>
  <c r="H81" i="55" a="1"/>
  <c r="H81" i="55" s="1"/>
  <c r="L81" i="55" s="1"/>
  <c r="J52" i="55" a="1"/>
  <c r="J52" i="55" s="1"/>
  <c r="J125" i="55" a="1"/>
  <c r="J125" i="55" s="1"/>
  <c r="J41" i="55" a="1"/>
  <c r="J41" i="55" s="1"/>
  <c r="H20" i="55" a="1"/>
  <c r="H20" i="55" s="1"/>
  <c r="J114" i="55" a="1"/>
  <c r="J114" i="55" s="1"/>
  <c r="J20" i="55" a="1"/>
  <c r="J20" i="55" s="1"/>
  <c r="H54" i="55" a="1"/>
  <c r="H54" i="55" s="1"/>
  <c r="J126" i="55" a="1"/>
  <c r="J126" i="55" s="1"/>
  <c r="J93" i="55" a="1"/>
  <c r="J93" i="55" s="1"/>
  <c r="J103" i="55" a="1"/>
  <c r="J103" i="55" s="1"/>
  <c r="H64" i="55" a="1"/>
  <c r="H64" i="55" s="1"/>
  <c r="H28" i="55" a="1"/>
  <c r="H28" i="55" s="1"/>
  <c r="H94" i="55" a="1"/>
  <c r="H94" i="55" s="1"/>
  <c r="H72" i="55" a="1"/>
  <c r="H72" i="55" s="1"/>
  <c r="J42" i="55" a="1"/>
  <c r="J42" i="55" s="1"/>
  <c r="J115" i="55" a="1"/>
  <c r="J115" i="55" s="1"/>
  <c r="J26" i="55" a="1"/>
  <c r="J26" i="55" s="1"/>
  <c r="J59" i="55" a="1"/>
  <c r="J59" i="55" s="1"/>
  <c r="H29" i="55" a="1"/>
  <c r="H29" i="55" s="1"/>
  <c r="H99" i="55" a="1"/>
  <c r="H99" i="55" s="1"/>
  <c r="L99" i="55" s="1"/>
  <c r="H113" i="55" a="1"/>
  <c r="H113" i="55" s="1"/>
  <c r="H70" i="55" a="1"/>
  <c r="H70" i="55" s="1"/>
  <c r="H35" i="55" a="1"/>
  <c r="H35" i="55" s="1"/>
  <c r="H106" i="55" a="1"/>
  <c r="H106" i="55" s="1"/>
  <c r="J77" i="55" a="1"/>
  <c r="J77" i="55" s="1"/>
  <c r="J48" i="55" a="1"/>
  <c r="J48" i="55" s="1"/>
  <c r="J120" i="55" a="1"/>
  <c r="J120" i="55" s="1"/>
  <c r="J60" i="55" a="1"/>
  <c r="J60" i="55" s="1"/>
  <c r="J28" i="55" a="1"/>
  <c r="J28" i="55" s="1"/>
  <c r="J106" i="55" a="1"/>
  <c r="J106" i="55" s="1"/>
  <c r="H73" i="55" a="1"/>
  <c r="H73" i="55" s="1"/>
  <c r="H42" i="55" a="1"/>
  <c r="H42" i="55" s="1"/>
  <c r="H115" i="55" a="1"/>
  <c r="H115" i="55" s="1"/>
  <c r="H82" i="55" a="1"/>
  <c r="H82" i="55" s="1"/>
  <c r="J87" i="55" a="1"/>
  <c r="J87" i="55" s="1"/>
  <c r="J49" i="55" a="1"/>
  <c r="J49" i="55" s="1"/>
  <c r="H122" i="55" a="1"/>
  <c r="H122" i="55" s="1"/>
  <c r="J88" i="55" a="1"/>
  <c r="J88" i="55" s="1"/>
  <c r="J61" i="55" a="1"/>
  <c r="J61" i="55" s="1"/>
  <c r="H30" i="55" a="1"/>
  <c r="H30" i="55" s="1"/>
  <c r="J76" i="55" a="1"/>
  <c r="J76" i="55" s="1"/>
  <c r="H43" i="55" a="1"/>
  <c r="H43" i="55" s="1"/>
  <c r="J117" i="55" a="1"/>
  <c r="J117" i="55" s="1"/>
  <c r="J23" i="55" a="1"/>
  <c r="J23" i="55" s="1"/>
  <c r="H26" i="55" a="1"/>
  <c r="H26" i="55" s="1"/>
  <c r="L26" i="55" s="1"/>
  <c r="H33" i="55" a="1"/>
  <c r="H33" i="55" s="1"/>
  <c r="J94" i="55" a="1"/>
  <c r="J94" i="55" s="1"/>
  <c r="H71" i="55" a="1"/>
  <c r="H71" i="55" s="1"/>
  <c r="H100" i="55" a="1"/>
  <c r="H100" i="55" s="1"/>
  <c r="H134" i="55" a="1"/>
  <c r="H134" i="55" s="1"/>
  <c r="J55" i="55" a="1"/>
  <c r="J55" i="55" s="1"/>
  <c r="H128" i="55" a="1"/>
  <c r="H128" i="55" s="1"/>
  <c r="H95" i="55" a="1"/>
  <c r="H95" i="55" s="1"/>
  <c r="J107" i="55" a="1"/>
  <c r="J107" i="55" s="1"/>
  <c r="H66" i="55" a="1"/>
  <c r="H66" i="55" s="1"/>
  <c r="H31" i="55" a="1"/>
  <c r="H31" i="55" s="1"/>
  <c r="J96" i="55" a="1"/>
  <c r="J96" i="55" s="1"/>
  <c r="J73" i="55" a="1"/>
  <c r="J73" i="55" s="1"/>
  <c r="J45" i="55" a="1"/>
  <c r="J45" i="55" s="1"/>
  <c r="H117" i="55" a="1"/>
  <c r="H117" i="55" s="1"/>
  <c r="J122" i="55" a="1"/>
  <c r="J122" i="55" s="1"/>
  <c r="J24" i="55" a="1"/>
  <c r="J24" i="55" s="1"/>
  <c r="J27" i="55" a="1"/>
  <c r="J27" i="55" s="1"/>
  <c r="H77" i="55" a="1"/>
  <c r="H77" i="55" s="1"/>
  <c r="L77" i="55" s="1"/>
  <c r="J46" i="55" a="1"/>
  <c r="J46" i="55" s="1"/>
  <c r="H120" i="55" a="1"/>
  <c r="H120" i="55" s="1"/>
  <c r="H85" i="55" a="1"/>
  <c r="H85" i="55" s="1"/>
  <c r="H84" i="55" a="1"/>
  <c r="H84" i="55" s="1"/>
  <c r="H56" i="55" a="1"/>
  <c r="H56" i="55" s="1"/>
  <c r="H127" i="55" a="1"/>
  <c r="H127" i="55" s="1"/>
  <c r="J95" i="55" a="1"/>
  <c r="J95" i="55" s="1"/>
  <c r="J64" i="55" a="1"/>
  <c r="J64" i="55" s="1"/>
  <c r="H34" i="55" a="1"/>
  <c r="H34" i="55" s="1"/>
  <c r="H55" i="55" a="1"/>
  <c r="H55" i="55" s="1"/>
  <c r="J133" i="55" a="1"/>
  <c r="J133" i="55" s="1"/>
  <c r="H52" i="55" a="1"/>
  <c r="H52" i="55" s="1"/>
  <c r="L52" i="55" s="1"/>
  <c r="H125" i="55" a="1"/>
  <c r="H125" i="55" s="1"/>
  <c r="L125" i="55" s="1"/>
  <c r="H92" i="55" a="1"/>
  <c r="H92" i="55" s="1"/>
  <c r="H101" i="55" a="1"/>
  <c r="H101" i="55" s="1"/>
  <c r="J62" i="55" a="1"/>
  <c r="J62" i="55" s="1"/>
  <c r="J132" i="55" a="1"/>
  <c r="J132" i="55" s="1"/>
  <c r="H87" i="55" a="1"/>
  <c r="H87" i="55" s="1"/>
  <c r="H69" i="55" a="1"/>
  <c r="H69" i="55" s="1"/>
  <c r="H40" i="55" a="1"/>
  <c r="H40" i="55" s="1"/>
  <c r="H109" i="55" a="1"/>
  <c r="H109" i="55" s="1"/>
  <c r="J53" i="55" a="1"/>
  <c r="J53" i="55" s="1"/>
  <c r="J127" i="55" a="1"/>
  <c r="J127" i="55" s="1"/>
  <c r="J98" i="55" a="1"/>
  <c r="J98" i="55" s="1"/>
  <c r="J65" i="55" a="1"/>
  <c r="J65" i="55" s="1"/>
  <c r="J34" i="55" a="1"/>
  <c r="J34" i="55" s="1"/>
  <c r="J105" i="55" a="1"/>
  <c r="J105" i="55" s="1"/>
  <c r="H91" i="55" a="1"/>
  <c r="H91" i="55" s="1"/>
  <c r="H76" i="55" a="1"/>
  <c r="H76" i="55" s="1"/>
  <c r="L76" i="55" s="1"/>
  <c r="H41" i="55" a="1"/>
  <c r="H41" i="55" s="1"/>
  <c r="J112" i="55" a="1"/>
  <c r="J112" i="55" s="1"/>
  <c r="H86" i="55" a="1"/>
  <c r="H86" i="55" s="1"/>
  <c r="H53" i="55" a="1"/>
  <c r="H53" i="55" s="1"/>
  <c r="H126" i="55" a="1"/>
  <c r="H126" i="55" s="1"/>
  <c r="L126" i="55" s="1"/>
  <c r="H68" i="55" a="1"/>
  <c r="H68" i="55" s="1"/>
  <c r="J35" i="55" a="1"/>
  <c r="J35" i="55" s="1"/>
  <c r="J111" i="55" a="1"/>
  <c r="J111" i="55" s="1"/>
  <c r="J134" i="55" a="1"/>
  <c r="J134" i="55" s="1"/>
  <c r="H74" i="55" a="1"/>
  <c r="H74" i="55" s="1"/>
  <c r="L74" i="55" s="1"/>
  <c r="J131" i="55" a="1"/>
  <c r="J131" i="55" s="1"/>
  <c r="H19" i="55" a="1"/>
  <c r="H19" i="55" s="1"/>
  <c r="J47" i="55" a="1"/>
  <c r="J47" i="55" s="1"/>
  <c r="J19" i="55" a="1"/>
  <c r="J19" i="55" s="1"/>
  <c r="H80" i="55" a="1"/>
  <c r="H80" i="55" s="1"/>
  <c r="H48" i="55" a="1"/>
  <c r="H48" i="55" s="1"/>
  <c r="L48" i="55" s="1"/>
  <c r="J121" i="55" a="1"/>
  <c r="J121" i="55" s="1"/>
  <c r="H88" i="55" a="1"/>
  <c r="H88" i="55" s="1"/>
  <c r="L88" i="55" s="1"/>
  <c r="H93" i="55" a="1"/>
  <c r="H93" i="55" s="1"/>
  <c r="L93" i="55" s="1"/>
  <c r="J58" i="55" a="1"/>
  <c r="J58" i="55" s="1"/>
  <c r="J129" i="55" a="1"/>
  <c r="J129" i="55" s="1"/>
  <c r="H105" i="55" a="1"/>
  <c r="H105" i="55" s="1"/>
  <c r="L105" i="55" s="1"/>
  <c r="H65" i="55" a="1"/>
  <c r="H65" i="55" s="1"/>
  <c r="H37" i="55" a="1"/>
  <c r="H37" i="55" s="1"/>
  <c r="H90" i="55" a="1"/>
  <c r="H90" i="55" s="1"/>
  <c r="L90" i="55" s="1"/>
  <c r="J109" i="55" a="1"/>
  <c r="J109" i="55" s="1"/>
  <c r="H62" i="55" a="1"/>
  <c r="H62" i="55" s="1"/>
  <c r="L62" i="55" s="1"/>
  <c r="H133" i="55" a="1"/>
  <c r="H133" i="55" s="1"/>
  <c r="J69" i="55" a="1"/>
  <c r="J69" i="55" s="1"/>
  <c r="H38" i="55" a="1"/>
  <c r="H38" i="55" s="1"/>
  <c r="L38" i="55" s="1"/>
  <c r="H110" i="55" a="1"/>
  <c r="H110" i="55" s="1"/>
  <c r="J100" i="55" a="1"/>
  <c r="J100" i="55" s="1"/>
  <c r="H79" i="55" a="1"/>
  <c r="H79" i="55" s="1"/>
  <c r="L79" i="55" s="1"/>
  <c r="H44" i="55" a="1"/>
  <c r="H44" i="55" s="1"/>
  <c r="J116" i="55" a="1"/>
  <c r="J116" i="55" s="1"/>
  <c r="J82" i="55" a="1"/>
  <c r="J82" i="55" s="1"/>
  <c r="J57" i="55" a="1"/>
  <c r="J57" i="55" s="1"/>
  <c r="H130" i="55" a="1"/>
  <c r="H130" i="55" s="1"/>
  <c r="H129" i="55" a="1"/>
  <c r="H129" i="55" s="1"/>
  <c r="J75" i="55" a="1"/>
  <c r="J75" i="55" s="1"/>
  <c r="H45" i="55" a="1"/>
  <c r="H45" i="55" s="1"/>
  <c r="H118" i="55" a="1"/>
  <c r="H118" i="55" s="1"/>
  <c r="J84" i="55" a="1"/>
  <c r="J84" i="55" s="1"/>
  <c r="H89" i="55" a="1"/>
  <c r="H89" i="55" s="1"/>
  <c r="L89" i="55" s="1"/>
  <c r="H51" i="55" a="1"/>
  <c r="H51" i="55" s="1"/>
  <c r="L51" i="55" s="1"/>
  <c r="H124" i="55" a="1"/>
  <c r="H124" i="55" s="1"/>
  <c r="L124" i="55" s="1"/>
  <c r="J92" i="55" a="1"/>
  <c r="J92" i="55" s="1"/>
  <c r="H63" i="55" a="1"/>
  <c r="H63" i="55" s="1"/>
  <c r="L63" i="55" s="1"/>
  <c r="J32" i="55" a="1"/>
  <c r="J32" i="55" s="1"/>
  <c r="H78" i="55" a="1"/>
  <c r="H78" i="55" s="1"/>
  <c r="J44" i="55" a="1"/>
  <c r="J44" i="55" s="1"/>
  <c r="J119" i="55" a="1"/>
  <c r="J119" i="55" s="1"/>
  <c r="H25" i="55" a="1"/>
  <c r="H25" i="55" s="1"/>
  <c r="H57" i="55" a="1"/>
  <c r="H57" i="55" s="1"/>
  <c r="J130" i="55" a="1"/>
  <c r="J130" i="55" s="1"/>
  <c r="J97" i="55" a="1"/>
  <c r="J97" i="55" s="1"/>
  <c r="J110" i="55" a="1"/>
  <c r="J110" i="55" s="1"/>
  <c r="J68" i="55" a="1"/>
  <c r="J68" i="55" s="1"/>
  <c r="J33" i="55" a="1"/>
  <c r="J33" i="55" s="1"/>
  <c r="J104" i="55" a="1"/>
  <c r="J104" i="55" s="1"/>
  <c r="H75" i="55" a="1"/>
  <c r="H75" i="55" s="1"/>
  <c r="L75" i="55" s="1"/>
  <c r="H46" i="55" a="1"/>
  <c r="H46" i="55" s="1"/>
  <c r="L46" i="55" s="1"/>
  <c r="J118" i="55" a="1"/>
  <c r="J118" i="55" s="1"/>
  <c r="H58" i="55" a="1"/>
  <c r="H58" i="55" s="1"/>
  <c r="L58" i="55" s="1"/>
  <c r="H132" i="55" a="1"/>
  <c r="H132" i="55" s="1"/>
  <c r="L132" i="55" s="1"/>
  <c r="H104" i="55" a="1"/>
  <c r="H104" i="55" s="1"/>
  <c r="J22" i="55" a="1"/>
  <c r="J22" i="55" s="1"/>
  <c r="J66" i="55" a="1"/>
  <c r="J66" i="55" s="1"/>
  <c r="H116" i="55" a="1"/>
  <c r="H116" i="55" s="1"/>
  <c r="L116" i="55" s="1"/>
  <c r="H23" i="55" a="1"/>
  <c r="H23" i="55" s="1"/>
  <c r="L23" i="55" s="1"/>
  <c r="H39" i="55" a="1"/>
  <c r="H39" i="55" s="1"/>
  <c r="L39" i="55" s="1"/>
  <c r="J21" i="55" a="1"/>
  <c r="J21" i="55" s="1"/>
  <c r="J72" i="55" a="1"/>
  <c r="J72" i="55" s="1"/>
  <c r="J40" i="55" a="1"/>
  <c r="J40" i="55" s="1"/>
  <c r="J113" i="55" a="1"/>
  <c r="J113" i="55" s="1"/>
  <c r="H102" i="55" a="1"/>
  <c r="H102" i="55" s="1"/>
  <c r="L102" i="55" s="1"/>
  <c r="H83" i="55" a="1"/>
  <c r="H83" i="55" s="1"/>
  <c r="L83" i="55" s="1"/>
  <c r="H47" i="55" a="1"/>
  <c r="H47" i="55" s="1"/>
  <c r="L47" i="55" s="1"/>
  <c r="H119" i="55" a="1"/>
  <c r="H119" i="55" s="1"/>
  <c r="J85" i="55" a="1"/>
  <c r="J85" i="55" s="1"/>
  <c r="H59" i="55" a="1"/>
  <c r="H59" i="55" s="1"/>
  <c r="L59" i="55" s="1"/>
  <c r="J29" i="55" a="1"/>
  <c r="J29" i="55" s="1"/>
  <c r="J56" i="55" a="1"/>
  <c r="J56" i="55" s="1"/>
  <c r="H21" i="55" a="1"/>
  <c r="H21" i="55" s="1"/>
  <c r="L21" i="55" s="1"/>
  <c r="J31" i="55" a="1"/>
  <c r="J31" i="55" s="1"/>
  <c r="H24" i="55" a="1"/>
  <c r="H24" i="55" s="1"/>
  <c r="L24" i="55" s="1"/>
  <c r="H61" i="55" a="1"/>
  <c r="H61" i="55" s="1"/>
  <c r="J30" i="55" a="1"/>
  <c r="J30" i="55" s="1"/>
  <c r="J101" i="55" a="1"/>
  <c r="J101" i="55" s="1"/>
  <c r="J86" i="55" a="1"/>
  <c r="J86" i="55" s="1"/>
  <c r="J71" i="55" a="1"/>
  <c r="J71" i="55" s="1"/>
  <c r="J36" i="55" a="1"/>
  <c r="J36" i="55" s="1"/>
  <c r="J108" i="55" a="1"/>
  <c r="J108" i="55" s="1"/>
  <c r="J80" i="55" a="1"/>
  <c r="J80" i="55" s="1"/>
  <c r="H50" i="55" a="1"/>
  <c r="H50" i="55" s="1"/>
  <c r="L50" i="55" s="1"/>
  <c r="H123" i="55" a="1"/>
  <c r="H123" i="55" s="1"/>
  <c r="H108" i="55" a="1"/>
  <c r="H108" i="55" s="1"/>
  <c r="L108" i="55" s="1"/>
  <c r="H67" i="55" a="1"/>
  <c r="H67" i="55" s="1"/>
  <c r="L67" i="55" s="1"/>
  <c r="J37" i="55" a="1"/>
  <c r="J37" i="55" s="1"/>
  <c r="H107" i="55" a="1"/>
  <c r="H107" i="55" s="1"/>
  <c r="L107" i="55" s="1"/>
  <c r="H98" i="55" a="1"/>
  <c r="H98" i="55" s="1"/>
  <c r="L98" i="55" s="1"/>
  <c r="J78" i="55" a="1"/>
  <c r="J78" i="55" s="1"/>
  <c r="J43" i="55" a="1"/>
  <c r="J43" i="55" s="1"/>
  <c r="H114" i="55" a="1"/>
  <c r="H114" i="55" s="1"/>
  <c r="L114" i="55" s="1"/>
  <c r="J91" i="55" a="1"/>
  <c r="J91" i="55" s="1"/>
  <c r="J54" i="55" a="1"/>
  <c r="J54" i="55" s="1"/>
  <c r="J128" i="55" a="1"/>
  <c r="J128" i="55" s="1"/>
  <c r="J70" i="55" a="1"/>
  <c r="J70" i="55" s="1"/>
  <c r="H36" i="55" a="1"/>
  <c r="H36" i="55" s="1"/>
  <c r="L36" i="55" s="1"/>
  <c r="H112" i="55" a="1"/>
  <c r="H112" i="55" s="1"/>
  <c r="L112" i="55" s="1"/>
  <c r="H27" i="55" a="1"/>
  <c r="H27" i="55" s="1"/>
  <c r="L152" i="55"/>
  <c r="E7" i="12" a="1"/>
  <c r="E7" i="12" s="1"/>
  <c r="F7" i="12" a="1"/>
  <c r="F7" i="12" s="1"/>
  <c r="L249" i="55"/>
  <c r="L378" i="55"/>
  <c r="L329" i="55"/>
  <c r="L229" i="55"/>
  <c r="L237" i="55"/>
  <c r="L300" i="55"/>
  <c r="L328" i="55"/>
  <c r="L265" i="55"/>
  <c r="L342" i="55"/>
  <c r="L320" i="55"/>
  <c r="L284" i="55"/>
  <c r="L285" i="55"/>
  <c r="L304" i="55"/>
  <c r="L266" i="55"/>
  <c r="L279" i="55"/>
  <c r="L332" i="55"/>
  <c r="L286" i="55"/>
  <c r="L343" i="55"/>
  <c r="L227" i="55"/>
  <c r="L319" i="55"/>
  <c r="L335" i="55"/>
  <c r="L283" i="55"/>
  <c r="L298" i="55"/>
  <c r="L232" i="55"/>
  <c r="L236" i="55"/>
  <c r="L233" i="55"/>
  <c r="L326" i="55"/>
  <c r="L375" i="55"/>
  <c r="L333" i="55"/>
  <c r="L245" i="55"/>
  <c r="L360" i="55"/>
  <c r="L253" i="55"/>
  <c r="L251" i="55"/>
  <c r="L254" i="55"/>
  <c r="L271" i="55"/>
  <c r="L305" i="55"/>
  <c r="L291" i="55"/>
  <c r="L274" i="55"/>
  <c r="L311" i="55"/>
  <c r="L369" i="55"/>
  <c r="L307" i="55"/>
  <c r="L367" i="55"/>
  <c r="L310" i="55"/>
  <c r="L330" i="55"/>
  <c r="L287" i="55"/>
  <c r="L372" i="55"/>
  <c r="L140" i="55"/>
  <c r="L199" i="55"/>
  <c r="L167" i="55"/>
  <c r="L241" i="55"/>
  <c r="L340" i="55"/>
  <c r="L202" i="55"/>
  <c r="L338" i="55"/>
  <c r="L364" i="55"/>
  <c r="L280" i="55"/>
  <c r="L242" i="55"/>
  <c r="L198" i="55"/>
  <c r="L268" i="55"/>
  <c r="L244" i="55"/>
  <c r="L371" i="55"/>
  <c r="L192" i="55"/>
  <c r="L243" i="55"/>
  <c r="L223" i="55"/>
  <c r="L349" i="55"/>
  <c r="F9" i="12" a="1"/>
  <c r="F9" i="12" s="1"/>
  <c r="E9" i="12" a="1"/>
  <c r="E9" i="12" s="1"/>
  <c r="L314" i="55"/>
  <c r="F37" i="70" a="1"/>
  <c r="F37" i="70" s="1"/>
  <c r="E37" i="70" a="1"/>
  <c r="E37" i="70" s="1"/>
  <c r="J170" i="55" a="1"/>
  <c r="J170" i="55" s="1"/>
  <c r="L170" i="55" s="1"/>
  <c r="E39" i="70" a="1"/>
  <c r="E39" i="70" s="1"/>
  <c r="F9" i="70" a="1"/>
  <c r="F9" i="70" s="1"/>
  <c r="E6" i="70" a="1"/>
  <c r="E6" i="70" s="1"/>
  <c r="F34" i="70" a="1"/>
  <c r="F34" i="70" s="1"/>
  <c r="F16" i="70" a="1"/>
  <c r="F16" i="70" s="1"/>
  <c r="E41" i="70" a="1"/>
  <c r="E41" i="70" s="1"/>
  <c r="E16" i="70" a="1"/>
  <c r="E16" i="70" s="1"/>
  <c r="F41" i="70" a="1"/>
  <c r="F41" i="70" s="1"/>
  <c r="F8" i="70" a="1"/>
  <c r="F8" i="70" s="1"/>
  <c r="F28" i="70" a="1"/>
  <c r="F28" i="70" s="1"/>
  <c r="F20" i="70" a="1"/>
  <c r="F20" i="70" s="1"/>
  <c r="F6" i="70" a="1"/>
  <c r="F6" i="70" s="1"/>
  <c r="E32" i="70" a="1"/>
  <c r="E32" i="70" s="1"/>
  <c r="F23" i="70" a="1"/>
  <c r="F23" i="70" s="1"/>
  <c r="E33" i="70" a="1"/>
  <c r="E33" i="70" s="1"/>
  <c r="E20" i="70" a="1"/>
  <c r="E20" i="70" s="1"/>
  <c r="E24" i="70" a="1"/>
  <c r="E24" i="70" s="1"/>
  <c r="E9" i="70" a="1"/>
  <c r="E9" i="70" s="1"/>
  <c r="G9" i="70" s="1"/>
  <c r="F39" i="70" a="1"/>
  <c r="F39" i="70" s="1"/>
  <c r="E26" i="70" a="1"/>
  <c r="E26" i="70" s="1"/>
  <c r="F29" i="70" a="1"/>
  <c r="F29" i="70" s="1"/>
  <c r="E40" i="70" a="1"/>
  <c r="E40" i="70" s="1"/>
  <c r="F40" i="70" a="1"/>
  <c r="F40" i="70" s="1"/>
  <c r="E8" i="70" a="1"/>
  <c r="E8" i="70" s="1"/>
  <c r="E29" i="70" a="1"/>
  <c r="E29" i="70" s="1"/>
  <c r="F24" i="70" a="1"/>
  <c r="F24" i="70" s="1"/>
  <c r="E34" i="70" a="1"/>
  <c r="E34" i="70" s="1"/>
  <c r="F32" i="70" a="1"/>
  <c r="F32" i="70" s="1"/>
  <c r="E22" i="70" a="1"/>
  <c r="E22" i="70" s="1"/>
  <c r="F26" i="70" a="1"/>
  <c r="F26" i="70" s="1"/>
  <c r="E23" i="70" a="1"/>
  <c r="E23" i="70" s="1"/>
  <c r="F33" i="70" a="1"/>
  <c r="F33" i="70" s="1"/>
  <c r="E28" i="70" a="1"/>
  <c r="E28" i="70" s="1"/>
  <c r="E10" i="70" a="1"/>
  <c r="E10" i="70" s="1"/>
  <c r="F10" i="70" a="1"/>
  <c r="F10" i="70" s="1"/>
  <c r="F22" i="70" a="1"/>
  <c r="F22" i="70" s="1"/>
  <c r="J296" i="55" a="1"/>
  <c r="J296" i="55" s="1"/>
  <c r="J186" i="55" a="1"/>
  <c r="J186" i="55" s="1"/>
  <c r="L186" i="55" s="1"/>
  <c r="J165" i="55" a="1"/>
  <c r="J165" i="55" s="1"/>
  <c r="L165" i="55" s="1"/>
  <c r="J156" i="55" a="1"/>
  <c r="J156" i="55" s="1"/>
  <c r="L156" i="55" s="1"/>
  <c r="J357" i="55" a="1"/>
  <c r="J357" i="55" s="1"/>
  <c r="L357" i="55" s="1"/>
  <c r="J183" i="55" a="1"/>
  <c r="J183" i="55" s="1"/>
  <c r="L183" i="55" s="1"/>
  <c r="J297" i="55" a="1"/>
  <c r="J297" i="55" s="1"/>
  <c r="L297" i="55" s="1"/>
  <c r="J346" i="55" a="1"/>
  <c r="J346" i="55" s="1"/>
  <c r="L346" i="55" s="1"/>
  <c r="J277" i="55" a="1"/>
  <c r="J277" i="55" s="1"/>
  <c r="L277" i="55" s="1"/>
  <c r="J269" i="55" a="1"/>
  <c r="J269" i="55" s="1"/>
  <c r="L269" i="55" s="1"/>
  <c r="J179" i="55" a="1"/>
  <c r="J179" i="55" s="1"/>
  <c r="L179" i="55" s="1"/>
  <c r="J171" i="55" a="1"/>
  <c r="J171" i="55" s="1"/>
  <c r="L171" i="55" s="1"/>
  <c r="L256" i="55"/>
  <c r="G29" i="15"/>
  <c r="L347" i="55"/>
  <c r="H21" i="70"/>
  <c r="E30" i="70" a="1"/>
  <c r="E30" i="70" s="1"/>
  <c r="E36" i="70" a="1"/>
  <c r="E36" i="70" s="1"/>
  <c r="F36" i="70" a="1"/>
  <c r="F36" i="70" s="1"/>
  <c r="F30" i="70" a="1"/>
  <c r="F30" i="70" s="1"/>
  <c r="H11" i="12"/>
  <c r="H15" i="70"/>
  <c r="L174" i="55"/>
  <c r="L14" i="55"/>
  <c r="G12" i="70"/>
  <c r="H8" i="12"/>
  <c r="G31" i="70"/>
  <c r="G27" i="70"/>
  <c r="H14" i="12"/>
  <c r="H15" i="12"/>
  <c r="G10" i="12"/>
  <c r="G25" i="70"/>
  <c r="G12" i="12"/>
  <c r="G22" i="15"/>
  <c r="H24" i="15"/>
  <c r="H38" i="70"/>
  <c r="H40" i="15"/>
  <c r="J276" i="55" a="1"/>
  <c r="J276" i="55" s="1"/>
  <c r="L276" i="55" s="1"/>
  <c r="G14" i="70"/>
  <c r="J146" i="55" a="1"/>
  <c r="J146" i="55" s="1"/>
  <c r="L146" i="55" s="1"/>
  <c r="J290" i="55" a="1"/>
  <c r="J290" i="55" s="1"/>
  <c r="L290" i="55" s="1"/>
  <c r="H7" i="70"/>
  <c r="H18" i="70"/>
  <c r="J137" i="55" a="1"/>
  <c r="J137" i="55" s="1"/>
  <c r="L137" i="55" s="1"/>
  <c r="E42" i="15"/>
  <c r="G41" i="15"/>
  <c r="G15" i="15"/>
  <c r="E16" i="15"/>
  <c r="G38" i="15"/>
  <c r="E39" i="15"/>
  <c r="H15" i="15"/>
  <c r="H16" i="15" s="1"/>
  <c r="F16" i="15"/>
  <c r="E25" i="15"/>
  <c r="G14" i="15"/>
  <c r="F11" i="15"/>
  <c r="H10" i="15"/>
  <c r="H11" i="15" s="1"/>
  <c r="H6" i="12"/>
  <c r="I43" i="15"/>
  <c r="E44" i="15"/>
  <c r="I44" i="15" s="1"/>
  <c r="H29" i="15"/>
  <c r="E13" i="15"/>
  <c r="G12" i="15"/>
  <c r="G13" i="15" s="1"/>
  <c r="G34" i="15"/>
  <c r="E35" i="15"/>
  <c r="F37" i="15"/>
  <c r="H36" i="15"/>
  <c r="H37" i="15" s="1"/>
  <c r="G13" i="12"/>
  <c r="H13" i="70"/>
  <c r="J336" i="55" a="1"/>
  <c r="J336" i="55" s="1"/>
  <c r="L336" i="55" s="1"/>
  <c r="J172" i="55" a="1"/>
  <c r="J172" i="55" s="1"/>
  <c r="L172" i="55" s="1"/>
  <c r="J144" i="55" a="1"/>
  <c r="J144" i="55" s="1"/>
  <c r="L144" i="55" s="1"/>
  <c r="F46" i="15" a="1"/>
  <c r="F46" i="15" s="1"/>
  <c r="I46" i="15" s="1"/>
  <c r="J281" i="55" a="1"/>
  <c r="J281" i="55" s="1"/>
  <c r="L281" i="55" s="1"/>
  <c r="J206" i="55" a="1"/>
  <c r="J206" i="55" s="1"/>
  <c r="L206" i="55" s="1"/>
  <c r="J153" i="55" a="1"/>
  <c r="J153" i="55" s="1"/>
  <c r="L153" i="55" s="1"/>
  <c r="J175" i="55" a="1"/>
  <c r="J175" i="55" s="1"/>
  <c r="L175" i="55" s="1"/>
  <c r="J213" i="55" a="1"/>
  <c r="J213" i="55" s="1"/>
  <c r="L213" i="55" s="1"/>
  <c r="J141" i="55" a="1"/>
  <c r="J141" i="55" s="1"/>
  <c r="L141" i="55" s="1"/>
  <c r="J239" i="55" a="1"/>
  <c r="J239" i="55" s="1"/>
  <c r="L239" i="55" s="1"/>
  <c r="J155" i="55" a="1"/>
  <c r="J155" i="55" s="1"/>
  <c r="L155" i="55" s="1"/>
  <c r="J151" i="55" a="1"/>
  <c r="J151" i="55" s="1"/>
  <c r="L151" i="55" s="1"/>
  <c r="J270" i="55" a="1"/>
  <c r="J270" i="55" s="1"/>
  <c r="L270" i="55" s="1"/>
  <c r="J162" i="55" a="1"/>
  <c r="J162" i="55" s="1"/>
  <c r="L162" i="55" s="1"/>
  <c r="J160" i="55" a="1"/>
  <c r="J160" i="55" s="1"/>
  <c r="L160" i="55" s="1"/>
  <c r="H34" i="15"/>
  <c r="F35" i="15"/>
  <c r="G6" i="12"/>
  <c r="F13" i="15"/>
  <c r="H12" i="15"/>
  <c r="H13" i="15" s="1"/>
  <c r="F25" i="15"/>
  <c r="F42" i="15"/>
  <c r="H41" i="15"/>
  <c r="H12" i="70"/>
  <c r="G18" i="70"/>
  <c r="H22" i="15"/>
  <c r="H12" i="12"/>
  <c r="G31" i="15"/>
  <c r="G32" i="15" s="1"/>
  <c r="E32" i="15"/>
  <c r="E33" i="15" s="1"/>
  <c r="J327" i="55" a="1"/>
  <c r="J327" i="55" s="1"/>
  <c r="L327" i="55" s="1"/>
  <c r="F47" i="15" a="1"/>
  <c r="F47" i="15" s="1"/>
  <c r="I47" i="15" s="1"/>
  <c r="J258" i="55" a="1"/>
  <c r="J258" i="55" s="1"/>
  <c r="L258" i="55" s="1"/>
  <c r="J344" i="55" a="1"/>
  <c r="J344" i="55" s="1"/>
  <c r="L344" i="55" s="1"/>
  <c r="J215" i="55" a="1"/>
  <c r="J215" i="55" s="1"/>
  <c r="L215" i="55" s="1"/>
  <c r="J178" i="55" a="1"/>
  <c r="J178" i="55" s="1"/>
  <c r="L178" i="55" s="1"/>
  <c r="J252" i="55" a="1"/>
  <c r="J252" i="55" s="1"/>
  <c r="L252" i="55" s="1"/>
  <c r="J212" i="55" a="1"/>
  <c r="J212" i="55" s="1"/>
  <c r="L212" i="55" s="1"/>
  <c r="J163" i="55" a="1"/>
  <c r="J163" i="55" s="1"/>
  <c r="L163" i="55" s="1"/>
  <c r="J272" i="55" a="1"/>
  <c r="J272" i="55" s="1"/>
  <c r="L272" i="55" s="1"/>
  <c r="J166" i="55" a="1"/>
  <c r="J166" i="55" s="1"/>
  <c r="L166" i="55" s="1"/>
  <c r="J354" i="55" a="1"/>
  <c r="J354" i="55" s="1"/>
  <c r="L354" i="55" s="1"/>
  <c r="J189" i="55" a="1"/>
  <c r="J189" i="55" s="1"/>
  <c r="L189" i="55" s="1"/>
  <c r="J315" i="55" a="1"/>
  <c r="J315" i="55" s="1"/>
  <c r="L315" i="55" s="1"/>
  <c r="J278" i="55" a="1"/>
  <c r="J278" i="55" s="1"/>
  <c r="L278" i="55" s="1"/>
  <c r="J322" i="55" a="1"/>
  <c r="J322" i="55" s="1"/>
  <c r="L322" i="55" s="1"/>
  <c r="L18" i="55"/>
  <c r="E21" i="15"/>
  <c r="G19" i="15"/>
  <c r="F18" i="15"/>
  <c r="H17" i="15"/>
  <c r="E37" i="15"/>
  <c r="G36" i="15"/>
  <c r="G37" i="15" s="1"/>
  <c r="E11" i="15"/>
  <c r="G10" i="15"/>
  <c r="G11" i="15" s="1"/>
  <c r="H20" i="15"/>
  <c r="G24" i="15"/>
  <c r="H30" i="15"/>
  <c r="G26" i="15"/>
  <c r="G27" i="15" s="1"/>
  <c r="H19" i="15"/>
  <c r="F21" i="15"/>
  <c r="G21" i="70"/>
  <c r="H10" i="12"/>
  <c r="G28" i="15"/>
  <c r="H17" i="70"/>
  <c r="J197" i="55" a="1"/>
  <c r="J197" i="55" s="1"/>
  <c r="L197" i="55" s="1"/>
  <c r="J240" i="55" a="1"/>
  <c r="J240" i="55" s="1"/>
  <c r="L240" i="55" s="1"/>
  <c r="J142" i="55" a="1"/>
  <c r="J142" i="55" s="1"/>
  <c r="L142" i="55" s="1"/>
  <c r="J150" i="55" a="1"/>
  <c r="J150" i="55" s="1"/>
  <c r="L150" i="55" s="1"/>
  <c r="J267" i="55" a="1"/>
  <c r="J267" i="55" s="1"/>
  <c r="L267" i="55" s="1"/>
  <c r="F49" i="15" a="1"/>
  <c r="F49" i="15" s="1"/>
  <c r="I49" i="15" s="1"/>
  <c r="J184" i="55" a="1"/>
  <c r="J184" i="55" s="1"/>
  <c r="L184" i="55" s="1"/>
  <c r="J356" i="55" a="1"/>
  <c r="J356" i="55" s="1"/>
  <c r="L356" i="55" s="1"/>
  <c r="F52" i="15" a="1"/>
  <c r="F52" i="15" s="1"/>
  <c r="I52" i="15" s="1"/>
  <c r="J331" i="55" a="1"/>
  <c r="J331" i="55" s="1"/>
  <c r="L331" i="55" s="1"/>
  <c r="J187" i="55" a="1"/>
  <c r="J187" i="55" s="1"/>
  <c r="L187" i="55" s="1"/>
  <c r="J351" i="55" a="1"/>
  <c r="J351" i="55" s="1"/>
  <c r="L351" i="55" s="1"/>
  <c r="J222" i="55" a="1"/>
  <c r="J222" i="55" s="1"/>
  <c r="L222" i="55" s="1"/>
  <c r="F45" i="15" a="1"/>
  <c r="F45" i="15" s="1"/>
  <c r="I45" i="15" s="1"/>
  <c r="J148" i="55" a="1"/>
  <c r="J148" i="55" s="1"/>
  <c r="L148" i="55" s="1"/>
  <c r="J193" i="55" a="1"/>
  <c r="J193" i="55" s="1"/>
  <c r="L193" i="55" s="1"/>
  <c r="J228" i="55" a="1"/>
  <c r="J228" i="55" s="1"/>
  <c r="L228" i="55" s="1"/>
  <c r="J225" i="55" a="1"/>
  <c r="J225" i="55" s="1"/>
  <c r="L225" i="55" s="1"/>
  <c r="H26" i="15"/>
  <c r="H27" i="15" s="1"/>
  <c r="H23" i="15"/>
  <c r="G7" i="70"/>
  <c r="G40" i="15"/>
  <c r="F32" i="15"/>
  <c r="F33" i="15" s="1"/>
  <c r="H31" i="15"/>
  <c r="H32" i="15" s="1"/>
  <c r="H16" i="55"/>
  <c r="H17" i="55" s="1"/>
  <c r="G17" i="15"/>
  <c r="E18" i="15"/>
  <c r="G23" i="15"/>
  <c r="H14" i="70"/>
  <c r="G15" i="12"/>
  <c r="G30" i="15"/>
  <c r="H38" i="15"/>
  <c r="F39" i="15"/>
  <c r="G20" i="15"/>
  <c r="H25" i="70"/>
  <c r="H14" i="15"/>
  <c r="H31" i="70"/>
  <c r="G14" i="12"/>
  <c r="H27" i="70"/>
  <c r="H28" i="15"/>
  <c r="G15" i="70"/>
  <c r="G11" i="12"/>
  <c r="G38" i="70"/>
  <c r="G8" i="12"/>
  <c r="H337" i="55" a="1"/>
  <c r="H337" i="55" s="1"/>
  <c r="H230" i="55" a="1"/>
  <c r="H230" i="55" s="1"/>
  <c r="L230" i="55" s="1"/>
  <c r="J12" i="55" a="1"/>
  <c r="J12" i="55" s="1"/>
  <c r="J16" i="55" s="1"/>
  <c r="J17" i="55" s="1"/>
  <c r="H247" i="55" a="1"/>
  <c r="H247" i="55" s="1"/>
  <c r="L247" i="55" s="1"/>
  <c r="J337" i="55" a="1"/>
  <c r="J337" i="55" s="1"/>
  <c r="H296" i="55" a="1"/>
  <c r="H296" i="55" s="1"/>
  <c r="H264" i="55" a="1"/>
  <c r="H264" i="55" s="1"/>
  <c r="L264" i="55" s="1"/>
  <c r="F11" i="70" a="1"/>
  <c r="F11" i="70" s="1"/>
  <c r="G11" i="70" s="1"/>
  <c r="E19" i="70" a="1"/>
  <c r="E19" i="70" s="1"/>
  <c r="G19" i="70" s="1"/>
  <c r="H138" i="55" a="1"/>
  <c r="H138" i="55" s="1"/>
  <c r="L138" i="55" s="1"/>
  <c r="E35" i="70" a="1"/>
  <c r="E35" i="70" s="1"/>
  <c r="G35" i="70" s="1"/>
  <c r="J317" i="55" a="1"/>
  <c r="J317" i="55" s="1"/>
  <c r="L317" i="55" s="1"/>
  <c r="J185" i="55" a="1"/>
  <c r="J185" i="55" s="1"/>
  <c r="L185" i="55" s="1"/>
  <c r="J308" i="55" a="1"/>
  <c r="J308" i="55" s="1"/>
  <c r="L308" i="55" s="1"/>
  <c r="J208" i="55" a="1"/>
  <c r="J208" i="55" s="1"/>
  <c r="L208" i="55" s="1"/>
  <c r="J221" i="55" a="1"/>
  <c r="J221" i="55" s="1"/>
  <c r="L221" i="55" s="1"/>
  <c r="J325" i="55" a="1"/>
  <c r="J325" i="55" s="1"/>
  <c r="L325" i="55" s="1"/>
  <c r="J318" i="55" a="1"/>
  <c r="J318" i="55" s="1"/>
  <c r="L318" i="55" s="1"/>
  <c r="J143" i="55" a="1"/>
  <c r="J143" i="55" s="1"/>
  <c r="L143" i="55" s="1"/>
  <c r="J306" i="55" a="1"/>
  <c r="J306" i="55" s="1"/>
  <c r="L306" i="55" s="1"/>
  <c r="J181" i="55" a="1"/>
  <c r="J181" i="55" s="1"/>
  <c r="L181" i="55" s="1"/>
  <c r="J302" i="55" a="1"/>
  <c r="J302" i="55" s="1"/>
  <c r="L302" i="55" s="1"/>
  <c r="J194" i="55" a="1"/>
  <c r="J194" i="55" s="1"/>
  <c r="L194" i="55" s="1"/>
  <c r="J348" i="55" a="1"/>
  <c r="J348" i="55" s="1"/>
  <c r="L348" i="55" s="1"/>
  <c r="J312" i="55" a="1"/>
  <c r="J312" i="55" s="1"/>
  <c r="L312" i="55" s="1"/>
  <c r="J203" i="55" a="1"/>
  <c r="J203" i="55" s="1"/>
  <c r="L203" i="55" s="1"/>
  <c r="J257" i="55" a="1"/>
  <c r="J257" i="55" s="1"/>
  <c r="L257" i="55" s="1"/>
  <c r="L25" i="55" l="1"/>
  <c r="L45" i="55"/>
  <c r="L41" i="55"/>
  <c r="L87" i="55"/>
  <c r="L55" i="55"/>
  <c r="L120" i="55"/>
  <c r="L123" i="55"/>
  <c r="L27" i="55"/>
  <c r="L61" i="55"/>
  <c r="L42" i="55"/>
  <c r="L104" i="55"/>
  <c r="L57" i="55"/>
  <c r="E17" i="12"/>
  <c r="E19" i="12" s="1"/>
  <c r="F17" i="12"/>
  <c r="F19" i="12" s="1"/>
  <c r="L119" i="55"/>
  <c r="L129" i="55"/>
  <c r="L65" i="55"/>
  <c r="L117" i="55"/>
  <c r="L28" i="55"/>
  <c r="L130" i="55"/>
  <c r="L44" i="55"/>
  <c r="L110" i="55"/>
  <c r="L80" i="55"/>
  <c r="L86" i="55"/>
  <c r="L91" i="55"/>
  <c r="L40" i="55"/>
  <c r="L84" i="55"/>
  <c r="L31" i="55"/>
  <c r="L128" i="55"/>
  <c r="L71" i="55"/>
  <c r="L30" i="55"/>
  <c r="L106" i="55"/>
  <c r="L20" i="55"/>
  <c r="L22" i="55"/>
  <c r="L49" i="55"/>
  <c r="L78" i="55"/>
  <c r="L118" i="55"/>
  <c r="L68" i="55"/>
  <c r="L69" i="55"/>
  <c r="L101" i="55"/>
  <c r="L85" i="55"/>
  <c r="L66" i="55"/>
  <c r="L73" i="55"/>
  <c r="L35" i="55"/>
  <c r="L29" i="55"/>
  <c r="L64" i="55"/>
  <c r="L54" i="55"/>
  <c r="L111" i="55"/>
  <c r="L103" i="55"/>
  <c r="L121" i="55"/>
  <c r="L97" i="55"/>
  <c r="L131" i="55"/>
  <c r="L92" i="55"/>
  <c r="L127" i="55"/>
  <c r="L134" i="55"/>
  <c r="L33" i="55"/>
  <c r="L43" i="55"/>
  <c r="L82" i="55"/>
  <c r="L70" i="55"/>
  <c r="L72" i="55"/>
  <c r="L32" i="55"/>
  <c r="L96" i="55"/>
  <c r="L60" i="55"/>
  <c r="H7" i="12"/>
  <c r="L133" i="55"/>
  <c r="L37" i="55"/>
  <c r="L19" i="55"/>
  <c r="L53" i="55"/>
  <c r="L109" i="55"/>
  <c r="L34" i="55"/>
  <c r="L56" i="55"/>
  <c r="L95" i="55"/>
  <c r="L100" i="55"/>
  <c r="L122" i="55"/>
  <c r="L115" i="55"/>
  <c r="L113" i="55"/>
  <c r="L94" i="55"/>
  <c r="G7" i="12"/>
  <c r="G33" i="15"/>
  <c r="G28" i="70"/>
  <c r="G23" i="70"/>
  <c r="H33" i="15"/>
  <c r="G9" i="12"/>
  <c r="E54" i="15"/>
  <c r="F54" i="15"/>
  <c r="H32" i="70"/>
  <c r="G8" i="70"/>
  <c r="L296" i="55"/>
  <c r="H39" i="15"/>
  <c r="H9" i="12"/>
  <c r="H26" i="70"/>
  <c r="G37" i="70"/>
  <c r="H37" i="70"/>
  <c r="H33" i="70"/>
  <c r="G34" i="70"/>
  <c r="G29" i="70"/>
  <c r="G20" i="70"/>
  <c r="H41" i="70"/>
  <c r="G16" i="70"/>
  <c r="H6" i="70"/>
  <c r="H40" i="70"/>
  <c r="H39" i="70"/>
  <c r="H24" i="70"/>
  <c r="G10" i="70"/>
  <c r="G22" i="70"/>
  <c r="H23" i="70"/>
  <c r="H28" i="70"/>
  <c r="G6" i="70"/>
  <c r="H29" i="70"/>
  <c r="G33" i="70"/>
  <c r="G32" i="70"/>
  <c r="H8" i="70"/>
  <c r="H16" i="70"/>
  <c r="H10" i="70"/>
  <c r="G24" i="70"/>
  <c r="H20" i="70"/>
  <c r="H9" i="70"/>
  <c r="H30" i="70"/>
  <c r="H22" i="70"/>
  <c r="G40" i="70"/>
  <c r="G26" i="70"/>
  <c r="G41" i="70"/>
  <c r="H34" i="70"/>
  <c r="G39" i="70"/>
  <c r="H36" i="70"/>
  <c r="H35" i="15"/>
  <c r="G18" i="15"/>
  <c r="G30" i="70"/>
  <c r="G36" i="70"/>
  <c r="H21" i="15"/>
  <c r="J217" i="55"/>
  <c r="J218" i="55" s="1"/>
  <c r="J381" i="55"/>
  <c r="J382" i="55" s="1"/>
  <c r="H19" i="70"/>
  <c r="G21" i="15"/>
  <c r="F43" i="70"/>
  <c r="F45" i="70" s="1"/>
  <c r="H11" i="70"/>
  <c r="E43" i="70"/>
  <c r="E45" i="70" s="1"/>
  <c r="H35" i="70"/>
  <c r="H18" i="15"/>
  <c r="H217" i="55"/>
  <c r="H218" i="55" s="1"/>
  <c r="H25" i="15"/>
  <c r="G16" i="15"/>
  <c r="H381" i="55"/>
  <c r="H382" i="55" s="1"/>
  <c r="L337" i="55"/>
  <c r="L381" i="55" s="1"/>
  <c r="L382" i="55" s="1"/>
  <c r="G25" i="15"/>
  <c r="G39" i="15"/>
  <c r="G42" i="15"/>
  <c r="L12" i="55"/>
  <c r="L16" i="55" s="1"/>
  <c r="L17" i="55" s="1"/>
  <c r="H42" i="15"/>
  <c r="J41" i="15"/>
  <c r="G35" i="15"/>
  <c r="H17" i="12" l="1"/>
  <c r="L217" i="55"/>
  <c r="L218" i="55" s="1"/>
  <c r="G17" i="12"/>
  <c r="H54" i="15"/>
  <c r="G54" i="15"/>
  <c r="G43" i="70"/>
  <c r="H43" i="70"/>
  <c r="H56" i="15" l="1"/>
  <c r="B219" i="55" l="1"/>
  <c r="B220" i="55" s="1"/>
  <c r="A220" i="55" l="1"/>
  <c r="B221" i="55"/>
  <c r="A219" i="55"/>
  <c r="B222" i="55" l="1"/>
  <c r="A221" i="55"/>
  <c r="B223" i="55" l="1"/>
  <c r="A223" i="55" s="1"/>
  <c r="A222" i="55"/>
  <c r="B224" i="55" l="1"/>
  <c r="B225" i="55" s="1"/>
  <c r="A225" i="55" s="1"/>
  <c r="A224" i="55" l="1"/>
  <c r="B226" i="55" l="1"/>
  <c r="A226" i="55" l="1"/>
  <c r="B227" i="55" l="1"/>
  <c r="B228" i="55" s="1"/>
  <c r="A228" i="55" s="1"/>
  <c r="A227" i="55" l="1"/>
  <c r="B229" i="55" l="1"/>
  <c r="B230" i="55" s="1"/>
  <c r="A230" i="55" s="1"/>
  <c r="B231" i="55" l="1"/>
  <c r="B232" i="55" s="1"/>
  <c r="A229" i="55"/>
  <c r="A232" i="55" l="1"/>
  <c r="B233" i="55"/>
  <c r="A231" i="55"/>
  <c r="B234" i="55" l="1"/>
  <c r="A233" i="55"/>
  <c r="B235" i="55" l="1"/>
  <c r="A234" i="55"/>
  <c r="A235" i="55" l="1"/>
  <c r="B236" i="55"/>
  <c r="A236" i="55" l="1"/>
  <c r="B237" i="55"/>
  <c r="B238" i="55" l="1"/>
  <c r="A237" i="55"/>
  <c r="A238" i="55" l="1"/>
  <c r="B239" i="55"/>
  <c r="B240" i="55" l="1"/>
  <c r="A239" i="55"/>
  <c r="A240" i="55" l="1"/>
  <c r="B241" i="55"/>
  <c r="B242" i="55" l="1"/>
  <c r="A241" i="55"/>
  <c r="A242" i="55" l="1"/>
  <c r="B243" i="55"/>
  <c r="A243" i="55" l="1"/>
  <c r="B244" i="55"/>
  <c r="A244" i="55" l="1"/>
  <c r="B245" i="55"/>
  <c r="A245" i="55" l="1"/>
  <c r="B246" i="55"/>
  <c r="B247" i="55" l="1"/>
  <c r="A246" i="55"/>
  <c r="A247" i="55" l="1"/>
  <c r="B248" i="55"/>
  <c r="B249" i="55" l="1"/>
  <c r="A248" i="55"/>
  <c r="B250" i="55" l="1"/>
  <c r="A249" i="55"/>
  <c r="B251" i="55" l="1"/>
  <c r="A250" i="55"/>
  <c r="A251" i="55" l="1"/>
  <c r="B252" i="55"/>
  <c r="B253" i="55" l="1"/>
  <c r="A252" i="55"/>
  <c r="B254" i="55" l="1"/>
  <c r="A253" i="55"/>
  <c r="B255" i="55" l="1"/>
  <c r="A254" i="55"/>
  <c r="A255" i="55" l="1"/>
  <c r="B256" i="55"/>
  <c r="B257" i="55" l="1"/>
  <c r="A256" i="55"/>
  <c r="B258" i="55" l="1"/>
  <c r="A257" i="55"/>
  <c r="B259" i="55" l="1"/>
  <c r="A258" i="55"/>
  <c r="A259" i="55" l="1"/>
  <c r="B260" i="55"/>
  <c r="A260" i="55" l="1"/>
  <c r="B261" i="55"/>
  <c r="A261" i="55" l="1"/>
  <c r="B262" i="55"/>
  <c r="B263" i="55" l="1"/>
  <c r="A262" i="55"/>
  <c r="A263" i="55" l="1"/>
  <c r="B264" i="55"/>
  <c r="B265" i="55" l="1"/>
  <c r="A264" i="55"/>
  <c r="B266" i="55" l="1"/>
  <c r="A265" i="55"/>
  <c r="A266" i="55" l="1"/>
  <c r="B267" i="55"/>
  <c r="B268" i="55" l="1"/>
  <c r="A267" i="55"/>
  <c r="B269" i="55" l="1"/>
  <c r="A268" i="55"/>
  <c r="B270" i="55" l="1"/>
  <c r="A269" i="55"/>
  <c r="A270" i="55" l="1"/>
  <c r="B271" i="55"/>
  <c r="A271" i="55" l="1"/>
  <c r="B272" i="55"/>
  <c r="B273" i="55" l="1"/>
  <c r="A272" i="55"/>
  <c r="B274" i="55" l="1"/>
  <c r="A273" i="55"/>
  <c r="A274" i="55" l="1"/>
  <c r="B275" i="55"/>
  <c r="B276" i="55" l="1"/>
  <c r="A275" i="55"/>
  <c r="A276" i="55" l="1"/>
  <c r="B277" i="55"/>
  <c r="B278" i="55" l="1"/>
  <c r="A277" i="55"/>
  <c r="B279" i="55" l="1"/>
  <c r="A278" i="55"/>
  <c r="B280" i="55" l="1"/>
  <c r="A279" i="55"/>
  <c r="A280" i="55" l="1"/>
  <c r="B281" i="55"/>
  <c r="A281" i="55" l="1"/>
  <c r="B282" i="55"/>
  <c r="B283" i="55" l="1"/>
  <c r="A282" i="55"/>
  <c r="A283" i="55" l="1"/>
  <c r="B284" i="55"/>
  <c r="B285" i="55" l="1"/>
  <c r="A284" i="55"/>
  <c r="B286" i="55" l="1"/>
  <c r="A285" i="55"/>
  <c r="B287" i="55" l="1"/>
  <c r="A286" i="55"/>
  <c r="B288" i="55" l="1"/>
  <c r="A287" i="55"/>
  <c r="A288" i="55" l="1"/>
  <c r="B289" i="55"/>
  <c r="B290" i="55" l="1"/>
  <c r="A289" i="55"/>
  <c r="A290" i="55" l="1"/>
  <c r="B291" i="55"/>
  <c r="A291" i="55" l="1"/>
  <c r="B292" i="55"/>
  <c r="B293" i="55" l="1"/>
  <c r="A292" i="55"/>
  <c r="B294" i="55" l="1"/>
  <c r="A293" i="55"/>
  <c r="A294" i="55" l="1"/>
  <c r="B295" i="55"/>
  <c r="A295" i="55" l="1"/>
  <c r="B296" i="55"/>
  <c r="B297" i="55" l="1"/>
  <c r="A296" i="55"/>
  <c r="A297" i="55" l="1"/>
  <c r="B298" i="55"/>
  <c r="B299" i="55" l="1"/>
  <c r="A298" i="55"/>
  <c r="A299" i="55" l="1"/>
  <c r="B300" i="55"/>
  <c r="B301" i="55" l="1"/>
  <c r="A300" i="55"/>
  <c r="A301" i="55" l="1"/>
  <c r="B302" i="55"/>
  <c r="B303" i="55" l="1"/>
  <c r="A302" i="55"/>
  <c r="A303" i="55" l="1"/>
  <c r="B304" i="55"/>
  <c r="B305" i="55" l="1"/>
  <c r="A304" i="55"/>
  <c r="A305" i="55" l="1"/>
  <c r="B306" i="55"/>
  <c r="B307" i="55" l="1"/>
  <c r="A306" i="55"/>
  <c r="B308" i="55" l="1"/>
  <c r="A307" i="55"/>
  <c r="A308" i="55" l="1"/>
  <c r="B309" i="55"/>
  <c r="B310" i="55" l="1"/>
  <c r="A309" i="55"/>
  <c r="A310" i="55" l="1"/>
  <c r="B311" i="55"/>
  <c r="A311" i="55" l="1"/>
  <c r="B312" i="55"/>
  <c r="A312" i="55" l="1"/>
  <c r="B313" i="55"/>
  <c r="B314" i="55" l="1"/>
  <c r="A313" i="55"/>
  <c r="A314" i="55" l="1"/>
  <c r="B315" i="55"/>
  <c r="B316" i="55" l="1"/>
  <c r="A315" i="55"/>
  <c r="B317" i="55" l="1"/>
  <c r="A316" i="55"/>
  <c r="B318" i="55" l="1"/>
  <c r="A317" i="55"/>
  <c r="A318" i="55" l="1"/>
  <c r="B319" i="55"/>
  <c r="A319" i="55" l="1"/>
  <c r="B320" i="55"/>
  <c r="A320" i="55" l="1"/>
  <c r="B321" i="55"/>
  <c r="B322" i="55" l="1"/>
  <c r="A321" i="55"/>
  <c r="A322" i="55" l="1"/>
  <c r="B323" i="55"/>
  <c r="B324" i="55" l="1"/>
  <c r="A323" i="55"/>
  <c r="A324" i="55" l="1"/>
  <c r="B325" i="55"/>
  <c r="B326" i="55" l="1"/>
  <c r="A325" i="55"/>
  <c r="A326" i="55" l="1"/>
  <c r="B327" i="55"/>
  <c r="B328" i="55" l="1"/>
  <c r="A327" i="55"/>
  <c r="A328" i="55" l="1"/>
  <c r="B329" i="55"/>
  <c r="B330" i="55" l="1"/>
  <c r="A329" i="55"/>
  <c r="B331" i="55" l="1"/>
  <c r="A330" i="55"/>
  <c r="A331" i="55" l="1"/>
  <c r="B332" i="55"/>
  <c r="B333" i="55" l="1"/>
  <c r="A332" i="55"/>
  <c r="A333" i="55" l="1"/>
  <c r="B334" i="55"/>
  <c r="A334" i="55" l="1"/>
  <c r="B335" i="55"/>
  <c r="B336" i="55" l="1"/>
  <c r="A335" i="55"/>
  <c r="A336" i="55" l="1"/>
  <c r="B337" i="55"/>
  <c r="A337" i="55" l="1"/>
  <c r="B338" i="55"/>
  <c r="A338" i="55" l="1"/>
  <c r="B339" i="55"/>
  <c r="B340" i="55" l="1"/>
  <c r="A339" i="55"/>
  <c r="A340" i="55" l="1"/>
  <c r="B341" i="55"/>
  <c r="A341" i="55" l="1"/>
  <c r="B342" i="55"/>
  <c r="B343" i="55" l="1"/>
  <c r="A342" i="55"/>
  <c r="B344" i="55" l="1"/>
  <c r="A343" i="55"/>
  <c r="B345" i="55" l="1"/>
  <c r="A344" i="55"/>
  <c r="A345" i="55" l="1"/>
  <c r="B346" i="55"/>
  <c r="B347" i="55" l="1"/>
  <c r="A346" i="55"/>
  <c r="B348" i="55" l="1"/>
  <c r="A347" i="55"/>
  <c r="A348" i="55" l="1"/>
  <c r="B349" i="55"/>
  <c r="B350" i="55" l="1"/>
  <c r="A349" i="55"/>
  <c r="A350" i="55" l="1"/>
  <c r="B351" i="55"/>
  <c r="B352" i="55" l="1"/>
  <c r="A351" i="55"/>
  <c r="A352" i="55" l="1"/>
  <c r="B353" i="55"/>
  <c r="B354" i="55" l="1"/>
  <c r="A353" i="55"/>
  <c r="B355" i="55" l="1"/>
  <c r="A354" i="55"/>
  <c r="B356" i="55" l="1"/>
  <c r="A355" i="55"/>
  <c r="A356" i="55" l="1"/>
  <c r="B357" i="55"/>
  <c r="B358" i="55" l="1"/>
  <c r="A357" i="55"/>
  <c r="A358" i="55" l="1"/>
  <c r="B359" i="55"/>
  <c r="B360" i="55" l="1"/>
  <c r="A359" i="55"/>
  <c r="B361" i="55" l="1"/>
  <c r="A360" i="55"/>
  <c r="A361" i="55" l="1"/>
  <c r="B362" i="55"/>
  <c r="A362" i="55" l="1"/>
  <c r="B363" i="55"/>
  <c r="B364" i="55" l="1"/>
  <c r="A363" i="55"/>
  <c r="A364" i="55" l="1"/>
  <c r="B365" i="55"/>
  <c r="B366" i="55" l="1"/>
  <c r="A365" i="55"/>
  <c r="B367" i="55" l="1"/>
  <c r="A366" i="55"/>
  <c r="A367" i="55" l="1"/>
  <c r="B368" i="55"/>
  <c r="B369" i="55" l="1"/>
  <c r="A368" i="55"/>
  <c r="A369" i="55" l="1"/>
  <c r="B370" i="55"/>
  <c r="B371" i="55" l="1"/>
  <c r="A370" i="55"/>
  <c r="A371" i="55" l="1"/>
  <c r="B372" i="55"/>
  <c r="B373" i="55" l="1"/>
  <c r="A372" i="55"/>
  <c r="B374" i="55" l="1"/>
  <c r="A373" i="55"/>
  <c r="A374" i="55" l="1"/>
  <c r="B375" i="55"/>
  <c r="B376" i="55" l="1"/>
  <c r="A375" i="55"/>
  <c r="B377" i="55" l="1"/>
  <c r="A376" i="55"/>
  <c r="A377" i="55" l="1"/>
  <c r="B378" i="55"/>
  <c r="A378" i="55" l="1"/>
  <c r="B379" i="55"/>
  <c r="A379" i="55" s="1"/>
</calcChain>
</file>

<file path=xl/sharedStrings.xml><?xml version="1.0" encoding="utf-8"?>
<sst xmlns="http://schemas.openxmlformats.org/spreadsheetml/2006/main" count="13119" uniqueCount="1295">
  <si>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</si>
  <si>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</si>
  <si>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</si>
  <si>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</si>
  <si>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</si>
  <si>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</si>
  <si>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</si>
  <si>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</si>
  <si>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</si>
  <si>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</si>
  <si>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</si>
  <si>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</si>
  <si>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</si>
  <si>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</si>
  <si>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</si>
  <si>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</si>
  <si>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</si>
  <si>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</si>
  <si>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</si>
  <si>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</si>
  <si>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</si>
  <si>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</si>
  <si>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</si>
  <si>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</si>
  <si>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</si>
  <si>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</si>
  <si>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</si>
  <si>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</si>
  <si>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</si>
  <si>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</si>
  <si>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</si>
  <si>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</si>
  <si>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</si>
  <si>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</si>
  <si>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</si>
  <si>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</si>
  <si>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</si>
  <si>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</si>
  <si>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</si>
  <si>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</si>
  <si>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</si>
  <si>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</si>
  <si>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</si>
  <si>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</si>
  <si>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</si>
  <si>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</si>
  <si>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</si>
  <si>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</si>
  <si>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</si>
  <si>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</si>
  <si>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</si>
  <si>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</si>
  <si>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</si>
  <si>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</si>
  <si>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</si>
  <si>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</si>
  <si>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</si>
  <si>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</si>
  <si>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</si>
  <si>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</si>
  <si>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</si>
  <si>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</si>
  <si>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</si>
  <si>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</si>
  <si>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</si>
  <si>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</si>
  <si>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</si>
  <si>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</si>
  <si>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</si>
  <si>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</si>
  <si>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</si>
  <si>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</si>
  <si>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</si>
  <si>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</si>
  <si>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</si>
  <si>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</si>
  <si>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</si>
  <si>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</si>
  <si>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</si>
  <si>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</si>
  <si>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</si>
  <si>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</si>
  <si>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</si>
  <si>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</si>
  <si>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</si>
  <si>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</si>
  <si>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</si>
  <si>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</si>
  <si>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</si>
  <si>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</si>
  <si>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</si>
  <si>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</si>
  <si>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</si>
  <si>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</si>
  <si>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</si>
  <si>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</si>
  <si>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</si>
  <si>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</si>
  <si>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</si>
  <si>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</si>
  <si>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</si>
  <si>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</si>
  <si>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</si>
  <si>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</si>
  <si>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</si>
  <si>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</si>
  <si>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</si>
  <si>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</si>
  <si>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</si>
  <si>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</si>
  <si>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</si>
  <si>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</si>
  <si>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</si>
  <si>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</si>
  <si>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</si>
  <si>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</si>
  <si>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</si>
  <si>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</si>
  <si>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</si>
  <si>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</si>
  <si>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</si>
  <si>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</si>
  <si>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</si>
  <si>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</si>
  <si>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</si>
  <si>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</si>
  <si>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</si>
  <si>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</si>
  <si>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</si>
  <si>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</si>
  <si>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</si>
  <si>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</si>
  <si>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</si>
  <si>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</si>
  <si>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</si>
  <si>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</si>
  <si>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</si>
  <si>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</si>
  <si>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</si>
  <si>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</si>
  <si>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</si>
  <si>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</si>
  <si>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</si>
  <si>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</si>
  <si>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</si>
  <si>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</si>
  <si>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</si>
  <si>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</si>
  <si>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</si>
  <si>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</si>
  <si>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</si>
  <si>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</si>
  <si>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</si>
  <si>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</si>
  <si>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</si>
  <si>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</si>
  <si>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</si>
  <si>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</si>
  <si>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</si>
  <si>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</si>
  <si>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</si>
  <si>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</si>
  <si>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</si>
  <si>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</si>
  <si>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</si>
  <si>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</si>
  <si>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</si>
  <si>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</si>
  <si>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</si>
  <si>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</si>
  <si>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</si>
  <si>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</si>
  <si>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</si>
  <si>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</si>
  <si>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</si>
  <si>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</si>
  <si>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</si>
  <si>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</si>
  <si>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</si>
  <si>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</si>
  <si>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</si>
  <si>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</si>
  <si>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</si>
  <si>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</si>
  <si>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</si>
  <si>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</si>
  <si>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</si>
  <si>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</si>
  <si>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</si>
  <si>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</si>
  <si>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</si>
  <si>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</si>
  <si>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</si>
  <si>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</si>
  <si>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</si>
  <si>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</si>
  <si>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</si>
  <si>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</si>
  <si>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</si>
  <si>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</si>
  <si>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</si>
  <si>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</si>
  <si>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</si>
  <si>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</si>
  <si>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</si>
  <si>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</si>
  <si>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</si>
  <si>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</si>
  <si>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</si>
  <si>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</si>
  <si>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</si>
  <si>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</si>
  <si>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</si>
  <si>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</si>
  <si>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</si>
  <si>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</si>
  <si>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</si>
  <si>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</si>
  <si>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</si>
  <si>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</si>
  <si>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</si>
  <si>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</si>
  <si>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</si>
  <si>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</si>
  <si>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</si>
  <si>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</si>
  <si>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</si>
  <si>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</si>
  <si>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</si>
  <si>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</si>
  <si>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</si>
  <si>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</si>
  <si>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</si>
  <si>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</si>
  <si>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</si>
  <si>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</si>
  <si>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</si>
  <si>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</si>
  <si>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</si>
  <si>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</si>
  <si>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</si>
  <si>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</si>
  <si>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</si>
  <si>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</si>
  <si>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</si>
  <si>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CP KHTS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</si>
  <si>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</si>
  <si>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</si>
  <si>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</si>
  <si>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</si>
  <si>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</si>
  <si>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</si>
  <si>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</si>
  <si>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</si>
  <si>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</si>
  <si>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</si>
  <si>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</si>
  <si>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</si>
  <si>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</si>
  <si>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</si>
  <si>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</si>
  <si>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</si>
  <si>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</si>
  <si>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</si>
  <si>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</si>
  <si>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</si>
  <si>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</si>
  <si>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</si>
  <si>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</si>
  <si>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</si>
  <si>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</si>
  <si>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</si>
  <si>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</si>
  <si>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</si>
  <si>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</si>
  <si>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</si>
  <si>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</si>
  <si>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</si>
  <si>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</si>
  <si>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</si>
  <si>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</si>
  <si>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</si>
  <si>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</si>
  <si>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</si>
  <si>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</si>
  <si>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</si>
  <si>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</si>
  <si>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</si>
  <si>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</si>
  <si>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</si>
  <si>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</si>
  <si>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</si>
  <si>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</si>
  <si>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</si>
  <si>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</si>
  <si>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</si>
  <si>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</si>
  <si>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</si>
  <si>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</si>
  <si>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</si>
  <si>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</si>
  <si>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</si>
  <si>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</si>
  <si>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</si>
  <si>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</si>
  <si>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</si>
  <si>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</si>
  <si>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</si>
  <si>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</si>
  <si>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</si>
  <si>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</si>
  <si>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</si>
  <si>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</si>
  <si>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</si>
  <si>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</si>
  <si>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</si>
  <si>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</si>
  <si>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</si>
  <si>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</si>
  <si>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</si>
  <si>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</si>
  <si>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</si>
  <si>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</si>
  <si>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</si>
  <si>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</si>
  <si>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</si>
  <si>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</si>
  <si>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</si>
  <si>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</si>
  <si>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</si>
  <si>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</si>
  <si>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</si>
  <si>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</si>
  <si>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</si>
  <si>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</si>
  <si>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</si>
  <si>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</si>
  <si>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</si>
  <si>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Lê Kim Ngọc Thảo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</si>
  <si>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</si>
  <si>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</si>
  <si>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</si>
  <si>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</si>
  <si>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</si>
  <si>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</si>
  <si>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</si>
  <si>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</si>
  <si>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</si>
  <si>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</si>
  <si>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</si>
  <si>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</si>
  <si>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</si>
  <si>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</si>
  <si>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</si>
  <si>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</si>
  <si>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</si>
  <si>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</si>
  <si>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</si>
  <si>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</si>
  <si>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</si>
  <si>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</si>
  <si>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</si>
  <si>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</si>
  <si>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</si>
  <si>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</si>
  <si>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</si>
  <si>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</si>
  <si>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Nộp tiền mặt vào tài khoản</t>
  </si>
  <si>
    <t>Lê Thị Dung</t>
  </si>
  <si>
    <t>Lãi tiền gửi</t>
  </si>
  <si>
    <t>Quý II</t>
  </si>
  <si>
    <t>Thanh toán tiền hàng</t>
  </si>
  <si>
    <t>Cty TNHH Sakata Inx Việt Nam</t>
  </si>
  <si>
    <t>Giấy tấm 1V+2X ( 1460x444)</t>
  </si>
  <si>
    <t>Kẽm đóng bao bì</t>
  </si>
  <si>
    <t>VAT Kẽm đóng bao bì</t>
  </si>
  <si>
    <t>DNTN SX-TM-DV Dây Đông Nam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</si>
  <si>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</si>
  <si>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</si>
  <si>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</si>
  <si>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</si>
  <si>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</si>
  <si>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</si>
  <si>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</si>
  <si>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</si>
  <si>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</si>
  <si>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</si>
  <si>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</si>
  <si>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Tiền điện</t>
  </si>
  <si>
    <t>VAT Tiền điện</t>
  </si>
  <si>
    <t>Máy chap khe khổ 2m</t>
  </si>
  <si>
    <t>Máy đóng kẽm</t>
  </si>
  <si>
    <t>Nhà Sách Vĩnh Lộc A</t>
  </si>
  <si>
    <t>Máy In</t>
  </si>
  <si>
    <t>C10</t>
  </si>
  <si>
    <t>C11</t>
  </si>
  <si>
    <t>C12</t>
  </si>
  <si>
    <t>T03</t>
  </si>
  <si>
    <t>C13</t>
  </si>
  <si>
    <t>C14</t>
  </si>
  <si>
    <t>C15</t>
  </si>
  <si>
    <t>C16</t>
  </si>
  <si>
    <t>T04</t>
  </si>
  <si>
    <t>C17</t>
  </si>
  <si>
    <t>C21</t>
  </si>
  <si>
    <t>C24</t>
  </si>
  <si>
    <t>VL/N01</t>
  </si>
  <si>
    <t>VL/N02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</si>
  <si>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</si>
  <si>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</si>
  <si>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</si>
  <si>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</si>
  <si>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</si>
  <si>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</si>
  <si>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</si>
  <si>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</si>
  <si>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</si>
  <si>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</si>
  <si>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</si>
  <si>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</si>
  <si>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</si>
  <si>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</si>
  <si>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</si>
  <si>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</si>
  <si>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</si>
  <si>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</si>
  <si>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</si>
  <si>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</si>
  <si>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</si>
  <si>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</si>
  <si>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</si>
  <si>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</si>
  <si>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Cty Liên Doanh Wufeng VN</t>
  </si>
  <si>
    <t>Cty CP Tuấn Ân Long An</t>
  </si>
  <si>
    <t>CP trả trước ngắn hạn</t>
  </si>
  <si>
    <t>CP Mực in</t>
  </si>
  <si>
    <t>Nguyên vật liệu chính</t>
  </si>
  <si>
    <t>Nguyên vật liệu phụ</t>
  </si>
  <si>
    <t>Mực in</t>
  </si>
  <si>
    <t>Trả trước ngắn hạn</t>
  </si>
  <si>
    <t>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</si>
  <si>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</si>
  <si>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</si>
  <si>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</si>
  <si>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</si>
  <si>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</si>
  <si>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</si>
  <si>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</si>
  <si>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</si>
  <si>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</si>
  <si>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</si>
  <si>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</si>
  <si>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</si>
  <si>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</si>
  <si>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</si>
  <si>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</si>
  <si>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</si>
  <si>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</si>
  <si>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</si>
  <si>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</si>
  <si>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</si>
  <si>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</si>
  <si>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</si>
  <si>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</si>
  <si>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</si>
  <si>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</si>
  <si>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</si>
  <si>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</si>
  <si>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T05</t>
  </si>
  <si>
    <t>Thu vốn góp Lê Thị Dung</t>
  </si>
  <si>
    <t>Thu vốn góp Phan Văn Hiền</t>
  </si>
  <si>
    <t>Thu vốn góp Nguyễn Thị Thu Sương</t>
  </si>
  <si>
    <t>0000012</t>
  </si>
  <si>
    <t>0000016</t>
  </si>
  <si>
    <t>T07</t>
  </si>
  <si>
    <t>T08</t>
  </si>
  <si>
    <t>T09</t>
  </si>
  <si>
    <t>T10</t>
  </si>
  <si>
    <t>T06</t>
  </si>
  <si>
    <t>Ghi Nợ tài khoản : 641</t>
  </si>
  <si>
    <t>- Tài khoản : 641</t>
  </si>
  <si>
    <t>- Ghi có TK : 641</t>
  </si>
  <si>
    <t>Quý III</t>
  </si>
  <si>
    <t>Thùng carton</t>
  </si>
  <si>
    <t>0000304</t>
  </si>
  <si>
    <t>VAT Giấy 5 lớp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</si>
  <si>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</si>
  <si>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</si>
  <si>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</si>
  <si>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</si>
  <si>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</si>
  <si>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</si>
  <si>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</si>
  <si>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</si>
  <si>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</si>
  <si>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</si>
  <si>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0000282</t>
  </si>
  <si>
    <t>Nguyễn Thị Quý</t>
  </si>
  <si>
    <t>Phí kiểm đếm</t>
  </si>
  <si>
    <t>0002580</t>
  </si>
  <si>
    <t>Cty TNHH Thành Thành Dũng</t>
  </si>
  <si>
    <t>Cty TNHH Cao Nghệ Vina</t>
  </si>
  <si>
    <t>Chi sec nhập quỹ tiền mặt</t>
  </si>
  <si>
    <t>Cty TNHH Tân Hải Hòa</t>
  </si>
  <si>
    <t>0009533</t>
  </si>
  <si>
    <t>Cty TNHH SX TM DV Natural Rendez - Vous</t>
  </si>
  <si>
    <t>0001091</t>
  </si>
  <si>
    <t>0001435</t>
  </si>
  <si>
    <t>0001506</t>
  </si>
  <si>
    <t>Thu phí duy trì tài khoản</t>
  </si>
  <si>
    <t>Cty CP Thực Phẩm Dinh Dưỡng Hoàng Trung Kha</t>
  </si>
  <si>
    <t>0002835</t>
  </si>
  <si>
    <t>0061077</t>
  </si>
  <si>
    <t>Nhà Sách Bình Tân</t>
  </si>
  <si>
    <t>0005182</t>
  </si>
  <si>
    <t>Phí bán 3 cuốn sec</t>
  </si>
  <si>
    <t>Nộp thuế thu nhập doanh nghiệp 2011</t>
  </si>
  <si>
    <t>0005342</t>
  </si>
  <si>
    <t>Nguyễn Anh Đào</t>
  </si>
  <si>
    <t>0103498</t>
  </si>
  <si>
    <t>Cty Điện Lực TPHCM</t>
  </si>
  <si>
    <t>0062696</t>
  </si>
  <si>
    <t>Cty CP XNK Dầu Nhờn Hà Nội</t>
  </si>
  <si>
    <t>Cước dịch vụ viễn thông</t>
  </si>
  <si>
    <t>3167707; 0001727</t>
  </si>
  <si>
    <t>Viễn thông TPHCM</t>
  </si>
  <si>
    <t>VAT Cước dịch vụ viễn thông</t>
  </si>
  <si>
    <t>Chi phí chứng thư số</t>
  </si>
  <si>
    <t>0000993</t>
  </si>
  <si>
    <t>Cty TNHH TM DV Công Nghệ Gia Khang</t>
  </si>
  <si>
    <t>VAT Chi phí chứng thư số</t>
  </si>
  <si>
    <t>0005687</t>
  </si>
  <si>
    <t>Cty TNHH TM &amp; Bao Bì Sài Gòn</t>
  </si>
  <si>
    <t>0005737</t>
  </si>
  <si>
    <t>Phạt vi phạm hành chánh</t>
  </si>
  <si>
    <t>0006459</t>
  </si>
  <si>
    <t>Cty TNHH Nhựa Hưng Phú</t>
  </si>
  <si>
    <t>3747697</t>
  </si>
  <si>
    <t>0006325</t>
  </si>
  <si>
    <t>Cty TNHH Đầu Tư Phương My</t>
  </si>
  <si>
    <t>Cty CP TP QT Long Phụng</t>
  </si>
  <si>
    <t>0006768</t>
  </si>
  <si>
    <t>1002599; 1002600</t>
  </si>
  <si>
    <t>Cty TNHH CN Cau Su - Nhựa Độc Lập</t>
  </si>
  <si>
    <t>Cty TNHH Bao Bì Uy Tín</t>
  </si>
  <si>
    <t>0007870</t>
  </si>
  <si>
    <t>0007965</t>
  </si>
  <si>
    <t>0008033</t>
  </si>
  <si>
    <t>0008171</t>
  </si>
  <si>
    <t>0468630; 0468631;0468632</t>
  </si>
  <si>
    <t>Cty CP Đại Đồng Tiến</t>
  </si>
  <si>
    <t>0746206</t>
  </si>
  <si>
    <t>0009345</t>
  </si>
  <si>
    <t>Ipad 4 Retina Wifi</t>
  </si>
  <si>
    <t>1754060</t>
  </si>
  <si>
    <t>Cty CP Thế Giới Di Động</t>
  </si>
  <si>
    <t>VAT Ipad 4 Retina Wifi</t>
  </si>
  <si>
    <t>0156695</t>
  </si>
  <si>
    <t>Cty CP Phát Hành Sách TPHCM</t>
  </si>
  <si>
    <t>VAT Văn phòng phẩm</t>
  </si>
  <si>
    <t>1008882; 1008883; 1008885</t>
  </si>
  <si>
    <t>0009907</t>
  </si>
  <si>
    <t>Chi phí tiếp khách</t>
  </si>
  <si>
    <t>0005559</t>
  </si>
  <si>
    <t>Cty TNHH Kim Nhi H . Đ</t>
  </si>
  <si>
    <t>VAT Chi phí tiếp khách</t>
  </si>
  <si>
    <t>0000005</t>
  </si>
  <si>
    <t>Cty TNHH Long Thịnh Vina</t>
  </si>
  <si>
    <t>0165007</t>
  </si>
  <si>
    <t>Băng keo</t>
  </si>
  <si>
    <t>0000626</t>
  </si>
  <si>
    <t>DNTN SX TM XNK Khang Thịnh Phước</t>
  </si>
  <si>
    <t>VAT Băng keo</t>
  </si>
  <si>
    <t>0001090</t>
  </si>
  <si>
    <t>0001017</t>
  </si>
  <si>
    <t>Cty TNHH MTV Thương Mại Kỳ Duyên</t>
  </si>
  <si>
    <t>T11</t>
  </si>
  <si>
    <t>T12</t>
  </si>
  <si>
    <t>Keo sữa Polymul</t>
  </si>
  <si>
    <t>0000295</t>
  </si>
  <si>
    <t>Cty TNHH SX Thương Mại A.M.I</t>
  </si>
  <si>
    <t>VAT Keo sữa Polymul</t>
  </si>
  <si>
    <t>Cty TNHH TM DV SX May Mặc XNK Xuân Mai</t>
  </si>
  <si>
    <t>T13</t>
  </si>
  <si>
    <t>0390269</t>
  </si>
  <si>
    <t>Giấy tấm 2 vàng + 3 xeo (2060x1050)</t>
  </si>
  <si>
    <t>0001572</t>
  </si>
  <si>
    <t>Cty TNHH Thành Đồng</t>
  </si>
  <si>
    <t>Giấy tấm 2 vàng + 3 xeo (1730x1050)</t>
  </si>
  <si>
    <t>Giấy tấm 1 vàng + 4 xeo (1580x1150)</t>
  </si>
  <si>
    <t>VAT Giấy tấm</t>
  </si>
  <si>
    <t>Giấy tấm 2 vàng + 3 xeo (1810x1145)</t>
  </si>
  <si>
    <t>0001579</t>
  </si>
  <si>
    <t>Giấy tấm 1 trắng + 3 xeo + 1 vàng (1760x1600)</t>
  </si>
  <si>
    <t>Giấy tấm 1 vàng + 2 xeo (1350x1000)</t>
  </si>
  <si>
    <t>0001585</t>
  </si>
  <si>
    <t>Giấy tấm 2 vàng + 1 xeo (2020x950)</t>
  </si>
  <si>
    <t>0001595</t>
  </si>
  <si>
    <t>Giấy tấm 2 vàng + 3 xeo (2370x1050)</t>
  </si>
  <si>
    <t>Giấy tấm 2 vàng + 3 xeo (2540x1050)</t>
  </si>
  <si>
    <t>Giấy tấm 1 vàng + 2 xeo (1940x1450)</t>
  </si>
  <si>
    <t>Giấy tấm 2 vàng + 3 xeo (1980x1050)</t>
  </si>
  <si>
    <t>Giấy tấm 2 vàng + 3 xeo (1900x1200)</t>
  </si>
  <si>
    <t>0001596</t>
  </si>
  <si>
    <t>Giấy tấm 2 vàng + 3 xeo (1320x1050)</t>
  </si>
  <si>
    <t>Giấy tấm 1 YBB + 1 xeo150 + 1 vàng (1700x1550)</t>
  </si>
  <si>
    <t>0001600</t>
  </si>
  <si>
    <t>Giấy tấm 2 giả thái + 3 xeo (2040x950)</t>
  </si>
  <si>
    <t>Giấy tấm 2 vàng + 3 xeo (2460x1650)</t>
  </si>
  <si>
    <t>0001606</t>
  </si>
  <si>
    <t>Giấy tấm 1 vàng + 4 xeo (1560x1350)</t>
  </si>
  <si>
    <t>0001609</t>
  </si>
  <si>
    <t>Giấy tấm 1 vàng + 4 xeo (1540x1240)</t>
  </si>
  <si>
    <t>Giấy tấm 1 YBB + 1 xeo + 1 vàng (1220x950)</t>
  </si>
  <si>
    <t>Giấy tấm 1 trắng + 2 xeo (840x1150)</t>
  </si>
  <si>
    <t>0001623</t>
  </si>
  <si>
    <t>Giấy tấm 2 vàng + 3 xeo (1080x1050)</t>
  </si>
  <si>
    <t>Giấy tấm 1 vàng + 2 xeo (1480x1000)</t>
  </si>
  <si>
    <t>Giấy tấm 2 vàng + 3 xeo (1450x900)</t>
  </si>
  <si>
    <t>Giấy tấm 2 vàng + 3 xeo (1390x900)</t>
  </si>
  <si>
    <t>Giấy tấm 2 vàng + 3 xeo (2280x1050)</t>
  </si>
  <si>
    <t>Giấy tấm 2 vàng + 3 xeo (2210x1050)</t>
  </si>
  <si>
    <t>Giấy tấm 2 vàng + 3 xeo (2400x950)</t>
  </si>
  <si>
    <t>0001631</t>
  </si>
  <si>
    <t>Giấy tấm 1 YBB + 3 xeo + 1 vàng (1350x1400)</t>
  </si>
  <si>
    <t>Giấy tấm 1 YBB + 3 xeo + 1 vàng (1220x950)</t>
  </si>
  <si>
    <t>Giấy tấm 2 vàng + 3 xeo (1320x1240)</t>
  </si>
  <si>
    <t>Giấy tấm 1 trắng + 3 xeo + 1 vàng (1770x1050)</t>
  </si>
  <si>
    <t>0001636</t>
  </si>
  <si>
    <t>Giấy tấm 1 trắng + 3 xeo + 1 vàng (1880x1585)</t>
  </si>
  <si>
    <t>Giấy tấm 1 vàng + 2 xeo (1210x1100)</t>
  </si>
  <si>
    <t>0001646</t>
  </si>
  <si>
    <t>Giấy tấm 2 vàng + 3 xeo (1400x1100)</t>
  </si>
  <si>
    <t>0001665</t>
  </si>
  <si>
    <t>Giấy tấm 1 vàng + 4 xeo (1555x950)</t>
  </si>
  <si>
    <t>0001681</t>
  </si>
  <si>
    <t>Giấy tấm 2 vàng + 3 xeo (1220x950)</t>
  </si>
  <si>
    <t>Giấy tấm 1 vàng + 2 xeo (1340x1595)</t>
  </si>
  <si>
    <t>Giấy tấm 2 vàng + 3 xeo (2240x1685)</t>
  </si>
  <si>
    <t>0001688</t>
  </si>
  <si>
    <t>0001689</t>
  </si>
  <si>
    <t>Giấy tấm 1 YBB + 1 xeo150 + 1 vàng (1700x1540)</t>
  </si>
  <si>
    <t>0001692</t>
  </si>
  <si>
    <t>Tấm carton (95x122)</t>
  </si>
  <si>
    <t>0000444</t>
  </si>
  <si>
    <t>Cty TNHH SX-TM Hiệp Nguyên</t>
  </si>
  <si>
    <t>Tấm carton (110x181)</t>
  </si>
  <si>
    <t>Tấm carton (145x194)</t>
  </si>
  <si>
    <t>Tấm carton (105x131)</t>
  </si>
  <si>
    <t>0000461</t>
  </si>
  <si>
    <t>Tấm carton (105x161)</t>
  </si>
  <si>
    <t>Tấm carton (140x156)</t>
  </si>
  <si>
    <t>Tấm carton (175x112)</t>
  </si>
  <si>
    <t>Tấm carton (135x150)</t>
  </si>
  <si>
    <t>0000473</t>
  </si>
  <si>
    <t>Tấm carton (135x142)</t>
  </si>
  <si>
    <t>Tấm carton (120x142)</t>
  </si>
  <si>
    <t>Tấm carton (95x202)</t>
  </si>
  <si>
    <t>Tấm carton (155x92)</t>
  </si>
  <si>
    <t>Tấm carton (155x96)</t>
  </si>
  <si>
    <t>0000475</t>
  </si>
  <si>
    <t>Tấm carton (155x170)</t>
  </si>
  <si>
    <t>0000484</t>
  </si>
  <si>
    <t>Tấm carton (130x144)</t>
  </si>
  <si>
    <t>Tấm carton (110x148)</t>
  </si>
  <si>
    <t>Tấm carton (125x145)</t>
  </si>
  <si>
    <t>Tấm carton (105x194)</t>
  </si>
  <si>
    <t>Tấm carton (130x134)</t>
  </si>
  <si>
    <t>0000491</t>
  </si>
  <si>
    <t>Tấm carton (135x212)</t>
  </si>
  <si>
    <t>Tấm carton (120x140)</t>
  </si>
  <si>
    <t>0000524</t>
  </si>
  <si>
    <t>Tấm carton (105x127)</t>
  </si>
  <si>
    <t>Tấm carton (144x127)</t>
  </si>
  <si>
    <t>0000528</t>
  </si>
  <si>
    <t>Tấm carton (100x116)</t>
  </si>
  <si>
    <t>Giấy tấm (100x157)</t>
  </si>
  <si>
    <t>0001482</t>
  </si>
  <si>
    <t>Cty TNHH SX-TM-DV Trường An</t>
  </si>
  <si>
    <t>Giấy tấm (160x111)</t>
  </si>
  <si>
    <t>0001558</t>
  </si>
  <si>
    <t>Giấy tấm (155x170)</t>
  </si>
  <si>
    <t>0001568</t>
  </si>
  <si>
    <t>Giấy tấm (145x117)</t>
  </si>
  <si>
    <t>0001577</t>
  </si>
  <si>
    <t>Giấy tấm (150x127)</t>
  </si>
  <si>
    <t>0001587</t>
  </si>
  <si>
    <t>Giấy tấm 3 lớp (115x190)</t>
  </si>
  <si>
    <t>0001344</t>
  </si>
  <si>
    <t>Cty TNHH TM DV Đức Trịnh</t>
  </si>
  <si>
    <t>Giấy tấm 5 lớp (180x250)</t>
  </si>
  <si>
    <t>0001394</t>
  </si>
  <si>
    <t>0001400</t>
  </si>
  <si>
    <t>0001417</t>
  </si>
  <si>
    <t>0001426</t>
  </si>
  <si>
    <t>0001437</t>
  </si>
  <si>
    <t>Giấy 3 lớp (100x128)</t>
  </si>
  <si>
    <t>0006898</t>
  </si>
  <si>
    <t>Cty TNHH Phúc Tiến</t>
  </si>
  <si>
    <t>Giấy 3 lớp (125x145)</t>
  </si>
  <si>
    <t>Giấy 3 lớp (160x171)</t>
  </si>
  <si>
    <t>VAT Giấy 3 lớp</t>
  </si>
  <si>
    <t>Giấy 5 lớp (130x144)</t>
  </si>
  <si>
    <t>0006907</t>
  </si>
  <si>
    <t>Giấy 5 lớp (120x140)</t>
  </si>
  <si>
    <t>Tấm carton 5 lớp (105x178)</t>
  </si>
  <si>
    <t>0000121</t>
  </si>
  <si>
    <t>Cty TNHH TM Giấy Tiến Thành</t>
  </si>
  <si>
    <t>Tấm carton 3 lớp (110x152)</t>
  </si>
  <si>
    <t>0000123</t>
  </si>
  <si>
    <t>Tấm carton 3 lớp (100x148)</t>
  </si>
  <si>
    <t>Tấm carton 5 lớp (120x140)</t>
  </si>
  <si>
    <t>0000126</t>
  </si>
  <si>
    <t>Giấy 3 lớp (100x130)</t>
  </si>
  <si>
    <t>0007225</t>
  </si>
  <si>
    <t>Giấy 5 lớp (105x204)</t>
  </si>
  <si>
    <t>0007253</t>
  </si>
  <si>
    <t>0007273</t>
  </si>
  <si>
    <t>Giấy 5 lớp (100x258)</t>
  </si>
  <si>
    <t>0007303</t>
  </si>
  <si>
    <t>0007311</t>
  </si>
  <si>
    <t>Giấy 3 lớp (160x134)</t>
  </si>
  <si>
    <t>0007330</t>
  </si>
  <si>
    <t>Thùng (52x26.5x26.5)</t>
  </si>
  <si>
    <t>0000262</t>
  </si>
  <si>
    <t>Thùng (22.5x22.5x52)</t>
  </si>
  <si>
    <t>VAT Thùng carton</t>
  </si>
  <si>
    <t>Thùng (57x38x33)</t>
  </si>
  <si>
    <t>0000263</t>
  </si>
  <si>
    <t>Cty TNHH XNK CBTP Hoàng Thiên Hương</t>
  </si>
  <si>
    <t>Thùng (43x29x20)</t>
  </si>
  <si>
    <t>Thùng (55x28x22)</t>
  </si>
  <si>
    <t>0000264</t>
  </si>
  <si>
    <t>Thùng (36x31.5x11.5)</t>
  </si>
  <si>
    <t>0000265</t>
  </si>
  <si>
    <t>Thùng (44x26.5x13)</t>
  </si>
  <si>
    <t>Tấm lót (30.5x10.5)</t>
  </si>
  <si>
    <t>Tấm lót (25.5x12)</t>
  </si>
  <si>
    <t>Tấm lót (27x15)</t>
  </si>
  <si>
    <t>Tấm lót (25x10)</t>
  </si>
  <si>
    <t>Thùng (40x33.5x13)</t>
  </si>
  <si>
    <t>Thùng (46.5x29.5x14)</t>
  </si>
  <si>
    <t>0000266</t>
  </si>
  <si>
    <t>Cty TNHH Thiên Thành</t>
  </si>
  <si>
    <t>Thùng (63x58x22)</t>
  </si>
  <si>
    <t>0000267</t>
  </si>
  <si>
    <t>Cty TNHH MTV Đệ Đông</t>
  </si>
  <si>
    <t>Thùng (60x58x35)</t>
  </si>
  <si>
    <t>0000268</t>
  </si>
  <si>
    <t>Thùng (52x24.5x24.5)</t>
  </si>
  <si>
    <t>0000269</t>
  </si>
  <si>
    <t>Thùng (52x32x21)</t>
  </si>
  <si>
    <t>Thùng (29x30x63)</t>
  </si>
  <si>
    <t>0000270</t>
  </si>
  <si>
    <t>Thùng (35x29x31)</t>
  </si>
  <si>
    <t>Thùng (29x30x61)</t>
  </si>
  <si>
    <t>Thùng (40.5x25x44)</t>
  </si>
  <si>
    <t>Thùng (44x24x10.5)</t>
  </si>
  <si>
    <t>0000271</t>
  </si>
  <si>
    <t>0000272</t>
  </si>
  <si>
    <t>Thùng (46.5x29.5x16)</t>
  </si>
  <si>
    <t>0000273</t>
  </si>
  <si>
    <t>0000274</t>
  </si>
  <si>
    <t>0000275</t>
  </si>
  <si>
    <t>Thùng (65x45x38)</t>
  </si>
  <si>
    <t>0000276</t>
  </si>
  <si>
    <t>Thùng (41x26x11)</t>
  </si>
  <si>
    <t>0000277</t>
  </si>
  <si>
    <t>Thùng (45.5x36.5x19)</t>
  </si>
  <si>
    <t>0000278</t>
  </si>
  <si>
    <t>0000279</t>
  </si>
  <si>
    <t>Thùng (55x45x29)</t>
  </si>
  <si>
    <t>0000280</t>
  </si>
  <si>
    <t>Cty TNHH TM KT Quang Bào</t>
  </si>
  <si>
    <t>0000281</t>
  </si>
  <si>
    <t>Thùng (65x50x35)</t>
  </si>
  <si>
    <t>0000283</t>
  </si>
  <si>
    <t>Cty TNHH TNDV SX in Bao Bì Tân Đông Hưng</t>
  </si>
  <si>
    <t>Thùng (65x58x30)</t>
  </si>
  <si>
    <t>0000284</t>
  </si>
  <si>
    <t>Thùng (56x48x20)</t>
  </si>
  <si>
    <t>0000285</t>
  </si>
  <si>
    <t>0000287</t>
  </si>
  <si>
    <t>0000288</t>
  </si>
  <si>
    <t>Thùng (35x27x24)</t>
  </si>
  <si>
    <t>Thùng (18x18x26)</t>
  </si>
  <si>
    <t>Thùng (18x28x26)</t>
  </si>
  <si>
    <t>0000290</t>
  </si>
  <si>
    <t>0000291</t>
  </si>
  <si>
    <t>0000292</t>
  </si>
  <si>
    <t>Cty CP Nam Đô</t>
  </si>
  <si>
    <t>0000293</t>
  </si>
  <si>
    <t>0000294</t>
  </si>
  <si>
    <t>Cty TNHH SX TMDV SaLe Diêng ViNa</t>
  </si>
  <si>
    <t>Cty CP mỹ phẩm Phúc Ân</t>
  </si>
  <si>
    <t>Thùng (55,5x33x21,5)</t>
  </si>
  <si>
    <t>0000296</t>
  </si>
  <si>
    <t>Thùng (53x40,5x18)</t>
  </si>
  <si>
    <t>0000297</t>
  </si>
  <si>
    <t>0000299</t>
  </si>
  <si>
    <t>0000298</t>
  </si>
  <si>
    <t>Tấm lót (40x30)</t>
  </si>
  <si>
    <t>0000300</t>
  </si>
  <si>
    <t>0000302</t>
  </si>
  <si>
    <t>0000303</t>
  </si>
  <si>
    <t>Thùng (22x22x53)</t>
  </si>
  <si>
    <t>0000305</t>
  </si>
  <si>
    <t>Cty TNHH SX DVTM Vạn Vạn Thông</t>
  </si>
  <si>
    <t>Thùng (23x23x53)</t>
  </si>
  <si>
    <t>0000306</t>
  </si>
  <si>
    <t>Thùng (52x26x24,5)</t>
  </si>
  <si>
    <t>0000307</t>
  </si>
  <si>
    <t>Thùng (28x28x32)</t>
  </si>
  <si>
    <t>0000308</t>
  </si>
  <si>
    <t>Thùng (35x35x29)</t>
  </si>
  <si>
    <t>0000310</t>
  </si>
  <si>
    <t>Thùng (42x30x22)</t>
  </si>
  <si>
    <t>Thùng (56x48x17)</t>
  </si>
  <si>
    <t>0000311</t>
  </si>
  <si>
    <t>Tấm lót (50x20)</t>
  </si>
  <si>
    <t>Thùng (37x27x35)</t>
  </si>
  <si>
    <t>0000312</t>
  </si>
  <si>
    <t>0000313</t>
  </si>
  <si>
    <t>0000314</t>
  </si>
  <si>
    <t>Chi nhánh Cty CP Armephaco-xi nghiep dược phẩm 150</t>
  </si>
  <si>
    <t>0000315</t>
  </si>
  <si>
    <t>0000317</t>
  </si>
  <si>
    <t>Thùng (39x29x24)</t>
  </si>
  <si>
    <t>0000318</t>
  </si>
  <si>
    <t>Cty TNHH Bao Bì Thảo Việt</t>
  </si>
  <si>
    <t>0000319</t>
  </si>
  <si>
    <t>Thùng (29x29x24)</t>
  </si>
  <si>
    <t>0000320</t>
  </si>
  <si>
    <t>Thùng (28x28x26)</t>
  </si>
  <si>
    <t>Thùng (26x26x33)</t>
  </si>
  <si>
    <t>Thùng (25x25x32,5)</t>
  </si>
  <si>
    <t>0000321</t>
  </si>
  <si>
    <t>0000323</t>
  </si>
  <si>
    <t>Thùng (49x38x12)</t>
  </si>
  <si>
    <t>0000324</t>
  </si>
  <si>
    <t>Thùng 3L</t>
  </si>
  <si>
    <t>0000326</t>
  </si>
  <si>
    <t>0000328</t>
  </si>
  <si>
    <t>Thùng (68x35x18)</t>
  </si>
  <si>
    <t>Thùng (61x30x23)</t>
  </si>
  <si>
    <t>0000329</t>
  </si>
  <si>
    <t>Thùng (24x24x33)</t>
  </si>
  <si>
    <t>Thùng (55x55x75)</t>
  </si>
  <si>
    <t>0000330</t>
  </si>
  <si>
    <t>Cty TNHH SX TM Nhựa Đại Dương</t>
  </si>
  <si>
    <t>0000331</t>
  </si>
  <si>
    <t>Thùng (62x42x20)</t>
  </si>
  <si>
    <t>0000332</t>
  </si>
  <si>
    <t>Thùng (59x39,5x35)</t>
  </si>
  <si>
    <t>0000333</t>
  </si>
  <si>
    <t>0000335</t>
  </si>
  <si>
    <t>0000336</t>
  </si>
  <si>
    <t>0000337</t>
  </si>
  <si>
    <t>0000338</t>
  </si>
  <si>
    <t>0000343</t>
  </si>
  <si>
    <t>0000344</t>
  </si>
  <si>
    <t>Thùng (58x40x53)</t>
  </si>
  <si>
    <t>0000345</t>
  </si>
  <si>
    <t>0000346</t>
  </si>
  <si>
    <t>0000348</t>
  </si>
  <si>
    <t>Cty TNHH nhựa Hưng Phú</t>
  </si>
  <si>
    <t>Thùng (51,5x28x28)</t>
  </si>
  <si>
    <t>Thùng (70x40x40)</t>
  </si>
  <si>
    <t>0000349</t>
  </si>
  <si>
    <t>Thùng (66x46,7x34,7)</t>
  </si>
  <si>
    <t>0000350</t>
  </si>
  <si>
    <t>Thùng (52x42x29)</t>
  </si>
  <si>
    <t>Thùng (50x25x46)</t>
  </si>
  <si>
    <t>0000353</t>
  </si>
  <si>
    <t>0000354</t>
  </si>
  <si>
    <t>0000355</t>
  </si>
  <si>
    <t>Thùng (58x38x18)</t>
  </si>
  <si>
    <t>Thùng (119x49x51)</t>
  </si>
  <si>
    <t>0000356</t>
  </si>
  <si>
    <t>Cty TNHH đầu tư SX TM Kim Long Phát</t>
  </si>
  <si>
    <t>Thùng (144x49x51)</t>
  </si>
  <si>
    <t>Thùng (167x49x51)</t>
  </si>
  <si>
    <t>Thùng (183x49x51)</t>
  </si>
  <si>
    <t>Thùng (200x49x51)</t>
  </si>
  <si>
    <t>Thùng (250x49x51)</t>
  </si>
  <si>
    <t>Thùng (42x26x33)</t>
  </si>
  <si>
    <t>0000357</t>
  </si>
  <si>
    <t>Thùng (100x20x20)</t>
  </si>
  <si>
    <t>0000358</t>
  </si>
  <si>
    <t>Thùng (51,5x26x26)</t>
  </si>
  <si>
    <t>0000359</t>
  </si>
  <si>
    <t>0000360</t>
  </si>
  <si>
    <t>0000362</t>
  </si>
  <si>
    <t>0000363</t>
  </si>
  <si>
    <t>0000364</t>
  </si>
  <si>
    <t>0000366</t>
  </si>
  <si>
    <t>Cty TNHH đầu tư Phương My</t>
  </si>
  <si>
    <t>0000367</t>
  </si>
  <si>
    <t>0000368</t>
  </si>
  <si>
    <t>Thùng (51x22x32)</t>
  </si>
  <si>
    <t>0000369</t>
  </si>
  <si>
    <t>0000370</t>
  </si>
  <si>
    <t>0000371</t>
  </si>
  <si>
    <t>0000372</t>
  </si>
  <si>
    <t>0000373</t>
  </si>
  <si>
    <t>Thùng mì</t>
  </si>
  <si>
    <t>0000374</t>
  </si>
  <si>
    <t>Cty TNHH SX TM Sài Gòn Mì</t>
  </si>
  <si>
    <t>0000375</t>
  </si>
  <si>
    <t>0000376</t>
  </si>
  <si>
    <t>Thùng (110x22x22)</t>
  </si>
  <si>
    <t>0000377</t>
  </si>
  <si>
    <t>0000379</t>
  </si>
  <si>
    <t>0000381</t>
  </si>
  <si>
    <t>0000383</t>
  </si>
  <si>
    <t>0000384</t>
  </si>
  <si>
    <t>Cty TNHH TM DV Phi Nguyễn</t>
  </si>
  <si>
    <t>0000385</t>
  </si>
  <si>
    <t>0000388</t>
  </si>
  <si>
    <t>0000389</t>
  </si>
  <si>
    <t>Thùng (53x30,5x20)</t>
  </si>
  <si>
    <t>0000390</t>
  </si>
  <si>
    <t>Thùng (40x25,5x24)</t>
  </si>
  <si>
    <t>0000391</t>
  </si>
  <si>
    <t>0000401</t>
  </si>
  <si>
    <t>Thùng (47,5x31,5x39,5)</t>
  </si>
  <si>
    <t>0000402</t>
  </si>
  <si>
    <t>Cty liên doanh WUFENG VN</t>
  </si>
  <si>
    <t>Thùng (59x37x29)</t>
  </si>
  <si>
    <t>0000403</t>
  </si>
  <si>
    <t>0000404</t>
  </si>
  <si>
    <t>Thùng (46x24x18)</t>
  </si>
  <si>
    <t>0000406</t>
  </si>
  <si>
    <t>0000407</t>
  </si>
  <si>
    <t>0000408</t>
  </si>
  <si>
    <t>0000411</t>
  </si>
  <si>
    <t>0000412</t>
  </si>
  <si>
    <t>0000413</t>
  </si>
  <si>
    <t>0000414</t>
  </si>
  <si>
    <t>0000417</t>
  </si>
  <si>
    <t>Thùng (48x38x44)</t>
  </si>
  <si>
    <t>0000418</t>
  </si>
  <si>
    <t>Thùng (48x38x33)</t>
  </si>
  <si>
    <t>Thùng (43x31x25)</t>
  </si>
  <si>
    <t>0000419</t>
  </si>
  <si>
    <t>Thùng (37x28x16,5)</t>
  </si>
  <si>
    <t>Thùng (38x28x17)</t>
  </si>
  <si>
    <t>0000420</t>
  </si>
  <si>
    <t>0000421</t>
  </si>
  <si>
    <t>0000422</t>
  </si>
  <si>
    <t>0000423</t>
  </si>
  <si>
    <t>0000424</t>
  </si>
  <si>
    <t>Cty TNHH Doanh Thuận Phát</t>
  </si>
  <si>
    <t>0000427</t>
  </si>
  <si>
    <t>Thùng (37x28x18)</t>
  </si>
  <si>
    <t>0000428</t>
  </si>
  <si>
    <t>0000429</t>
  </si>
  <si>
    <t>0000430</t>
  </si>
  <si>
    <t>0000431</t>
  </si>
  <si>
    <t>0000432</t>
  </si>
  <si>
    <t>0000433</t>
  </si>
  <si>
    <t>0000434</t>
  </si>
  <si>
    <t>0000435</t>
  </si>
  <si>
    <t>0000436</t>
  </si>
  <si>
    <t>Thùng (30x30x24)</t>
  </si>
  <si>
    <t>0000437</t>
  </si>
  <si>
    <t>Thùng (33x14x8)</t>
  </si>
  <si>
    <t>0000438</t>
  </si>
  <si>
    <t>Thùng (32x14,5x7,5)</t>
  </si>
  <si>
    <t>Thùng (50x18x11,5)</t>
  </si>
  <si>
    <t>Thùng (49x21x12)</t>
  </si>
  <si>
    <t>Thùng (50x12x10)</t>
  </si>
  <si>
    <t>0000439</t>
  </si>
  <si>
    <t>Thùng (53x12,5x10)</t>
  </si>
  <si>
    <t>Thùng (56x18,5x13)</t>
  </si>
  <si>
    <t>Thùng (49x27x17)</t>
  </si>
  <si>
    <t>Thùng (66x16x15)</t>
  </si>
  <si>
    <t>Thùng (61x27x12)</t>
  </si>
  <si>
    <t>Thùng (61x28,5x13)</t>
  </si>
  <si>
    <t>Thùng (61x35,5x13)</t>
  </si>
  <si>
    <t>Thùng (36x27x14)</t>
  </si>
  <si>
    <t>0000440</t>
  </si>
  <si>
    <t>Thùng (39x39x27)</t>
  </si>
  <si>
    <t>0000441</t>
  </si>
  <si>
    <t>Thùng (50x25x35)</t>
  </si>
  <si>
    <t>0000442</t>
  </si>
  <si>
    <t>0000443</t>
  </si>
  <si>
    <t>Thùng (50x34,5x27,5)</t>
  </si>
  <si>
    <t>0000445</t>
  </si>
  <si>
    <t>Thùng (50x34,5x25,5)</t>
  </si>
  <si>
    <t>0000446</t>
  </si>
  <si>
    <t>Thùng (55x42x45,5)</t>
  </si>
  <si>
    <t>0000447</t>
  </si>
  <si>
    <t>Thùng (263x49x51)</t>
  </si>
  <si>
    <t>Thùng (311x49x51)</t>
  </si>
  <si>
    <t>0000448</t>
  </si>
  <si>
    <t>0000450</t>
  </si>
  <si>
    <t>0000451</t>
  </si>
  <si>
    <t>0000452</t>
  </si>
  <si>
    <t>0000453</t>
  </si>
  <si>
    <t>0000454</t>
  </si>
  <si>
    <t>0000455</t>
  </si>
  <si>
    <t>0000458</t>
  </si>
  <si>
    <t>Thùng (43,5x22x24)</t>
  </si>
  <si>
    <t>0000459</t>
  </si>
  <si>
    <t>0000460</t>
  </si>
  <si>
    <t>Thùng (52x28x28)</t>
  </si>
  <si>
    <t>0000462</t>
  </si>
  <si>
    <t>Cty CP SX TM Khai Thông</t>
  </si>
  <si>
    <t>Thùng (55x45x30)</t>
  </si>
  <si>
    <t>Thùng (65x22x30)</t>
  </si>
  <si>
    <t>0000463</t>
  </si>
  <si>
    <t>0000464</t>
  </si>
  <si>
    <t>0000465</t>
  </si>
  <si>
    <t>0000466</t>
  </si>
  <si>
    <t>0000467</t>
  </si>
  <si>
    <t>0000468</t>
  </si>
  <si>
    <t>0000469</t>
  </si>
  <si>
    <t>Thùng (134x49x51)</t>
  </si>
  <si>
    <t>0000470</t>
  </si>
  <si>
    <t>Thùng (151x49x51)</t>
  </si>
  <si>
    <t>0000471</t>
  </si>
  <si>
    <t>Thùng (215x49x51)</t>
  </si>
  <si>
    <t>Thùng (232x49x51)</t>
  </si>
  <si>
    <t>0000472</t>
  </si>
  <si>
    <t>Cty TNHH CN TM Việt Nhật</t>
  </si>
  <si>
    <t>0000474</t>
  </si>
  <si>
    <t>0000478</t>
  </si>
  <si>
    <t>Thùng (50x34x55)</t>
  </si>
  <si>
    <t>0000479</t>
  </si>
  <si>
    <t>0000481</t>
  </si>
  <si>
    <t>0000482</t>
  </si>
  <si>
    <t>0000485</t>
  </si>
  <si>
    <t>0000486</t>
  </si>
  <si>
    <t>0000487</t>
  </si>
  <si>
    <t>0000489</t>
  </si>
  <si>
    <t>0000490</t>
  </si>
  <si>
    <t>0000492</t>
  </si>
  <si>
    <t>Thùng carton cho valve 72</t>
  </si>
  <si>
    <t>0000493</t>
  </si>
  <si>
    <t>0000494</t>
  </si>
  <si>
    <t>0000495</t>
  </si>
  <si>
    <t>0000497</t>
  </si>
  <si>
    <t>0000498</t>
  </si>
  <si>
    <t>Thuế GTGT phải nộp Quý III</t>
  </si>
  <si>
    <t>Chi Cục Thuế Bình Chánh</t>
  </si>
  <si>
    <t>Thuế GTGT phải nộp Quý IV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</si>
  <si>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</si>
  <si>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</si>
  <si>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</si>
  <si>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</si>
  <si>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</si>
  <si>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</si>
  <si>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</si>
  <si>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</si>
  <si>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</si>
  <si>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</si>
  <si>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</si>
  <si>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</si>
  <si>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</si>
  <si>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</si>
  <si>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</si>
  <si>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</si>
  <si>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</si>
  <si>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</si>
  <si>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</si>
  <si>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</si>
  <si>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</si>
  <si>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</si>
  <si>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</si>
  <si>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</si>
  <si>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</si>
  <si>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</si>
  <si>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</si>
  <si>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</si>
  <si>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</si>
  <si>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</si>
  <si>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</si>
  <si>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</si>
  <si>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</si>
  <si>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</si>
  <si>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</si>
  <si>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</si>
  <si>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</si>
  <si>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</si>
  <si>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</si>
  <si>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</si>
  <si>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</si>
  <si>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</si>
  <si>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</si>
  <si>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</si>
  <si>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</si>
  <si>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</si>
  <si>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</si>
  <si>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</si>
  <si>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</si>
  <si>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</si>
  <si>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</si>
  <si>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</si>
  <si>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</si>
  <si>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</si>
  <si>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</si>
  <si>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</si>
  <si>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</si>
  <si>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</si>
  <si>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</si>
  <si>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</si>
  <si>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</si>
  <si>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</si>
  <si>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</si>
  <si>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</si>
  <si>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Cty TNHH TM DV An Vinh</t>
  </si>
  <si>
    <t xml:space="preserve">Cty TNHH Tân Mậu Hưng </t>
  </si>
  <si>
    <t>Cty TNHH Thức Ăn Chăn Nuôi Kyodo Sojitz</t>
  </si>
  <si>
    <t>Cty TNHH SX-TM Bao Bì Phương Nam</t>
  </si>
  <si>
    <t>NĂM 2013</t>
  </si>
  <si>
    <t>0000393</t>
  </si>
  <si>
    <t>0000394</t>
  </si>
  <si>
    <t>0000395</t>
  </si>
  <si>
    <t>0000396</t>
  </si>
  <si>
    <t>0000397</t>
  </si>
  <si>
    <t>Thùng (51.5x34x24)</t>
  </si>
  <si>
    <t>Thùng (51.5x22x32)</t>
  </si>
  <si>
    <t>0000398</t>
  </si>
  <si>
    <t>0000399</t>
  </si>
  <si>
    <t>0000400</t>
  </si>
  <si>
    <t>0000409</t>
  </si>
  <si>
    <t>Thùng (36x27.5x24.5)</t>
  </si>
  <si>
    <t>Thùng (43.5x41x23.5)</t>
  </si>
  <si>
    <t>Thùng (54.5x36.5x23.5)</t>
  </si>
  <si>
    <t>Thùng (48x47x54.5)</t>
  </si>
  <si>
    <t>Thùng (43x27.5x33)</t>
  </si>
  <si>
    <t>Thùng (48x38.5x54.5)</t>
  </si>
  <si>
    <t>Thùng (39.5x32.3x27.7)</t>
  </si>
  <si>
    <t>Thùng (49.5x38.5x32.5)</t>
  </si>
  <si>
    <t>Thùng (32.5x32.5x16)</t>
  </si>
  <si>
    <t>Thùng (54.5x46.3x48.5)</t>
  </si>
  <si>
    <t>Hộp công tơ điện (37x17x68)</t>
  </si>
  <si>
    <t>Thùng (22x22x51.5)</t>
  </si>
  <si>
    <t>Thùng (24x24x40.5)</t>
  </si>
  <si>
    <t>Thùng (24x24x42.5)</t>
  </si>
  <si>
    <t>Thùng (36.5x32.5x33.5)</t>
  </si>
  <si>
    <t>Thùng (46x23x15.3)</t>
  </si>
  <si>
    <t>Thùng (26x23x15.3)</t>
  </si>
  <si>
    <t>Thùng (41.5x31.5x33.5)</t>
  </si>
  <si>
    <t>Thùng (37x33x38.5)</t>
  </si>
  <si>
    <t>Thùng (41.5x31.5x35)</t>
  </si>
  <si>
    <t>Thùng (44.5x25x33.5)</t>
  </si>
  <si>
    <t>Thùng (27x27x35.5)</t>
  </si>
  <si>
    <t>Thùng (27x18x35.5)</t>
  </si>
  <si>
    <t>Thùng (37x24.5x23.5)</t>
  </si>
  <si>
    <t>Thùng (44x18x29.5)</t>
  </si>
  <si>
    <t>Thùng (37.3x24.8x23.8)</t>
  </si>
  <si>
    <t>Thùng (30.5x22.5x23.5)</t>
  </si>
  <si>
    <t>Thùng (36.1x25.3x24)</t>
  </si>
  <si>
    <t>Thùng (26x19.5x10)</t>
  </si>
  <si>
    <t>Thùng (29.5x24x19)</t>
  </si>
  <si>
    <t>Thùng (32.5x22.5x35)</t>
  </si>
  <si>
    <t>Thùng (32.5x23.5x12)</t>
  </si>
  <si>
    <t>Thùng (32.5x23.5x11)</t>
  </si>
  <si>
    <t>Thùng (37x18.5x26)</t>
  </si>
  <si>
    <t>Thùng (38x15.5x8)</t>
  </si>
  <si>
    <t>Thùng (39.5x26x24.5)</t>
  </si>
  <si>
    <t>Thùng (40x17.5x48)</t>
  </si>
  <si>
    <t>Thùng (40x17.5x9)</t>
  </si>
  <si>
    <t>Thùng (51.5x24x24)</t>
  </si>
  <si>
    <t>BẢNG TÍNH GIÁ THÀNH SP QUÝ I/2013</t>
  </si>
  <si>
    <t>BẢNG TÍNH GIÁ THÀNH SP QUÝ II/2013</t>
  </si>
  <si>
    <t>BẢNG TÍNH GIÁ THÀNH SP QUÝ IV/2013</t>
  </si>
  <si>
    <t>Giấy carton (100x124)</t>
  </si>
  <si>
    <t>tấm</t>
  </si>
  <si>
    <t>Giấy carton (105x171)</t>
  </si>
  <si>
    <t>Giấy carton (105x196)</t>
  </si>
  <si>
    <t>Giấy carton (115x181)</t>
  </si>
  <si>
    <t>Giấy carton (135x210)</t>
  </si>
  <si>
    <t>Giấy carton (85x246)</t>
  </si>
  <si>
    <t>Giấy tấm 1 trắng + 2 xeo 150 + 1 xeo 110 + 1 vàng (1490x1300)</t>
  </si>
  <si>
    <t>Giấy tấm 2 vàng - 3 xeo (1810x1150)</t>
  </si>
  <si>
    <t>Giấy tấm 2 vàng - 3 xeo (2020x1350)</t>
  </si>
  <si>
    <t>Giấy tấm 2 vàng - 3 xeo (2280x1500)</t>
  </si>
  <si>
    <t>Giấy tấm 2 vàng - 3 xeo (2280x900)</t>
  </si>
  <si>
    <t>Giấy tấm 3 lớp (100x100)</t>
  </si>
  <si>
    <t>Giấy tấm 3 lớp (122x95)</t>
  </si>
  <si>
    <t>Giấy tấm 3 lớp (125x90)</t>
  </si>
  <si>
    <t>Giấy tấm 3 lớp (127x100)</t>
  </si>
  <si>
    <t>Giấy tấm 3 lớp (127x105)</t>
  </si>
  <si>
    <t>Giấy tấm 3 lớp (127x145)</t>
  </si>
  <si>
    <t>Giấy tấm 3 lớp (134x160)</t>
  </si>
  <si>
    <t>Giấy tấm 3 lớp (135x100)</t>
  </si>
  <si>
    <t>Giấy tấm 3 lớp (135x174)</t>
  </si>
  <si>
    <t>Giấy tấm 3 lớp (140x180)</t>
  </si>
  <si>
    <t>Giấy tấm 3 lớp (140x85)</t>
  </si>
  <si>
    <t>Giấy tấm 3 lớp (148x100)</t>
  </si>
  <si>
    <t>Giấy tấm 3 lớp (150x125)</t>
  </si>
  <si>
    <t>Giấy tấm 3 lớp (151x90)</t>
  </si>
  <si>
    <t>Giấy tấm 3 lớp (156x100)</t>
  </si>
  <si>
    <t>Giấy tấm 3 lớp (160x145)</t>
  </si>
  <si>
    <t>Giấy tấm 3 lớp (161x100)</t>
  </si>
  <si>
    <t>Giấy tấm 3 lớp (161x160)</t>
  </si>
  <si>
    <t>Giấy tấm 3 lớp (162x110)</t>
  </si>
  <si>
    <t>Giấy tấm 3 lớp (162x80)</t>
  </si>
  <si>
    <t>Giấy tấm 3 lớp (164x145)</t>
  </si>
  <si>
    <t>Giấy tấm 3 lớp (168x90)</t>
  </si>
  <si>
    <t>Giấy tấm 3 lớp (169x105)</t>
  </si>
  <si>
    <t>Giấy tấm 3 lớp (170x155)</t>
  </si>
  <si>
    <t>Giấy tấm 3 lớp (174x115)</t>
  </si>
  <si>
    <t>Giấy tấm 3 lớp (184x145)</t>
  </si>
  <si>
    <t>Giấy tấm 3 lớp (184x95)</t>
  </si>
  <si>
    <t>Giấy tấm 3 lớp (190x115)</t>
  </si>
  <si>
    <t>Giấy tấm 3 lớp (190x130)</t>
  </si>
  <si>
    <t>Giấy tấm 3 lớp (194x145)</t>
  </si>
  <si>
    <t>Giấy tấm 3 lớp (196x145)</t>
  </si>
  <si>
    <t>Giấy tấm 3 lớp (217x160)</t>
  </si>
  <si>
    <t>Giấy tấm 3 lớp (219x160)</t>
  </si>
  <si>
    <t>Giấy tấm 3 lớp (222x105)</t>
  </si>
  <si>
    <t>Giấy tấm 3 lớp (224x145)</t>
  </si>
  <si>
    <t>Giấy tấm 3 lớp (224x85)</t>
  </si>
  <si>
    <t>Giấy tấm 3 lớp (225x85)</t>
  </si>
  <si>
    <t>Giấy tấm 3 lớp (273x95)</t>
  </si>
  <si>
    <t>Giấy tấm 3 lớp (72x145)</t>
  </si>
  <si>
    <t>Giấy tấm 3 lớp (74x105)</t>
  </si>
  <si>
    <t>Giấy tấm 3 lớp (85x202)</t>
  </si>
  <si>
    <t>Giấy tấm 3 lớp (85x230)</t>
  </si>
  <si>
    <t>Giấy tấm 5 lớp (120x145)</t>
  </si>
  <si>
    <t>Giấy tấm 5 lớp (122x95)</t>
  </si>
  <si>
    <t>Giấy tấm 5 lớp (123x80)</t>
  </si>
  <si>
    <t>Giấy tấm 5 lớp (125x140)</t>
  </si>
  <si>
    <t>Giấy tấm 5 lớp (126x130)</t>
  </si>
  <si>
    <t>Giấy tấm 5 lớp (129x95)</t>
  </si>
  <si>
    <t>Giấy tấm 5 lớp (132x105)</t>
  </si>
  <si>
    <t>Giấy tấm 5 lớp (132x125)</t>
  </si>
  <si>
    <t>Giấy tấm 5 lớp (136x90)</t>
  </si>
  <si>
    <t>Giấy tấm 5 lớp (138x160)</t>
  </si>
  <si>
    <t>Giấy tấm 5 lớp (138x80)</t>
  </si>
  <si>
    <t>Giấy tấm 5 lớp (139x90)</t>
  </si>
  <si>
    <t>Giấy tấm 5 lớp (141x110)</t>
  </si>
  <si>
    <t>Giấy tấm 5 lớp (145x125)</t>
  </si>
  <si>
    <t>Giấy tấm 5 lớp (147x85)</t>
  </si>
  <si>
    <t>Giấy tấm 5 lớp (150x100)</t>
  </si>
  <si>
    <t>Giấy tấm 5 lớp (152x125)</t>
  </si>
  <si>
    <t>Giấy tấm 5 lớp (155x125)</t>
  </si>
  <si>
    <t>Giấy tấm 5 lớp (156x90)</t>
  </si>
  <si>
    <t>Giấy tấm 5 lớp (158x115)</t>
  </si>
  <si>
    <t>Giấy tấm 5 lớp (158x90)</t>
  </si>
  <si>
    <t>Giấy tấm 5 lớp (162x145)</t>
  </si>
  <si>
    <t>Giấy tấm 5 lớp (162x90)</t>
  </si>
  <si>
    <t>Giấy tấm 5 lớp (170x130)</t>
  </si>
  <si>
    <t>Giấy tấm 5 lớp (172x120)</t>
  </si>
  <si>
    <t>Giấy tấm 5 lớp (181x115)</t>
  </si>
  <si>
    <t>Giấy tấm 5 lớp (182x160)</t>
  </si>
  <si>
    <t>Giấy tấm 5 lớp (183x90)</t>
  </si>
  <si>
    <t>Giấy tấm 5 lớp (186x125)</t>
  </si>
  <si>
    <t>Giấy tấm 5 lớp (188x115)</t>
  </si>
  <si>
    <t>Giấy tấm 5 lớp (190x120)</t>
  </si>
  <si>
    <t>Giấy tấm 5 lớp (191x120)</t>
  </si>
  <si>
    <t>Giấy tấm 5 lớp (193x105)</t>
  </si>
  <si>
    <t>Giấy tấm 5 lớp (194x100)</t>
  </si>
  <si>
    <t>Giấy tấm 5 lớp (194x105)</t>
  </si>
  <si>
    <t>Giấy tấm 5 lớp (196x105)</t>
  </si>
  <si>
    <t>Giấy tấm 5 lớp (200x110)</t>
  </si>
  <si>
    <t>Giấy tấm 5 lớp (204x105)</t>
  </si>
  <si>
    <t>Giấy tấm 5 lớp (205x140)</t>
  </si>
  <si>
    <t>Giấy tấm 5 lớp (206x110)</t>
  </si>
  <si>
    <t>Giấy tấm 5 lớp (206x85)</t>
  </si>
  <si>
    <t>Giấy tấm 5 lớp (216x115)</t>
  </si>
  <si>
    <t>Giấy tấm 5 lớp (219x105)</t>
  </si>
  <si>
    <t>Giấy tấm 5 lớp (222x105)</t>
  </si>
  <si>
    <t>Giấy tấm 5 lớp (223x170)</t>
  </si>
  <si>
    <t>Giấy tấm 5 lớp (232x90)</t>
  </si>
  <si>
    <t>Giấy tấm 5 lớp (235x105)</t>
  </si>
  <si>
    <t>Giấy tấm 5 lớp (242x85)</t>
  </si>
  <si>
    <t>Giấy tấm 5 lớp (246x85)</t>
  </si>
  <si>
    <t>Giấy tấm 5 lớp (246x90)</t>
  </si>
  <si>
    <t>Giấy tấm 5 lớp (248x95)</t>
  </si>
  <si>
    <t>Giấy tấm 5 lớp (54x105)</t>
  </si>
  <si>
    <t>Giấy tấm 5 lớp (80x124)</t>
  </si>
  <si>
    <t>Giấy tấm 5 lớp (90x128)</t>
  </si>
  <si>
    <t>Giấy Tampo (1500x1210)</t>
  </si>
  <si>
    <t>Giấy Tampo (1600x1010)</t>
  </si>
  <si>
    <t>Giấy Tampo (1600x960)</t>
  </si>
  <si>
    <t>Giấy Tampo (1800x1180)</t>
  </si>
  <si>
    <t>Giấy Tampo (1800x1240)</t>
  </si>
  <si>
    <t>Thùng carton (110x158)</t>
  </si>
  <si>
    <t>Thùng carton (12x175)</t>
  </si>
  <si>
    <t>Thùng carton (80x92)</t>
  </si>
  <si>
    <t>BẢNG TÍNH GIÁ THÀNH SP QUÝ III/2013</t>
  </si>
  <si>
    <t>VL/X01</t>
  </si>
  <si>
    <t>Xuất sản xuất</t>
  </si>
  <si>
    <t>Ngày 31 tháng 12 Năm 2013</t>
  </si>
  <si>
    <t>Trích khấu hao TSCĐ Hữu hình</t>
  </si>
  <si>
    <t>Tiền lương BP Văn phòng</t>
  </si>
  <si>
    <t>Tiền lương BP Phân Xưởng &amp; CN</t>
  </si>
  <si>
    <t>Nhập thành phẩm</t>
  </si>
  <si>
    <t>Xuất thành phẩm</t>
  </si>
  <si>
    <t>XVL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</si>
</sst>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sz val="10"/>
      <color rgb="FFC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9" fillId="0" borderId="0"/>
  </cellStyleXfs>
  <cellXfs count="1132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6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8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1" fillId="0" borderId="2" xfId="93" applyFont="1" applyBorder="1" applyAlignment="1">
      <alignment horizontal="center" vertical="center"/>
    </xf>
    <xf numFmtId="164" fontId="81" fillId="0" borderId="2" xfId="94" applyNumberFormat="1" applyFont="1" applyBorder="1" applyAlignment="1">
      <alignment horizontal="center" vertical="center"/>
    </xf>
    <xf numFmtId="0" fontId="81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2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1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1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1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3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4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7" fillId="0" borderId="0" xfId="29" applyNumberFormat="1" applyFont="1" applyAlignment="1">
      <alignment vertical="center"/>
    </xf>
    <xf numFmtId="41" fontId="77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6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5" fillId="0" borderId="0" xfId="85" applyFont="1" applyAlignment="1">
      <alignment vertical="center"/>
    </xf>
    <xf numFmtId="0" fontId="85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6" fillId="0" borderId="0" xfId="77" applyNumberFormat="1" applyFont="1" applyBorder="1" applyAlignment="1" applyProtection="1">
      <alignment vertical="center"/>
      <protection hidden="1"/>
    </xf>
    <xf numFmtId="164" fontId="87" fillId="0" borderId="0" xfId="77" applyNumberFormat="1" applyFont="1" applyAlignment="1">
      <alignment vertical="center"/>
    </xf>
    <xf numFmtId="164" fontId="88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90" fillId="0" borderId="0" xfId="80" applyFont="1" applyAlignment="1" applyProtection="1">
      <alignment vertical="center"/>
      <protection hidden="1"/>
    </xf>
    <xf numFmtId="0" fontId="89" fillId="0" borderId="0" xfId="80" applyFont="1" applyAlignment="1" applyProtection="1">
      <alignment horizontal="center" vertical="center"/>
      <protection hidden="1"/>
    </xf>
    <xf numFmtId="0" fontId="90" fillId="0" borderId="0" xfId="77" applyFont="1" applyFill="1" applyBorder="1" applyAlignment="1" applyProtection="1">
      <alignment horizontal="left" vertical="center"/>
      <protection hidden="1"/>
    </xf>
    <xf numFmtId="0" fontId="90" fillId="0" borderId="0" xfId="80" applyFont="1" applyFill="1" applyBorder="1" applyAlignment="1" applyProtection="1">
      <alignment vertical="center"/>
      <protection hidden="1"/>
    </xf>
    <xf numFmtId="164" fontId="91" fillId="0" borderId="0" xfId="77" applyNumberFormat="1" applyFont="1" applyBorder="1" applyAlignment="1" applyProtection="1">
      <alignment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90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164" fontId="43" fillId="0" borderId="16" xfId="0" applyNumberFormat="1" applyFont="1" applyFill="1" applyBorder="1" applyAlignment="1">
      <alignment vertical="center"/>
    </xf>
    <xf numFmtId="0" fontId="92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64" fontId="76" fillId="0" borderId="16" xfId="54" applyNumberFormat="1" applyFont="1" applyFill="1" applyBorder="1" applyAlignment="1">
      <alignment horizontal="left" vertical="center"/>
    </xf>
    <xf numFmtId="164" fontId="76" fillId="0" borderId="16" xfId="0" applyNumberFormat="1" applyFont="1" applyFill="1" applyBorder="1" applyAlignment="1">
      <alignment horizontal="left" vertical="center"/>
    </xf>
    <xf numFmtId="164" fontId="76" fillId="0" borderId="16" xfId="0" applyNumberFormat="1" applyFont="1" applyFill="1" applyBorder="1" applyAlignment="1">
      <alignment vertical="center"/>
    </xf>
    <xf numFmtId="1" fontId="76" fillId="0" borderId="16" xfId="54" quotePrefix="1" applyNumberFormat="1" applyFont="1" applyFill="1" applyBorder="1" applyAlignment="1">
      <alignment horizontal="center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0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0" fillId="0" borderId="19" xfId="98" applyFont="1" applyFill="1" applyBorder="1" applyAlignment="1">
      <alignment vertical="center"/>
    </xf>
    <xf numFmtId="164" fontId="80" fillId="29" borderId="19" xfId="29" applyNumberFormat="1" applyFont="1" applyFill="1" applyBorder="1" applyAlignment="1">
      <alignment horizontal="right" vertical="center"/>
    </xf>
    <xf numFmtId="164" fontId="80" fillId="0" borderId="19" xfId="29" applyNumberFormat="1" applyFont="1" applyBorder="1" applyAlignment="1">
      <alignment vertical="center"/>
    </xf>
    <xf numFmtId="164" fontId="80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0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0" fontId="92" fillId="0" borderId="0" xfId="0" applyFont="1" applyFill="1"/>
    <xf numFmtId="0" fontId="93" fillId="0" borderId="16" xfId="77" applyNumberFormat="1" applyFont="1" applyFill="1" applyBorder="1" applyAlignment="1">
      <alignment horizontal="center" vertical="center"/>
    </xf>
    <xf numFmtId="0" fontId="94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6" fillId="0" borderId="16" xfId="90" applyNumberFormat="1" applyFont="1" applyFill="1" applyBorder="1" applyAlignment="1">
      <alignment horizontal="center" vertical="center"/>
    </xf>
    <xf numFmtId="164" fontId="33" fillId="0" borderId="16" xfId="29" applyNumberFormat="1" applyFont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43" fontId="34" fillId="0" borderId="21" xfId="29" applyFont="1" applyBorder="1" applyAlignment="1">
      <alignment horizontal="center" vertical="center"/>
    </xf>
    <xf numFmtId="0" fontId="95" fillId="0" borderId="16" xfId="76" quotePrefix="1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164" fontId="95" fillId="0" borderId="16" xfId="0" applyNumberFormat="1" applyFont="1" applyFill="1" applyBorder="1" applyAlignment="1">
      <alignment vertical="center"/>
    </xf>
    <xf numFmtId="0" fontId="43" fillId="0" borderId="16" xfId="0" applyFont="1" applyBorder="1" applyAlignment="1">
      <alignment vertical="center"/>
    </xf>
    <xf numFmtId="3" fontId="43" fillId="0" borderId="16" xfId="46" applyFont="1" applyBorder="1" applyAlignment="1">
      <alignment vertical="center"/>
    </xf>
    <xf numFmtId="0" fontId="95" fillId="0" borderId="16" xfId="77" applyNumberFormat="1" applyFont="1" applyFill="1" applyBorder="1" applyAlignment="1">
      <alignment horizontal="center" vertical="center"/>
    </xf>
    <xf numFmtId="0" fontId="96" fillId="0" borderId="0" xfId="0" applyFont="1" applyFill="1" applyAlignment="1"/>
    <xf numFmtId="0" fontId="96" fillId="0" borderId="0" xfId="0" applyFont="1" applyFill="1"/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43" fillId="0" borderId="16" xfId="29" applyNumberFormat="1" applyFont="1" applyBorder="1" applyAlignment="1">
      <alignment horizontal="center" vertical="center"/>
    </xf>
    <xf numFmtId="164" fontId="97" fillId="0" borderId="16" xfId="90" applyNumberFormat="1" applyFont="1" applyFill="1" applyBorder="1" applyAlignment="1">
      <alignment horizontal="left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8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14" fontId="34" fillId="0" borderId="16" xfId="90" quotePrefix="1" applyNumberFormat="1" applyFont="1" applyFill="1" applyBorder="1" applyAlignment="1">
      <alignment horizontal="center" vertical="center"/>
    </xf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0" fontId="3" fillId="0" borderId="0" xfId="0" applyFont="1" applyFill="1" applyAlignment="1">
      <alignment wrapText="1"/>
    </xf>
    <xf numFmtId="164" fontId="95" fillId="0" borderId="16" xfId="77" applyNumberFormat="1" applyFont="1" applyFill="1" applyBorder="1" applyAlignment="1">
      <alignment vertical="center"/>
    </xf>
    <xf numFmtId="0" fontId="34" fillId="0" borderId="0" xfId="76" quotePrefix="1" applyNumberFormat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0" fontId="34" fillId="0" borderId="16" xfId="94" quotePrefix="1" applyNumberFormat="1" applyFont="1" applyBorder="1" applyAlignment="1">
      <alignment horizontal="center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94" quotePrefix="1" applyNumberFormat="1" applyFont="1" applyBorder="1" applyAlignment="1">
      <alignment horizontal="center" vertical="center"/>
    </xf>
    <xf numFmtId="14" fontId="34" fillId="0" borderId="39" xfId="29" applyNumberFormat="1" applyFont="1" applyBorder="1" applyAlignment="1">
      <alignment horizontal="center" vertical="center"/>
    </xf>
    <xf numFmtId="43" fontId="34" fillId="0" borderId="0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vertical="center"/>
    </xf>
    <xf numFmtId="164" fontId="39" fillId="0" borderId="0" xfId="29" applyNumberFormat="1" applyFont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1" fillId="0" borderId="22" xfId="0" applyFont="1" applyBorder="1" applyAlignment="1">
      <alignment horizontal="center" vertical="center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7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7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7" fillId="0" borderId="0" xfId="78" applyFont="1" applyAlignment="1">
      <alignment horizontal="center" vertical="center"/>
    </xf>
    <xf numFmtId="0" fontId="77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43" fillId="0" borderId="16" xfId="0" applyFont="1" applyFill="1" applyBorder="1" applyAlignment="1">
      <alignment horizontal="center"/>
    </xf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0" fontId="76" fillId="0" borderId="16" xfId="77" applyNumberFormat="1" applyFont="1" applyFill="1" applyBorder="1" applyAlignment="1">
      <alignment horizontal="center" vertical="center"/>
    </xf>
    <xf numFmtId="0" fontId="76" fillId="0" borderId="16" xfId="76" quotePrefix="1" applyNumberFormat="1" applyFont="1" applyFill="1" applyBorder="1" applyAlignment="1">
      <alignment horizontal="center" vertical="center"/>
    </xf>
    <xf numFmtId="0" fontId="76" fillId="0" borderId="0" xfId="76" quotePrefix="1" applyNumberFormat="1" applyFont="1" applyFill="1" applyBorder="1" applyAlignment="1">
      <alignment horizontal="center" vertical="center"/>
    </xf>
    <xf numFmtId="0" fontId="98" fillId="0" borderId="0" xfId="0" applyFont="1" applyFill="1"/>
    <xf numFmtId="164" fontId="76" fillId="0" borderId="16" xfId="90" quotePrefix="1" applyNumberFormat="1" applyFont="1" applyFill="1" applyBorder="1" applyAlignment="1">
      <alignment horizontal="left" vertical="center"/>
    </xf>
    <xf numFmtId="0" fontId="95" fillId="0" borderId="16" xfId="0" applyFont="1" applyFill="1" applyBorder="1" applyAlignment="1">
      <alignment horizontal="center"/>
    </xf>
    <xf numFmtId="14" fontId="95" fillId="0" borderId="16" xfId="90" applyNumberFormat="1" applyFont="1" applyFill="1" applyBorder="1" applyAlignment="1">
      <alignment horizontal="center" vertical="center"/>
    </xf>
    <xf numFmtId="14" fontId="95" fillId="0" borderId="16" xfId="76" applyNumberFormat="1" applyFont="1" applyFill="1" applyBorder="1" applyAlignment="1">
      <alignment horizontal="center" vertical="center"/>
    </xf>
    <xf numFmtId="164" fontId="95" fillId="0" borderId="16" xfId="76" applyNumberFormat="1" applyFont="1" applyFill="1" applyBorder="1" applyAlignment="1">
      <alignment horizontal="left" vertical="center"/>
    </xf>
    <xf numFmtId="3" fontId="95" fillId="0" borderId="16" xfId="46" applyFont="1" applyBorder="1" applyAlignment="1">
      <alignment vertical="center"/>
    </xf>
    <xf numFmtId="173" fontId="95" fillId="0" borderId="21" xfId="29" applyNumberFormat="1" applyFont="1" applyBorder="1" applyAlignment="1">
      <alignment horizontal="center" vertical="center"/>
    </xf>
    <xf numFmtId="164" fontId="95" fillId="0" borderId="21" xfId="29" applyNumberFormat="1" applyFont="1" applyBorder="1" applyAlignment="1">
      <alignment horizontal="center" vertical="center"/>
    </xf>
    <xf numFmtId="1" fontId="95" fillId="0" borderId="16" xfId="54" quotePrefix="1" applyNumberFormat="1" applyFont="1" applyFill="1" applyBorder="1" applyAlignment="1">
      <alignment horizontal="center" vertical="center"/>
    </xf>
    <xf numFmtId="0" fontId="95" fillId="0" borderId="0" xfId="76" quotePrefix="1" applyNumberFormat="1" applyFont="1" applyFill="1" applyBorder="1" applyAlignment="1">
      <alignment horizontal="center" vertical="center"/>
    </xf>
    <xf numFmtId="14" fontId="95" fillId="0" borderId="16" xfId="54" applyNumberFormat="1" applyFont="1" applyFill="1" applyBorder="1" applyAlignment="1">
      <alignment horizontal="center" vertical="center"/>
    </xf>
    <xf numFmtId="0" fontId="95" fillId="0" borderId="16" xfId="0" applyFont="1" applyBorder="1" applyAlignment="1">
      <alignment vertical="center"/>
    </xf>
    <xf numFmtId="164" fontId="95" fillId="0" borderId="16" xfId="90" quotePrefix="1" applyNumberFormat="1" applyFont="1" applyFill="1" applyBorder="1" applyAlignment="1">
      <alignment horizontal="left" vertical="center"/>
    </xf>
    <xf numFmtId="164" fontId="95" fillId="0" borderId="16" xfId="29" applyNumberFormat="1" applyFont="1" applyFill="1" applyBorder="1" applyAlignment="1">
      <alignment horizontal="left" vertical="center"/>
    </xf>
    <xf numFmtId="164" fontId="95" fillId="0" borderId="16" xfId="54" applyNumberFormat="1" applyFont="1" applyFill="1" applyBorder="1" applyAlignment="1">
      <alignment horizontal="left" vertical="center"/>
    </xf>
    <xf numFmtId="164" fontId="95" fillId="0" borderId="16" xfId="0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horizontal="left" vertical="center"/>
    </xf>
    <xf numFmtId="14" fontId="43" fillId="0" borderId="16" xfId="90" applyNumberFormat="1" applyFont="1" applyFill="1" applyBorder="1" applyAlignment="1">
      <alignment horizontal="center" vertical="center" wrapText="1"/>
    </xf>
    <xf numFmtId="43" fontId="43" fillId="0" borderId="16" xfId="29" applyFont="1" applyFill="1" applyBorder="1" applyAlignment="1">
      <alignment horizontal="left" vertical="center"/>
    </xf>
    <xf numFmtId="164" fontId="43" fillId="0" borderId="16" xfId="54" quotePrefix="1" applyNumberFormat="1" applyFont="1" applyFill="1" applyBorder="1" applyAlignment="1">
      <alignment horizontal="left" vertical="center"/>
    </xf>
    <xf numFmtId="14" fontId="95" fillId="0" borderId="16" xfId="29" applyNumberFormat="1" applyFont="1" applyBorder="1" applyAlignment="1">
      <alignment horizontal="center" vertical="center"/>
    </xf>
    <xf numFmtId="43" fontId="95" fillId="0" borderId="16" xfId="29" applyFont="1" applyFill="1" applyBorder="1" applyAlignment="1">
      <alignment horizontal="left" vertical="center"/>
    </xf>
    <xf numFmtId="164" fontId="95" fillId="0" borderId="16" xfId="90" applyNumberFormat="1" applyFont="1" applyFill="1" applyBorder="1" applyAlignment="1">
      <alignment horizontal="left" vertical="center"/>
    </xf>
    <xf numFmtId="164" fontId="95" fillId="0" borderId="16" xfId="54" quotePrefix="1" applyNumberFormat="1" applyFont="1" applyFill="1" applyBorder="1" applyAlignment="1">
      <alignment horizontal="left" vertical="center"/>
    </xf>
    <xf numFmtId="164" fontId="95" fillId="0" borderId="16" xfId="29" applyNumberFormat="1" applyFont="1" applyFill="1" applyBorder="1" applyAlignment="1">
      <alignment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3.xml"/><Relationship Id="rId30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4/NKSC%20-%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4"/>
    </sheetNames>
    <definedNames>
      <definedName name="DS_131" refersTo="='131'!$B$6:$B$49"/>
      <definedName name="DSKH" refersTo="='331'!$B$6:$B$15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B6" t="str">
            <v>Cty CP Nam Đô</v>
          </cell>
        </row>
        <row r="7">
          <cell r="B7" t="str">
            <v>Cty CP SX TM Khai Thông</v>
          </cell>
        </row>
        <row r="8">
          <cell r="B8" t="str">
            <v>Cty CP TP QT Long Phụng</v>
          </cell>
        </row>
        <row r="9">
          <cell r="B9" t="str">
            <v>Cty CP túi xách Tiên Phong II</v>
          </cell>
        </row>
        <row r="10">
          <cell r="B10" t="str">
            <v>Cty TNHH APEX VN</v>
          </cell>
        </row>
        <row r="11">
          <cell r="B11" t="str">
            <v>Cty TNHH bao bì Huỳnh Long</v>
          </cell>
        </row>
        <row r="12">
          <cell r="B12" t="str">
            <v>Cty TNHH Bao Bì Thảo Việt</v>
          </cell>
        </row>
        <row r="13">
          <cell r="B13" t="str">
            <v>Cty TNHH Bao Bì Uy Tín</v>
          </cell>
        </row>
        <row r="14">
          <cell r="B14" t="str">
            <v>Cty TNHH CN bao bì TAISHO &amp; 7</v>
          </cell>
        </row>
        <row r="15">
          <cell r="B15" t="str">
            <v>Cty TNHH CN Cau Su - Nhựa Độc Lập</v>
          </cell>
        </row>
        <row r="16">
          <cell r="B16" t="str">
            <v>Cty TNHH CN TM Việt Nhật</v>
          </cell>
        </row>
        <row r="17">
          <cell r="B17" t="str">
            <v>Cty TNHH Đầu Tư Phương My</v>
          </cell>
        </row>
        <row r="18">
          <cell r="B18" t="str">
            <v>Cty TNHH DT SX KD May Mặc Hoàn Mỹ</v>
          </cell>
        </row>
        <row r="19">
          <cell r="B19" t="str">
            <v>Cty TNHH Joosung ViNa</v>
          </cell>
        </row>
        <row r="20">
          <cell r="B20" t="str">
            <v>Cty TNHH KT Nguyên Sơn</v>
          </cell>
        </row>
        <row r="21">
          <cell r="B21" t="str">
            <v>Cty TNHH LT TS XNK Tấn Vương</v>
          </cell>
        </row>
        <row r="22">
          <cell r="B22" t="str">
            <v>Cty TNHH May Cần Mẫn</v>
          </cell>
        </row>
        <row r="23">
          <cell r="B23" t="str">
            <v>Cty TNHH MTV SX Bình Minh LA</v>
          </cell>
        </row>
        <row r="24">
          <cell r="B24" t="str">
            <v>Cty TNHH MUGEGAWA SEIKO VN</v>
          </cell>
        </row>
        <row r="25">
          <cell r="B25" t="str">
            <v>Cty TNHH Song Huyeon D&amp;F</v>
          </cell>
        </row>
        <row r="26">
          <cell r="B26" t="str">
            <v>Cty TNHH SX TM DV Lan Hạnh</v>
          </cell>
        </row>
        <row r="27">
          <cell r="B27" t="str">
            <v>Cty TNHH SX TM DV Natural Rendez - Vous</v>
          </cell>
        </row>
        <row r="28">
          <cell r="B28" t="str">
            <v>Cty TNHH SX TM Kỹ Thuật Nhựa</v>
          </cell>
        </row>
        <row r="29">
          <cell r="B29" t="str">
            <v>Cty TNHH SX TM Mai Trần Hoàn Cầu</v>
          </cell>
        </row>
        <row r="30">
          <cell r="B30" t="str">
            <v>Cty TNHH SX TM Nhựa Đại Dương</v>
          </cell>
        </row>
        <row r="31">
          <cell r="B31" t="str">
            <v>Cty TNHH SX TMDV Ngọc Hưng</v>
          </cell>
        </row>
        <row r="32">
          <cell r="B32" t="str">
            <v>Cty TNHH SXTM bao bì An Thuận Phát</v>
          </cell>
        </row>
        <row r="33">
          <cell r="B33" t="str">
            <v>Cty TNHH SXTM DV Tân Nam An</v>
          </cell>
        </row>
        <row r="34">
          <cell r="B34" t="str">
            <v>Cty TNHH SXTM Như Hồng Ánh</v>
          </cell>
        </row>
        <row r="35">
          <cell r="B35" t="str">
            <v>Cty TNHH SXTM XKN Kim Thổ</v>
          </cell>
        </row>
        <row r="36">
          <cell r="B36" t="str">
            <v>Cty TNHH Tân Hải Hòa</v>
          </cell>
        </row>
        <row r="37">
          <cell r="B37" t="str">
            <v>Cty TNHH Thiên Thành</v>
          </cell>
        </row>
        <row r="38">
          <cell r="B38" t="str">
            <v>Cty TNHH Thức Ăn Chăn Nuôi Kyodo Sojitz</v>
          </cell>
        </row>
        <row r="39">
          <cell r="B39" t="str">
            <v>Cty TNHH TM DV Phi Nguyễn</v>
          </cell>
        </row>
        <row r="40">
          <cell r="B40" t="str">
            <v>Cty TNHH TM DV SX Phương Ngọc Thúy</v>
          </cell>
        </row>
        <row r="41">
          <cell r="B41" t="str">
            <v>Cty TNHH TM DV Tân An Khang</v>
          </cell>
        </row>
        <row r="42">
          <cell r="B42" t="str">
            <v>Cty TNHH TNDV SX May Mặc XNK Xuân Mai</v>
          </cell>
        </row>
        <row r="43">
          <cell r="B43" t="str">
            <v>Trung tâm nghiên cứu UD DV KHOA HỌC CÔNG NGHỆ</v>
          </cell>
        </row>
        <row r="44">
          <cell r="B44" t="str">
            <v>Cty TNHH bao bì An Khánh</v>
          </cell>
        </row>
        <row r="45">
          <cell r="B45" t="str">
            <v>Cty TNHH  May Thêu M.D.K</v>
          </cell>
        </row>
        <row r="46">
          <cell r="B46" t="str">
            <v>Cty TNHH Cao Nghệ Vina</v>
          </cell>
        </row>
        <row r="47">
          <cell r="B47" t="str">
            <v>Cty TNHH CP SXTM Khai Thông</v>
          </cell>
        </row>
        <row r="48">
          <cell r="B48" t="str">
            <v>Cty TNHH DT SX TM Kim Long Phát</v>
          </cell>
        </row>
      </sheetData>
      <sheetData sheetId="8" refreshError="1"/>
      <sheetData sheetId="9" refreshError="1">
        <row r="6">
          <cell r="B6" t="str">
            <v>Cty CP Hợp Tác Kinh Tế &amp; Xuất Nhập Khẩu</v>
          </cell>
        </row>
        <row r="7">
          <cell r="B7" t="str">
            <v>Cơ Sở Kéo Kẽm Thành Dũng</v>
          </cell>
        </row>
        <row r="8">
          <cell r="B8" t="str">
            <v>DNTN SX-TM-DV Dây Đông Nam</v>
          </cell>
        </row>
        <row r="9">
          <cell r="B9" t="str">
            <v>DNTN TM SX &amp; DV Kim Ô</v>
          </cell>
        </row>
        <row r="10">
          <cell r="B10" t="str">
            <v>Cty TNHH MTV Ánh Minh Huy</v>
          </cell>
        </row>
        <row r="11">
          <cell r="B11" t="str">
            <v>Cty TNHH Bao Bì Giấy Chung Hưng</v>
          </cell>
        </row>
        <row r="12">
          <cell r="B12" t="str">
            <v>Cty TNHH SX-TM Bao Bì Phương Nam</v>
          </cell>
        </row>
        <row r="13">
          <cell r="B13" t="str">
            <v>DNTN Thương Mại Dịch Vụ Anh Phi</v>
          </cell>
        </row>
        <row r="14">
          <cell r="B14" t="str">
            <v>DNTN Thương Mại Dịch Vụ Mãn Thành</v>
          </cell>
        </row>
        <row r="16">
          <cell r="B16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8"/>
  <sheetViews>
    <sheetView topLeftCell="A6" workbookViewId="0">
      <pane ySplit="4" topLeftCell="A22" activePane="bottomLeft" state="frozen"/>
      <selection activeCell="A6" sqref="A6"/>
      <selection pane="bottomLeft" activeCell="L43" sqref="L43"/>
    </sheetView>
  </sheetViews>
  <sheetFormatPr defaultColWidth="8" defaultRowHeight="12.75"/>
  <cols>
    <col min="1" max="1" width="5.7109375" style="639" customWidth="1"/>
    <col min="2" max="2" width="36.85546875" style="639" customWidth="1"/>
    <col min="3" max="4" width="14.28515625" style="162" customWidth="1"/>
    <col min="5" max="6" width="14.7109375" style="639" customWidth="1"/>
    <col min="7" max="8" width="13.85546875" style="639" customWidth="1"/>
    <col min="9" max="9" width="2.42578125" style="639" customWidth="1"/>
    <col min="10" max="10" width="11" style="639" customWidth="1"/>
    <col min="11" max="11" width="2.85546875" style="639" customWidth="1"/>
    <col min="12" max="12" width="11.85546875" style="639" customWidth="1"/>
    <col min="13" max="16384" width="8" style="639"/>
  </cols>
  <sheetData>
    <row r="1" spans="1:16">
      <c r="A1" s="638"/>
      <c r="B1" s="638"/>
    </row>
    <row r="2" spans="1:16">
      <c r="A2" s="638" t="str">
        <f>TH!A1</f>
        <v>Đơn vị: CÔNG TY TNHH SX TM KIM DUNG PHÁT</v>
      </c>
      <c r="B2" s="638"/>
    </row>
    <row r="3" spans="1:16">
      <c r="A3" s="639" t="str">
        <f>TH!A2</f>
        <v>Địa chỉ: 1A227/1 Ấp 1, Phạm Văn Hai, Bình Chánh, TPHCM</v>
      </c>
      <c r="B3" s="638"/>
    </row>
    <row r="5" spans="1:16" ht="36" customHeight="1">
      <c r="A5" s="640"/>
      <c r="B5" s="640"/>
      <c r="C5" s="641"/>
      <c r="D5" s="642" t="s">
        <v>366</v>
      </c>
      <c r="E5" s="640"/>
      <c r="F5" s="640"/>
      <c r="G5" s="640"/>
      <c r="H5" s="640"/>
    </row>
    <row r="6" spans="1:16" ht="15.75">
      <c r="A6" s="640"/>
      <c r="B6" s="640"/>
      <c r="C6" s="641"/>
      <c r="D6" s="663" t="s">
        <v>1115</v>
      </c>
      <c r="E6" s="640"/>
      <c r="F6" s="640"/>
      <c r="G6" s="640"/>
      <c r="H6" s="640"/>
    </row>
    <row r="7" spans="1:16" ht="6.75" customHeight="1"/>
    <row r="8" spans="1:16" ht="21.75" customHeight="1">
      <c r="A8" s="900" t="s">
        <v>492</v>
      </c>
      <c r="B8" s="900" t="s">
        <v>364</v>
      </c>
      <c r="C8" s="896" t="s">
        <v>37</v>
      </c>
      <c r="D8" s="897"/>
      <c r="E8" s="896" t="s">
        <v>38</v>
      </c>
      <c r="F8" s="897"/>
      <c r="G8" s="896" t="s">
        <v>365</v>
      </c>
      <c r="H8" s="897"/>
    </row>
    <row r="9" spans="1:16" ht="21.75" customHeight="1">
      <c r="A9" s="901"/>
      <c r="B9" s="901"/>
      <c r="C9" s="637" t="s">
        <v>42</v>
      </c>
      <c r="D9" s="637" t="s">
        <v>43</v>
      </c>
      <c r="E9" s="637" t="s">
        <v>42</v>
      </c>
      <c r="F9" s="637" t="s">
        <v>43</v>
      </c>
      <c r="G9" s="637" t="s">
        <v>42</v>
      </c>
      <c r="H9" s="637" t="s">
        <v>43</v>
      </c>
    </row>
    <row r="10" spans="1:16" s="162" customFormat="1" ht="17.25" customHeight="1">
      <c r="A10" s="643" t="s">
        <v>47</v>
      </c>
      <c r="B10" s="644" t="s">
        <v>48</v>
      </c>
      <c r="C10" s="645">
        <v>956279941</v>
      </c>
      <c r="D10" s="645"/>
      <c r="E10" s="645">
        <f t="array" ref="E10">SUM(IF(A10=KHN,TH))</f>
        <v>1025800000</v>
      </c>
      <c r="F10" s="645">
        <f t="array" ref="F10">SUM(IF(A10=KHC,TH))</f>
        <v>964820368</v>
      </c>
      <c r="G10" s="646">
        <f>MAX(C10+E10-D10-F10,0)</f>
        <v>1017259573</v>
      </c>
      <c r="H10" s="646">
        <f>MAX(D10+F10-E10-C10,0)</f>
        <v>0</v>
      </c>
      <c r="J10" s="639"/>
      <c r="K10" s="639"/>
      <c r="L10" s="639"/>
      <c r="M10" s="639"/>
      <c r="N10" s="639"/>
      <c r="O10" s="639"/>
      <c r="P10" s="639"/>
    </row>
    <row r="11" spans="1:16" s="162" customFormat="1" ht="17.25" customHeight="1">
      <c r="A11" s="648" t="s">
        <v>16</v>
      </c>
      <c r="B11" s="648" t="s">
        <v>49</v>
      </c>
      <c r="C11" s="649">
        <f t="shared" ref="C11:D11" si="0">C10</f>
        <v>956279941</v>
      </c>
      <c r="D11" s="649">
        <f t="shared" si="0"/>
        <v>0</v>
      </c>
      <c r="E11" s="649">
        <f t="shared" ref="E11:H11" si="1">E10</f>
        <v>1025800000</v>
      </c>
      <c r="F11" s="649">
        <f t="shared" si="1"/>
        <v>964820368</v>
      </c>
      <c r="G11" s="649">
        <f t="shared" si="1"/>
        <v>1017259573</v>
      </c>
      <c r="H11" s="649">
        <f t="shared" si="1"/>
        <v>0</v>
      </c>
      <c r="J11" s="639"/>
      <c r="K11" s="639"/>
      <c r="L11" s="639"/>
      <c r="M11" s="639"/>
      <c r="N11" s="639"/>
      <c r="O11" s="639"/>
      <c r="P11" s="639"/>
    </row>
    <row r="12" spans="1:16" s="162" customFormat="1" ht="17.25" customHeight="1">
      <c r="A12" s="644" t="s">
        <v>24</v>
      </c>
      <c r="B12" s="644" t="s">
        <v>50</v>
      </c>
      <c r="C12" s="645">
        <v>334933</v>
      </c>
      <c r="D12" s="645">
        <v>0</v>
      </c>
      <c r="E12" s="645">
        <f t="array" ref="E12">SUM(IF(A12=KHN,TH))</f>
        <v>1253069806</v>
      </c>
      <c r="F12" s="645">
        <f t="array" ref="F12">SUM(IF(A12=KHC,TH))</f>
        <v>1253291904</v>
      </c>
      <c r="G12" s="646">
        <f>MAX(C12+E12-D12-F12,0)</f>
        <v>112835</v>
      </c>
      <c r="H12" s="646">
        <f>MAX(D12+F12-E12-C12,0)</f>
        <v>0</v>
      </c>
      <c r="K12" s="647"/>
      <c r="L12" s="647"/>
      <c r="M12" s="647"/>
    </row>
    <row r="13" spans="1:16" s="162" customFormat="1" ht="17.25" customHeight="1">
      <c r="A13" s="648" t="s">
        <v>51</v>
      </c>
      <c r="B13" s="648" t="s">
        <v>52</v>
      </c>
      <c r="C13" s="649">
        <f t="shared" ref="C13:D13" si="2">C12</f>
        <v>334933</v>
      </c>
      <c r="D13" s="649">
        <f t="shared" si="2"/>
        <v>0</v>
      </c>
      <c r="E13" s="649">
        <f t="shared" ref="E13:H13" si="3">E12</f>
        <v>1253069806</v>
      </c>
      <c r="F13" s="649">
        <f t="shared" si="3"/>
        <v>1253291904</v>
      </c>
      <c r="G13" s="649">
        <f t="shared" si="3"/>
        <v>112835</v>
      </c>
      <c r="H13" s="649">
        <f t="shared" si="3"/>
        <v>0</v>
      </c>
    </row>
    <row r="14" spans="1:16" s="162" customFormat="1" ht="17.25" customHeight="1">
      <c r="A14" s="648" t="s">
        <v>265</v>
      </c>
      <c r="B14" s="648" t="s">
        <v>275</v>
      </c>
      <c r="C14" s="649">
        <v>22296039</v>
      </c>
      <c r="D14" s="649"/>
      <c r="E14" s="650">
        <f t="array" ref="E14">SUM(IF(A14=KHN,TH))</f>
        <v>1968101421</v>
      </c>
      <c r="F14" s="650">
        <f t="array" ref="F14">SUM(IF(A14=KHC,TH))</f>
        <v>1137760105</v>
      </c>
      <c r="G14" s="649">
        <f>MAX(C14+E14-D14-F14,0)</f>
        <v>852637355</v>
      </c>
      <c r="H14" s="649">
        <f>MAX(D14+F14-E14-C14,0)</f>
        <v>0</v>
      </c>
    </row>
    <row r="15" spans="1:16" s="162" customFormat="1" ht="17.25" customHeight="1">
      <c r="A15" s="644" t="s">
        <v>9</v>
      </c>
      <c r="B15" s="644" t="s">
        <v>53</v>
      </c>
      <c r="C15" s="645">
        <v>68101621</v>
      </c>
      <c r="D15" s="645"/>
      <c r="E15" s="645">
        <f t="array" ref="E15">SUM(IF(A15=KHN,TH))</f>
        <v>110954170</v>
      </c>
      <c r="F15" s="645">
        <f t="array" ref="F15">SUM(IF(A15=KHC,TH))</f>
        <v>179055791</v>
      </c>
      <c r="G15" s="646">
        <f>MAX(C15+E15-D15-F15,0)</f>
        <v>0</v>
      </c>
      <c r="H15" s="646">
        <f>MAX(D15+F15-E15-C15,0)</f>
        <v>0</v>
      </c>
    </row>
    <row r="16" spans="1:16" s="162" customFormat="1" ht="17.25" customHeight="1">
      <c r="A16" s="648" t="s">
        <v>54</v>
      </c>
      <c r="B16" s="648" t="s">
        <v>55</v>
      </c>
      <c r="C16" s="649">
        <f t="shared" ref="C16:D16" si="4">C15</f>
        <v>68101621</v>
      </c>
      <c r="D16" s="649">
        <f t="shared" si="4"/>
        <v>0</v>
      </c>
      <c r="E16" s="649">
        <f t="shared" ref="E16:H16" si="5">E15</f>
        <v>110954170</v>
      </c>
      <c r="F16" s="649">
        <f t="shared" si="5"/>
        <v>179055791</v>
      </c>
      <c r="G16" s="649">
        <f t="shared" si="5"/>
        <v>0</v>
      </c>
      <c r="H16" s="649">
        <f t="shared" si="5"/>
        <v>0</v>
      </c>
    </row>
    <row r="17" spans="1:8" s="162" customFormat="1" ht="17.25" customHeight="1">
      <c r="A17" s="644" t="s">
        <v>56</v>
      </c>
      <c r="B17" s="644" t="s">
        <v>57</v>
      </c>
      <c r="C17" s="645"/>
      <c r="D17" s="645"/>
      <c r="E17" s="645">
        <f t="array" ref="E17">SUM(IF(A17=KHN,TH))</f>
        <v>0</v>
      </c>
      <c r="F17" s="645">
        <f t="array" ref="F17">SUM(IF(A17=KHC,TH))</f>
        <v>0</v>
      </c>
      <c r="G17" s="646">
        <f t="shared" ref="G17:G31" si="6">MAX(C17+E17-D17-F17,0)</f>
        <v>0</v>
      </c>
      <c r="H17" s="646">
        <f t="shared" ref="H17:H31" si="7">MAX(D17+F17-E17-C17,0)</f>
        <v>0</v>
      </c>
    </row>
    <row r="18" spans="1:8" s="162" customFormat="1" ht="17.25" customHeight="1">
      <c r="A18" s="648" t="s">
        <v>58</v>
      </c>
      <c r="B18" s="648" t="s">
        <v>59</v>
      </c>
      <c r="C18" s="649">
        <f>C17</f>
        <v>0</v>
      </c>
      <c r="D18" s="649">
        <f>D17</f>
        <v>0</v>
      </c>
      <c r="E18" s="649">
        <f>E17</f>
        <v>0</v>
      </c>
      <c r="F18" s="649">
        <f>F17</f>
        <v>0</v>
      </c>
      <c r="G18" s="649">
        <f t="shared" si="6"/>
        <v>0</v>
      </c>
      <c r="H18" s="649">
        <f t="shared" si="7"/>
        <v>0</v>
      </c>
    </row>
    <row r="19" spans="1:8" s="162" customFormat="1" ht="17.25" customHeight="1">
      <c r="A19" s="644" t="s">
        <v>159</v>
      </c>
      <c r="B19" s="644" t="s">
        <v>160</v>
      </c>
      <c r="C19" s="645">
        <v>928036588</v>
      </c>
      <c r="D19" s="645"/>
      <c r="E19" s="645">
        <f t="array" ref="E19">SUM(IF(A19=KHN,TH))</f>
        <v>651927124</v>
      </c>
      <c r="F19" s="645">
        <f t="array" ref="F19">SUM(IF(A19=KHC,TH))</f>
        <v>0</v>
      </c>
      <c r="G19" s="646">
        <f t="shared" si="6"/>
        <v>1579963712</v>
      </c>
      <c r="H19" s="646">
        <f t="shared" si="7"/>
        <v>0</v>
      </c>
    </row>
    <row r="20" spans="1:8" s="162" customFormat="1" ht="17.25" customHeight="1">
      <c r="A20" s="644" t="s">
        <v>161</v>
      </c>
      <c r="B20" s="644" t="s">
        <v>162</v>
      </c>
      <c r="C20" s="645">
        <v>2258000</v>
      </c>
      <c r="D20" s="645"/>
      <c r="E20" s="645">
        <f t="array" ref="E20">SUM(IF(A20=KHN,TH))</f>
        <v>8136000</v>
      </c>
      <c r="F20" s="645">
        <f t="array" ref="F20">SUM(IF(A20=KHC,TH))</f>
        <v>6676000</v>
      </c>
      <c r="G20" s="645">
        <f t="shared" si="6"/>
        <v>3718000</v>
      </c>
      <c r="H20" s="645">
        <f t="shared" si="7"/>
        <v>0</v>
      </c>
    </row>
    <row r="21" spans="1:8" s="162" customFormat="1" ht="17.25" customHeight="1">
      <c r="A21" s="648" t="s">
        <v>163</v>
      </c>
      <c r="B21" s="648" t="s">
        <v>164</v>
      </c>
      <c r="C21" s="649">
        <f>C19+C20</f>
        <v>930294588</v>
      </c>
      <c r="D21" s="649">
        <f>D19+D20</f>
        <v>0</v>
      </c>
      <c r="E21" s="649">
        <f>E19+E20</f>
        <v>660063124</v>
      </c>
      <c r="F21" s="649">
        <f>F19+F20</f>
        <v>6676000</v>
      </c>
      <c r="G21" s="649">
        <f t="shared" si="6"/>
        <v>1583681712</v>
      </c>
      <c r="H21" s="649">
        <f t="shared" si="7"/>
        <v>0</v>
      </c>
    </row>
    <row r="22" spans="1:8" s="162" customFormat="1" ht="17.25" customHeight="1">
      <c r="A22" s="648" t="s">
        <v>165</v>
      </c>
      <c r="B22" s="648" t="s">
        <v>166</v>
      </c>
      <c r="C22" s="649"/>
      <c r="D22" s="649">
        <v>0</v>
      </c>
      <c r="E22" s="650">
        <f t="array" ref="E22">SUM(IF(A22=KHN,TH))</f>
        <v>138131000</v>
      </c>
      <c r="F22" s="650">
        <f t="array" ref="F22">SUM(IF(A22=KHC,TH))</f>
        <v>0</v>
      </c>
      <c r="G22" s="649">
        <f t="shared" si="6"/>
        <v>138131000</v>
      </c>
      <c r="H22" s="649">
        <f t="shared" si="7"/>
        <v>0</v>
      </c>
    </row>
    <row r="23" spans="1:8" s="162" customFormat="1" ht="17.25" customHeight="1">
      <c r="A23" s="648" t="s">
        <v>167</v>
      </c>
      <c r="B23" s="648" t="s">
        <v>168</v>
      </c>
      <c r="C23" s="649"/>
      <c r="D23" s="649"/>
      <c r="E23" s="650">
        <f t="array" ref="E23">SUM(IF(A23=KHN,TH))</f>
        <v>0</v>
      </c>
      <c r="F23" s="650">
        <f t="array" ref="F23">SUM(IF(A23=KHC,TH))</f>
        <v>0</v>
      </c>
      <c r="G23" s="649">
        <f t="shared" si="6"/>
        <v>0</v>
      </c>
      <c r="H23" s="649">
        <f t="shared" si="7"/>
        <v>0</v>
      </c>
    </row>
    <row r="24" spans="1:8" s="162" customFormat="1" ht="17.25" customHeight="1">
      <c r="A24" s="651" t="s">
        <v>169</v>
      </c>
      <c r="B24" s="652" t="s">
        <v>170</v>
      </c>
      <c r="C24" s="653">
        <v>365000000</v>
      </c>
      <c r="D24" s="653"/>
      <c r="E24" s="645">
        <f t="array" ref="E24">SUM(IF(A24=KHN,TH))</f>
        <v>0</v>
      </c>
      <c r="F24" s="645">
        <f t="array" ref="F24">SUM(IF(A24=KHC,TH))</f>
        <v>0</v>
      </c>
      <c r="G24" s="653">
        <f t="shared" si="6"/>
        <v>365000000</v>
      </c>
      <c r="H24" s="653">
        <f t="shared" si="7"/>
        <v>0</v>
      </c>
    </row>
    <row r="25" spans="1:8" s="162" customFormat="1" ht="17.25" customHeight="1">
      <c r="A25" s="648" t="s">
        <v>171</v>
      </c>
      <c r="B25" s="648" t="s">
        <v>172</v>
      </c>
      <c r="C25" s="649">
        <f t="shared" ref="C25:H25" si="8">SUM(C24:C24)</f>
        <v>365000000</v>
      </c>
      <c r="D25" s="649">
        <f t="shared" si="8"/>
        <v>0</v>
      </c>
      <c r="E25" s="649">
        <f t="shared" si="8"/>
        <v>0</v>
      </c>
      <c r="F25" s="649">
        <f t="shared" si="8"/>
        <v>0</v>
      </c>
      <c r="G25" s="649">
        <f t="shared" si="8"/>
        <v>365000000</v>
      </c>
      <c r="H25" s="649">
        <f t="shared" si="8"/>
        <v>0</v>
      </c>
    </row>
    <row r="26" spans="1:8" s="162" customFormat="1" ht="17.25" customHeight="1">
      <c r="A26" s="644" t="s">
        <v>266</v>
      </c>
      <c r="B26" s="644" t="s">
        <v>272</v>
      </c>
      <c r="C26" s="645"/>
      <c r="D26" s="645">
        <v>110250000</v>
      </c>
      <c r="E26" s="645">
        <f t="array" ref="E26">SUM(IF(A26=KHN,TH))</f>
        <v>0</v>
      </c>
      <c r="F26" s="645">
        <f t="array" ref="F26">SUM(IF(A26=KHC,TH))</f>
        <v>73000000</v>
      </c>
      <c r="G26" s="645">
        <f>MAX(C26+E26-D26-F26,0)</f>
        <v>0</v>
      </c>
      <c r="H26" s="645">
        <f>MAX(D26+F26-E26-C26,0)</f>
        <v>183250000</v>
      </c>
    </row>
    <row r="27" spans="1:8" s="162" customFormat="1" ht="17.25" customHeight="1">
      <c r="A27" s="648" t="s">
        <v>273</v>
      </c>
      <c r="B27" s="648" t="s">
        <v>274</v>
      </c>
      <c r="C27" s="649">
        <f>C26</f>
        <v>0</v>
      </c>
      <c r="D27" s="649">
        <f t="shared" ref="D27:H27" si="9">D26</f>
        <v>110250000</v>
      </c>
      <c r="E27" s="649">
        <f t="shared" si="9"/>
        <v>0</v>
      </c>
      <c r="F27" s="649">
        <f t="shared" si="9"/>
        <v>73000000</v>
      </c>
      <c r="G27" s="649">
        <f t="shared" si="9"/>
        <v>0</v>
      </c>
      <c r="H27" s="649">
        <f t="shared" si="9"/>
        <v>183250000</v>
      </c>
    </row>
    <row r="28" spans="1:8" s="162" customFormat="1" ht="17.25" customHeight="1">
      <c r="A28" s="648" t="s">
        <v>8</v>
      </c>
      <c r="B28" s="648" t="s">
        <v>60</v>
      </c>
      <c r="C28" s="649"/>
      <c r="D28" s="649">
        <v>230637890</v>
      </c>
      <c r="E28" s="650">
        <f t="array" ref="E28">SUM(IF(A28=KHN,TH))</f>
        <v>956707326</v>
      </c>
      <c r="F28" s="650">
        <f t="array" ref="F28">SUM(IF(A28=KHC,TH))</f>
        <v>726069436</v>
      </c>
      <c r="G28" s="649">
        <f t="shared" si="6"/>
        <v>0</v>
      </c>
      <c r="H28" s="649">
        <f t="shared" si="7"/>
        <v>0</v>
      </c>
    </row>
    <row r="29" spans="1:8" s="162" customFormat="1" ht="17.25" customHeight="1">
      <c r="A29" s="655" t="s">
        <v>430</v>
      </c>
      <c r="B29" s="644" t="s">
        <v>429</v>
      </c>
      <c r="C29" s="645"/>
      <c r="D29" s="645"/>
      <c r="E29" s="645">
        <f t="array" ref="E29">SUM(IF(A29=KHN,TH))</f>
        <v>179055791</v>
      </c>
      <c r="F29" s="645">
        <f t="array" ref="F29">SUM(IF(A29=KHC,TH))</f>
        <v>179055791</v>
      </c>
      <c r="G29" s="645">
        <f t="shared" ref="G29" si="10">MAX(C29+E29-D29-F29,0)</f>
        <v>0</v>
      </c>
      <c r="H29" s="645">
        <f t="shared" ref="H29" si="11">MAX(D29+F29-E29-C29,0)</f>
        <v>0</v>
      </c>
    </row>
    <row r="30" spans="1:8" s="162" customFormat="1" ht="17.25" customHeight="1">
      <c r="A30" s="644" t="s">
        <v>61</v>
      </c>
      <c r="B30" s="644" t="s">
        <v>62</v>
      </c>
      <c r="C30" s="645"/>
      <c r="D30" s="645">
        <v>22244468</v>
      </c>
      <c r="E30" s="645">
        <f t="array" ref="E30">SUM(IF(A30=KHN,TH))</f>
        <v>22244468</v>
      </c>
      <c r="F30" s="645">
        <f t="array" ref="F30">SUM(IF(A30=KHC,TH))</f>
        <v>0</v>
      </c>
      <c r="G30" s="645">
        <f t="shared" si="6"/>
        <v>0</v>
      </c>
      <c r="H30" s="645">
        <f t="shared" si="7"/>
        <v>0</v>
      </c>
    </row>
    <row r="31" spans="1:8" s="162" customFormat="1" ht="17.25" customHeight="1">
      <c r="A31" s="655" t="s">
        <v>63</v>
      </c>
      <c r="B31" s="656" t="s">
        <v>64</v>
      </c>
      <c r="C31" s="657"/>
      <c r="D31" s="657"/>
      <c r="E31" s="657">
        <f t="array" ref="E31">SUM(IF(A31=KHN,TH))</f>
        <v>0</v>
      </c>
      <c r="F31" s="657">
        <f t="array" ref="F31">SUM(IF(A31=KHC,TH))</f>
        <v>0</v>
      </c>
      <c r="G31" s="657">
        <f t="shared" si="6"/>
        <v>0</v>
      </c>
      <c r="H31" s="657">
        <f t="shared" si="7"/>
        <v>0</v>
      </c>
    </row>
    <row r="32" spans="1:8" s="162" customFormat="1" ht="17.25" customHeight="1">
      <c r="A32" s="644" t="s">
        <v>18</v>
      </c>
      <c r="B32" s="644" t="s">
        <v>65</v>
      </c>
      <c r="C32" s="645">
        <f>C31</f>
        <v>0</v>
      </c>
      <c r="D32" s="645">
        <f t="shared" ref="D32:H32" si="12">D31</f>
        <v>0</v>
      </c>
      <c r="E32" s="645">
        <f t="shared" si="12"/>
        <v>0</v>
      </c>
      <c r="F32" s="645">
        <f t="shared" si="12"/>
        <v>0</v>
      </c>
      <c r="G32" s="645">
        <f t="shared" si="12"/>
        <v>0</v>
      </c>
      <c r="H32" s="645">
        <f t="shared" si="12"/>
        <v>0</v>
      </c>
    </row>
    <row r="33" spans="1:12" s="162" customFormat="1" ht="17.25" customHeight="1">
      <c r="A33" s="648" t="s">
        <v>66</v>
      </c>
      <c r="B33" s="648" t="s">
        <v>67</v>
      </c>
      <c r="C33" s="649">
        <f>C30+C32+C29</f>
        <v>0</v>
      </c>
      <c r="D33" s="649">
        <f t="shared" ref="D33:H33" si="13">D30+D32+D29</f>
        <v>22244468</v>
      </c>
      <c r="E33" s="649">
        <f t="shared" si="13"/>
        <v>201300259</v>
      </c>
      <c r="F33" s="649">
        <f t="shared" si="13"/>
        <v>179055791</v>
      </c>
      <c r="G33" s="649">
        <f t="shared" si="13"/>
        <v>0</v>
      </c>
      <c r="H33" s="649">
        <f t="shared" si="13"/>
        <v>0</v>
      </c>
    </row>
    <row r="34" spans="1:12" s="162" customFormat="1" ht="17.25" customHeight="1">
      <c r="A34" s="644" t="s">
        <v>268</v>
      </c>
      <c r="B34" s="644" t="s">
        <v>269</v>
      </c>
      <c r="C34" s="645">
        <v>0</v>
      </c>
      <c r="D34" s="645">
        <v>0</v>
      </c>
      <c r="E34" s="645">
        <f t="array" ref="E34">SUM(IF(A34=KHN,TH))</f>
        <v>0</v>
      </c>
      <c r="F34" s="645">
        <f t="array" ref="F34">SUM(IF(A34=KHC,TH))</f>
        <v>0</v>
      </c>
      <c r="G34" s="645">
        <f t="shared" ref="G34:G36" si="14">MAX(C34+E34-D34-F34,0)</f>
        <v>0</v>
      </c>
      <c r="H34" s="645">
        <f t="shared" ref="H34:H36" si="15">MAX(D34+F34-E34-C34,0)</f>
        <v>0</v>
      </c>
    </row>
    <row r="35" spans="1:12" s="162" customFormat="1" ht="17.25" customHeight="1">
      <c r="A35" s="648" t="s">
        <v>270</v>
      </c>
      <c r="B35" s="648" t="s">
        <v>271</v>
      </c>
      <c r="C35" s="649">
        <f>C34</f>
        <v>0</v>
      </c>
      <c r="D35" s="649">
        <f>D34</f>
        <v>0</v>
      </c>
      <c r="E35" s="649">
        <f>E34</f>
        <v>0</v>
      </c>
      <c r="F35" s="649">
        <f>F34</f>
        <v>0</v>
      </c>
      <c r="G35" s="649">
        <f t="shared" si="14"/>
        <v>0</v>
      </c>
      <c r="H35" s="649">
        <f t="shared" si="15"/>
        <v>0</v>
      </c>
    </row>
    <row r="36" spans="1:12" s="162" customFormat="1" ht="17.25" customHeight="1">
      <c r="A36" s="644" t="s">
        <v>17</v>
      </c>
      <c r="B36" s="644" t="s">
        <v>68</v>
      </c>
      <c r="C36" s="645"/>
      <c r="D36" s="645">
        <v>2709616</v>
      </c>
      <c r="E36" s="645">
        <f t="array" ref="E36">SUM(IF(A36=KHN,TH))</f>
        <v>0</v>
      </c>
      <c r="F36" s="645">
        <f t="array" ref="F36">SUM(IF(A36=KHC,TH))</f>
        <v>36241782</v>
      </c>
      <c r="G36" s="645">
        <f t="shared" si="14"/>
        <v>0</v>
      </c>
      <c r="H36" s="645">
        <f t="shared" si="15"/>
        <v>38951398</v>
      </c>
    </row>
    <row r="37" spans="1:12" s="162" customFormat="1" ht="17.25" customHeight="1">
      <c r="A37" s="648" t="s">
        <v>69</v>
      </c>
      <c r="B37" s="648" t="s">
        <v>70</v>
      </c>
      <c r="C37" s="649">
        <f t="shared" ref="C37:H37" si="16">SUM(C36:C36)</f>
        <v>0</v>
      </c>
      <c r="D37" s="649">
        <f t="shared" si="16"/>
        <v>2709616</v>
      </c>
      <c r="E37" s="649">
        <f t="shared" si="16"/>
        <v>0</v>
      </c>
      <c r="F37" s="649">
        <f t="shared" si="16"/>
        <v>36241782</v>
      </c>
      <c r="G37" s="649">
        <f t="shared" si="16"/>
        <v>0</v>
      </c>
      <c r="H37" s="649">
        <f t="shared" si="16"/>
        <v>38951398</v>
      </c>
    </row>
    <row r="38" spans="1:12" s="162" customFormat="1" ht="17.25" customHeight="1">
      <c r="A38" s="644" t="s">
        <v>25</v>
      </c>
      <c r="B38" s="644" t="s">
        <v>71</v>
      </c>
      <c r="C38" s="645"/>
      <c r="D38" s="645">
        <v>1900000000</v>
      </c>
      <c r="E38" s="645">
        <f t="array" ref="E38">SUM(IF(A38=KHN,TH))</f>
        <v>0</v>
      </c>
      <c r="F38" s="645">
        <f t="array" ref="F38">SUM(IF(A38=KHC,TH))</f>
        <v>0</v>
      </c>
      <c r="G38" s="646">
        <f>MAX(C38+E38-D38-F38,0)</f>
        <v>0</v>
      </c>
      <c r="H38" s="646">
        <f>MAX(D38+F38-E38-C38,0)</f>
        <v>1900000000</v>
      </c>
    </row>
    <row r="39" spans="1:12" s="162" customFormat="1" ht="17.25" customHeight="1">
      <c r="A39" s="648" t="s">
        <v>72</v>
      </c>
      <c r="B39" s="648" t="s">
        <v>73</v>
      </c>
      <c r="C39" s="649">
        <v>0</v>
      </c>
      <c r="D39" s="649">
        <f>D38</f>
        <v>1900000000</v>
      </c>
      <c r="E39" s="649">
        <f>E38</f>
        <v>0</v>
      </c>
      <c r="F39" s="649">
        <f>F38</f>
        <v>0</v>
      </c>
      <c r="G39" s="649">
        <f>MAX(C39+E39-D39-F39,0)</f>
        <v>0</v>
      </c>
      <c r="H39" s="649">
        <f>MAX(D39+F39-E39-C39,0)</f>
        <v>1900000000</v>
      </c>
    </row>
    <row r="40" spans="1:12" s="162" customFormat="1" ht="17.25" customHeight="1">
      <c r="A40" s="643" t="s">
        <v>74</v>
      </c>
      <c r="B40" s="644" t="s">
        <v>75</v>
      </c>
      <c r="C40" s="645"/>
      <c r="D40" s="645">
        <v>76465148</v>
      </c>
      <c r="E40" s="645">
        <f t="array" ref="E40">SUM(IF(A40=KHN,TH))</f>
        <v>0</v>
      </c>
      <c r="F40" s="645">
        <f t="array" ref="F40">SUM(IF(A40=KHC,TH))</f>
        <v>0</v>
      </c>
      <c r="G40" s="646">
        <f>MAX(C40+E40-D40-F40,0)</f>
        <v>0</v>
      </c>
      <c r="H40" s="646">
        <f>MAX(D40+F40-E40-C40,0)</f>
        <v>76465148</v>
      </c>
    </row>
    <row r="41" spans="1:12" s="162" customFormat="1" ht="17.25" customHeight="1">
      <c r="A41" s="644" t="s">
        <v>76</v>
      </c>
      <c r="B41" s="644" t="s">
        <v>77</v>
      </c>
      <c r="C41" s="645"/>
      <c r="D41" s="645"/>
      <c r="E41" s="645">
        <f t="array" ref="E41">SUM(IF(A41=TH!$L$10:$L$2040,TH!$K$10:$K$2040))</f>
        <v>0</v>
      </c>
      <c r="F41" s="645">
        <f t="array" ref="F41">SUM(IF(A41=TH!$M$10:$M$2040,TH!$K$10:$K$2040))</f>
        <v>0</v>
      </c>
      <c r="G41" s="645">
        <f>MAX(C41+E41-D41-F41,0)</f>
        <v>0</v>
      </c>
      <c r="H41" s="645">
        <f>MAX(D41+F41-E41-C41,0)</f>
        <v>0</v>
      </c>
      <c r="J41" s="293">
        <f>L41-H41</f>
        <v>-9411222</v>
      </c>
      <c r="L41" s="162">
        <v>-9411222</v>
      </c>
    </row>
    <row r="42" spans="1:12" s="162" customFormat="1" ht="17.25" customHeight="1">
      <c r="A42" s="648" t="s">
        <v>78</v>
      </c>
      <c r="B42" s="648" t="s">
        <v>79</v>
      </c>
      <c r="C42" s="649">
        <f t="shared" ref="C42:H42" si="17">C41+C40</f>
        <v>0</v>
      </c>
      <c r="D42" s="649">
        <f t="shared" si="17"/>
        <v>76465148</v>
      </c>
      <c r="E42" s="649">
        <f t="shared" si="17"/>
        <v>0</v>
      </c>
      <c r="F42" s="649">
        <f t="shared" si="17"/>
        <v>0</v>
      </c>
      <c r="G42" s="649">
        <f t="shared" si="17"/>
        <v>0</v>
      </c>
      <c r="H42" s="649">
        <f t="shared" si="17"/>
        <v>76465148</v>
      </c>
    </row>
    <row r="43" spans="1:12" s="162" customFormat="1" ht="17.25" customHeight="1">
      <c r="A43" s="643" t="s">
        <v>175</v>
      </c>
      <c r="B43" s="644" t="s">
        <v>176</v>
      </c>
      <c r="C43" s="645"/>
      <c r="D43" s="645"/>
      <c r="E43" s="645">
        <f t="array" ref="E43">SUM(IF(A43=KHN,TH))</f>
        <v>1789045630</v>
      </c>
      <c r="F43" s="645">
        <f t="array" ref="F43">SUM(IF(A43=KHC,TH))</f>
        <v>1789045630</v>
      </c>
      <c r="G43" s="646"/>
      <c r="H43" s="646"/>
      <c r="I43" s="162">
        <f>E43-F43</f>
        <v>0</v>
      </c>
    </row>
    <row r="44" spans="1:12" s="162" customFormat="1" ht="17.25" customHeight="1">
      <c r="A44" s="648" t="s">
        <v>177</v>
      </c>
      <c r="B44" s="648" t="s">
        <v>178</v>
      </c>
      <c r="C44" s="649"/>
      <c r="D44" s="649"/>
      <c r="E44" s="649">
        <f>E43</f>
        <v>1789045630</v>
      </c>
      <c r="F44" s="649">
        <f>F43</f>
        <v>1789045630</v>
      </c>
      <c r="G44" s="649"/>
      <c r="H44" s="649"/>
      <c r="I44" s="162">
        <f>E44-F44</f>
        <v>0</v>
      </c>
    </row>
    <row r="45" spans="1:12" s="162" customFormat="1" ht="17.25" customHeight="1">
      <c r="A45" s="648" t="s">
        <v>40</v>
      </c>
      <c r="B45" s="648" t="s">
        <v>80</v>
      </c>
      <c r="C45" s="649"/>
      <c r="D45" s="649"/>
      <c r="E45" s="650">
        <f t="array" ref="E45">SUM(IF(A45=KHN,TH))</f>
        <v>109701</v>
      </c>
      <c r="F45" s="650">
        <f t="array" ref="F45">SUM(IF(A45=KHC,TH))</f>
        <v>109701</v>
      </c>
      <c r="G45" s="649"/>
      <c r="H45" s="649"/>
      <c r="I45" s="162">
        <f t="shared" ref="I45:I53" si="18">E45-F45</f>
        <v>0</v>
      </c>
    </row>
    <row r="46" spans="1:12" s="162" customFormat="1" ht="17.25" customHeight="1">
      <c r="A46" s="648" t="s">
        <v>173</v>
      </c>
      <c r="B46" s="648" t="s">
        <v>174</v>
      </c>
      <c r="C46" s="649"/>
      <c r="D46" s="649"/>
      <c r="E46" s="650">
        <f t="array" ref="E46">SUM(IF(A46=KHN,TH))</f>
        <v>0</v>
      </c>
      <c r="F46" s="650">
        <f t="array" ref="F46">SUM(IF(A46=KHC,TH))</f>
        <v>0</v>
      </c>
      <c r="G46" s="649"/>
      <c r="H46" s="649"/>
      <c r="I46" s="162">
        <f t="shared" si="18"/>
        <v>0</v>
      </c>
    </row>
    <row r="47" spans="1:12" s="162" customFormat="1" ht="17.25" customHeight="1">
      <c r="A47" s="648" t="s">
        <v>81</v>
      </c>
      <c r="B47" s="648" t="s">
        <v>82</v>
      </c>
      <c r="C47" s="649"/>
      <c r="D47" s="649"/>
      <c r="E47" s="650">
        <f t="array" ref="E47">SUM(IF(A47=KHN,TH))</f>
        <v>0</v>
      </c>
      <c r="F47" s="650">
        <f t="array" ref="F47">SUM(IF(A47=KHC,TH))</f>
        <v>0</v>
      </c>
      <c r="G47" s="649"/>
      <c r="H47" s="649"/>
      <c r="I47" s="162">
        <f t="shared" si="18"/>
        <v>0</v>
      </c>
    </row>
    <row r="48" spans="1:12" s="162" customFormat="1" ht="17.25" customHeight="1">
      <c r="A48" s="654" t="s">
        <v>267</v>
      </c>
      <c r="B48" s="648" t="s">
        <v>333</v>
      </c>
      <c r="C48" s="649"/>
      <c r="D48" s="649"/>
      <c r="E48" s="650">
        <f t="array" ref="E48">SUM(IF(A48=KHN,TH))</f>
        <v>0</v>
      </c>
      <c r="F48" s="650">
        <f t="array" ref="F48">SUM(IF(A48=KHC,TH))</f>
        <v>0</v>
      </c>
      <c r="G48" s="649"/>
      <c r="H48" s="649"/>
      <c r="I48" s="162">
        <f>E48-F48</f>
        <v>0</v>
      </c>
    </row>
    <row r="49" spans="1:9" s="162" customFormat="1" ht="17.25" customHeight="1">
      <c r="A49" s="648" t="s">
        <v>83</v>
      </c>
      <c r="B49" s="648" t="s">
        <v>84</v>
      </c>
      <c r="C49" s="649"/>
      <c r="D49" s="649"/>
      <c r="E49" s="650">
        <f t="array" ref="E49">SUM(IF(A49=KHN,TH))</f>
        <v>30329402</v>
      </c>
      <c r="F49" s="650">
        <f t="array" ref="F49">SUM(IF(A49=KHC,TH))</f>
        <v>30329402</v>
      </c>
      <c r="G49" s="649"/>
      <c r="H49" s="649"/>
      <c r="I49" s="162">
        <f t="shared" si="18"/>
        <v>0</v>
      </c>
    </row>
    <row r="50" spans="1:9" s="162" customFormat="1" ht="17.25" customHeight="1">
      <c r="A50" s="654" t="s">
        <v>85</v>
      </c>
      <c r="B50" s="648" t="s">
        <v>86</v>
      </c>
      <c r="C50" s="649"/>
      <c r="D50" s="649"/>
      <c r="E50" s="650">
        <f t="array" ref="E50">SUM(IF(A50=KHN,TH))</f>
        <v>0</v>
      </c>
      <c r="F50" s="650">
        <f t="array" ref="F50">SUM(IF(A50=KHC,TH))</f>
        <v>0</v>
      </c>
      <c r="G50" s="649"/>
      <c r="H50" s="649"/>
      <c r="I50" s="162">
        <f t="shared" si="18"/>
        <v>0</v>
      </c>
    </row>
    <row r="51" spans="1:9" s="162" customFormat="1" ht="17.25" customHeight="1">
      <c r="A51" s="648" t="s">
        <v>87</v>
      </c>
      <c r="B51" s="648" t="s">
        <v>88</v>
      </c>
      <c r="C51" s="649"/>
      <c r="D51" s="649"/>
      <c r="E51" s="650">
        <f t="array" ref="E51">SUM(IF(A51=KHN,TH))</f>
        <v>670000</v>
      </c>
      <c r="F51" s="650">
        <f t="array" ref="F51">SUM(IF(A51=KHC,TH))</f>
        <v>670000</v>
      </c>
      <c r="G51" s="649"/>
      <c r="H51" s="649"/>
      <c r="I51" s="162">
        <f t="shared" si="18"/>
        <v>0</v>
      </c>
    </row>
    <row r="52" spans="1:9" s="162" customFormat="1" ht="17.25" customHeight="1">
      <c r="A52" s="654" t="s">
        <v>89</v>
      </c>
      <c r="B52" s="648" t="s">
        <v>90</v>
      </c>
      <c r="C52" s="649"/>
      <c r="D52" s="649"/>
      <c r="E52" s="650">
        <f t="array" ref="E52">SUM(IF(A52=KHN,TH))</f>
        <v>0</v>
      </c>
      <c r="F52" s="650">
        <f t="array" ref="F52">SUM(IF(A52=KHC,TH))</f>
        <v>0</v>
      </c>
      <c r="G52" s="649"/>
      <c r="H52" s="649"/>
      <c r="I52" s="162">
        <f t="shared" si="18"/>
        <v>0</v>
      </c>
    </row>
    <row r="53" spans="1:9" s="162" customFormat="1" ht="17.25" customHeight="1">
      <c r="A53" s="648" t="s">
        <v>91</v>
      </c>
      <c r="B53" s="648" t="s">
        <v>92</v>
      </c>
      <c r="C53" s="649"/>
      <c r="D53" s="649"/>
      <c r="E53" s="658">
        <f t="array" ref="E53">SUM(IF(A53=KHN,TH))</f>
        <v>30999402</v>
      </c>
      <c r="F53" s="658">
        <f t="array" ref="F53">SUM(IF(A53=TH!$M$10:$M$2040,TH!$K$10:$K$2040))</f>
        <v>1789155331</v>
      </c>
      <c r="G53" s="649"/>
      <c r="H53" s="649"/>
      <c r="I53" s="162">
        <f t="shared" si="18"/>
        <v>-1758155929</v>
      </c>
    </row>
    <row r="54" spans="1:9" s="162" customFormat="1" ht="17.25" customHeight="1">
      <c r="A54" s="898" t="s">
        <v>39</v>
      </c>
      <c r="B54" s="899"/>
      <c r="C54" s="659">
        <f>C11+C13+C14+C16+C18+C21+C22+C23+C25+C27+C28+C33+C35+C37+C39+C42+C44+C45+C46+C47+C48+C49+C50+C51+C52+C53</f>
        <v>2342307122</v>
      </c>
      <c r="D54" s="659">
        <f t="shared" ref="D54:H54" si="19">D11+D13+D14+D16+D18+D21+D22+D23+D25+D27+D28+D33+D35+D37+D39+D42+D44+D45+D46+D47+D48+D49+D50+D51+D52+D53</f>
        <v>2342307122</v>
      </c>
      <c r="E54" s="659">
        <f t="shared" si="19"/>
        <v>8165281241</v>
      </c>
      <c r="F54" s="659">
        <f t="shared" si="19"/>
        <v>8165281241</v>
      </c>
      <c r="G54" s="659">
        <f t="shared" si="19"/>
        <v>3956822475</v>
      </c>
      <c r="H54" s="659">
        <f t="shared" si="19"/>
        <v>2198666546</v>
      </c>
    </row>
    <row r="55" spans="1:9">
      <c r="E55" s="660"/>
      <c r="F55" s="661"/>
    </row>
    <row r="56" spans="1:9">
      <c r="E56" s="661"/>
      <c r="H56" s="661">
        <f>G54-H54</f>
        <v>1758155929</v>
      </c>
    </row>
    <row r="57" spans="1:9">
      <c r="E57" s="662"/>
      <c r="F57" s="662"/>
    </row>
    <row r="58" spans="1:9">
      <c r="E58" s="662"/>
      <c r="F58" s="662"/>
    </row>
  </sheetData>
  <mergeCells count="6">
    <mergeCell ref="G8:H8"/>
    <mergeCell ref="A54:B54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2050"/>
  <sheetViews>
    <sheetView tabSelected="1" topLeftCell="A7" workbookViewId="0">
      <pane ySplit="3" topLeftCell="A1229" activePane="bottomLeft" state="frozen"/>
      <selection activeCell="A7" sqref="A7"/>
      <selection pane="bottomLeft" activeCell="D1152" sqref="D1152:D1248"/>
    </sheetView>
  </sheetViews>
  <sheetFormatPr defaultRowHeight="12.75"/>
  <cols>
    <col min="1" max="1" width="4.5703125" style="205" customWidth="1"/>
    <col min="2" max="2" width="4.85546875" style="198" customWidth="1"/>
    <col min="3" max="3" width="9.140625" style="198" customWidth="1"/>
    <col min="4" max="4" width="6.85546875" style="198" customWidth="1"/>
    <col min="5" max="5" width="9.140625" style="198" customWidth="1"/>
    <col min="6" max="6" width="45" style="198" customWidth="1"/>
    <col min="7" max="7" width="11.140625" style="488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7" width="2.7109375" style="198" hidden="1" customWidth="1"/>
    <col min="18" max="20" width="2.5703125" style="198" hidden="1" customWidth="1"/>
    <col min="21" max="21" width="3.140625" style="198" hidden="1" customWidth="1"/>
    <col min="22" max="22" width="4.42578125" style="198" hidden="1" customWidth="1"/>
    <col min="23" max="25" width="2.7109375" style="198" hidden="1" customWidth="1"/>
    <col min="26" max="26" width="2.85546875" style="198" hidden="1" customWidth="1"/>
    <col min="27" max="27" width="2.85546875" style="198" customWidth="1"/>
    <col min="28" max="28" width="3.5703125" style="198" customWidth="1"/>
    <col min="29" max="16384" width="9.140625" style="198"/>
  </cols>
  <sheetData>
    <row r="1" spans="1:27" ht="15">
      <c r="A1" s="1" t="s">
        <v>487</v>
      </c>
      <c r="B1" s="31"/>
      <c r="C1" s="31"/>
      <c r="D1" s="32"/>
      <c r="E1" s="32"/>
      <c r="F1" s="33"/>
      <c r="G1" s="486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488</v>
      </c>
      <c r="B2" s="31"/>
      <c r="C2" s="31"/>
      <c r="D2" s="32"/>
      <c r="E2" s="32"/>
      <c r="F2" s="32"/>
      <c r="G2" s="486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486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03" t="s">
        <v>93</v>
      </c>
      <c r="D4" s="903"/>
      <c r="E4" s="903"/>
      <c r="F4" s="903"/>
      <c r="G4" s="903"/>
      <c r="H4" s="903"/>
      <c r="I4" s="903"/>
      <c r="J4" s="903"/>
      <c r="K4" s="903"/>
      <c r="L4" s="903"/>
      <c r="M4" s="903"/>
    </row>
    <row r="5" spans="1:27" ht="14.25">
      <c r="B5" s="42"/>
      <c r="C5" s="904"/>
      <c r="D5" s="904"/>
      <c r="E5" s="904"/>
      <c r="F5" s="904"/>
      <c r="G5" s="904"/>
      <c r="H5" s="904"/>
      <c r="I5" s="904"/>
      <c r="J5" s="904"/>
      <c r="K5" s="904"/>
      <c r="L5" s="904"/>
      <c r="M5" s="904"/>
    </row>
    <row r="6" spans="1:27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17" t="s">
        <v>117</v>
      </c>
      <c r="B7" s="919" t="s">
        <v>101</v>
      </c>
      <c r="C7" s="905" t="s">
        <v>20</v>
      </c>
      <c r="D7" s="906" t="s">
        <v>1</v>
      </c>
      <c r="E7" s="907"/>
      <c r="F7" s="905" t="s">
        <v>0</v>
      </c>
      <c r="G7" s="909" t="s">
        <v>116</v>
      </c>
      <c r="H7" s="921" t="s">
        <v>44</v>
      </c>
      <c r="I7" s="926" t="s">
        <v>264</v>
      </c>
      <c r="J7" s="927"/>
      <c r="K7" s="905" t="s">
        <v>157</v>
      </c>
      <c r="L7" s="908" t="s">
        <v>94</v>
      </c>
      <c r="M7" s="908"/>
      <c r="N7" s="924" t="s">
        <v>467</v>
      </c>
      <c r="O7" s="911" t="s">
        <v>47</v>
      </c>
      <c r="P7" s="912"/>
      <c r="Q7" s="913"/>
      <c r="R7" s="911" t="s">
        <v>51</v>
      </c>
      <c r="S7" s="912"/>
      <c r="T7" s="913"/>
      <c r="U7" s="924" t="s">
        <v>466</v>
      </c>
      <c r="V7" s="922" t="str">
        <f>CTTK!$E$7</f>
        <v>642</v>
      </c>
      <c r="W7" s="902" t="s">
        <v>163</v>
      </c>
      <c r="X7" s="902"/>
      <c r="Y7" s="902"/>
      <c r="Z7" s="902" t="s">
        <v>363</v>
      </c>
      <c r="AA7" s="851"/>
    </row>
    <row r="8" spans="1:27" ht="24.75" customHeight="1">
      <c r="A8" s="918"/>
      <c r="B8" s="920"/>
      <c r="C8" s="905"/>
      <c r="D8" s="202" t="s">
        <v>15</v>
      </c>
      <c r="E8" s="201" t="s">
        <v>32</v>
      </c>
      <c r="F8" s="905"/>
      <c r="G8" s="910"/>
      <c r="H8" s="921"/>
      <c r="I8" s="262" t="s">
        <v>204</v>
      </c>
      <c r="J8" s="262" t="s">
        <v>205</v>
      </c>
      <c r="K8" s="905"/>
      <c r="L8" s="203" t="s">
        <v>22</v>
      </c>
      <c r="M8" s="203" t="s">
        <v>23</v>
      </c>
      <c r="N8" s="925"/>
      <c r="O8" s="914"/>
      <c r="P8" s="915"/>
      <c r="Q8" s="916"/>
      <c r="R8" s="914"/>
      <c r="S8" s="915"/>
      <c r="T8" s="916"/>
      <c r="U8" s="925"/>
      <c r="V8" s="923"/>
      <c r="W8" s="902"/>
      <c r="X8" s="902"/>
      <c r="Y8" s="902"/>
      <c r="Z8" s="902"/>
      <c r="AA8" s="851"/>
    </row>
    <row r="9" spans="1:27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8">
        <v>17</v>
      </c>
      <c r="P9" s="207">
        <v>18</v>
      </c>
      <c r="Q9" s="208">
        <v>19</v>
      </c>
      <c r="R9" s="207">
        <v>20</v>
      </c>
      <c r="S9" s="207"/>
      <c r="T9" s="207"/>
      <c r="U9" s="207">
        <v>26</v>
      </c>
      <c r="V9" s="208">
        <v>27</v>
      </c>
      <c r="W9" s="207">
        <v>19</v>
      </c>
      <c r="X9" s="207">
        <v>20</v>
      </c>
      <c r="Y9" s="207"/>
      <c r="Z9" s="207">
        <v>21</v>
      </c>
      <c r="AA9" s="852"/>
    </row>
    <row r="10" spans="1:27" s="209" customFormat="1" ht="15.75" customHeight="1">
      <c r="A10" s="204" t="str">
        <f>IF(B10&lt;&gt;"",IF(AND(B10&gt;=_TM1,B10&lt;=_TM2,OR(TH!L10="1111",TH!M10="1111")),TH!D10,""),"")</f>
        <v/>
      </c>
      <c r="B10" s="36">
        <f t="shared" ref="B10:B109" si="0">IF(C10&lt;&gt;"",MONTH(C10),"")</f>
        <v>12</v>
      </c>
      <c r="C10" s="48">
        <f t="shared" ref="C10:C21" si="1">E10</f>
        <v>41639</v>
      </c>
      <c r="D10" s="48" t="s">
        <v>95</v>
      </c>
      <c r="E10" s="48">
        <v>41639</v>
      </c>
      <c r="F10" s="49" t="s">
        <v>150</v>
      </c>
      <c r="G10" s="49"/>
      <c r="H10" s="50"/>
      <c r="I10" s="254"/>
      <c r="J10" s="254"/>
      <c r="K10" s="51">
        <f>CDPS!D41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853"/>
    </row>
    <row r="11" spans="1:27" s="209" customFormat="1" ht="15.75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41639</v>
      </c>
      <c r="D11" s="48" t="s">
        <v>95</v>
      </c>
      <c r="E11" s="48">
        <v>41639</v>
      </c>
      <c r="F11" s="49" t="s">
        <v>279</v>
      </c>
      <c r="G11" s="49"/>
      <c r="H11" s="50"/>
      <c r="I11" s="254"/>
      <c r="J11" s="254"/>
      <c r="K11" s="51">
        <f>SUMIF(KHC,L11,TH)</f>
        <v>179055791</v>
      </c>
      <c r="L11" s="53" t="s">
        <v>430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853"/>
    </row>
    <row r="12" spans="1:27" s="209" customFormat="1" ht="15.75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41639</v>
      </c>
      <c r="D12" s="48" t="s">
        <v>95</v>
      </c>
      <c r="E12" s="48">
        <v>41639</v>
      </c>
      <c r="F12" s="49" t="s">
        <v>280</v>
      </c>
      <c r="G12" s="49"/>
      <c r="H12" s="50"/>
      <c r="I12" s="254"/>
      <c r="J12" s="254"/>
      <c r="K12" s="51">
        <f>SUMIF(KHN,M12,TH)</f>
        <v>0</v>
      </c>
      <c r="L12" s="53" t="s">
        <v>91</v>
      </c>
      <c r="M12" s="52" t="s">
        <v>173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853"/>
    </row>
    <row r="13" spans="1:27" s="209" customFormat="1" ht="15.75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41639</v>
      </c>
      <c r="D13" s="48" t="s">
        <v>95</v>
      </c>
      <c r="E13" s="48">
        <v>41639</v>
      </c>
      <c r="F13" s="49" t="s">
        <v>96</v>
      </c>
      <c r="G13" s="49"/>
      <c r="H13" s="54"/>
      <c r="I13" s="255"/>
      <c r="J13" s="255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853"/>
    </row>
    <row r="14" spans="1:27" s="209" customFormat="1" ht="15.75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41639</v>
      </c>
      <c r="D14" s="48" t="s">
        <v>95</v>
      </c>
      <c r="E14" s="48">
        <v>41639</v>
      </c>
      <c r="F14" s="49" t="s">
        <v>491</v>
      </c>
      <c r="G14" s="49"/>
      <c r="H14" s="50"/>
      <c r="I14" s="254"/>
      <c r="J14" s="25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853"/>
    </row>
    <row r="15" spans="1:27" s="209" customFormat="1" ht="15.75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41639</v>
      </c>
      <c r="D15" s="48" t="s">
        <v>95</v>
      </c>
      <c r="E15" s="48">
        <v>41639</v>
      </c>
      <c r="F15" s="49" t="s">
        <v>281</v>
      </c>
      <c r="G15" s="49"/>
      <c r="H15" s="50"/>
      <c r="I15" s="254"/>
      <c r="J15" s="254"/>
      <c r="K15" s="51">
        <f>SUMIF(KHN,M15,TH)</f>
        <v>0</v>
      </c>
      <c r="L15" s="52" t="s">
        <v>91</v>
      </c>
      <c r="M15" s="52" t="s">
        <v>267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853"/>
    </row>
    <row r="16" spans="1:27" s="209" customFormat="1" ht="15.75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41639</v>
      </c>
      <c r="D16" s="48" t="s">
        <v>95</v>
      </c>
      <c r="E16" s="48">
        <v>41639</v>
      </c>
      <c r="F16" s="49" t="s">
        <v>97</v>
      </c>
      <c r="G16" s="49"/>
      <c r="H16" s="50"/>
      <c r="I16" s="254"/>
      <c r="J16" s="254"/>
      <c r="K16" s="51">
        <f>SUMIF(KHN,M16,TH)</f>
        <v>30329402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853"/>
    </row>
    <row r="17" spans="1:27" s="209" customFormat="1" ht="15.75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41639</v>
      </c>
      <c r="D17" s="48" t="s">
        <v>95</v>
      </c>
      <c r="E17" s="48">
        <v>41639</v>
      </c>
      <c r="F17" s="49" t="s">
        <v>98</v>
      </c>
      <c r="G17" s="49"/>
      <c r="H17" s="50"/>
      <c r="I17" s="254"/>
      <c r="J17" s="254"/>
      <c r="K17" s="51">
        <f>SUMIF(KHC,L17,TH)</f>
        <v>109701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853"/>
    </row>
    <row r="18" spans="1:27" s="209" customFormat="1" ht="15.75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41639</v>
      </c>
      <c r="D18" s="48" t="s">
        <v>95</v>
      </c>
      <c r="E18" s="48">
        <v>41639</v>
      </c>
      <c r="F18" s="49" t="s">
        <v>334</v>
      </c>
      <c r="G18" s="49"/>
      <c r="H18" s="50"/>
      <c r="I18" s="254"/>
      <c r="J18" s="254"/>
      <c r="K18" s="51">
        <f>SUMIF(KHC,L18,TH)</f>
        <v>1789045630</v>
      </c>
      <c r="L18" s="52" t="s">
        <v>175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853"/>
    </row>
    <row r="19" spans="1:27" s="209" customFormat="1" ht="15.75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41639</v>
      </c>
      <c r="D19" s="48" t="s">
        <v>95</v>
      </c>
      <c r="E19" s="48">
        <v>41639</v>
      </c>
      <c r="F19" s="49" t="s">
        <v>99</v>
      </c>
      <c r="G19" s="49"/>
      <c r="H19" s="50"/>
      <c r="I19" s="254"/>
      <c r="J19" s="254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853"/>
    </row>
    <row r="20" spans="1:27" s="209" customFormat="1" ht="15.75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41639</v>
      </c>
      <c r="D20" s="48" t="s">
        <v>95</v>
      </c>
      <c r="E20" s="48">
        <v>41639</v>
      </c>
      <c r="F20" s="49" t="s">
        <v>100</v>
      </c>
      <c r="G20" s="49"/>
      <c r="H20" s="50"/>
      <c r="I20" s="254"/>
      <c r="J20" s="254"/>
      <c r="K20" s="51">
        <f>SUMIF(KHN,M20,TH)</f>
        <v>670000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853"/>
    </row>
    <row r="21" spans="1:27" s="209" customFormat="1" ht="15.75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41639</v>
      </c>
      <c r="D21" s="48" t="s">
        <v>95</v>
      </c>
      <c r="E21" s="48">
        <v>41639</v>
      </c>
      <c r="F21" s="49" t="s">
        <v>490</v>
      </c>
      <c r="G21" s="49"/>
      <c r="H21" s="50"/>
      <c r="I21" s="254"/>
      <c r="J21" s="254"/>
      <c r="K21" s="51"/>
      <c r="L21" s="53" t="s">
        <v>91</v>
      </c>
      <c r="M21" s="52" t="s">
        <v>76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853"/>
    </row>
    <row r="22" spans="1:27" s="1104" customFormat="1" ht="15.75" customHeight="1">
      <c r="A22" s="204" t="str">
        <f>IF(B22&lt;&gt;"",IF(AND(B22&gt;=_TM1,B22&lt;=_TM2,OR(TH!L22="1111",TH!M22="1111")),TH!D22,""),"")</f>
        <v/>
      </c>
      <c r="B22" s="36">
        <f t="shared" si="0"/>
        <v>1</v>
      </c>
      <c r="C22" s="814">
        <f>E22</f>
        <v>41276</v>
      </c>
      <c r="D22" s="814" t="s">
        <v>343</v>
      </c>
      <c r="E22" s="814">
        <v>41276</v>
      </c>
      <c r="F22" s="704" t="s">
        <v>1289</v>
      </c>
      <c r="G22" s="705"/>
      <c r="H22" s="616"/>
      <c r="I22" s="484"/>
      <c r="J22" s="484"/>
      <c r="K22" s="706">
        <v>18250000</v>
      </c>
      <c r="L22" s="707" t="s">
        <v>165</v>
      </c>
      <c r="M22" s="707" t="s">
        <v>266</v>
      </c>
      <c r="N22" s="1102" t="str">
        <f>IF(AND('331-CT'!$E$7=TH!H22,OR(L22="331",M22="331")),"331",IF(AND(OR(L22="131",M22="131"),H22='131-CT'!$E$7),"131",""))</f>
        <v/>
      </c>
      <c r="O22" s="1102" t="str">
        <f>IF(AND($B22&gt;='111'!$N$11,$B22&lt;='111'!$O$11,OR($L22=$O$7,$M22=$O$7)),"x","")</f>
        <v/>
      </c>
      <c r="P22" s="1102" t="str">
        <f>IF(AND($L22=$O$7,$B22&lt;'111'!$N$11),"x","")</f>
        <v/>
      </c>
      <c r="Q22" s="1102" t="str">
        <f>IF(AND($M22=$O$7,$B22&lt;'111'!$N$11),"x","")</f>
        <v/>
      </c>
      <c r="R22" s="1102" t="str">
        <f>IF(ISERROR(FIND('112'!$M$9,G22,1)),"",IF((AND(FIND('112'!$M$9,G22,1)&gt;=1,$B22&gt;='112'!$N$8,$B22&lt;='112'!$O$8,OR($L22='112'!$I$6,$M22='112'!$I$6))),"x",""))</f>
        <v/>
      </c>
      <c r="S22" s="1102" t="str">
        <f>IF(ISERROR(FIND('112'!$M$9,G22,1)),"",IF((AND(LEFT(G22,2)=LEFT('112'!$M$9,2),B22&lt;'112'!$N$8,$L22='112'!$I$6)),"x",""))</f>
        <v/>
      </c>
      <c r="T22" s="1102" t="str">
        <f>IF(ISERROR(FIND('112'!$M$9,G22,1)),"",IF((AND(RIGHT(G22,2)=RIGHT('112'!$M$9,2),B22&lt;'112'!$N$8,$M22='112'!$I$6)),"x",""))</f>
        <v/>
      </c>
      <c r="U22" s="1102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1102" t="str">
        <f>IF(OR(TH!L22=TH!$V$7,M22=TH!$V$7),"x","")</f>
        <v/>
      </c>
      <c r="W22" s="1102" t="str">
        <f>IF(AND(B22&gt;='IN-NX'!$P$3,B22&lt;='IN-NX'!$Q$3,'IN-NX'!$D$7=D22,OR(LEFT(L22,2)="15",AND(LEFT(M22,2)&lt;&gt;"15",LEFT(M22,2)&lt;&gt;"33"))),"x","")</f>
        <v/>
      </c>
      <c r="X22" s="1102" t="str">
        <f>IF(AND(OR(LEFT(TH!L22,2)="15",LEFT(TH!M22,2)="15"),'152-CT'!$J$8=TH!F22),"x","")</f>
        <v/>
      </c>
      <c r="Y22" s="1102" t="str">
        <f>IF(AND(OR(LEFT(TH!L22,2)="15",LEFT(TH!M22,2)="15"),TK!$E$7=TH!F22),"x","")</f>
        <v/>
      </c>
      <c r="Z22" s="1102" t="str">
        <f>IF(AND(B22&lt;=NKC!$N$8,B22&gt;=NKC!$M$8),"x","")</f>
        <v/>
      </c>
      <c r="AA22" s="1103"/>
    </row>
    <row r="23" spans="1:27" s="1104" customFormat="1" ht="15.75" customHeight="1">
      <c r="A23" s="204" t="str">
        <f>IF(B23&lt;&gt;"",IF(AND(B23&gt;=_TM1,B23&lt;=_TM2,OR(TH!L23="1111",TH!M23="1111")),TH!D23,""),"")</f>
        <v/>
      </c>
      <c r="B23" s="36">
        <f t="shared" si="0"/>
        <v>4</v>
      </c>
      <c r="C23" s="814">
        <f>E23</f>
        <v>41365</v>
      </c>
      <c r="D23" s="814" t="s">
        <v>343</v>
      </c>
      <c r="E23" s="814">
        <v>41365</v>
      </c>
      <c r="F23" s="704" t="s">
        <v>1289</v>
      </c>
      <c r="G23" s="1105"/>
      <c r="H23" s="616"/>
      <c r="I23" s="484"/>
      <c r="J23" s="484"/>
      <c r="K23" s="706">
        <v>18250000</v>
      </c>
      <c r="L23" s="707" t="s">
        <v>165</v>
      </c>
      <c r="M23" s="707" t="s">
        <v>266</v>
      </c>
      <c r="N23" s="1102" t="str">
        <f>IF(AND('331-CT'!$E$7=TH!H23,OR(L23="331",M23="331")),"331",IF(AND(OR(L23="131",M23="131"),H23='131-CT'!$E$7),"131",""))</f>
        <v/>
      </c>
      <c r="O23" s="1102" t="str">
        <f>IF(AND($B23&gt;='111'!$N$11,$B23&lt;='111'!$O$11,OR($L23=$O$7,$M23=$O$7)),"x","")</f>
        <v/>
      </c>
      <c r="P23" s="1102" t="str">
        <f>IF(AND($L23=$O$7,$B23&lt;'111'!$N$11),"x","")</f>
        <v/>
      </c>
      <c r="Q23" s="1102" t="str">
        <f>IF(AND($M23=$O$7,$B23&lt;'111'!$N$11),"x","")</f>
        <v/>
      </c>
      <c r="R23" s="1102" t="str">
        <f>IF(ISERROR(FIND('112'!$M$9,G23,1)),"",IF((AND(FIND('112'!$M$9,G23,1)&gt;=1,$B23&gt;='112'!$N$8,$B23&lt;='112'!$O$8,OR($L23='112'!$I$6,$M23='112'!$I$6))),"x",""))</f>
        <v/>
      </c>
      <c r="S23" s="1102" t="str">
        <f>IF(ISERROR(FIND('112'!$M$9,G23,1)),"",IF((AND(LEFT(G23,2)=LEFT('112'!$M$9,2),B23&lt;'112'!$N$8,$L23='112'!$I$6)),"x",""))</f>
        <v/>
      </c>
      <c r="T23" s="1102" t="str">
        <f>IF(ISERROR(FIND('112'!$M$9,G23,1)),"",IF((AND(RIGHT(G23,2)=RIGHT('112'!$M$9,2),B23&lt;'112'!$N$8,$M23='112'!$I$6)),"x",""))</f>
        <v/>
      </c>
      <c r="U23" s="1102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>154</v>
      </c>
      <c r="V23" s="1102" t="str">
        <f>IF(OR(TH!L23=TH!$V$7,M23=TH!$V$7),"x","")</f>
        <v/>
      </c>
      <c r="W23" s="1102" t="str">
        <f>IF(AND(B23&gt;='IN-NX'!$P$3,B23&lt;='IN-NX'!$Q$3,'IN-NX'!$D$7=D23,OR(LEFT(L23,2)="15",AND(LEFT(M23,2)&lt;&gt;"15",LEFT(M23,2)&lt;&gt;"33"))),"x","")</f>
        <v/>
      </c>
      <c r="X23" s="1102" t="str">
        <f>IF(AND(OR(LEFT(TH!L23,2)="15",LEFT(TH!M23,2)="15"),'152-CT'!$J$8=TH!F23),"x","")</f>
        <v/>
      </c>
      <c r="Y23" s="1102" t="str">
        <f>IF(AND(OR(LEFT(TH!L23,2)="15",LEFT(TH!M23,2)="15"),TK!$E$7=TH!F23),"x","")</f>
        <v/>
      </c>
      <c r="Z23" s="1102" t="str">
        <f>IF(AND(B23&lt;=NKC!$N$8,B23&gt;=NKC!$M$8),"x","")</f>
        <v/>
      </c>
      <c r="AA23" s="1103"/>
    </row>
    <row r="24" spans="1:27" s="1104" customFormat="1" ht="15.75" customHeight="1">
      <c r="A24" s="204" t="str">
        <f>IF(B24&lt;&gt;"",IF(AND(B24&gt;=_TM1,B24&lt;=_TM2,OR(TH!L24="1111",TH!M24="1111")),TH!D24,""),"")</f>
        <v/>
      </c>
      <c r="B24" s="36">
        <f t="shared" si="0"/>
        <v>7</v>
      </c>
      <c r="C24" s="814">
        <f>E24</f>
        <v>41456</v>
      </c>
      <c r="D24" s="814" t="s">
        <v>343</v>
      </c>
      <c r="E24" s="814">
        <v>41456</v>
      </c>
      <c r="F24" s="704" t="s">
        <v>1289</v>
      </c>
      <c r="G24" s="1105"/>
      <c r="H24" s="616"/>
      <c r="I24" s="484"/>
      <c r="J24" s="484"/>
      <c r="K24" s="706">
        <v>18250000</v>
      </c>
      <c r="L24" s="707" t="s">
        <v>165</v>
      </c>
      <c r="M24" s="707" t="s">
        <v>266</v>
      </c>
      <c r="N24" s="1102" t="str">
        <f>IF(AND('331-CT'!$E$7=TH!H24,OR(L24="331",M24="331")),"331",IF(AND(OR(L24="131",M24="131"),H24='131-CT'!$E$7),"131",""))</f>
        <v/>
      </c>
      <c r="O24" s="1102" t="str">
        <f>IF(AND($B24&gt;='111'!$N$11,$B24&lt;='111'!$O$11,OR($L24=$O$7,$M24=$O$7)),"x","")</f>
        <v/>
      </c>
      <c r="P24" s="1102" t="str">
        <f>IF(AND($L24=$O$7,$B24&lt;'111'!$N$11),"x","")</f>
        <v/>
      </c>
      <c r="Q24" s="1102" t="str">
        <f>IF(AND($M24=$O$7,$B24&lt;'111'!$N$11),"x","")</f>
        <v/>
      </c>
      <c r="R24" s="1102" t="str">
        <f>IF(ISERROR(FIND('112'!$M$9,G24,1)),"",IF((AND(FIND('112'!$M$9,G24,1)&gt;=1,$B24&gt;='112'!$N$8,$B24&lt;='112'!$O$8,OR($L24='112'!$I$6,$M24='112'!$I$6))),"x",""))</f>
        <v/>
      </c>
      <c r="S24" s="1102" t="str">
        <f>IF(ISERROR(FIND('112'!$M$9,G24,1)),"",IF((AND(LEFT(G24,2)=LEFT('112'!$M$9,2),B24&lt;'112'!$N$8,$L24='112'!$I$6)),"x",""))</f>
        <v/>
      </c>
      <c r="T24" s="1102" t="str">
        <f>IF(ISERROR(FIND('112'!$M$9,G24,1)),"",IF((AND(RIGHT(G24,2)=RIGHT('112'!$M$9,2),B24&lt;'112'!$N$8,$M24='112'!$I$6)),"x",""))</f>
        <v/>
      </c>
      <c r="U24" s="1102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1102" t="str">
        <f>IF(OR(TH!L24=TH!$V$7,M24=TH!$V$7),"x","")</f>
        <v/>
      </c>
      <c r="W24" s="1102" t="str">
        <f>IF(AND(B24&gt;='IN-NX'!$P$3,B24&lt;='IN-NX'!$Q$3,'IN-NX'!$D$7=D24,OR(LEFT(L24,2)="15",AND(LEFT(M24,2)&lt;&gt;"15",LEFT(M24,2)&lt;&gt;"33"))),"x","")</f>
        <v/>
      </c>
      <c r="X24" s="1102" t="str">
        <f>IF(AND(OR(LEFT(TH!L24,2)="15",LEFT(TH!M24,2)="15"),'152-CT'!$J$8=TH!F24),"x","")</f>
        <v/>
      </c>
      <c r="Y24" s="1102" t="str">
        <f>IF(AND(OR(LEFT(TH!L24,2)="15",LEFT(TH!M24,2)="15"),TK!$E$7=TH!F24),"x","")</f>
        <v/>
      </c>
      <c r="Z24" s="1102" t="str">
        <f>IF(AND(B24&lt;=NKC!$N$8,B24&gt;=NKC!$M$8),"x","")</f>
        <v>x</v>
      </c>
      <c r="AA24" s="1103"/>
    </row>
    <row r="25" spans="1:27" s="1104" customFormat="1" ht="15.75" customHeight="1">
      <c r="A25" s="204" t="str">
        <f>IF(B25&lt;&gt;"",IF(AND(B25&gt;=_TM1,B25&lt;=_TM2,OR(TH!L25="1111",TH!M25="1111")),TH!D25,""),"")</f>
        <v/>
      </c>
      <c r="B25" s="36">
        <f t="shared" si="0"/>
        <v>10</v>
      </c>
      <c r="C25" s="814">
        <f>E25</f>
        <v>41548</v>
      </c>
      <c r="D25" s="814" t="s">
        <v>343</v>
      </c>
      <c r="E25" s="814">
        <v>41548</v>
      </c>
      <c r="F25" s="704" t="s">
        <v>1289</v>
      </c>
      <c r="G25" s="1105"/>
      <c r="H25" s="616"/>
      <c r="I25" s="484"/>
      <c r="J25" s="484"/>
      <c r="K25" s="706">
        <v>18250000</v>
      </c>
      <c r="L25" s="707" t="s">
        <v>165</v>
      </c>
      <c r="M25" s="707" t="s">
        <v>266</v>
      </c>
      <c r="N25" s="1102" t="str">
        <f>IF(AND('331-CT'!$E$7=TH!H25,OR(L25="331",M25="331")),"331",IF(AND(OR(L25="131",M25="131"),H25='131-CT'!$E$7),"131",""))</f>
        <v/>
      </c>
      <c r="O25" s="1102" t="str">
        <f>IF(AND($B25&gt;='111'!$N$11,$B25&lt;='111'!$O$11,OR($L25=$O$7,$M25=$O$7)),"x","")</f>
        <v/>
      </c>
      <c r="P25" s="1102" t="str">
        <f>IF(AND($L25=$O$7,$B25&lt;'111'!$N$11),"x","")</f>
        <v/>
      </c>
      <c r="Q25" s="1102" t="str">
        <f>IF(AND($M25=$O$7,$B25&lt;'111'!$N$11),"x","")</f>
        <v/>
      </c>
      <c r="R25" s="1102" t="str">
        <f>IF(ISERROR(FIND('112'!$M$9,G25,1)),"",IF((AND(FIND('112'!$M$9,G25,1)&gt;=1,$B25&gt;='112'!$N$8,$B25&lt;='112'!$O$8,OR($L25='112'!$I$6,$M25='112'!$I$6))),"x",""))</f>
        <v/>
      </c>
      <c r="S25" s="1102" t="str">
        <f>IF(ISERROR(FIND('112'!$M$9,G25,1)),"",IF((AND(LEFT(G25,2)=LEFT('112'!$M$9,2),B25&lt;'112'!$N$8,$L25='112'!$I$6)),"x",""))</f>
        <v/>
      </c>
      <c r="T25" s="1102" t="str">
        <f>IF(ISERROR(FIND('112'!$M$9,G25,1)),"",IF((AND(RIGHT(G25,2)=RIGHT('112'!$M$9,2),B25&lt;'112'!$N$8,$M25='112'!$I$6)),"x",""))</f>
        <v/>
      </c>
      <c r="U25" s="1102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1102" t="str">
        <f>IF(OR(TH!L25=TH!$V$7,M25=TH!$V$7),"x","")</f>
        <v/>
      </c>
      <c r="W25" s="1102" t="str">
        <f>IF(AND(B25&gt;='IN-NX'!$P$3,B25&lt;='IN-NX'!$Q$3,'IN-NX'!$D$7=D25,OR(LEFT(L25,2)="15",AND(LEFT(M25,2)&lt;&gt;"15",LEFT(M25,2)&lt;&gt;"33"))),"x","")</f>
        <v/>
      </c>
      <c r="X25" s="1102" t="str">
        <f>IF(AND(OR(LEFT(TH!L25,2)="15",LEFT(TH!M25,2)="15"),'152-CT'!$J$8=TH!F25),"x","")</f>
        <v/>
      </c>
      <c r="Y25" s="1102" t="str">
        <f>IF(AND(OR(LEFT(TH!L25,2)="15",LEFT(TH!M25,2)="15"),TK!$E$7=TH!F25),"x","")</f>
        <v/>
      </c>
      <c r="Z25" s="1102" t="str">
        <f>IF(AND(B25&lt;=NKC!$N$8,B25&gt;=NKC!$M$8),"x","")</f>
        <v/>
      </c>
      <c r="AA25" s="1103"/>
    </row>
    <row r="26" spans="1:27" s="1104" customFormat="1" ht="15.75" customHeight="1">
      <c r="A26" s="204" t="str">
        <f>IF(B26&lt;&gt;"",IF(AND(B26&gt;=_TM1,B26&lt;=_TM2,OR(TH!L26="1111",TH!M26="1111")),TH!D26,""),"")</f>
        <v/>
      </c>
      <c r="B26" s="1101">
        <f>IF(C26&lt;&gt;"",MONTH(C26),"")</f>
        <v>1</v>
      </c>
      <c r="C26" s="814">
        <f>E26</f>
        <v>41305</v>
      </c>
      <c r="D26" s="814" t="s">
        <v>343</v>
      </c>
      <c r="E26" s="814">
        <v>41305</v>
      </c>
      <c r="F26" s="704" t="s">
        <v>1290</v>
      </c>
      <c r="G26" s="705"/>
      <c r="H26" s="616"/>
      <c r="I26" s="484"/>
      <c r="J26" s="484"/>
      <c r="K26" s="706"/>
      <c r="L26" s="707" t="s">
        <v>83</v>
      </c>
      <c r="M26" s="707" t="s">
        <v>268</v>
      </c>
      <c r="N26" s="1102" t="str">
        <f>IF(AND('331-CT'!$E$7=TH!H26,OR(L26="331",M26="331")),"331",IF(AND(OR(L26="131",M26="131"),H26='131-CT'!$E$7),"131",""))</f>
        <v/>
      </c>
      <c r="O26" s="1102" t="str">
        <f>IF(AND($B26&gt;='111'!$N$11,$B26&lt;='111'!$O$11,OR($L26=$O$7,$M26=$O$7)),"x","")</f>
        <v/>
      </c>
      <c r="P26" s="1102" t="str">
        <f>IF(AND($L26=$O$7,$B26&lt;'111'!$N$11),"x","")</f>
        <v/>
      </c>
      <c r="Q26" s="1102" t="str">
        <f>IF(AND($M26=$O$7,$B26&lt;'111'!$N$11),"x","")</f>
        <v/>
      </c>
      <c r="R26" s="1102" t="str">
        <f>IF(ISERROR(FIND('112'!$M$9,G26,1)),"",IF((AND(FIND('112'!$M$9,G26,1)&gt;=1,$B26&gt;='112'!$N$8,$B26&lt;='112'!$O$8,OR($L26='112'!$I$6,$M26='112'!$I$6))),"x",""))</f>
        <v/>
      </c>
      <c r="S26" s="1102" t="str">
        <f>IF(ISERROR(FIND('112'!$M$9,G26,1)),"",IF((AND(LEFT(G26,2)=LEFT('112'!$M$9,2),B26&lt;'112'!$N$8,$L26='112'!$I$6)),"x",""))</f>
        <v/>
      </c>
      <c r="T26" s="1102" t="str">
        <f>IF(ISERROR(FIND('112'!$M$9,G26,1)),"",IF((AND(RIGHT(G26,2)=RIGHT('112'!$M$9,2),B26&lt;'112'!$N$8,$M26='112'!$I$6)),"x",""))</f>
        <v/>
      </c>
      <c r="U26" s="1102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1102" t="str">
        <f>IF(OR(TH!L26=TH!$V$7,M26=TH!$V$7),"x","")</f>
        <v>x</v>
      </c>
      <c r="W26" s="1102" t="str">
        <f>IF(AND(B26&gt;='IN-NX'!$P$3,B26&lt;='IN-NX'!$Q$3,'IN-NX'!$D$7=D26,OR(LEFT(L26,2)="15",AND(LEFT(M26,2)&lt;&gt;"15",LEFT(M26,2)&lt;&gt;"33"))),"x","")</f>
        <v/>
      </c>
      <c r="X26" s="1102" t="str">
        <f>IF(AND(OR(LEFT(TH!L26,2)="15",LEFT(TH!M26,2)="15"),'152-CT'!$J$8=TH!F26),"x","")</f>
        <v/>
      </c>
      <c r="Y26" s="1102" t="str">
        <f>IF(AND(OR(LEFT(TH!L26,2)="15",LEFT(TH!M26,2)="15"),TK!$E$7=TH!F26),"x","")</f>
        <v/>
      </c>
      <c r="Z26" s="1102" t="str">
        <f>IF(AND(B26&lt;=NKC!$N$8,B26&gt;=NKC!$M$8),"x","")</f>
        <v/>
      </c>
      <c r="AA26" s="1103"/>
    </row>
    <row r="27" spans="1:27" s="1104" customFormat="1" ht="15.75" customHeight="1">
      <c r="A27" s="204" t="str">
        <f>IF(B27&lt;&gt;"",IF(AND(B27&gt;=_TM1,B27&lt;=_TM2,OR(TH!L27="1111",TH!M27="1111")),TH!D27,""),"")</f>
        <v/>
      </c>
      <c r="B27" s="1101">
        <f>IF(C27&lt;&gt;"",MONTH(C27),"")</f>
        <v>1</v>
      </c>
      <c r="C27" s="814">
        <f>E27</f>
        <v>41305</v>
      </c>
      <c r="D27" s="814" t="s">
        <v>343</v>
      </c>
      <c r="E27" s="814">
        <v>41305</v>
      </c>
      <c r="F27" s="704" t="s">
        <v>1291</v>
      </c>
      <c r="G27" s="705"/>
      <c r="H27" s="616"/>
      <c r="I27" s="484"/>
      <c r="J27" s="484"/>
      <c r="K27" s="706"/>
      <c r="L27" s="707" t="s">
        <v>165</v>
      </c>
      <c r="M27" s="707" t="s">
        <v>268</v>
      </c>
      <c r="N27" s="1102" t="str">
        <f>IF(AND('331-CT'!$E$7=TH!H27,OR(L27="331",M27="331")),"331",IF(AND(OR(L27="131",M27="131"),H27='131-CT'!$E$7),"131",""))</f>
        <v/>
      </c>
      <c r="O27" s="1102" t="str">
        <f>IF(AND($B27&gt;='111'!$N$11,$B27&lt;='111'!$O$11,OR($L27=$O$7,$M27=$O$7)),"x","")</f>
        <v/>
      </c>
      <c r="P27" s="1102" t="str">
        <f>IF(AND($L27=$O$7,$B27&lt;'111'!$N$11),"x","")</f>
        <v/>
      </c>
      <c r="Q27" s="1102" t="str">
        <f>IF(AND($M27=$O$7,$B27&lt;'111'!$N$11),"x","")</f>
        <v/>
      </c>
      <c r="R27" s="1102" t="str">
        <f>IF(ISERROR(FIND('112'!$M$9,G27,1)),"",IF((AND(FIND('112'!$M$9,G27,1)&gt;=1,$B27&gt;='112'!$N$8,$B27&lt;='112'!$O$8,OR($L27='112'!$I$6,$M27='112'!$I$6))),"x",""))</f>
        <v/>
      </c>
      <c r="S27" s="1102" t="str">
        <f>IF(ISERROR(FIND('112'!$M$9,G27,1)),"",IF((AND(LEFT(G27,2)=LEFT('112'!$M$9,2),B27&lt;'112'!$N$8,$L27='112'!$I$6)),"x",""))</f>
        <v/>
      </c>
      <c r="T27" s="1102" t="str">
        <f>IF(ISERROR(FIND('112'!$M$9,G27,1)),"",IF((AND(RIGHT(G27,2)=RIGHT('112'!$M$9,2),B27&lt;'112'!$N$8,$M27='112'!$I$6)),"x",""))</f>
        <v/>
      </c>
      <c r="U27" s="1102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1102" t="str">
        <f>IF(OR(TH!L27=TH!$V$7,M27=TH!$V$7),"x","")</f>
        <v/>
      </c>
      <c r="W27" s="1102" t="str">
        <f>IF(AND(B27&gt;='IN-NX'!$P$3,B27&lt;='IN-NX'!$Q$3,'IN-NX'!$D$7=D27,OR(LEFT(L27,2)="15",AND(LEFT(M27,2)&lt;&gt;"15",LEFT(M27,2)&lt;&gt;"33"))),"x","")</f>
        <v/>
      </c>
      <c r="X27" s="1102" t="str">
        <f>IF(AND(OR(LEFT(TH!L27,2)="15",LEFT(TH!M27,2)="15"),'152-CT'!$J$8=TH!F27),"x","")</f>
        <v/>
      </c>
      <c r="Y27" s="1102" t="str">
        <f>IF(AND(OR(LEFT(TH!L27,2)="15",LEFT(TH!M27,2)="15"),TK!$E$7=TH!F27),"x","")</f>
        <v/>
      </c>
      <c r="Z27" s="1102" t="str">
        <f>IF(AND(B27&lt;=NKC!$N$8,B27&gt;=NKC!$M$8),"x","")</f>
        <v/>
      </c>
      <c r="AA27" s="1103"/>
    </row>
    <row r="28" spans="1:27" s="1104" customFormat="1" ht="15.75" customHeight="1">
      <c r="A28" s="204" t="str">
        <f>IF(B28&lt;&gt;"",IF(AND(B28&gt;=_TM1,B28&lt;=_TM2,OR(TH!L28="1111",TH!M28="1111")),TH!D28,""),"")</f>
        <v/>
      </c>
      <c r="B28" s="1101">
        <f>IF(C28&lt;&gt;"",MONTH(C28),"")</f>
        <v>1</v>
      </c>
      <c r="C28" s="814">
        <f>E28</f>
        <v>41305</v>
      </c>
      <c r="D28" s="814" t="s">
        <v>343</v>
      </c>
      <c r="E28" s="814">
        <v>41305</v>
      </c>
      <c r="F28" s="704" t="str">
        <f>"Thanh toán tiền lương tháng "&amp;MONTH(E28)&amp;"/"&amp;YEAR(E28)</f>
        <v>Thanh toán tiền lương tháng 1/2013</v>
      </c>
      <c r="G28" s="705"/>
      <c r="H28" s="616"/>
      <c r="I28" s="484"/>
      <c r="J28" s="484"/>
      <c r="K28" s="706">
        <f>K26+K27</f>
        <v>0</v>
      </c>
      <c r="L28" s="707" t="s">
        <v>268</v>
      </c>
      <c r="M28" s="707" t="s">
        <v>47</v>
      </c>
      <c r="N28" s="1102" t="str">
        <f>IF(AND('331-CT'!$E$7=TH!H28,OR(L28="331",M28="331")),"331",IF(AND(OR(L28="131",M28="131"),H28='131-CT'!$E$7),"131",""))</f>
        <v/>
      </c>
      <c r="O28" s="1102" t="str">
        <f>IF(AND($B28&gt;='111'!$N$11,$B28&lt;='111'!$O$11,OR($L28=$O$7,$M28=$O$7)),"x","")</f>
        <v/>
      </c>
      <c r="P28" s="1102" t="str">
        <f>IF(AND($L28=$O$7,$B28&lt;'111'!$N$11),"x","")</f>
        <v/>
      </c>
      <c r="Q28" s="1102" t="str">
        <f>IF(AND($M28=$O$7,$B28&lt;'111'!$N$11),"x","")</f>
        <v>x</v>
      </c>
      <c r="R28" s="1102" t="str">
        <f>IF(ISERROR(FIND('112'!$M$9,G28,1)),"",IF((AND(FIND('112'!$M$9,G28,1)&gt;=1,$B28&gt;='112'!$N$8,$B28&lt;='112'!$O$8,OR($L28='112'!$I$6,$M28='112'!$I$6))),"x",""))</f>
        <v/>
      </c>
      <c r="S28" s="1102" t="str">
        <f>IF(ISERROR(FIND('112'!$M$9,G28,1)),"",IF((AND(LEFT(G28,2)=LEFT('112'!$M$9,2),B28&lt;'112'!$N$8,$L28='112'!$I$6)),"x",""))</f>
        <v/>
      </c>
      <c r="T28" s="1102" t="str">
        <f>IF(ISERROR(FIND('112'!$M$9,G28,1)),"",IF((AND(RIGHT(G28,2)=RIGHT('112'!$M$9,2),B28&lt;'112'!$N$8,$M28='112'!$I$6)),"x",""))</f>
        <v/>
      </c>
      <c r="U28" s="1102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1102" t="str">
        <f>IF(OR(TH!L28=TH!$V$7,M28=TH!$V$7),"x","")</f>
        <v/>
      </c>
      <c r="W28" s="1102" t="str">
        <f>IF(AND(B28&gt;='IN-NX'!$P$3,B28&lt;='IN-NX'!$Q$3,'IN-NX'!$D$7=D28,OR(LEFT(L28,2)="15",AND(LEFT(M28,2)&lt;&gt;"15",LEFT(M28,2)&lt;&gt;"33"))),"x","")</f>
        <v/>
      </c>
      <c r="X28" s="1102" t="str">
        <f>IF(AND(OR(LEFT(TH!L28,2)="15",LEFT(TH!M28,2)="15"),'152-CT'!$J$8=TH!F28),"x","")</f>
        <v/>
      </c>
      <c r="Y28" s="1102" t="str">
        <f>IF(AND(OR(LEFT(TH!L28,2)="15",LEFT(TH!M28,2)="15"),TK!$E$7=TH!F28),"x","")</f>
        <v/>
      </c>
      <c r="Z28" s="1102" t="str">
        <f>IF(AND(B28&lt;=NKC!$N$8,B28&gt;=NKC!$M$8),"x","")</f>
        <v/>
      </c>
      <c r="AA28" s="1103"/>
    </row>
    <row r="29" spans="1:27" ht="15.75" customHeight="1">
      <c r="A29" s="204" t="str">
        <f>IF(B29&lt;&gt;"",IF(AND(B29&gt;=_TM1,B29&lt;=_TM2,OR(TH!L29="1111",TH!M29="1111")),TH!D29,""),"")</f>
        <v/>
      </c>
      <c r="B29" s="36">
        <f>IF(C29&lt;&gt;"",MONTH(C29),"")</f>
        <v>2</v>
      </c>
      <c r="C29" s="814">
        <f t="shared" ref="C29:C40" si="3">E29</f>
        <v>41333</v>
      </c>
      <c r="D29" s="814" t="s">
        <v>343</v>
      </c>
      <c r="E29" s="814">
        <v>41333</v>
      </c>
      <c r="F29" s="704" t="s">
        <v>1290</v>
      </c>
      <c r="G29" s="705"/>
      <c r="H29" s="616"/>
      <c r="I29" s="484"/>
      <c r="J29" s="484"/>
      <c r="K29" s="706"/>
      <c r="L29" s="707" t="s">
        <v>83</v>
      </c>
      <c r="M29" s="707" t="s">
        <v>268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>x</v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853"/>
    </row>
    <row r="30" spans="1:27" ht="15.75" customHeight="1">
      <c r="A30" s="204" t="str">
        <f>IF(B30&lt;&gt;"",IF(AND(B30&gt;=_TM1,B30&lt;=_TM2,OR(TH!L30="1111",TH!M30="1111")),TH!D30,""),"")</f>
        <v/>
      </c>
      <c r="B30" s="36">
        <f>IF(C30&lt;&gt;"",MONTH(C30),"")</f>
        <v>2</v>
      </c>
      <c r="C30" s="814">
        <f t="shared" si="3"/>
        <v>41333</v>
      </c>
      <c r="D30" s="814" t="s">
        <v>343</v>
      </c>
      <c r="E30" s="814">
        <v>41333</v>
      </c>
      <c r="F30" s="704" t="s">
        <v>1291</v>
      </c>
      <c r="G30" s="705"/>
      <c r="H30" s="616"/>
      <c r="I30" s="484"/>
      <c r="J30" s="484"/>
      <c r="K30" s="706"/>
      <c r="L30" s="707" t="s">
        <v>165</v>
      </c>
      <c r="M30" s="707" t="s">
        <v>268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853"/>
    </row>
    <row r="31" spans="1:27" ht="15.75" customHeight="1">
      <c r="A31" s="204" t="str">
        <f>IF(B31&lt;&gt;"",IF(AND(B31&gt;=_TM1,B31&lt;=_TM2,OR(TH!L31="1111",TH!M31="1111")),TH!D31,""),"")</f>
        <v/>
      </c>
      <c r="B31" s="36">
        <f>IF(C31&lt;&gt;"",MONTH(C31),"")</f>
        <v>2</v>
      </c>
      <c r="C31" s="814">
        <f t="shared" si="3"/>
        <v>41333</v>
      </c>
      <c r="D31" s="814" t="s">
        <v>343</v>
      </c>
      <c r="E31" s="814">
        <v>41333</v>
      </c>
      <c r="F31" s="704" t="str">
        <f t="shared" ref="F31" si="4">"Thanh toán tiền lương tháng "&amp;MONTH(E31)&amp;"/"&amp;YEAR(E31)</f>
        <v>Thanh toán tiền lương tháng 2/2013</v>
      </c>
      <c r="G31" s="705"/>
      <c r="H31" s="616"/>
      <c r="I31" s="484"/>
      <c r="J31" s="484"/>
      <c r="K31" s="706">
        <f t="shared" ref="K31" si="5">K29+K30</f>
        <v>0</v>
      </c>
      <c r="L31" s="707" t="s">
        <v>268</v>
      </c>
      <c r="M31" s="707" t="s">
        <v>47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>x</v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853"/>
    </row>
    <row r="32" spans="1:27" ht="15.75" customHeight="1">
      <c r="A32" s="204" t="str">
        <f>IF(B32&lt;&gt;"",IF(AND(B32&gt;=_TM1,B32&lt;=_TM2,OR(TH!L32="1111",TH!M32="1111")),TH!D32,""),"")</f>
        <v/>
      </c>
      <c r="B32" s="36">
        <f>IF(C32&lt;&gt;"",MONTH(C32),"")</f>
        <v>3</v>
      </c>
      <c r="C32" s="814">
        <f t="shared" si="3"/>
        <v>41364</v>
      </c>
      <c r="D32" s="814" t="s">
        <v>343</v>
      </c>
      <c r="E32" s="814">
        <v>41364</v>
      </c>
      <c r="F32" s="704" t="s">
        <v>1290</v>
      </c>
      <c r="G32" s="705"/>
      <c r="H32" s="616"/>
      <c r="I32" s="484"/>
      <c r="J32" s="484"/>
      <c r="K32" s="706"/>
      <c r="L32" s="707" t="s">
        <v>83</v>
      </c>
      <c r="M32" s="707" t="s">
        <v>268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>x</v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853"/>
    </row>
    <row r="33" spans="1:27" ht="15.75" customHeight="1">
      <c r="A33" s="204" t="str">
        <f>IF(B33&lt;&gt;"",IF(AND(B33&gt;=_TM1,B33&lt;=_TM2,OR(TH!L33="1111",TH!M33="1111")),TH!D33,""),"")</f>
        <v/>
      </c>
      <c r="B33" s="36">
        <f>IF(C33&lt;&gt;"",MONTH(C33),"")</f>
        <v>3</v>
      </c>
      <c r="C33" s="814">
        <f t="shared" si="3"/>
        <v>41364</v>
      </c>
      <c r="D33" s="814" t="s">
        <v>343</v>
      </c>
      <c r="E33" s="814">
        <v>41364</v>
      </c>
      <c r="F33" s="704" t="s">
        <v>1291</v>
      </c>
      <c r="G33" s="705"/>
      <c r="H33" s="616"/>
      <c r="I33" s="484"/>
      <c r="J33" s="484"/>
      <c r="K33" s="706"/>
      <c r="L33" s="707" t="s">
        <v>165</v>
      </c>
      <c r="M33" s="707" t="s">
        <v>268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853"/>
    </row>
    <row r="34" spans="1:27" ht="15.75" customHeight="1">
      <c r="A34" s="204" t="str">
        <f>IF(B34&lt;&gt;"",IF(AND(B34&gt;=_TM1,B34&lt;=_TM2,OR(TH!L34="1111",TH!M34="1111")),TH!D34,""),"")</f>
        <v/>
      </c>
      <c r="B34" s="36">
        <f>IF(C34&lt;&gt;"",MONTH(C34),"")</f>
        <v>3</v>
      </c>
      <c r="C34" s="814">
        <f t="shared" si="3"/>
        <v>41364</v>
      </c>
      <c r="D34" s="814" t="s">
        <v>343</v>
      </c>
      <c r="E34" s="814">
        <v>41364</v>
      </c>
      <c r="F34" s="704" t="str">
        <f t="shared" ref="F34" si="6">"Thanh toán tiền lương tháng "&amp;MONTH(E34)&amp;"/"&amp;YEAR(E34)</f>
        <v>Thanh toán tiền lương tháng 3/2013</v>
      </c>
      <c r="G34" s="705"/>
      <c r="H34" s="616"/>
      <c r="I34" s="484"/>
      <c r="J34" s="484"/>
      <c r="K34" s="706">
        <f t="shared" ref="K34" si="7">K32+K33</f>
        <v>0</v>
      </c>
      <c r="L34" s="707" t="s">
        <v>268</v>
      </c>
      <c r="M34" s="707" t="s">
        <v>47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>x</v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853"/>
    </row>
    <row r="35" spans="1:27" ht="15.75" customHeight="1">
      <c r="A35" s="204" t="str">
        <f>IF(B35&lt;&gt;"",IF(AND(B35&gt;=_TM1,B35&lt;=_TM2,OR(TH!L35="1111",TH!M35="1111")),TH!D35,""),"")</f>
        <v/>
      </c>
      <c r="B35" s="36">
        <f>IF(C35&lt;&gt;"",MONTH(C35),"")</f>
        <v>4</v>
      </c>
      <c r="C35" s="814">
        <f t="shared" si="3"/>
        <v>41394</v>
      </c>
      <c r="D35" s="814" t="s">
        <v>343</v>
      </c>
      <c r="E35" s="814">
        <v>41394</v>
      </c>
      <c r="F35" s="704" t="s">
        <v>1290</v>
      </c>
      <c r="G35" s="705"/>
      <c r="H35" s="616"/>
      <c r="I35" s="484"/>
      <c r="J35" s="484"/>
      <c r="K35" s="706"/>
      <c r="L35" s="707" t="s">
        <v>83</v>
      </c>
      <c r="M35" s="707" t="s">
        <v>268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>642</v>
      </c>
      <c r="V35" s="52" t="str">
        <f>IF(OR(TH!L35=TH!$V$7,M35=TH!$V$7),"x","")</f>
        <v>x</v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853"/>
    </row>
    <row r="36" spans="1:27" ht="15.75" customHeight="1">
      <c r="A36" s="204" t="str">
        <f>IF(B36&lt;&gt;"",IF(AND(B36&gt;=_TM1,B36&lt;=_TM2,OR(TH!L36="1111",TH!M36="1111")),TH!D36,""),"")</f>
        <v/>
      </c>
      <c r="B36" s="36">
        <f>IF(C36&lt;&gt;"",MONTH(C36),"")</f>
        <v>4</v>
      </c>
      <c r="C36" s="814">
        <f t="shared" si="3"/>
        <v>41394</v>
      </c>
      <c r="D36" s="814" t="s">
        <v>343</v>
      </c>
      <c r="E36" s="814">
        <v>41394</v>
      </c>
      <c r="F36" s="704" t="s">
        <v>1291</v>
      </c>
      <c r="G36" s="705"/>
      <c r="H36" s="616"/>
      <c r="I36" s="484"/>
      <c r="J36" s="484"/>
      <c r="K36" s="706"/>
      <c r="L36" s="707" t="s">
        <v>165</v>
      </c>
      <c r="M36" s="707" t="s">
        <v>268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>154</v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853"/>
    </row>
    <row r="37" spans="1:27" ht="15.75" customHeight="1">
      <c r="A37" s="204" t="str">
        <f>IF(B37&lt;&gt;"",IF(AND(B37&gt;=_TM1,B37&lt;=_TM2,OR(TH!L37="1111",TH!M37="1111")),TH!D37,""),"")</f>
        <v/>
      </c>
      <c r="B37" s="36">
        <f>IF(C37&lt;&gt;"",MONTH(C37),"")</f>
        <v>4</v>
      </c>
      <c r="C37" s="814">
        <f t="shared" si="3"/>
        <v>41394</v>
      </c>
      <c r="D37" s="814" t="s">
        <v>343</v>
      </c>
      <c r="E37" s="814">
        <v>41394</v>
      </c>
      <c r="F37" s="704" t="str">
        <f t="shared" ref="F37" si="8">"Thanh toán tiền lương tháng "&amp;MONTH(E37)&amp;"/"&amp;YEAR(E37)</f>
        <v>Thanh toán tiền lương tháng 4/2013</v>
      </c>
      <c r="G37" s="705"/>
      <c r="H37" s="616"/>
      <c r="I37" s="484"/>
      <c r="J37" s="484"/>
      <c r="K37" s="706">
        <f t="shared" ref="K37" si="9">K35+K36</f>
        <v>0</v>
      </c>
      <c r="L37" s="707" t="s">
        <v>268</v>
      </c>
      <c r="M37" s="707" t="s">
        <v>47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>x</v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853"/>
    </row>
    <row r="38" spans="1:27" ht="15.75" customHeight="1">
      <c r="A38" s="204" t="str">
        <f>IF(B38&lt;&gt;"",IF(AND(B38&gt;=_TM1,B38&lt;=_TM2,OR(TH!L38="1111",TH!M38="1111")),TH!D38,""),"")</f>
        <v/>
      </c>
      <c r="B38" s="36">
        <f>IF(C38&lt;&gt;"",MONTH(C38),"")</f>
        <v>5</v>
      </c>
      <c r="C38" s="814">
        <f t="shared" si="3"/>
        <v>41425</v>
      </c>
      <c r="D38" s="814" t="s">
        <v>343</v>
      </c>
      <c r="E38" s="814">
        <v>41425</v>
      </c>
      <c r="F38" s="704" t="s">
        <v>1290</v>
      </c>
      <c r="G38" s="705"/>
      <c r="H38" s="616"/>
      <c r="I38" s="484"/>
      <c r="J38" s="484"/>
      <c r="K38" s="706"/>
      <c r="L38" s="707" t="s">
        <v>83</v>
      </c>
      <c r="M38" s="707" t="s">
        <v>268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>642</v>
      </c>
      <c r="V38" s="52" t="str">
        <f>IF(OR(TH!L38=TH!$V$7,M38=TH!$V$7),"x","")</f>
        <v>x</v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853"/>
    </row>
    <row r="39" spans="1:27" ht="15.75" customHeight="1">
      <c r="A39" s="204" t="str">
        <f>IF(B39&lt;&gt;"",IF(AND(B39&gt;=_TM1,B39&lt;=_TM2,OR(TH!L39="1111",TH!M39="1111")),TH!D39,""),"")</f>
        <v/>
      </c>
      <c r="B39" s="36">
        <f>IF(C39&lt;&gt;"",MONTH(C39),"")</f>
        <v>5</v>
      </c>
      <c r="C39" s="814">
        <f t="shared" si="3"/>
        <v>41425</v>
      </c>
      <c r="D39" s="814" t="s">
        <v>343</v>
      </c>
      <c r="E39" s="814">
        <v>41425</v>
      </c>
      <c r="F39" s="704" t="s">
        <v>1291</v>
      </c>
      <c r="G39" s="705"/>
      <c r="H39" s="616"/>
      <c r="I39" s="484"/>
      <c r="J39" s="484"/>
      <c r="K39" s="706"/>
      <c r="L39" s="707" t="s">
        <v>165</v>
      </c>
      <c r="M39" s="707" t="s">
        <v>268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>154</v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853"/>
    </row>
    <row r="40" spans="1:27" ht="15.75" customHeight="1">
      <c r="A40" s="204" t="str">
        <f>IF(B40&lt;&gt;"",IF(AND(B40&gt;=_TM1,B40&lt;=_TM2,OR(TH!L40="1111",TH!M40="1111")),TH!D40,""),"")</f>
        <v/>
      </c>
      <c r="B40" s="36">
        <f>IF(C40&lt;&gt;"",MONTH(C40),"")</f>
        <v>5</v>
      </c>
      <c r="C40" s="814">
        <f t="shared" si="3"/>
        <v>41425</v>
      </c>
      <c r="D40" s="814" t="s">
        <v>343</v>
      </c>
      <c r="E40" s="814">
        <v>41425</v>
      </c>
      <c r="F40" s="704" t="str">
        <f t="shared" ref="F40" si="10">"Thanh toán tiền lương tháng "&amp;MONTH(E40)&amp;"/"&amp;YEAR(E40)</f>
        <v>Thanh toán tiền lương tháng 5/2013</v>
      </c>
      <c r="G40" s="705"/>
      <c r="H40" s="616"/>
      <c r="I40" s="484"/>
      <c r="J40" s="484"/>
      <c r="K40" s="706">
        <f t="shared" ref="K40" si="11">K38+K39</f>
        <v>0</v>
      </c>
      <c r="L40" s="707" t="s">
        <v>268</v>
      </c>
      <c r="M40" s="707" t="s">
        <v>47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>x</v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853"/>
    </row>
    <row r="41" spans="1:27" ht="15.75" customHeight="1">
      <c r="A41" s="204" t="str">
        <f>IF(B41&lt;&gt;"",IF(AND(B41&gt;=_TM1,B41&lt;=_TM2,OR(TH!L41="1111",TH!M41="1111")),TH!D41,""),"")</f>
        <v/>
      </c>
      <c r="B41" s="36">
        <f>IF(C41&lt;&gt;"",MONTH(C41),"")</f>
        <v>6</v>
      </c>
      <c r="C41" s="814">
        <f t="shared" ref="C41:C52" si="12">E41</f>
        <v>41455</v>
      </c>
      <c r="D41" s="814" t="s">
        <v>343</v>
      </c>
      <c r="E41" s="814">
        <v>41455</v>
      </c>
      <c r="F41" s="704" t="s">
        <v>1290</v>
      </c>
      <c r="G41" s="705"/>
      <c r="H41" s="616"/>
      <c r="I41" s="484"/>
      <c r="J41" s="484"/>
      <c r="K41" s="706"/>
      <c r="L41" s="707" t="s">
        <v>83</v>
      </c>
      <c r="M41" s="707" t="s">
        <v>268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>642</v>
      </c>
      <c r="V41" s="52" t="str">
        <f>IF(OR(TH!L41=TH!$V$7,M41=TH!$V$7),"x","")</f>
        <v>x</v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853"/>
    </row>
    <row r="42" spans="1:27" ht="15.75" customHeight="1">
      <c r="A42" s="204" t="str">
        <f>IF(B42&lt;&gt;"",IF(AND(B42&gt;=_TM1,B42&lt;=_TM2,OR(TH!L42="1111",TH!M42="1111")),TH!D42,""),"")</f>
        <v/>
      </c>
      <c r="B42" s="36">
        <f>IF(C42&lt;&gt;"",MONTH(C42),"")</f>
        <v>6</v>
      </c>
      <c r="C42" s="814">
        <f t="shared" si="12"/>
        <v>41455</v>
      </c>
      <c r="D42" s="814" t="s">
        <v>343</v>
      </c>
      <c r="E42" s="814">
        <v>41455</v>
      </c>
      <c r="F42" s="704" t="s">
        <v>1291</v>
      </c>
      <c r="G42" s="705"/>
      <c r="H42" s="616"/>
      <c r="I42" s="484"/>
      <c r="J42" s="484"/>
      <c r="K42" s="706"/>
      <c r="L42" s="707" t="s">
        <v>165</v>
      </c>
      <c r="M42" s="707" t="s">
        <v>268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>154</v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853"/>
    </row>
    <row r="43" spans="1:27" ht="15.75" customHeight="1">
      <c r="A43" s="204" t="str">
        <f>IF(B43&lt;&gt;"",IF(AND(B43&gt;=_TM1,B43&lt;=_TM2,OR(TH!L43="1111",TH!M43="1111")),TH!D43,""),"")</f>
        <v/>
      </c>
      <c r="B43" s="36">
        <f>IF(C43&lt;&gt;"",MONTH(C43),"")</f>
        <v>6</v>
      </c>
      <c r="C43" s="814">
        <f t="shared" si="12"/>
        <v>41455</v>
      </c>
      <c r="D43" s="814" t="s">
        <v>343</v>
      </c>
      <c r="E43" s="814">
        <v>41455</v>
      </c>
      <c r="F43" s="704" t="str">
        <f t="shared" ref="F43:F52" si="13">"Thanh toán tiền lương tháng "&amp;MONTH(E43)&amp;"/"&amp;YEAR(E43)</f>
        <v>Thanh toán tiền lương tháng 6/2013</v>
      </c>
      <c r="G43" s="705"/>
      <c r="H43" s="616"/>
      <c r="I43" s="484"/>
      <c r="J43" s="484"/>
      <c r="K43" s="706">
        <f t="shared" ref="K43" si="14">K41+K42</f>
        <v>0</v>
      </c>
      <c r="L43" s="707" t="s">
        <v>268</v>
      </c>
      <c r="M43" s="707" t="s">
        <v>47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>x</v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853"/>
    </row>
    <row r="44" spans="1:27" ht="15.75" customHeight="1">
      <c r="A44" s="204" t="str">
        <f>IF(B44&lt;&gt;"",IF(AND(B44&gt;=_TM1,B44&lt;=_TM2,OR(TH!L44="1111",TH!M44="1111")),TH!D44,""),"")</f>
        <v/>
      </c>
      <c r="B44" s="36">
        <f>IF(C44&lt;&gt;"",MONTH(C44),"")</f>
        <v>7</v>
      </c>
      <c r="C44" s="814">
        <f t="shared" si="12"/>
        <v>41486</v>
      </c>
      <c r="D44" s="814" t="s">
        <v>343</v>
      </c>
      <c r="E44" s="814">
        <v>41486</v>
      </c>
      <c r="F44" s="704" t="s">
        <v>1290</v>
      </c>
      <c r="G44" s="705"/>
      <c r="H44" s="616"/>
      <c r="I44" s="484"/>
      <c r="J44" s="484"/>
      <c r="K44" s="706"/>
      <c r="L44" s="707" t="s">
        <v>83</v>
      </c>
      <c r="M44" s="707" t="s">
        <v>268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>x</v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>x</v>
      </c>
      <c r="AA44" s="853"/>
    </row>
    <row r="45" spans="1:27" ht="15.75" customHeight="1">
      <c r="A45" s="204" t="str">
        <f>IF(B45&lt;&gt;"",IF(AND(B45&gt;=_TM1,B45&lt;=_TM2,OR(TH!L45="1111",TH!M45="1111")),TH!D45,""),"")</f>
        <v/>
      </c>
      <c r="B45" s="36">
        <f>IF(C45&lt;&gt;"",MONTH(C45),"")</f>
        <v>7</v>
      </c>
      <c r="C45" s="814">
        <f t="shared" si="12"/>
        <v>41486</v>
      </c>
      <c r="D45" s="814" t="s">
        <v>343</v>
      </c>
      <c r="E45" s="814">
        <v>41486</v>
      </c>
      <c r="F45" s="704" t="s">
        <v>1291</v>
      </c>
      <c r="G45" s="705"/>
      <c r="H45" s="616"/>
      <c r="I45" s="484"/>
      <c r="J45" s="484"/>
      <c r="K45" s="706"/>
      <c r="L45" s="707" t="s">
        <v>165</v>
      </c>
      <c r="M45" s="707" t="s">
        <v>268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>x</v>
      </c>
      <c r="AA45" s="853"/>
    </row>
    <row r="46" spans="1:27" ht="15.75" customHeight="1">
      <c r="A46" s="204" t="str">
        <f>IF(B46&lt;&gt;"",IF(AND(B46&gt;=_TM1,B46&lt;=_TM2,OR(TH!L46="1111",TH!M46="1111")),TH!D46,""),"")</f>
        <v/>
      </c>
      <c r="B46" s="36">
        <f>IF(C46&lt;&gt;"",MONTH(C46),"")</f>
        <v>7</v>
      </c>
      <c r="C46" s="814">
        <f t="shared" si="12"/>
        <v>41486</v>
      </c>
      <c r="D46" s="814" t="s">
        <v>343</v>
      </c>
      <c r="E46" s="814">
        <v>41486</v>
      </c>
      <c r="F46" s="704" t="str">
        <f t="shared" si="13"/>
        <v>Thanh toán tiền lương tháng 7/2013</v>
      </c>
      <c r="G46" s="705"/>
      <c r="H46" s="616"/>
      <c r="I46" s="484"/>
      <c r="J46" s="484"/>
      <c r="K46" s="706">
        <f t="shared" ref="K46" si="15">K44+K45</f>
        <v>0</v>
      </c>
      <c r="L46" s="707" t="s">
        <v>268</v>
      </c>
      <c r="M46" s="707" t="s">
        <v>47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>x</v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>x</v>
      </c>
      <c r="AA46" s="853"/>
    </row>
    <row r="47" spans="1:27" ht="15.75" customHeight="1">
      <c r="A47" s="204" t="str">
        <f>IF(B47&lt;&gt;"",IF(AND(B47&gt;=_TM1,B47&lt;=_TM2,OR(TH!L47="1111",TH!M47="1111")),TH!D47,""),"")</f>
        <v/>
      </c>
      <c r="B47" s="36">
        <f>IF(C47&lt;&gt;"",MONTH(C47),"")</f>
        <v>8</v>
      </c>
      <c r="C47" s="814">
        <f t="shared" si="12"/>
        <v>41517</v>
      </c>
      <c r="D47" s="814" t="s">
        <v>343</v>
      </c>
      <c r="E47" s="814">
        <v>41517</v>
      </c>
      <c r="F47" s="704" t="s">
        <v>1290</v>
      </c>
      <c r="G47" s="705"/>
      <c r="H47" s="616"/>
      <c r="I47" s="484"/>
      <c r="J47" s="484"/>
      <c r="K47" s="706"/>
      <c r="L47" s="707" t="s">
        <v>83</v>
      </c>
      <c r="M47" s="707" t="s">
        <v>268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>x</v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>x</v>
      </c>
      <c r="AA47" s="853"/>
    </row>
    <row r="48" spans="1:27" ht="15.75" customHeight="1">
      <c r="A48" s="204" t="str">
        <f>IF(B48&lt;&gt;"",IF(AND(B48&gt;=_TM1,B48&lt;=_TM2,OR(TH!L48="1111",TH!M48="1111")),TH!D48,""),"")</f>
        <v/>
      </c>
      <c r="B48" s="36">
        <f>IF(C48&lt;&gt;"",MONTH(C48),"")</f>
        <v>8</v>
      </c>
      <c r="C48" s="814">
        <f t="shared" si="12"/>
        <v>41517</v>
      </c>
      <c r="D48" s="814" t="s">
        <v>343</v>
      </c>
      <c r="E48" s="814">
        <v>41517</v>
      </c>
      <c r="F48" s="704" t="s">
        <v>1291</v>
      </c>
      <c r="G48" s="705"/>
      <c r="H48" s="616"/>
      <c r="I48" s="484"/>
      <c r="J48" s="484"/>
      <c r="K48" s="706"/>
      <c r="L48" s="707" t="s">
        <v>165</v>
      </c>
      <c r="M48" s="707" t="s">
        <v>268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>x</v>
      </c>
      <c r="AA48" s="853"/>
    </row>
    <row r="49" spans="1:28" ht="15.75" customHeight="1">
      <c r="A49" s="204" t="str">
        <f>IF(B49&lt;&gt;"",IF(AND(B49&gt;=_TM1,B49&lt;=_TM2,OR(TH!L49="1111",TH!M49="1111")),TH!D49,""),"")</f>
        <v/>
      </c>
      <c r="B49" s="36">
        <f>IF(C49&lt;&gt;"",MONTH(C49),"")</f>
        <v>8</v>
      </c>
      <c r="C49" s="814">
        <f t="shared" si="12"/>
        <v>41517</v>
      </c>
      <c r="D49" s="814" t="s">
        <v>343</v>
      </c>
      <c r="E49" s="814">
        <v>41517</v>
      </c>
      <c r="F49" s="704" t="str">
        <f t="shared" si="13"/>
        <v>Thanh toán tiền lương tháng 8/2013</v>
      </c>
      <c r="G49" s="705"/>
      <c r="H49" s="616"/>
      <c r="I49" s="484"/>
      <c r="J49" s="484"/>
      <c r="K49" s="706">
        <f t="shared" ref="K49" si="16">K47+K48</f>
        <v>0</v>
      </c>
      <c r="L49" s="707" t="s">
        <v>268</v>
      </c>
      <c r="M49" s="707" t="s">
        <v>47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>x</v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>x</v>
      </c>
      <c r="AA49" s="853"/>
    </row>
    <row r="50" spans="1:28" ht="15.75" customHeight="1">
      <c r="A50" s="204" t="str">
        <f>IF(B50&lt;&gt;"",IF(AND(B50&gt;=_TM1,B50&lt;=_TM2,OR(TH!L50="1111",TH!M50="1111")),TH!D50,""),"")</f>
        <v/>
      </c>
      <c r="B50" s="36">
        <f>IF(C50&lt;&gt;"",MONTH(C50),"")</f>
        <v>9</v>
      </c>
      <c r="C50" s="814">
        <f t="shared" si="12"/>
        <v>41547</v>
      </c>
      <c r="D50" s="814" t="s">
        <v>343</v>
      </c>
      <c r="E50" s="814">
        <v>41547</v>
      </c>
      <c r="F50" s="704" t="s">
        <v>1290</v>
      </c>
      <c r="G50" s="705"/>
      <c r="H50" s="616"/>
      <c r="I50" s="484"/>
      <c r="J50" s="484"/>
      <c r="K50" s="706"/>
      <c r="L50" s="707" t="s">
        <v>83</v>
      </c>
      <c r="M50" s="707" t="s">
        <v>268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>x</v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>x</v>
      </c>
      <c r="AA50" s="853"/>
    </row>
    <row r="51" spans="1:28" ht="15.75" customHeight="1">
      <c r="A51" s="204" t="str">
        <f>IF(B51&lt;&gt;"",IF(AND(B51&gt;=_TM1,B51&lt;=_TM2,OR(TH!L51="1111",TH!M51="1111")),TH!D51,""),"")</f>
        <v/>
      </c>
      <c r="B51" s="36">
        <f>IF(C51&lt;&gt;"",MONTH(C51),"")</f>
        <v>9</v>
      </c>
      <c r="C51" s="814">
        <f t="shared" si="12"/>
        <v>41547</v>
      </c>
      <c r="D51" s="814" t="s">
        <v>343</v>
      </c>
      <c r="E51" s="814">
        <v>41547</v>
      </c>
      <c r="F51" s="704" t="s">
        <v>1291</v>
      </c>
      <c r="G51" s="705"/>
      <c r="H51" s="616"/>
      <c r="I51" s="484"/>
      <c r="J51" s="484"/>
      <c r="K51" s="706"/>
      <c r="L51" s="707" t="s">
        <v>165</v>
      </c>
      <c r="M51" s="707" t="s">
        <v>268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>x</v>
      </c>
      <c r="AA51" s="853"/>
    </row>
    <row r="52" spans="1:28" ht="15.75" customHeight="1">
      <c r="A52" s="204" t="str">
        <f>IF(B52&lt;&gt;"",IF(AND(B52&gt;=_TM1,B52&lt;=_TM2,OR(TH!L52="1111",TH!M52="1111")),TH!D52,""),"")</f>
        <v/>
      </c>
      <c r="B52" s="36">
        <f>IF(C52&lt;&gt;"",MONTH(C52),"")</f>
        <v>9</v>
      </c>
      <c r="C52" s="814">
        <f t="shared" si="12"/>
        <v>41547</v>
      </c>
      <c r="D52" s="814" t="s">
        <v>343</v>
      </c>
      <c r="E52" s="814">
        <v>41547</v>
      </c>
      <c r="F52" s="704" t="str">
        <f t="shared" si="13"/>
        <v>Thanh toán tiền lương tháng 9/2013</v>
      </c>
      <c r="G52" s="705"/>
      <c r="H52" s="616"/>
      <c r="I52" s="484"/>
      <c r="J52" s="484"/>
      <c r="K52" s="706">
        <f t="shared" ref="K52" si="17">K50+K51</f>
        <v>0</v>
      </c>
      <c r="L52" s="707" t="s">
        <v>268</v>
      </c>
      <c r="M52" s="707" t="s">
        <v>47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>x</v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>x</v>
      </c>
      <c r="AA52" s="853"/>
    </row>
    <row r="53" spans="1:28" ht="15.75" customHeight="1">
      <c r="A53" s="204" t="str">
        <f>IF(B53&lt;&gt;"",IF(AND(B53&gt;=_TM1,B53&lt;=_TM2,OR(TH!L53="1111",TH!M53="1111")),TH!D53,""),"")</f>
        <v/>
      </c>
      <c r="B53" s="36">
        <f>IF(C53&lt;&gt;"",MONTH(C53),"")</f>
        <v>10</v>
      </c>
      <c r="C53" s="814">
        <f t="shared" ref="C53:C61" si="18">E53</f>
        <v>41578</v>
      </c>
      <c r="D53" s="814" t="s">
        <v>343</v>
      </c>
      <c r="E53" s="814">
        <v>41578</v>
      </c>
      <c r="F53" s="704" t="s">
        <v>1290</v>
      </c>
      <c r="G53" s="705"/>
      <c r="H53" s="616"/>
      <c r="I53" s="484"/>
      <c r="J53" s="484"/>
      <c r="K53" s="706"/>
      <c r="L53" s="707" t="s">
        <v>83</v>
      </c>
      <c r="M53" s="707" t="s">
        <v>268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>x</v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853"/>
    </row>
    <row r="54" spans="1:28" ht="15.75" customHeight="1">
      <c r="A54" s="204" t="str">
        <f>IF(B54&lt;&gt;"",IF(AND(B54&gt;=_TM1,B54&lt;=_TM2,OR(TH!L54="1111",TH!M54="1111")),TH!D54,""),"")</f>
        <v/>
      </c>
      <c r="B54" s="36">
        <f>IF(C54&lt;&gt;"",MONTH(C54),"")</f>
        <v>10</v>
      </c>
      <c r="C54" s="814">
        <f t="shared" si="18"/>
        <v>41578</v>
      </c>
      <c r="D54" s="814" t="s">
        <v>343</v>
      </c>
      <c r="E54" s="814">
        <v>41578</v>
      </c>
      <c r="F54" s="704" t="s">
        <v>1291</v>
      </c>
      <c r="G54" s="705"/>
      <c r="H54" s="616"/>
      <c r="I54" s="484"/>
      <c r="J54" s="484"/>
      <c r="K54" s="706"/>
      <c r="L54" s="707" t="s">
        <v>165</v>
      </c>
      <c r="M54" s="707" t="s">
        <v>268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853"/>
    </row>
    <row r="55" spans="1:28" ht="15.75" customHeight="1">
      <c r="A55" s="204" t="str">
        <f>IF(B55&lt;&gt;"",IF(AND(B55&gt;=_TM1,B55&lt;=_TM2,OR(TH!L55="1111",TH!M55="1111")),TH!D55,""),"")</f>
        <v>CTGS</v>
      </c>
      <c r="B55" s="36">
        <f>IF(C55&lt;&gt;"",MONTH(C55),"")</f>
        <v>10</v>
      </c>
      <c r="C55" s="814">
        <f t="shared" si="18"/>
        <v>41578</v>
      </c>
      <c r="D55" s="814" t="s">
        <v>343</v>
      </c>
      <c r="E55" s="814">
        <v>41578</v>
      </c>
      <c r="F55" s="704" t="str">
        <f t="shared" ref="F55:F61" si="19">"Thanh toán tiền lương tháng "&amp;MONTH(E55)&amp;"/"&amp;YEAR(E55)</f>
        <v>Thanh toán tiền lương tháng 10/2013</v>
      </c>
      <c r="G55" s="705"/>
      <c r="H55" s="616"/>
      <c r="I55" s="484"/>
      <c r="J55" s="484"/>
      <c r="K55" s="706">
        <f t="shared" ref="K55" si="20">K53+K54</f>
        <v>0</v>
      </c>
      <c r="L55" s="707" t="s">
        <v>268</v>
      </c>
      <c r="M55" s="707" t="s">
        <v>47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853"/>
    </row>
    <row r="56" spans="1:28" ht="15.75" customHeight="1">
      <c r="A56" s="204" t="str">
        <f>IF(B56&lt;&gt;"",IF(AND(B56&gt;=_TM1,B56&lt;=_TM2,OR(TH!L56="1111",TH!M56="1111")),TH!D56,""),"")</f>
        <v/>
      </c>
      <c r="B56" s="36">
        <f>IF(C56&lt;&gt;"",MONTH(C56),"")</f>
        <v>11</v>
      </c>
      <c r="C56" s="814">
        <f t="shared" si="18"/>
        <v>41608</v>
      </c>
      <c r="D56" s="814" t="s">
        <v>343</v>
      </c>
      <c r="E56" s="814">
        <v>41608</v>
      </c>
      <c r="F56" s="704" t="s">
        <v>1290</v>
      </c>
      <c r="G56" s="705"/>
      <c r="H56" s="616"/>
      <c r="I56" s="484"/>
      <c r="J56" s="484"/>
      <c r="K56" s="706"/>
      <c r="L56" s="707" t="s">
        <v>83</v>
      </c>
      <c r="M56" s="707" t="s">
        <v>268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>x</v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853"/>
    </row>
    <row r="57" spans="1:28" ht="15.75" customHeight="1">
      <c r="A57" s="204" t="str">
        <f>IF(B57&lt;&gt;"",IF(AND(B57&gt;=_TM1,B57&lt;=_TM2,OR(TH!L57="1111",TH!M57="1111")),TH!D57,""),"")</f>
        <v/>
      </c>
      <c r="B57" s="36">
        <f>IF(C57&lt;&gt;"",MONTH(C57),"")</f>
        <v>11</v>
      </c>
      <c r="C57" s="814">
        <f t="shared" si="18"/>
        <v>41608</v>
      </c>
      <c r="D57" s="814" t="s">
        <v>343</v>
      </c>
      <c r="E57" s="814">
        <v>41608</v>
      </c>
      <c r="F57" s="704" t="s">
        <v>1291</v>
      </c>
      <c r="G57" s="705"/>
      <c r="H57" s="616"/>
      <c r="I57" s="484"/>
      <c r="J57" s="484"/>
      <c r="K57" s="706"/>
      <c r="L57" s="707" t="s">
        <v>165</v>
      </c>
      <c r="M57" s="707" t="s">
        <v>268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853"/>
    </row>
    <row r="58" spans="1:28" ht="15.75" customHeight="1">
      <c r="A58" s="204" t="str">
        <f>IF(B58&lt;&gt;"",IF(AND(B58&gt;=_TM1,B58&lt;=_TM2,OR(TH!L58="1111",TH!M58="1111")),TH!D58,""),"")</f>
        <v>CTGS</v>
      </c>
      <c r="B58" s="36">
        <f>IF(C58&lt;&gt;"",MONTH(C58),"")</f>
        <v>11</v>
      </c>
      <c r="C58" s="814">
        <f t="shared" si="18"/>
        <v>41608</v>
      </c>
      <c r="D58" s="814" t="s">
        <v>343</v>
      </c>
      <c r="E58" s="814">
        <v>41608</v>
      </c>
      <c r="F58" s="704" t="str">
        <f t="shared" si="19"/>
        <v>Thanh toán tiền lương tháng 11/2013</v>
      </c>
      <c r="G58" s="705"/>
      <c r="H58" s="616"/>
      <c r="I58" s="484"/>
      <c r="J58" s="484"/>
      <c r="K58" s="706">
        <f t="shared" ref="K58" si="21">K56+K57</f>
        <v>0</v>
      </c>
      <c r="L58" s="707" t="s">
        <v>268</v>
      </c>
      <c r="M58" s="707" t="s">
        <v>47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853"/>
    </row>
    <row r="59" spans="1:28" ht="15.75" customHeight="1">
      <c r="A59" s="204" t="str">
        <f>IF(B59&lt;&gt;"",IF(AND(B59&gt;=_TM1,B59&lt;=_TM2,OR(TH!L59="1111",TH!M59="1111")),TH!D59,""),"")</f>
        <v/>
      </c>
      <c r="B59" s="36">
        <f>IF(C59&lt;&gt;"",MONTH(C59),"")</f>
        <v>12</v>
      </c>
      <c r="C59" s="814">
        <f t="shared" si="18"/>
        <v>41639</v>
      </c>
      <c r="D59" s="814" t="s">
        <v>343</v>
      </c>
      <c r="E59" s="814">
        <v>41639</v>
      </c>
      <c r="F59" s="704" t="s">
        <v>1290</v>
      </c>
      <c r="G59" s="705"/>
      <c r="H59" s="616"/>
      <c r="I59" s="484"/>
      <c r="J59" s="484"/>
      <c r="K59" s="706"/>
      <c r="L59" s="707" t="s">
        <v>83</v>
      </c>
      <c r="M59" s="707" t="s">
        <v>268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>x</v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853"/>
    </row>
    <row r="60" spans="1:28" ht="15.75" customHeight="1">
      <c r="A60" s="204" t="str">
        <f>IF(B60&lt;&gt;"",IF(AND(B60&gt;=_TM1,B60&lt;=_TM2,OR(TH!L60="1111",TH!M60="1111")),TH!D60,""),"")</f>
        <v/>
      </c>
      <c r="B60" s="36">
        <f>IF(C60&lt;&gt;"",MONTH(C60),"")</f>
        <v>12</v>
      </c>
      <c r="C60" s="814">
        <f t="shared" si="18"/>
        <v>41639</v>
      </c>
      <c r="D60" s="814" t="s">
        <v>343</v>
      </c>
      <c r="E60" s="814">
        <v>41639</v>
      </c>
      <c r="F60" s="704" t="s">
        <v>1291</v>
      </c>
      <c r="G60" s="705"/>
      <c r="H60" s="616"/>
      <c r="I60" s="484"/>
      <c r="J60" s="484"/>
      <c r="K60" s="706"/>
      <c r="L60" s="707" t="s">
        <v>165</v>
      </c>
      <c r="M60" s="707" t="s">
        <v>268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853"/>
    </row>
    <row r="61" spans="1:28" ht="15.75" customHeight="1">
      <c r="A61" s="204" t="str">
        <f>IF(B61&lt;&gt;"",IF(AND(B61&gt;=_TM1,B61&lt;=_TM2,OR(TH!L61="1111",TH!M61="1111")),TH!D61,""),"")</f>
        <v>CTGS</v>
      </c>
      <c r="B61" s="36">
        <f>IF(C61&lt;&gt;"",MONTH(C61),"")</f>
        <v>12</v>
      </c>
      <c r="C61" s="814">
        <f t="shared" si="18"/>
        <v>41639</v>
      </c>
      <c r="D61" s="814" t="s">
        <v>343</v>
      </c>
      <c r="E61" s="814">
        <v>41639</v>
      </c>
      <c r="F61" s="704" t="str">
        <f t="shared" si="19"/>
        <v>Thanh toán tiền lương tháng 12/2013</v>
      </c>
      <c r="G61" s="705"/>
      <c r="H61" s="616"/>
      <c r="I61" s="484"/>
      <c r="J61" s="484"/>
      <c r="K61" s="706">
        <f t="shared" ref="K61" si="22">K59+K60</f>
        <v>0</v>
      </c>
      <c r="L61" s="707" t="s">
        <v>268</v>
      </c>
      <c r="M61" s="707" t="s">
        <v>47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853"/>
    </row>
    <row r="62" spans="1:28" s="594" customFormat="1" ht="15.75" customHeight="1">
      <c r="A62" s="204" t="str">
        <f>IF(B62&lt;&gt;"",IF(AND(B62&gt;=_TM1,B62&lt;=_TM2,OR(TH!L62="1111",TH!M62="1111")),TH!D62,""),"")</f>
        <v/>
      </c>
      <c r="B62" s="36">
        <f t="shared" si="0"/>
        <v>1</v>
      </c>
      <c r="C62" s="184">
        <v>41276</v>
      </c>
      <c r="D62" s="184" t="s">
        <v>406</v>
      </c>
      <c r="E62" s="191">
        <v>41235</v>
      </c>
      <c r="F62" s="189" t="s">
        <v>346</v>
      </c>
      <c r="G62" s="664" t="s">
        <v>496</v>
      </c>
      <c r="H62" s="7" t="s">
        <v>376</v>
      </c>
      <c r="I62" s="256">
        <v>72</v>
      </c>
      <c r="J62" s="258">
        <v>42000</v>
      </c>
      <c r="K62" s="38">
        <f>ROUND(I62*J62,0)</f>
        <v>3024000</v>
      </c>
      <c r="L62" s="603" t="s">
        <v>161</v>
      </c>
      <c r="M62" s="603" t="s">
        <v>8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853"/>
    </row>
    <row r="63" spans="1:28" s="594" customFormat="1" ht="15.75" customHeight="1">
      <c r="A63" s="204" t="str">
        <f>IF(B63&lt;&gt;"",IF(AND(B63&gt;=_TM1,B63&lt;=_TM2,OR(TH!L63="1111",TH!M63="1111")),TH!D63,""),"")</f>
        <v/>
      </c>
      <c r="B63" s="36">
        <f t="shared" si="0"/>
        <v>1</v>
      </c>
      <c r="C63" s="184">
        <v>41276</v>
      </c>
      <c r="D63" s="184" t="s">
        <v>406</v>
      </c>
      <c r="E63" s="191">
        <v>41235</v>
      </c>
      <c r="F63" s="189" t="s">
        <v>347</v>
      </c>
      <c r="G63" s="664" t="s">
        <v>496</v>
      </c>
      <c r="H63" s="7" t="s">
        <v>376</v>
      </c>
      <c r="I63" s="257"/>
      <c r="J63" s="258"/>
      <c r="K63" s="838">
        <v>40753</v>
      </c>
      <c r="L63" s="603" t="s">
        <v>83</v>
      </c>
      <c r="M63" s="603" t="s">
        <v>8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>x</v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853"/>
      <c r="AB63" s="594">
        <v>3</v>
      </c>
    </row>
    <row r="64" spans="1:28" s="594" customFormat="1" ht="15.75" customHeight="1">
      <c r="A64" s="204" t="str">
        <f>IF(B64&lt;&gt;"",IF(AND(B64&gt;=_TM1,B64&lt;=_TM2,OR(TH!L64="1111",TH!M64="1111")),TH!D64,""),"")</f>
        <v/>
      </c>
      <c r="B64" s="36">
        <f t="shared" si="0"/>
        <v>1</v>
      </c>
      <c r="C64" s="184">
        <v>41276</v>
      </c>
      <c r="D64" s="184" t="s">
        <v>406</v>
      </c>
      <c r="E64" s="191">
        <v>41235</v>
      </c>
      <c r="F64" s="189" t="s">
        <v>347</v>
      </c>
      <c r="G64" s="664" t="s">
        <v>496</v>
      </c>
      <c r="H64" s="7" t="s">
        <v>376</v>
      </c>
      <c r="I64" s="257"/>
      <c r="J64" s="258"/>
      <c r="K64" s="838">
        <f>302400-40753</f>
        <v>261647</v>
      </c>
      <c r="L64" s="603" t="s">
        <v>9</v>
      </c>
      <c r="M64" s="603" t="s">
        <v>8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853"/>
      <c r="AB64" s="594">
        <v>3</v>
      </c>
    </row>
    <row r="65" spans="1:30" s="594" customFormat="1" ht="15.75" customHeight="1">
      <c r="A65" s="204" t="str">
        <f>IF(B65&lt;&gt;"",IF(AND(B65&gt;=_TM1,B65&lt;=_TM2,OR(TH!L65="1111",TH!M65="1111")),TH!D65,""),"")</f>
        <v/>
      </c>
      <c r="B65" s="36">
        <f t="shared" si="0"/>
        <v>1</v>
      </c>
      <c r="C65" s="184">
        <v>41276</v>
      </c>
      <c r="D65" s="184" t="s">
        <v>379</v>
      </c>
      <c r="E65" s="191">
        <v>41235</v>
      </c>
      <c r="F65" s="189" t="s">
        <v>371</v>
      </c>
      <c r="G65" s="664" t="s">
        <v>496</v>
      </c>
      <c r="H65" s="7" t="s">
        <v>376</v>
      </c>
      <c r="I65" s="257"/>
      <c r="J65" s="258"/>
      <c r="K65" s="602">
        <v>3326400</v>
      </c>
      <c r="L65" s="603" t="s">
        <v>8</v>
      </c>
      <c r="M65" s="603" t="s">
        <v>47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>x</v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853"/>
    </row>
    <row r="66" spans="1:30" ht="15.75" customHeight="1">
      <c r="A66" s="204" t="str">
        <f>IF(B66&lt;&gt;"",IF(AND(B66&gt;=_TM1,B66&lt;=_TM2,OR(TH!L66="1111",TH!M66="1111")),TH!D66,""),"")</f>
        <v/>
      </c>
      <c r="B66" s="36">
        <f t="shared" si="0"/>
        <v>1</v>
      </c>
      <c r="C66" s="184">
        <f t="shared" ref="C66:C129" si="23">E66</f>
        <v>41277</v>
      </c>
      <c r="D66" s="184" t="s">
        <v>380</v>
      </c>
      <c r="E66" s="184">
        <v>41277</v>
      </c>
      <c r="F66" s="189" t="s">
        <v>367</v>
      </c>
      <c r="G66" s="604" t="s">
        <v>336</v>
      </c>
      <c r="H66" s="7" t="s">
        <v>497</v>
      </c>
      <c r="I66" s="256"/>
      <c r="J66" s="256"/>
      <c r="K66" s="602">
        <v>40200000</v>
      </c>
      <c r="L66" s="603" t="s">
        <v>24</v>
      </c>
      <c r="M66" s="603" t="s">
        <v>47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>x</v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>x</v>
      </c>
      <c r="T66" s="52" t="str">
        <f>IF(ISERROR(FIND('112'!$M$9,G66,1)),"",IF((AND(RIGHT(G66,2)=RIGHT('112'!$M$9,2),B66&lt;'112'!$N$8,$M66='112'!$I$6)),"x",""))</f>
        <v/>
      </c>
      <c r="U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853"/>
      <c r="AB66" s="594"/>
      <c r="AC66" s="594"/>
      <c r="AD66" s="594"/>
    </row>
    <row r="67" spans="1:30" ht="15.75" customHeight="1">
      <c r="A67" s="204" t="str">
        <f>IF(B67&lt;&gt;"",IF(AND(B67&gt;=_TM1,B67&lt;=_TM2,OR(TH!L67="1111",TH!M67="1111")),TH!D67,""),"")</f>
        <v/>
      </c>
      <c r="B67" s="36">
        <f t="shared" si="0"/>
        <v>1</v>
      </c>
      <c r="C67" s="184">
        <f t="shared" si="23"/>
        <v>41277</v>
      </c>
      <c r="D67" s="184" t="s">
        <v>340</v>
      </c>
      <c r="E67" s="191">
        <v>41277</v>
      </c>
      <c r="F67" s="189" t="s">
        <v>371</v>
      </c>
      <c r="G67" s="604" t="s">
        <v>336</v>
      </c>
      <c r="H67" s="193" t="s">
        <v>1114</v>
      </c>
      <c r="I67" s="257"/>
      <c r="J67" s="258"/>
      <c r="K67" s="38">
        <v>40160922</v>
      </c>
      <c r="L67" s="603" t="s">
        <v>8</v>
      </c>
      <c r="M67" s="603" t="s">
        <v>24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>x</v>
      </c>
      <c r="U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853"/>
      <c r="AB67" s="211"/>
      <c r="AC67" s="594"/>
      <c r="AD67" s="594"/>
    </row>
    <row r="68" spans="1:30" s="594" customFormat="1" ht="15.75" customHeight="1">
      <c r="A68" s="204" t="str">
        <f>IF(B68&lt;&gt;"",IF(AND(B68&gt;=_TM1,B68&lt;=_TM2,OR(TH!L68="1111",TH!M68="1111")),TH!D68,""),"")</f>
        <v/>
      </c>
      <c r="B68" s="36">
        <f t="shared" si="0"/>
        <v>1</v>
      </c>
      <c r="C68" s="184">
        <f t="shared" si="23"/>
        <v>41277</v>
      </c>
      <c r="D68" s="184" t="s">
        <v>340</v>
      </c>
      <c r="E68" s="191">
        <v>41277</v>
      </c>
      <c r="F68" s="189" t="s">
        <v>342</v>
      </c>
      <c r="G68" s="604" t="s">
        <v>336</v>
      </c>
      <c r="H68" s="7"/>
      <c r="I68" s="257"/>
      <c r="J68" s="258"/>
      <c r="K68" s="38">
        <v>20080</v>
      </c>
      <c r="L68" s="603" t="s">
        <v>83</v>
      </c>
      <c r="M68" s="603" t="s">
        <v>24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>x</v>
      </c>
      <c r="U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>x</v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853"/>
      <c r="AB68" s="211"/>
    </row>
    <row r="69" spans="1:30" s="594" customFormat="1" ht="15.75" customHeight="1">
      <c r="A69" s="204" t="str">
        <f>IF(B69&lt;&gt;"",IF(AND(B69&gt;=_TM1,B69&lt;=_TM2,OR(TH!L69="1111",TH!M69="1111")),TH!D69,""),"")</f>
        <v/>
      </c>
      <c r="B69" s="36">
        <f t="shared" si="0"/>
        <v>1</v>
      </c>
      <c r="C69" s="184">
        <f t="shared" si="23"/>
        <v>41277</v>
      </c>
      <c r="D69" s="184" t="s">
        <v>340</v>
      </c>
      <c r="E69" s="191">
        <v>41277</v>
      </c>
      <c r="F69" s="189" t="s">
        <v>498</v>
      </c>
      <c r="G69" s="604" t="s">
        <v>336</v>
      </c>
      <c r="H69" s="7"/>
      <c r="I69" s="257"/>
      <c r="J69" s="258"/>
      <c r="K69" s="38">
        <v>12000</v>
      </c>
      <c r="L69" s="603" t="s">
        <v>83</v>
      </c>
      <c r="M69" s="603" t="s">
        <v>24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>x</v>
      </c>
      <c r="U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>x</v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853"/>
    </row>
    <row r="70" spans="1:30" s="594" customFormat="1" ht="15.75" customHeight="1">
      <c r="A70" s="204" t="str">
        <f>IF(B70&lt;&gt;"",IF(AND(B70&gt;=_TM1,B70&lt;=_TM2,OR(TH!L70="1111",TH!M70="1111")),TH!D70,""),"")</f>
        <v/>
      </c>
      <c r="B70" s="36">
        <f t="shared" si="0"/>
        <v>1</v>
      </c>
      <c r="C70" s="184">
        <f t="shared" si="23"/>
        <v>41281</v>
      </c>
      <c r="D70" s="184" t="s">
        <v>407</v>
      </c>
      <c r="E70" s="191">
        <v>41281</v>
      </c>
      <c r="F70" s="189" t="s">
        <v>374</v>
      </c>
      <c r="G70" s="664" t="s">
        <v>499</v>
      </c>
      <c r="H70" s="7" t="s">
        <v>500</v>
      </c>
      <c r="I70" s="257">
        <v>50</v>
      </c>
      <c r="J70" s="258">
        <v>25000</v>
      </c>
      <c r="K70" s="38">
        <f>ROUND(I70*J70,0)</f>
        <v>1250000</v>
      </c>
      <c r="L70" s="603" t="s">
        <v>161</v>
      </c>
      <c r="M70" s="603" t="s">
        <v>8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>x</v>
      </c>
      <c r="Z70" s="52" t="str">
        <f>IF(AND(B70&lt;=NKC!$N$8,B70&gt;=NKC!$M$8),"x","")</f>
        <v/>
      </c>
      <c r="AA70" s="853"/>
    </row>
    <row r="71" spans="1:30" s="594" customFormat="1" ht="15.75" customHeight="1">
      <c r="A71" s="204" t="str">
        <f>IF(B71&lt;&gt;"",IF(AND(B71&gt;=_TM1,B71&lt;=_TM2,OR(TH!L71="1111",TH!M71="1111")),TH!D71,""),"")</f>
        <v/>
      </c>
      <c r="B71" s="36">
        <f t="shared" si="0"/>
        <v>1</v>
      </c>
      <c r="C71" s="184">
        <f t="shared" si="23"/>
        <v>41281</v>
      </c>
      <c r="D71" s="184" t="s">
        <v>407</v>
      </c>
      <c r="E71" s="191">
        <v>41281</v>
      </c>
      <c r="F71" s="189" t="s">
        <v>375</v>
      </c>
      <c r="G71" s="664" t="s">
        <v>499</v>
      </c>
      <c r="H71" s="7" t="s">
        <v>500</v>
      </c>
      <c r="I71" s="257"/>
      <c r="J71" s="258"/>
      <c r="K71" s="38">
        <v>125000</v>
      </c>
      <c r="L71" s="603" t="s">
        <v>9</v>
      </c>
      <c r="M71" s="603" t="s">
        <v>8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853"/>
      <c r="AB71" s="594">
        <v>1</v>
      </c>
      <c r="AC71" s="211"/>
    </row>
    <row r="72" spans="1:30" s="594" customFormat="1" ht="15.75" customHeight="1">
      <c r="A72" s="204" t="str">
        <f>IF(B72&lt;&gt;"",IF(AND(B72&gt;=_TM1,B72&lt;=_TM2,OR(TH!L72="1111",TH!M72="1111")),TH!D72,""),"")</f>
        <v/>
      </c>
      <c r="B72" s="36">
        <f t="shared" si="0"/>
        <v>1</v>
      </c>
      <c r="C72" s="184">
        <f t="shared" si="23"/>
        <v>41281</v>
      </c>
      <c r="D72" s="184" t="s">
        <v>381</v>
      </c>
      <c r="E72" s="191">
        <v>41281</v>
      </c>
      <c r="F72" s="189" t="s">
        <v>371</v>
      </c>
      <c r="G72" s="664" t="s">
        <v>499</v>
      </c>
      <c r="H72" s="7" t="s">
        <v>500</v>
      </c>
      <c r="I72" s="257"/>
      <c r="J72" s="258"/>
      <c r="K72" s="38">
        <v>1375000</v>
      </c>
      <c r="L72" s="603" t="s">
        <v>8</v>
      </c>
      <c r="M72" s="603" t="s">
        <v>47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>x</v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853"/>
      <c r="AC72" s="211"/>
    </row>
    <row r="73" spans="1:30" s="594" customFormat="1" ht="15.75" customHeight="1">
      <c r="A73" s="204" t="str">
        <f>IF(B73&lt;&gt;"",IF(AND(B73&gt;=_TM1,B73&lt;=_TM2,OR(TH!L73="1111",TH!M73="1111")),TH!D73,""),"")</f>
        <v/>
      </c>
      <c r="B73" s="36">
        <f t="shared" si="0"/>
        <v>1</v>
      </c>
      <c r="C73" s="184">
        <f t="shared" si="23"/>
        <v>41282</v>
      </c>
      <c r="D73" s="184" t="s">
        <v>339</v>
      </c>
      <c r="E73" s="191">
        <v>41282</v>
      </c>
      <c r="F73" s="189" t="s">
        <v>341</v>
      </c>
      <c r="G73" s="604" t="s">
        <v>336</v>
      </c>
      <c r="H73" s="7" t="s">
        <v>501</v>
      </c>
      <c r="I73" s="257"/>
      <c r="J73" s="258"/>
      <c r="K73" s="38">
        <v>13032580</v>
      </c>
      <c r="L73" s="603" t="s">
        <v>24</v>
      </c>
      <c r="M73" s="603" t="s">
        <v>265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>x</v>
      </c>
      <c r="T73" s="52" t="str">
        <f>IF(ISERROR(FIND('112'!$M$9,G73,1)),"",IF((AND(RIGHT(G73,2)=RIGHT('112'!$M$9,2),B73&lt;'112'!$N$8,$M73='112'!$I$6)),"x",""))</f>
        <v/>
      </c>
      <c r="U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853"/>
      <c r="AC73" s="211"/>
    </row>
    <row r="74" spans="1:30" s="594" customFormat="1" ht="15.75" customHeight="1">
      <c r="A74" s="204" t="str">
        <f>IF(B74&lt;&gt;"",IF(AND(B74&gt;=_TM1,B74&lt;=_TM2,OR(TH!L74="1111",TH!M74="1111")),TH!D74,""),"")</f>
        <v/>
      </c>
      <c r="B74" s="36">
        <f t="shared" si="0"/>
        <v>1</v>
      </c>
      <c r="C74" s="184">
        <f t="shared" si="23"/>
        <v>41283</v>
      </c>
      <c r="D74" s="184" t="s">
        <v>377</v>
      </c>
      <c r="E74" s="191">
        <v>41283</v>
      </c>
      <c r="F74" s="189" t="s">
        <v>502</v>
      </c>
      <c r="G74" s="604" t="s">
        <v>336</v>
      </c>
      <c r="H74" s="7" t="s">
        <v>497</v>
      </c>
      <c r="I74" s="257"/>
      <c r="J74" s="258"/>
      <c r="K74" s="38">
        <v>13000000</v>
      </c>
      <c r="L74" s="603" t="s">
        <v>47</v>
      </c>
      <c r="M74" s="603" t="s">
        <v>24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>x</v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>x</v>
      </c>
      <c r="U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853"/>
      <c r="AC74" s="211"/>
    </row>
    <row r="75" spans="1:30" s="594" customFormat="1" ht="15.75" customHeight="1">
      <c r="A75" s="204" t="str">
        <f>IF(B75&lt;&gt;"",IF(AND(B75&gt;=_TM1,B75&lt;=_TM2,OR(TH!L75="1111",TH!M75="1111")),TH!D75,""),"")</f>
        <v/>
      </c>
      <c r="B75" s="36">
        <f t="shared" si="0"/>
        <v>1</v>
      </c>
      <c r="C75" s="184">
        <f t="shared" si="23"/>
        <v>41289</v>
      </c>
      <c r="D75" s="184" t="s">
        <v>339</v>
      </c>
      <c r="E75" s="184">
        <v>41289</v>
      </c>
      <c r="F75" s="189" t="s">
        <v>341</v>
      </c>
      <c r="G75" s="604" t="s">
        <v>336</v>
      </c>
      <c r="H75" s="7" t="s">
        <v>503</v>
      </c>
      <c r="I75" s="256"/>
      <c r="J75" s="256"/>
      <c r="K75" s="602">
        <v>9537088</v>
      </c>
      <c r="L75" s="603" t="s">
        <v>24</v>
      </c>
      <c r="M75" s="603" t="s">
        <v>265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>x</v>
      </c>
      <c r="T75" s="52" t="str">
        <f>IF(ISERROR(FIND('112'!$M$9,G75,1)),"",IF((AND(RIGHT(G75,2)=RIGHT('112'!$M$9,2),B75&lt;'112'!$N$8,$M75='112'!$I$6)),"x",""))</f>
        <v/>
      </c>
      <c r="U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853"/>
    </row>
    <row r="76" spans="1:30" s="594" customFormat="1" ht="15.75" customHeight="1">
      <c r="A76" s="204" t="str">
        <f>IF(B76&lt;&gt;"",IF(AND(B76&gt;=_TM1,B76&lt;=_TM2,OR(TH!L76="1111",TH!M76="1111")),TH!D76,""),"")</f>
        <v/>
      </c>
      <c r="B76" s="36">
        <f t="shared" si="0"/>
        <v>1</v>
      </c>
      <c r="C76" s="184">
        <f t="shared" si="23"/>
        <v>41295</v>
      </c>
      <c r="D76" s="184" t="s">
        <v>378</v>
      </c>
      <c r="E76" s="184">
        <v>41295</v>
      </c>
      <c r="F76" s="189" t="s">
        <v>502</v>
      </c>
      <c r="G76" s="604" t="s">
        <v>336</v>
      </c>
      <c r="H76" s="7" t="s">
        <v>497</v>
      </c>
      <c r="I76" s="256"/>
      <c r="J76" s="256"/>
      <c r="K76" s="602">
        <v>9500000</v>
      </c>
      <c r="L76" s="603" t="s">
        <v>47</v>
      </c>
      <c r="M76" s="603" t="s">
        <v>24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>x</v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>x</v>
      </c>
      <c r="U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853"/>
      <c r="AB76" s="211"/>
    </row>
    <row r="77" spans="1:30" s="594" customFormat="1" ht="15.75" customHeight="1">
      <c r="A77" s="204" t="str">
        <f>IF(B77&lt;&gt;"",IF(AND(B77&gt;=_TM1,B77&lt;=_TM2,OR(TH!L77="1111",TH!M77="1111")),TH!D77,""),"")</f>
        <v/>
      </c>
      <c r="B77" s="36">
        <f t="shared" si="0"/>
        <v>1</v>
      </c>
      <c r="C77" s="184">
        <f t="shared" si="23"/>
        <v>41299</v>
      </c>
      <c r="D77" s="184" t="s">
        <v>382</v>
      </c>
      <c r="E77" s="191">
        <v>41299</v>
      </c>
      <c r="F77" s="189" t="s">
        <v>367</v>
      </c>
      <c r="G77" s="604" t="s">
        <v>336</v>
      </c>
      <c r="H77" s="7" t="s">
        <v>497</v>
      </c>
      <c r="I77" s="257"/>
      <c r="J77" s="258"/>
      <c r="K77" s="38">
        <v>6500000</v>
      </c>
      <c r="L77" s="603" t="s">
        <v>24</v>
      </c>
      <c r="M77" s="603" t="s">
        <v>47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>x</v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>x</v>
      </c>
      <c r="T77" s="52" t="str">
        <f>IF(ISERROR(FIND('112'!$M$9,G77,1)),"",IF((AND(RIGHT(G77,2)=RIGHT('112'!$M$9,2),B77&lt;'112'!$N$8,$M77='112'!$I$6)),"x",""))</f>
        <v/>
      </c>
      <c r="U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853"/>
      <c r="AC77" s="211"/>
    </row>
    <row r="78" spans="1:30" s="594" customFormat="1" ht="15.75" customHeight="1">
      <c r="A78" s="204" t="str">
        <f>IF(B78&lt;&gt;"",IF(AND(B78&gt;=_TM1,B78&lt;=_TM2,OR(TH!L78="1111",TH!M78="1111")),TH!D78,""),"")</f>
        <v/>
      </c>
      <c r="B78" s="36">
        <f t="shared" si="0"/>
        <v>1</v>
      </c>
      <c r="C78" s="184">
        <f t="shared" si="23"/>
        <v>41299</v>
      </c>
      <c r="D78" s="184" t="s">
        <v>339</v>
      </c>
      <c r="E78" s="191">
        <v>41299</v>
      </c>
      <c r="F78" s="189" t="s">
        <v>369</v>
      </c>
      <c r="G78" s="604" t="s">
        <v>336</v>
      </c>
      <c r="H78" s="7"/>
      <c r="I78" s="257"/>
      <c r="J78" s="258"/>
      <c r="K78" s="38">
        <v>4047</v>
      </c>
      <c r="L78" s="603" t="s">
        <v>24</v>
      </c>
      <c r="M78" s="603" t="s">
        <v>40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>x</v>
      </c>
      <c r="T78" s="52" t="str">
        <f>IF(ISERROR(FIND('112'!$M$9,G78,1)),"",IF((AND(RIGHT(G78,2)=RIGHT('112'!$M$9,2),B78&lt;'112'!$N$8,$M78='112'!$I$6)),"x",""))</f>
        <v/>
      </c>
      <c r="U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853"/>
      <c r="AC78" s="211"/>
    </row>
    <row r="79" spans="1:30" s="594" customFormat="1" ht="15.75" customHeight="1">
      <c r="A79" s="204" t="str">
        <f>IF(B79&lt;&gt;"",IF(AND(B79&gt;=_TM1,B79&lt;=_TM2,OR(TH!L79="1111",TH!M79="1111")),TH!D79,""),"")</f>
        <v/>
      </c>
      <c r="B79" s="36">
        <f t="shared" si="0"/>
        <v>1</v>
      </c>
      <c r="C79" s="184">
        <f t="shared" si="23"/>
        <v>41299</v>
      </c>
      <c r="D79" s="184" t="s">
        <v>340</v>
      </c>
      <c r="E79" s="184">
        <v>41299</v>
      </c>
      <c r="F79" s="189" t="s">
        <v>371</v>
      </c>
      <c r="G79" s="604" t="s">
        <v>336</v>
      </c>
      <c r="H79" s="193" t="s">
        <v>1114</v>
      </c>
      <c r="I79" s="256"/>
      <c r="J79" s="256"/>
      <c r="K79" s="602">
        <v>6512000</v>
      </c>
      <c r="L79" s="603" t="s">
        <v>8</v>
      </c>
      <c r="M79" s="603" t="s">
        <v>24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>x</v>
      </c>
      <c r="U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853"/>
      <c r="AB79" s="211"/>
    </row>
    <row r="80" spans="1:30" s="594" customFormat="1" ht="15.75" customHeight="1">
      <c r="A80" s="204" t="str">
        <f>IF(B80&lt;&gt;"",IF(AND(B80&gt;=_TM1,B80&lt;=_TM2,OR(TH!L80="1111",TH!M80="1111")),TH!D80,""),"")</f>
        <v/>
      </c>
      <c r="B80" s="36">
        <f t="shared" si="0"/>
        <v>1</v>
      </c>
      <c r="C80" s="184">
        <f t="shared" si="23"/>
        <v>41299</v>
      </c>
      <c r="D80" s="184" t="s">
        <v>340</v>
      </c>
      <c r="E80" s="184">
        <v>41299</v>
      </c>
      <c r="F80" s="189" t="s">
        <v>342</v>
      </c>
      <c r="G80" s="604" t="s">
        <v>336</v>
      </c>
      <c r="H80" s="45"/>
      <c r="I80" s="256"/>
      <c r="J80" s="256"/>
      <c r="K80" s="38">
        <v>10000</v>
      </c>
      <c r="L80" s="603" t="s">
        <v>83</v>
      </c>
      <c r="M80" s="603" t="s">
        <v>24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>x</v>
      </c>
      <c r="U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>x</v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853"/>
      <c r="AB80" s="211"/>
    </row>
    <row r="81" spans="1:29" s="594" customFormat="1" ht="15.75" customHeight="1">
      <c r="A81" s="204" t="str">
        <f>IF(B81&lt;&gt;"",IF(AND(B81&gt;=_TM1,B81&lt;=_TM2,OR(TH!L81="1111",TH!M81="1111")),TH!D81,""),"")</f>
        <v/>
      </c>
      <c r="B81" s="36">
        <f t="shared" si="0"/>
        <v>1</v>
      </c>
      <c r="C81" s="184">
        <f t="shared" si="23"/>
        <v>41299</v>
      </c>
      <c r="D81" s="184" t="s">
        <v>340</v>
      </c>
      <c r="E81" s="184">
        <v>41299</v>
      </c>
      <c r="F81" s="189" t="s">
        <v>498</v>
      </c>
      <c r="G81" s="604" t="s">
        <v>336</v>
      </c>
      <c r="H81" s="7"/>
      <c r="I81" s="257"/>
      <c r="J81" s="258"/>
      <c r="K81" s="38">
        <v>10000</v>
      </c>
      <c r="L81" s="603" t="s">
        <v>83</v>
      </c>
      <c r="M81" s="603" t="s">
        <v>24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>x</v>
      </c>
      <c r="U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>x</v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853"/>
    </row>
    <row r="82" spans="1:29" s="594" customFormat="1" ht="15.75" customHeight="1">
      <c r="A82" s="204" t="str">
        <f>IF(B82&lt;&gt;"",IF(AND(B82&gt;=_TM1,B82&lt;=_TM2,OR(TH!L82="1111",TH!M82="1111")),TH!D82,""),"")</f>
        <v/>
      </c>
      <c r="B82" s="36">
        <f t="shared" si="0"/>
        <v>1</v>
      </c>
      <c r="C82" s="184">
        <f t="shared" si="23"/>
        <v>41302</v>
      </c>
      <c r="D82" s="184" t="s">
        <v>339</v>
      </c>
      <c r="E82" s="191">
        <v>41302</v>
      </c>
      <c r="F82" s="189" t="s">
        <v>341</v>
      </c>
      <c r="G82" s="604" t="s">
        <v>336</v>
      </c>
      <c r="H82" s="7" t="s">
        <v>501</v>
      </c>
      <c r="I82" s="257"/>
      <c r="J82" s="258"/>
      <c r="K82" s="38">
        <v>17874670</v>
      </c>
      <c r="L82" s="603" t="s">
        <v>24</v>
      </c>
      <c r="M82" s="603" t="s">
        <v>265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>x</v>
      </c>
      <c r="T82" s="52" t="str">
        <f>IF(ISERROR(FIND('112'!$M$9,G82,1)),"",IF((AND(RIGHT(G82,2)=RIGHT('112'!$M$9,2),B82&lt;'112'!$N$8,$M82='112'!$I$6)),"x",""))</f>
        <v/>
      </c>
      <c r="U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853"/>
    </row>
    <row r="83" spans="1:29" s="594" customFormat="1" ht="15.75" customHeight="1">
      <c r="A83" s="204" t="str">
        <f>IF(B83&lt;&gt;"",IF(AND(B83&gt;=_TM1,B83&lt;=_TM2,OR(TH!L83="1111",TH!M83="1111")),TH!D83,""),"")</f>
        <v/>
      </c>
      <c r="B83" s="36">
        <f t="shared" si="0"/>
        <v>1</v>
      </c>
      <c r="C83" s="184">
        <f t="shared" si="23"/>
        <v>41303</v>
      </c>
      <c r="D83" s="184" t="s">
        <v>339</v>
      </c>
      <c r="E83" s="184">
        <v>41303</v>
      </c>
      <c r="F83" s="189" t="s">
        <v>341</v>
      </c>
      <c r="G83" s="604" t="s">
        <v>336</v>
      </c>
      <c r="H83" s="7" t="s">
        <v>433</v>
      </c>
      <c r="I83" s="256"/>
      <c r="J83" s="256"/>
      <c r="K83" s="38">
        <v>15292860</v>
      </c>
      <c r="L83" s="603" t="s">
        <v>24</v>
      </c>
      <c r="M83" s="603" t="s">
        <v>265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>x</v>
      </c>
      <c r="T83" s="52" t="str">
        <f>IF(ISERROR(FIND('112'!$M$9,G83,1)),"",IF((AND(RIGHT(G83,2)=RIGHT('112'!$M$9,2),B83&lt;'112'!$N$8,$M83='112'!$I$6)),"x",""))</f>
        <v/>
      </c>
      <c r="U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853"/>
    </row>
    <row r="84" spans="1:29" s="594" customFormat="1" ht="15.75" customHeight="1">
      <c r="A84" s="204" t="str">
        <f>IF(B84&lt;&gt;"",IF(AND(B84&gt;=_TM1,B84&lt;=_TM2,OR(TH!L84="1111",TH!M84="1111")),TH!D84,""),"")</f>
        <v/>
      </c>
      <c r="B84" s="36">
        <f t="shared" si="0"/>
        <v>1</v>
      </c>
      <c r="C84" s="184">
        <f t="shared" si="23"/>
        <v>41303</v>
      </c>
      <c r="D84" s="184" t="s">
        <v>383</v>
      </c>
      <c r="E84" s="191">
        <v>41303</v>
      </c>
      <c r="F84" s="189" t="s">
        <v>438</v>
      </c>
      <c r="G84" s="487" t="s">
        <v>504</v>
      </c>
      <c r="H84" s="7" t="s">
        <v>372</v>
      </c>
      <c r="I84" s="256"/>
      <c r="J84" s="256"/>
      <c r="K84" s="602">
        <v>2600000</v>
      </c>
      <c r="L84" s="603" t="s">
        <v>165</v>
      </c>
      <c r="M84" s="603" t="s">
        <v>47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>x</v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853"/>
    </row>
    <row r="85" spans="1:29" s="594" customFormat="1" ht="15.75" customHeight="1">
      <c r="A85" s="204" t="str">
        <f>IF(B85&lt;&gt;"",IF(AND(B85&gt;=_TM1,B85&lt;=_TM2,OR(TH!L85="1111",TH!M85="1111")),TH!D85,""),"")</f>
        <v/>
      </c>
      <c r="B85" s="36">
        <f t="shared" si="0"/>
        <v>1</v>
      </c>
      <c r="C85" s="184">
        <f t="shared" si="23"/>
        <v>41303</v>
      </c>
      <c r="D85" s="184" t="s">
        <v>383</v>
      </c>
      <c r="E85" s="191">
        <v>41303</v>
      </c>
      <c r="F85" s="189" t="s">
        <v>348</v>
      </c>
      <c r="G85" s="487" t="s">
        <v>504</v>
      </c>
      <c r="H85" s="7" t="s">
        <v>372</v>
      </c>
      <c r="I85" s="256"/>
      <c r="J85" s="256"/>
      <c r="K85" s="602">
        <v>260000</v>
      </c>
      <c r="L85" s="603" t="s">
        <v>9</v>
      </c>
      <c r="M85" s="603" t="s">
        <v>47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>x</v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853"/>
      <c r="AB85" s="211">
        <v>1</v>
      </c>
      <c r="AC85" s="211"/>
    </row>
    <row r="86" spans="1:29" s="594" customFormat="1" ht="15.75" customHeight="1">
      <c r="A86" s="204" t="str">
        <f>IF(B86&lt;&gt;"",IF(AND(B86&gt;=_TM1,B86&lt;=_TM2,OR(TH!L86="1111",TH!M86="1111")),TH!D86,""),"")</f>
        <v/>
      </c>
      <c r="B86" s="36">
        <f t="shared" si="0"/>
        <v>2</v>
      </c>
      <c r="C86" s="184">
        <f t="shared" si="23"/>
        <v>41306</v>
      </c>
      <c r="D86" s="184" t="s">
        <v>339</v>
      </c>
      <c r="E86" s="191">
        <v>41306</v>
      </c>
      <c r="F86" s="189" t="s">
        <v>341</v>
      </c>
      <c r="G86" s="604" t="s">
        <v>336</v>
      </c>
      <c r="H86" s="7" t="s">
        <v>503</v>
      </c>
      <c r="I86" s="257"/>
      <c r="J86" s="258"/>
      <c r="K86" s="38">
        <v>16276502</v>
      </c>
      <c r="L86" s="603" t="s">
        <v>24</v>
      </c>
      <c r="M86" s="603" t="s">
        <v>265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>x</v>
      </c>
      <c r="T86" s="52" t="str">
        <f>IF(ISERROR(FIND('112'!$M$9,G86,1)),"",IF((AND(RIGHT(G86,2)=RIGHT('112'!$M$9,2),B86&lt;'112'!$N$8,$M86='112'!$I$6)),"x",""))</f>
        <v/>
      </c>
      <c r="U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853"/>
      <c r="AB86" s="211"/>
      <c r="AC86" s="211"/>
    </row>
    <row r="87" spans="1:29" s="594" customFormat="1" ht="15.75" customHeight="1">
      <c r="A87" s="204" t="str">
        <f>IF(B87&lt;&gt;"",IF(AND(B87&gt;=_TM1,B87&lt;=_TM2,OR(TH!L87="1111",TH!M87="1111")),TH!D87,""),"")</f>
        <v/>
      </c>
      <c r="B87" s="36">
        <f t="shared" si="0"/>
        <v>2</v>
      </c>
      <c r="C87" s="184">
        <f t="shared" si="23"/>
        <v>41306</v>
      </c>
      <c r="D87" s="184" t="s">
        <v>397</v>
      </c>
      <c r="E87" s="191">
        <v>41306</v>
      </c>
      <c r="F87" s="189" t="s">
        <v>502</v>
      </c>
      <c r="G87" s="604" t="s">
        <v>336</v>
      </c>
      <c r="H87" s="7" t="s">
        <v>497</v>
      </c>
      <c r="I87" s="257"/>
      <c r="J87" s="258"/>
      <c r="K87" s="38">
        <v>33000000</v>
      </c>
      <c r="L87" s="603" t="s">
        <v>47</v>
      </c>
      <c r="M87" s="603" t="s">
        <v>24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>x</v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>x</v>
      </c>
      <c r="U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853"/>
      <c r="AB87" s="211"/>
      <c r="AC87" s="211"/>
    </row>
    <row r="88" spans="1:29" s="594" customFormat="1" ht="15.75" customHeight="1">
      <c r="A88" s="204" t="str">
        <f>IF(B88&lt;&gt;"",IF(AND(B88&gt;=_TM1,B88&lt;=_TM2,OR(TH!L88="1111",TH!M88="1111")),TH!D88,""),"")</f>
        <v/>
      </c>
      <c r="B88" s="36">
        <f t="shared" si="0"/>
        <v>2</v>
      </c>
      <c r="C88" s="184">
        <f t="shared" si="23"/>
        <v>41311</v>
      </c>
      <c r="D88" s="184" t="s">
        <v>384</v>
      </c>
      <c r="E88" s="184">
        <v>41311</v>
      </c>
      <c r="F88" s="189" t="s">
        <v>367</v>
      </c>
      <c r="G88" s="604" t="s">
        <v>336</v>
      </c>
      <c r="H88" s="7" t="s">
        <v>368</v>
      </c>
      <c r="I88" s="256"/>
      <c r="J88" s="256"/>
      <c r="K88" s="38">
        <v>40000000</v>
      </c>
      <c r="L88" s="603" t="s">
        <v>24</v>
      </c>
      <c r="M88" s="603" t="s">
        <v>47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>x</v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>x</v>
      </c>
      <c r="T88" s="52" t="str">
        <f>IF(ISERROR(FIND('112'!$M$9,G88,1)),"",IF((AND(RIGHT(G88,2)=RIGHT('112'!$M$9,2),B88&lt;'112'!$N$8,$M88='112'!$I$6)),"x",""))</f>
        <v/>
      </c>
      <c r="U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853"/>
      <c r="AB88" s="211"/>
      <c r="AC88" s="211"/>
    </row>
    <row r="89" spans="1:29" s="594" customFormat="1" ht="15.75" customHeight="1">
      <c r="A89" s="204" t="str">
        <f>IF(B89&lt;&gt;"",IF(AND(B89&gt;=_TM1,B89&lt;=_TM2,OR(TH!L89="1111",TH!M89="1111")),TH!D89,""),"")</f>
        <v/>
      </c>
      <c r="B89" s="36">
        <f t="shared" si="0"/>
        <v>2</v>
      </c>
      <c r="C89" s="184">
        <f t="shared" si="23"/>
        <v>41311</v>
      </c>
      <c r="D89" s="184" t="s">
        <v>340</v>
      </c>
      <c r="E89" s="191">
        <v>41311</v>
      </c>
      <c r="F89" s="189" t="s">
        <v>371</v>
      </c>
      <c r="G89" s="604" t="s">
        <v>336</v>
      </c>
      <c r="H89" s="193" t="s">
        <v>587</v>
      </c>
      <c r="I89" s="257"/>
      <c r="J89" s="258"/>
      <c r="K89" s="38">
        <v>50000000</v>
      </c>
      <c r="L89" s="603" t="s">
        <v>8</v>
      </c>
      <c r="M89" s="603" t="s">
        <v>24</v>
      </c>
      <c r="N89" s="52" t="str">
        <f>IF(AND('331-CT'!$E$7=TH!H89,OR(L89="331",M89="331")),"331",IF(AND(OR(L89="131",M89="131"),H89='131-CT'!$E$7),"131",""))</f>
        <v>331</v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>x</v>
      </c>
      <c r="U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853"/>
      <c r="AB89" s="211"/>
      <c r="AC89" s="211"/>
    </row>
    <row r="90" spans="1:29" s="594" customFormat="1" ht="15.75" customHeight="1">
      <c r="A90" s="204" t="str">
        <f>IF(B90&lt;&gt;"",IF(AND(B90&gt;=_TM1,B90&lt;=_TM2,OR(TH!L90="1111",TH!M90="1111")),TH!D90,""),"")</f>
        <v/>
      </c>
      <c r="B90" s="36">
        <f t="shared" si="0"/>
        <v>2</v>
      </c>
      <c r="C90" s="184">
        <f t="shared" si="23"/>
        <v>41311</v>
      </c>
      <c r="D90" s="184" t="s">
        <v>340</v>
      </c>
      <c r="E90" s="191">
        <v>41311</v>
      </c>
      <c r="F90" s="189" t="s">
        <v>371</v>
      </c>
      <c r="G90" s="604" t="s">
        <v>336</v>
      </c>
      <c r="H90" s="193" t="s">
        <v>1114</v>
      </c>
      <c r="I90" s="257"/>
      <c r="J90" s="258"/>
      <c r="K90" s="38">
        <v>6500000</v>
      </c>
      <c r="L90" s="603" t="s">
        <v>8</v>
      </c>
      <c r="M90" s="603" t="s">
        <v>24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>x</v>
      </c>
      <c r="U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853"/>
    </row>
    <row r="91" spans="1:29" s="594" customFormat="1" ht="15.75" customHeight="1">
      <c r="A91" s="204" t="str">
        <f>IF(B91&lt;&gt;"",IF(AND(B91&gt;=_TM1,B91&lt;=_TM2,OR(TH!L91="1111",TH!M91="1111")),TH!D91,""),"")</f>
        <v/>
      </c>
      <c r="B91" s="36">
        <f t="shared" si="0"/>
        <v>2</v>
      </c>
      <c r="C91" s="184">
        <f t="shared" si="23"/>
        <v>41311</v>
      </c>
      <c r="D91" s="184" t="s">
        <v>340</v>
      </c>
      <c r="E91" s="191">
        <v>41311</v>
      </c>
      <c r="F91" s="189" t="s">
        <v>498</v>
      </c>
      <c r="G91" s="604" t="s">
        <v>336</v>
      </c>
      <c r="H91" s="7"/>
      <c r="I91" s="257"/>
      <c r="J91" s="258"/>
      <c r="K91" s="38">
        <v>11902</v>
      </c>
      <c r="L91" s="603" t="s">
        <v>83</v>
      </c>
      <c r="M91" s="603" t="s">
        <v>24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>x</v>
      </c>
      <c r="U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>x</v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853"/>
      <c r="AB91" s="211"/>
    </row>
    <row r="92" spans="1:29" s="594" customFormat="1" ht="15.75" customHeight="1">
      <c r="A92" s="204" t="str">
        <f>IF(B92&lt;&gt;"",IF(AND(B92&gt;=_TM1,B92&lt;=_TM2,OR(TH!L92="1111",TH!M92="1111")),TH!D92,""),"")</f>
        <v/>
      </c>
      <c r="B92" s="36">
        <f t="shared" si="0"/>
        <v>2</v>
      </c>
      <c r="C92" s="184">
        <f t="shared" si="23"/>
        <v>41311</v>
      </c>
      <c r="D92" s="184" t="s">
        <v>340</v>
      </c>
      <c r="E92" s="191">
        <v>41311</v>
      </c>
      <c r="F92" s="189" t="s">
        <v>342</v>
      </c>
      <c r="G92" s="604" t="s">
        <v>336</v>
      </c>
      <c r="H92" s="7"/>
      <c r="I92" s="257"/>
      <c r="J92" s="258"/>
      <c r="K92" s="38">
        <v>25000</v>
      </c>
      <c r="L92" s="603" t="s">
        <v>83</v>
      </c>
      <c r="M92" s="603" t="s">
        <v>24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>x</v>
      </c>
      <c r="U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>x</v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853"/>
      <c r="AB92" s="211"/>
      <c r="AC92" s="211"/>
    </row>
    <row r="93" spans="1:29" s="594" customFormat="1" ht="15.75" customHeight="1">
      <c r="A93" s="204" t="str">
        <f>IF(B93&lt;&gt;"",IF(AND(B93&gt;=_TM1,B93&lt;=_TM2,OR(TH!L93="1111",TH!M93="1111")),TH!D93,""),"")</f>
        <v/>
      </c>
      <c r="B93" s="36">
        <f t="shared" si="0"/>
        <v>2</v>
      </c>
      <c r="C93" s="184">
        <f t="shared" si="23"/>
        <v>41311</v>
      </c>
      <c r="D93" s="184" t="s">
        <v>340</v>
      </c>
      <c r="E93" s="191">
        <v>41311</v>
      </c>
      <c r="F93" s="189" t="s">
        <v>342</v>
      </c>
      <c r="G93" s="604" t="s">
        <v>336</v>
      </c>
      <c r="H93" s="7"/>
      <c r="I93" s="256"/>
      <c r="J93" s="256"/>
      <c r="K93" s="38">
        <v>20000</v>
      </c>
      <c r="L93" s="603" t="s">
        <v>83</v>
      </c>
      <c r="M93" s="603" t="s">
        <v>24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>x</v>
      </c>
      <c r="U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>x</v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853"/>
      <c r="AB93" s="211"/>
      <c r="AC93" s="211"/>
    </row>
    <row r="94" spans="1:29" s="594" customFormat="1" ht="15.75" customHeight="1">
      <c r="A94" s="204" t="str">
        <f>IF(B94&lt;&gt;"",IF(AND(B94&gt;=_TM1,B94&lt;=_TM2,OR(TH!L94="1111",TH!M94="1111")),TH!D94,""),"")</f>
        <v/>
      </c>
      <c r="B94" s="36">
        <f t="shared" si="0"/>
        <v>2</v>
      </c>
      <c r="C94" s="184">
        <f t="shared" si="23"/>
        <v>41330</v>
      </c>
      <c r="D94" s="184" t="s">
        <v>339</v>
      </c>
      <c r="E94" s="184">
        <v>41330</v>
      </c>
      <c r="F94" s="189" t="s">
        <v>369</v>
      </c>
      <c r="G94" s="604" t="s">
        <v>336</v>
      </c>
      <c r="H94" s="7"/>
      <c r="I94" s="256"/>
      <c r="J94" s="256"/>
      <c r="K94" s="38">
        <v>11280</v>
      </c>
      <c r="L94" s="603" t="s">
        <v>24</v>
      </c>
      <c r="M94" s="603" t="s">
        <v>40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>x</v>
      </c>
      <c r="T94" s="52" t="str">
        <f>IF(ISERROR(FIND('112'!$M$9,G94,1)),"",IF((AND(RIGHT(G94,2)=RIGHT('112'!$M$9,2),B94&lt;'112'!$N$8,$M94='112'!$I$6)),"x",""))</f>
        <v/>
      </c>
      <c r="U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853"/>
      <c r="AB94" s="211"/>
    </row>
    <row r="95" spans="1:29" s="594" customFormat="1" ht="15.75" customHeight="1">
      <c r="A95" s="204" t="str">
        <f>IF(B95&lt;&gt;"",IF(AND(B95&gt;=_TM1,B95&lt;=_TM2,OR(TH!L95="1111",TH!M95="1111")),TH!D95,""),"")</f>
        <v/>
      </c>
      <c r="B95" s="36">
        <f t="shared" si="0"/>
        <v>2</v>
      </c>
      <c r="C95" s="184">
        <f t="shared" si="23"/>
        <v>41333</v>
      </c>
      <c r="D95" s="184" t="s">
        <v>339</v>
      </c>
      <c r="E95" s="191">
        <v>41333</v>
      </c>
      <c r="F95" s="189" t="s">
        <v>341</v>
      </c>
      <c r="G95" s="604" t="s">
        <v>336</v>
      </c>
      <c r="H95" s="7" t="s">
        <v>505</v>
      </c>
      <c r="I95" s="257"/>
      <c r="J95" s="258"/>
      <c r="K95" s="38">
        <v>10000000</v>
      </c>
      <c r="L95" s="603" t="s">
        <v>24</v>
      </c>
      <c r="M95" s="603" t="s">
        <v>265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>x</v>
      </c>
      <c r="T95" s="52" t="str">
        <f>IF(ISERROR(FIND('112'!$M$9,G95,1)),"",IF((AND(RIGHT(G95,2)=RIGHT('112'!$M$9,2),B95&lt;'112'!$N$8,$M95='112'!$I$6)),"x",""))</f>
        <v/>
      </c>
      <c r="U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853"/>
      <c r="AB95" s="211"/>
    </row>
    <row r="96" spans="1:29" s="594" customFormat="1" ht="15.75" customHeight="1">
      <c r="A96" s="204" t="str">
        <f>IF(B96&lt;&gt;"",IF(AND(B96&gt;=_TM1,B96&lt;=_TM2,OR(TH!L96="1111",TH!M96="1111")),TH!D96,""),"")</f>
        <v/>
      </c>
      <c r="B96" s="36">
        <f t="shared" si="0"/>
        <v>3</v>
      </c>
      <c r="C96" s="184">
        <f t="shared" si="23"/>
        <v>41334</v>
      </c>
      <c r="D96" s="184" t="s">
        <v>340</v>
      </c>
      <c r="E96" s="191">
        <v>41334</v>
      </c>
      <c r="F96" s="189" t="s">
        <v>371</v>
      </c>
      <c r="G96" s="604" t="s">
        <v>336</v>
      </c>
      <c r="H96" s="193" t="s">
        <v>587</v>
      </c>
      <c r="I96" s="257"/>
      <c r="J96" s="258"/>
      <c r="K96" s="38">
        <v>10000000</v>
      </c>
      <c r="L96" s="603" t="s">
        <v>8</v>
      </c>
      <c r="M96" s="603" t="s">
        <v>24</v>
      </c>
      <c r="N96" s="52" t="str">
        <f>IF(AND('331-CT'!$E$7=TH!H96,OR(L96="331",M96="331")),"331",IF(AND(OR(L96="131",M96="131"),H96='131-CT'!$E$7),"131",""))</f>
        <v>331</v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>x</v>
      </c>
      <c r="U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853"/>
      <c r="AB96" s="211"/>
    </row>
    <row r="97" spans="1:30" s="594" customFormat="1" ht="15.75" customHeight="1">
      <c r="A97" s="204" t="str">
        <f>IF(B97&lt;&gt;"",IF(AND(B97&gt;=_TM1,B97&lt;=_TM2,OR(TH!L97="1111",TH!M97="1111")),TH!D97,""),"")</f>
        <v/>
      </c>
      <c r="B97" s="36">
        <f t="shared" si="0"/>
        <v>3</v>
      </c>
      <c r="C97" s="184">
        <f t="shared" si="23"/>
        <v>41337</v>
      </c>
      <c r="D97" s="184" t="s">
        <v>385</v>
      </c>
      <c r="E97" s="184">
        <v>41337</v>
      </c>
      <c r="F97" s="189" t="s">
        <v>367</v>
      </c>
      <c r="G97" s="604" t="s">
        <v>336</v>
      </c>
      <c r="H97" s="7" t="s">
        <v>497</v>
      </c>
      <c r="I97" s="256"/>
      <c r="J97" s="256"/>
      <c r="K97" s="38">
        <v>8500000</v>
      </c>
      <c r="L97" s="603" t="s">
        <v>24</v>
      </c>
      <c r="M97" s="603" t="s">
        <v>47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>x</v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>x</v>
      </c>
      <c r="T97" s="52" t="str">
        <f>IF(ISERROR(FIND('112'!$M$9,G97,1)),"",IF((AND(RIGHT(G97,2)=RIGHT('112'!$M$9,2),B97&lt;'112'!$N$8,$M97='112'!$I$6)),"x",""))</f>
        <v/>
      </c>
      <c r="U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853"/>
    </row>
    <row r="98" spans="1:30" s="594" customFormat="1" ht="15.75" customHeight="1">
      <c r="A98" s="204" t="str">
        <f>IF(B98&lt;&gt;"",IF(AND(B98&gt;=_TM1,B98&lt;=_TM2,OR(TH!L98="1111",TH!M98="1111")),TH!D98,""),"")</f>
        <v/>
      </c>
      <c r="B98" s="36">
        <f t="shared" si="0"/>
        <v>3</v>
      </c>
      <c r="C98" s="184">
        <f t="shared" si="23"/>
        <v>41337</v>
      </c>
      <c r="D98" s="184" t="s">
        <v>340</v>
      </c>
      <c r="E98" s="191">
        <v>41337</v>
      </c>
      <c r="F98" s="189" t="s">
        <v>371</v>
      </c>
      <c r="G98" s="604" t="s">
        <v>336</v>
      </c>
      <c r="H98" s="193" t="s">
        <v>1114</v>
      </c>
      <c r="I98" s="257"/>
      <c r="J98" s="258"/>
      <c r="K98" s="38">
        <v>8500000</v>
      </c>
      <c r="L98" s="603" t="s">
        <v>8</v>
      </c>
      <c r="M98" s="603" t="s">
        <v>24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>x</v>
      </c>
      <c r="U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853"/>
      <c r="AC98" s="198"/>
      <c r="AD98" s="198"/>
    </row>
    <row r="99" spans="1:30" s="594" customFormat="1" ht="15.75" customHeight="1">
      <c r="A99" s="204" t="str">
        <f>IF(B99&lt;&gt;"",IF(AND(B99&gt;=_TM1,B99&lt;=_TM2,OR(TH!L99="1111",TH!M99="1111")),TH!D99,""),"")</f>
        <v/>
      </c>
      <c r="B99" s="36">
        <f t="shared" si="0"/>
        <v>3</v>
      </c>
      <c r="C99" s="184">
        <f t="shared" si="23"/>
        <v>41337</v>
      </c>
      <c r="D99" s="184" t="s">
        <v>340</v>
      </c>
      <c r="E99" s="191">
        <v>41337</v>
      </c>
      <c r="F99" s="189" t="s">
        <v>342</v>
      </c>
      <c r="G99" s="604" t="s">
        <v>336</v>
      </c>
      <c r="H99" s="7"/>
      <c r="I99" s="257"/>
      <c r="J99" s="258"/>
      <c r="K99" s="38">
        <v>20000</v>
      </c>
      <c r="L99" s="603" t="s">
        <v>83</v>
      </c>
      <c r="M99" s="603" t="s">
        <v>24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>x</v>
      </c>
      <c r="U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>x</v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853"/>
      <c r="AC99" s="198"/>
      <c r="AD99" s="198"/>
    </row>
    <row r="100" spans="1:30" s="594" customFormat="1" ht="15.75" customHeight="1">
      <c r="A100" s="204" t="str">
        <f>IF(B100&lt;&gt;"",IF(AND(B100&gt;=_TM1,B100&lt;=_TM2,OR(TH!L100="1111",TH!M100="1111")),TH!D100,""),"")</f>
        <v/>
      </c>
      <c r="B100" s="36">
        <f t="shared" si="0"/>
        <v>3</v>
      </c>
      <c r="C100" s="184">
        <f t="shared" si="23"/>
        <v>41337</v>
      </c>
      <c r="D100" s="184" t="s">
        <v>340</v>
      </c>
      <c r="E100" s="191">
        <v>41337</v>
      </c>
      <c r="F100" s="189" t="s">
        <v>498</v>
      </c>
      <c r="G100" s="604" t="s">
        <v>336</v>
      </c>
      <c r="H100" s="7"/>
      <c r="I100" s="257"/>
      <c r="J100" s="258"/>
      <c r="K100" s="38">
        <v>10000</v>
      </c>
      <c r="L100" s="603" t="s">
        <v>83</v>
      </c>
      <c r="M100" s="603" t="s">
        <v>24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>x</v>
      </c>
      <c r="U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>x</v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853"/>
      <c r="AB100" s="211"/>
    </row>
    <row r="101" spans="1:30" s="594" customFormat="1" ht="15.75" customHeight="1">
      <c r="A101" s="204" t="str">
        <f>IF(B101&lt;&gt;"",IF(AND(B101&gt;=_TM1,B101&lt;=_TM2,OR(TH!L101="1111",TH!M101="1111")),TH!D101,""),"")</f>
        <v/>
      </c>
      <c r="B101" s="36">
        <f t="shared" si="0"/>
        <v>3</v>
      </c>
      <c r="C101" s="184">
        <f t="shared" si="23"/>
        <v>41341</v>
      </c>
      <c r="D101" s="184" t="s">
        <v>339</v>
      </c>
      <c r="E101" s="184">
        <v>41341</v>
      </c>
      <c r="F101" s="189" t="s">
        <v>341</v>
      </c>
      <c r="G101" s="604" t="s">
        <v>336</v>
      </c>
      <c r="H101" s="7" t="s">
        <v>505</v>
      </c>
      <c r="I101" s="256"/>
      <c r="J101" s="256"/>
      <c r="K101" s="665">
        <v>6903282</v>
      </c>
      <c r="L101" s="603" t="s">
        <v>24</v>
      </c>
      <c r="M101" s="603" t="s">
        <v>265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>x</v>
      </c>
      <c r="T101" s="52" t="str">
        <f>IF(ISERROR(FIND('112'!$M$9,G101,1)),"",IF((AND(RIGHT(G101,2)=RIGHT('112'!$M$9,2),B101&lt;'112'!$N$8,$M101='112'!$I$6)),"x",""))</f>
        <v/>
      </c>
      <c r="U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853"/>
    </row>
    <row r="102" spans="1:30" s="594" customFormat="1" ht="15.75" customHeight="1">
      <c r="A102" s="204" t="str">
        <f>IF(B102&lt;&gt;"",IF(AND(B102&gt;=_TM1,B102&lt;=_TM2,OR(TH!L102="1111",TH!M102="1111")),TH!D102,""),"")</f>
        <v/>
      </c>
      <c r="B102" s="36">
        <f t="shared" si="0"/>
        <v>3</v>
      </c>
      <c r="C102" s="184">
        <f t="shared" si="23"/>
        <v>41342</v>
      </c>
      <c r="D102" s="184" t="s">
        <v>402</v>
      </c>
      <c r="E102" s="191">
        <v>41342</v>
      </c>
      <c r="F102" s="189" t="s">
        <v>502</v>
      </c>
      <c r="G102" s="604" t="s">
        <v>336</v>
      </c>
      <c r="H102" s="7" t="s">
        <v>338</v>
      </c>
      <c r="I102" s="257"/>
      <c r="J102" s="258"/>
      <c r="K102" s="38">
        <v>7000000</v>
      </c>
      <c r="L102" s="603" t="s">
        <v>47</v>
      </c>
      <c r="M102" s="603" t="s">
        <v>24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>x</v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>x</v>
      </c>
      <c r="U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853"/>
    </row>
    <row r="103" spans="1:30" s="594" customFormat="1" ht="15.75" customHeight="1">
      <c r="A103" s="204" t="str">
        <f>IF(B103&lt;&gt;"",IF(AND(B103&gt;=_TM1,B103&lt;=_TM2,OR(TH!L103="1111",TH!M103="1111")),TH!D103,""),"")</f>
        <v/>
      </c>
      <c r="B103" s="36">
        <f t="shared" si="0"/>
        <v>3</v>
      </c>
      <c r="C103" s="184">
        <f t="shared" si="23"/>
        <v>41352</v>
      </c>
      <c r="D103" s="184" t="s">
        <v>386</v>
      </c>
      <c r="E103" s="191">
        <v>41352</v>
      </c>
      <c r="F103" s="189" t="s">
        <v>438</v>
      </c>
      <c r="G103" s="487" t="s">
        <v>506</v>
      </c>
      <c r="H103" s="7" t="s">
        <v>372</v>
      </c>
      <c r="I103" s="256"/>
      <c r="J103" s="256"/>
      <c r="K103" s="38">
        <v>4160000</v>
      </c>
      <c r="L103" s="603" t="s">
        <v>165</v>
      </c>
      <c r="M103" s="603" t="s">
        <v>47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>x</v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853"/>
    </row>
    <row r="104" spans="1:30" s="594" customFormat="1" ht="15.75" customHeight="1">
      <c r="A104" s="204" t="str">
        <f>IF(B104&lt;&gt;"",IF(AND(B104&gt;=_TM1,B104&lt;=_TM2,OR(TH!L104="1111",TH!M104="1111")),TH!D104,""),"")</f>
        <v/>
      </c>
      <c r="B104" s="36">
        <f t="shared" si="0"/>
        <v>3</v>
      </c>
      <c r="C104" s="184">
        <f t="shared" si="23"/>
        <v>41352</v>
      </c>
      <c r="D104" s="184" t="s">
        <v>386</v>
      </c>
      <c r="E104" s="191">
        <v>41352</v>
      </c>
      <c r="F104" s="189" t="s">
        <v>348</v>
      </c>
      <c r="G104" s="487" t="s">
        <v>506</v>
      </c>
      <c r="H104" s="7" t="s">
        <v>372</v>
      </c>
      <c r="I104" s="256"/>
      <c r="J104" s="256"/>
      <c r="K104" s="602">
        <v>416000</v>
      </c>
      <c r="L104" s="603" t="s">
        <v>9</v>
      </c>
      <c r="M104" s="603" t="s">
        <v>47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>x</v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853"/>
      <c r="AB104" s="594">
        <v>3</v>
      </c>
    </row>
    <row r="105" spans="1:30" s="594" customFormat="1" ht="15.75" customHeight="1">
      <c r="A105" s="204" t="str">
        <f>IF(B105&lt;&gt;"",IF(AND(B105&gt;=_TM1,B105&lt;=_TM2,OR(TH!L105="1111",TH!M105="1111")),TH!D105,""),"")</f>
        <v/>
      </c>
      <c r="B105" s="36">
        <f t="shared" si="0"/>
        <v>3</v>
      </c>
      <c r="C105" s="184">
        <f t="shared" si="23"/>
        <v>41358</v>
      </c>
      <c r="D105" s="184" t="s">
        <v>339</v>
      </c>
      <c r="E105" s="184">
        <v>41358</v>
      </c>
      <c r="F105" s="189" t="s">
        <v>369</v>
      </c>
      <c r="G105" s="604" t="s">
        <v>336</v>
      </c>
      <c r="H105" s="45"/>
      <c r="I105" s="256"/>
      <c r="J105" s="256"/>
      <c r="K105" s="38">
        <v>969</v>
      </c>
      <c r="L105" s="603" t="s">
        <v>24</v>
      </c>
      <c r="M105" s="603" t="s">
        <v>40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>x</v>
      </c>
      <c r="T105" s="52" t="str">
        <f>IF(ISERROR(FIND('112'!$M$9,G105,1)),"",IF((AND(RIGHT(G105,2)=RIGHT('112'!$M$9,2),B105&lt;'112'!$N$8,$M105='112'!$I$6)),"x",""))</f>
        <v/>
      </c>
      <c r="U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853"/>
      <c r="AB105" s="211"/>
    </row>
    <row r="106" spans="1:30" s="594" customFormat="1" ht="15.75" customHeight="1">
      <c r="A106" s="204" t="str">
        <f>IF(B106&lt;&gt;"",IF(AND(B106&gt;=_TM1,B106&lt;=_TM2,OR(TH!L106="1111",TH!M106="1111")),TH!D106,""),"")</f>
        <v/>
      </c>
      <c r="B106" s="36">
        <f t="shared" si="0"/>
        <v>3</v>
      </c>
      <c r="C106" s="184">
        <f t="shared" si="23"/>
        <v>41362</v>
      </c>
      <c r="D106" s="184" t="s">
        <v>387</v>
      </c>
      <c r="E106" s="184">
        <v>41362</v>
      </c>
      <c r="F106" s="189" t="s">
        <v>438</v>
      </c>
      <c r="G106" s="664" t="s">
        <v>507</v>
      </c>
      <c r="H106" s="7" t="s">
        <v>372</v>
      </c>
      <c r="I106" s="256"/>
      <c r="J106" s="256"/>
      <c r="K106" s="602">
        <v>1560000</v>
      </c>
      <c r="L106" s="603" t="s">
        <v>165</v>
      </c>
      <c r="M106" s="603" t="s">
        <v>47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>x</v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853"/>
    </row>
    <row r="107" spans="1:30" s="594" customFormat="1" ht="15.75" customHeight="1">
      <c r="A107" s="204" t="str">
        <f>IF(B107&lt;&gt;"",IF(AND(B107&gt;=_TM1,B107&lt;=_TM2,OR(TH!L107="1111",TH!M107="1111")),TH!D107,""),"")</f>
        <v/>
      </c>
      <c r="B107" s="36">
        <f t="shared" si="0"/>
        <v>3</v>
      </c>
      <c r="C107" s="184">
        <f t="shared" si="23"/>
        <v>41362</v>
      </c>
      <c r="D107" s="184" t="s">
        <v>387</v>
      </c>
      <c r="E107" s="184">
        <v>41362</v>
      </c>
      <c r="F107" s="189" t="s">
        <v>348</v>
      </c>
      <c r="G107" s="664" t="s">
        <v>507</v>
      </c>
      <c r="H107" s="7" t="s">
        <v>372</v>
      </c>
      <c r="I107" s="256"/>
      <c r="J107" s="256"/>
      <c r="K107" s="602">
        <v>156000</v>
      </c>
      <c r="L107" s="603" t="s">
        <v>9</v>
      </c>
      <c r="M107" s="603" t="s">
        <v>47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>x</v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853"/>
      <c r="AB107" s="594">
        <v>3</v>
      </c>
    </row>
    <row r="108" spans="1:30" s="594" customFormat="1" ht="15.75" customHeight="1">
      <c r="A108" s="204" t="str">
        <f>IF(B108&lt;&gt;"",IF(AND(B108&gt;=_TM1,B108&lt;=_TM2,OR(TH!L108="1111",TH!M108="1111")),TH!D108,""),"")</f>
        <v/>
      </c>
      <c r="B108" s="36">
        <f t="shared" si="0"/>
        <v>3</v>
      </c>
      <c r="C108" s="184">
        <f t="shared" si="23"/>
        <v>41363</v>
      </c>
      <c r="D108" s="184" t="s">
        <v>394</v>
      </c>
      <c r="E108" s="191">
        <v>41363</v>
      </c>
      <c r="F108" s="189" t="s">
        <v>438</v>
      </c>
      <c r="G108" s="487" t="s">
        <v>508</v>
      </c>
      <c r="H108" s="7" t="s">
        <v>372</v>
      </c>
      <c r="I108" s="256"/>
      <c r="J108" s="256"/>
      <c r="K108" s="602">
        <v>1320000</v>
      </c>
      <c r="L108" s="603" t="s">
        <v>165</v>
      </c>
      <c r="M108" s="603" t="s">
        <v>47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>x</v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853"/>
    </row>
    <row r="109" spans="1:30" s="594" customFormat="1" ht="15.75" customHeight="1">
      <c r="A109" s="204" t="str">
        <f>IF(B109&lt;&gt;"",IF(AND(B109&gt;=_TM1,B109&lt;=_TM2,OR(TH!L109="1111",TH!M109="1111")),TH!D109,""),"")</f>
        <v/>
      </c>
      <c r="B109" s="36">
        <f t="shared" si="0"/>
        <v>3</v>
      </c>
      <c r="C109" s="184">
        <f t="shared" si="23"/>
        <v>41363</v>
      </c>
      <c r="D109" s="184" t="s">
        <v>394</v>
      </c>
      <c r="E109" s="191">
        <v>41363</v>
      </c>
      <c r="F109" s="189" t="s">
        <v>348</v>
      </c>
      <c r="G109" s="487" t="s">
        <v>508</v>
      </c>
      <c r="H109" s="7" t="s">
        <v>372</v>
      </c>
      <c r="I109" s="257"/>
      <c r="J109" s="257"/>
      <c r="K109" s="602">
        <v>132000</v>
      </c>
      <c r="L109" s="603" t="s">
        <v>9</v>
      </c>
      <c r="M109" s="603" t="s">
        <v>47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>x</v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853"/>
      <c r="AB109" s="211">
        <v>3</v>
      </c>
    </row>
    <row r="110" spans="1:30" s="594" customFormat="1" ht="15.75" customHeight="1">
      <c r="A110" s="204" t="str">
        <f>IF(B110&lt;&gt;"",IF(AND(B110&gt;=_TM1,B110&lt;=_TM2,OR(TH!L110="1111",TH!M110="1111")),TH!D110,""),"")</f>
        <v/>
      </c>
      <c r="B110" s="36">
        <f t="shared" ref="B110:B173" si="24">IF(C110&lt;&gt;"",MONTH(C110),"")</f>
        <v>4</v>
      </c>
      <c r="C110" s="184">
        <f t="shared" si="23"/>
        <v>41365</v>
      </c>
      <c r="D110" s="184" t="s">
        <v>340</v>
      </c>
      <c r="E110" s="191">
        <v>41365</v>
      </c>
      <c r="F110" s="189" t="s">
        <v>509</v>
      </c>
      <c r="G110" s="604" t="s">
        <v>336</v>
      </c>
      <c r="H110" s="7"/>
      <c r="I110" s="257"/>
      <c r="J110" s="258"/>
      <c r="K110" s="38">
        <v>30000</v>
      </c>
      <c r="L110" s="603" t="s">
        <v>83</v>
      </c>
      <c r="M110" s="603" t="s">
        <v>24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>x</v>
      </c>
      <c r="U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>642</v>
      </c>
      <c r="V110" s="52" t="str">
        <f>IF(OR(TH!L110=TH!$V$7,M110=TH!$V$7),"x","")</f>
        <v>x</v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853"/>
    </row>
    <row r="111" spans="1:30" s="594" customFormat="1" ht="15.75" customHeight="1">
      <c r="A111" s="204" t="str">
        <f>IF(B111&lt;&gt;"",IF(AND(B111&gt;=_TM1,B111&lt;=_TM2,OR(TH!L111="1111",TH!M111="1111")),TH!D111,""),"")</f>
        <v/>
      </c>
      <c r="B111" s="36">
        <f t="shared" si="24"/>
        <v>4</v>
      </c>
      <c r="C111" s="184">
        <f t="shared" si="23"/>
        <v>41366</v>
      </c>
      <c r="D111" s="184" t="s">
        <v>339</v>
      </c>
      <c r="E111" s="191">
        <v>41366</v>
      </c>
      <c r="F111" s="189" t="s">
        <v>341</v>
      </c>
      <c r="G111" s="604" t="s">
        <v>336</v>
      </c>
      <c r="H111" s="7" t="s">
        <v>501</v>
      </c>
      <c r="I111" s="257"/>
      <c r="J111" s="258"/>
      <c r="K111" s="38">
        <v>30050350</v>
      </c>
      <c r="L111" s="603" t="s">
        <v>24</v>
      </c>
      <c r="M111" s="603" t="s">
        <v>265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>x</v>
      </c>
      <c r="T111" s="52" t="str">
        <f>IF(ISERROR(FIND('112'!$M$9,G111,1)),"",IF((AND(RIGHT(G111,2)=RIGHT('112'!$M$9,2),B111&lt;'112'!$N$8,$M111='112'!$I$6)),"x",""))</f>
        <v/>
      </c>
      <c r="U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853"/>
      <c r="AB111" s="211"/>
    </row>
    <row r="112" spans="1:30" s="594" customFormat="1" ht="15.75" customHeight="1">
      <c r="A112" s="204" t="str">
        <f>IF(B112&lt;&gt;"",IF(AND(B112&gt;=_TM1,B112&lt;=_TM2,OR(TH!L112="1111",TH!M112="1111")),TH!D112,""),"")</f>
        <v/>
      </c>
      <c r="B112" s="36">
        <f t="shared" si="24"/>
        <v>4</v>
      </c>
      <c r="C112" s="184">
        <f t="shared" si="23"/>
        <v>41367</v>
      </c>
      <c r="D112" s="184" t="s">
        <v>377</v>
      </c>
      <c r="E112" s="184">
        <v>41367</v>
      </c>
      <c r="F112" s="189" t="s">
        <v>502</v>
      </c>
      <c r="G112" s="604" t="s">
        <v>336</v>
      </c>
      <c r="H112" s="7" t="s">
        <v>497</v>
      </c>
      <c r="I112" s="254"/>
      <c r="J112" s="254"/>
      <c r="K112" s="602">
        <v>30000000</v>
      </c>
      <c r="L112" s="603" t="s">
        <v>47</v>
      </c>
      <c r="M112" s="603" t="s">
        <v>24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>x</v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>x</v>
      </c>
      <c r="U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853"/>
      <c r="AB112" s="211"/>
    </row>
    <row r="113" spans="1:30" s="594" customFormat="1" ht="15.75" customHeight="1">
      <c r="A113" s="204" t="str">
        <f>IF(B113&lt;&gt;"",IF(AND(B113&gt;=_TM1,B113&lt;=_TM2,OR(TH!L113="1111",TH!M113="1111")),TH!D113,""),"")</f>
        <v/>
      </c>
      <c r="B113" s="36">
        <f t="shared" si="24"/>
        <v>4</v>
      </c>
      <c r="C113" s="184">
        <f t="shared" si="23"/>
        <v>41388</v>
      </c>
      <c r="D113" s="184" t="s">
        <v>339</v>
      </c>
      <c r="E113" s="191">
        <v>41388</v>
      </c>
      <c r="F113" s="189" t="s">
        <v>341</v>
      </c>
      <c r="G113" s="604" t="s">
        <v>336</v>
      </c>
      <c r="H113" s="45" t="s">
        <v>510</v>
      </c>
      <c r="I113" s="257"/>
      <c r="J113" s="258"/>
      <c r="K113" s="38">
        <v>17000000</v>
      </c>
      <c r="L113" s="603" t="s">
        <v>24</v>
      </c>
      <c r="M113" s="603" t="s">
        <v>265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>x</v>
      </c>
      <c r="T113" s="52" t="str">
        <f>IF(ISERROR(FIND('112'!$M$9,G113,1)),"",IF((AND(RIGHT(G113,2)=RIGHT('112'!$M$9,2),B113&lt;'112'!$N$8,$M113='112'!$I$6)),"x",""))</f>
        <v/>
      </c>
      <c r="U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853"/>
    </row>
    <row r="114" spans="1:30" s="594" customFormat="1" ht="15.75" customHeight="1">
      <c r="A114" s="204" t="str">
        <f>IF(B114&lt;&gt;"",IF(AND(B114&gt;=_TM1,B114&lt;=_TM2,OR(TH!L114="1111",TH!M114="1111")),TH!D114,""),"")</f>
        <v/>
      </c>
      <c r="B114" s="36">
        <f t="shared" si="24"/>
        <v>4</v>
      </c>
      <c r="C114" s="184">
        <f t="shared" si="23"/>
        <v>41389</v>
      </c>
      <c r="D114" s="184" t="s">
        <v>339</v>
      </c>
      <c r="E114" s="191">
        <v>41389</v>
      </c>
      <c r="F114" s="189" t="s">
        <v>369</v>
      </c>
      <c r="G114" s="604" t="s">
        <v>336</v>
      </c>
      <c r="H114" s="7"/>
      <c r="I114" s="257"/>
      <c r="J114" s="258"/>
      <c r="K114" s="38">
        <v>2630</v>
      </c>
      <c r="L114" s="603" t="s">
        <v>24</v>
      </c>
      <c r="M114" s="603" t="s">
        <v>40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>x</v>
      </c>
      <c r="T114" s="52" t="str">
        <f>IF(ISERROR(FIND('112'!$M$9,G114,1)),"",IF((AND(RIGHT(G114,2)=RIGHT('112'!$M$9,2),B114&lt;'112'!$N$8,$M114='112'!$I$6)),"x",""))</f>
        <v/>
      </c>
      <c r="U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853"/>
      <c r="AC114" s="211"/>
      <c r="AD114" s="211"/>
    </row>
    <row r="115" spans="1:30" s="594" customFormat="1" ht="15.75" customHeight="1">
      <c r="A115" s="204" t="str">
        <f>IF(B115&lt;&gt;"",IF(AND(B115&gt;=_TM1,B115&lt;=_TM2,OR(TH!L115="1111",TH!M115="1111")),TH!D115,""),"")</f>
        <v/>
      </c>
      <c r="B115" s="36">
        <f t="shared" si="24"/>
        <v>4</v>
      </c>
      <c r="C115" s="184">
        <f t="shared" si="23"/>
        <v>41389</v>
      </c>
      <c r="D115" s="184" t="s">
        <v>378</v>
      </c>
      <c r="E115" s="184">
        <v>41389</v>
      </c>
      <c r="F115" s="189" t="s">
        <v>502</v>
      </c>
      <c r="G115" s="604" t="s">
        <v>336</v>
      </c>
      <c r="H115" s="7" t="s">
        <v>497</v>
      </c>
      <c r="I115" s="256"/>
      <c r="J115" s="256"/>
      <c r="K115" s="602">
        <v>17000000</v>
      </c>
      <c r="L115" s="603" t="s">
        <v>47</v>
      </c>
      <c r="M115" s="603" t="s">
        <v>24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>x</v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>x</v>
      </c>
      <c r="U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853"/>
      <c r="AC115" s="211"/>
      <c r="AD115" s="211"/>
    </row>
    <row r="116" spans="1:30" s="594" customFormat="1" ht="15.75" customHeight="1">
      <c r="A116" s="204" t="str">
        <f>IF(B116&lt;&gt;"",IF(AND(B116&gt;=_TM1,B116&lt;=_TM2,OR(TH!L116="1111",TH!M116="1111")),TH!D116,""),"")</f>
        <v/>
      </c>
      <c r="B116" s="36">
        <f t="shared" si="24"/>
        <v>4</v>
      </c>
      <c r="C116" s="184">
        <f t="shared" si="23"/>
        <v>41391</v>
      </c>
      <c r="D116" s="184" t="s">
        <v>379</v>
      </c>
      <c r="E116" s="184">
        <v>41391</v>
      </c>
      <c r="F116" s="189" t="s">
        <v>367</v>
      </c>
      <c r="G116" s="604" t="s">
        <v>336</v>
      </c>
      <c r="H116" s="7" t="s">
        <v>497</v>
      </c>
      <c r="I116" s="256"/>
      <c r="J116" s="256"/>
      <c r="K116" s="38">
        <v>20000000</v>
      </c>
      <c r="L116" s="603" t="s">
        <v>24</v>
      </c>
      <c r="M116" s="603" t="s">
        <v>47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>x</v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>x</v>
      </c>
      <c r="T116" s="52" t="str">
        <f>IF(ISERROR(FIND('112'!$M$9,G116,1)),"",IF((AND(RIGHT(G116,2)=RIGHT('112'!$M$9,2),B116&lt;'112'!$N$8,$M116='112'!$I$6)),"x",""))</f>
        <v/>
      </c>
      <c r="U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853"/>
      <c r="AC116" s="702"/>
      <c r="AD116" s="702"/>
    </row>
    <row r="117" spans="1:30" s="594" customFormat="1" ht="15.75" customHeight="1">
      <c r="A117" s="204" t="str">
        <f>IF(B117&lt;&gt;"",IF(AND(B117&gt;=_TM1,B117&lt;=_TM2,OR(TH!L117="1111",TH!M117="1111")),TH!D117,""),"")</f>
        <v/>
      </c>
      <c r="B117" s="36">
        <f t="shared" si="24"/>
        <v>4</v>
      </c>
      <c r="C117" s="184">
        <f t="shared" si="23"/>
        <v>41391</v>
      </c>
      <c r="D117" s="184" t="s">
        <v>340</v>
      </c>
      <c r="E117" s="191">
        <v>41391</v>
      </c>
      <c r="F117" s="189" t="s">
        <v>371</v>
      </c>
      <c r="G117" s="604" t="s">
        <v>336</v>
      </c>
      <c r="H117" s="193" t="s">
        <v>587</v>
      </c>
      <c r="I117" s="257"/>
      <c r="J117" s="258"/>
      <c r="K117" s="38">
        <v>20000000</v>
      </c>
      <c r="L117" s="603" t="s">
        <v>8</v>
      </c>
      <c r="M117" s="603" t="s">
        <v>24</v>
      </c>
      <c r="N117" s="52" t="str">
        <f>IF(AND('331-CT'!$E$7=TH!H117,OR(L117="331",M117="331")),"331",IF(AND(OR(L117="131",M117="131"),H117='131-CT'!$E$7),"131",""))</f>
        <v>331</v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>x</v>
      </c>
      <c r="U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853"/>
    </row>
    <row r="118" spans="1:30" s="594" customFormat="1" ht="15.75" customHeight="1">
      <c r="A118" s="204" t="str">
        <f>IF(B118&lt;&gt;"",IF(AND(B118&gt;=_TM1,B118&lt;=_TM2,OR(TH!L118="1111",TH!M118="1111")),TH!D118,""),"")</f>
        <v/>
      </c>
      <c r="B118" s="36">
        <f t="shared" si="24"/>
        <v>4</v>
      </c>
      <c r="C118" s="184">
        <f t="shared" si="23"/>
        <v>41391</v>
      </c>
      <c r="D118" s="184" t="s">
        <v>340</v>
      </c>
      <c r="E118" s="191">
        <v>41391</v>
      </c>
      <c r="F118" s="189" t="s">
        <v>342</v>
      </c>
      <c r="G118" s="604" t="s">
        <v>336</v>
      </c>
      <c r="H118" s="7"/>
      <c r="I118" s="257"/>
      <c r="J118" s="258"/>
      <c r="K118" s="38">
        <v>20000</v>
      </c>
      <c r="L118" s="603" t="s">
        <v>83</v>
      </c>
      <c r="M118" s="603" t="s">
        <v>24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>x</v>
      </c>
      <c r="U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>642</v>
      </c>
      <c r="V118" s="52" t="str">
        <f>IF(OR(TH!L118=TH!$V$7,M118=TH!$V$7),"x","")</f>
        <v>x</v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853"/>
    </row>
    <row r="119" spans="1:30" s="594" customFormat="1" ht="15.75" customHeight="1">
      <c r="A119" s="204" t="str">
        <f>IF(B119&lt;&gt;"",IF(AND(B119&gt;=_TM1,B119&lt;=_TM2,OR(TH!L119="1111",TH!M119="1111")),TH!D119,""),"")</f>
        <v/>
      </c>
      <c r="B119" s="36">
        <f t="shared" si="24"/>
        <v>4</v>
      </c>
      <c r="C119" s="184">
        <f t="shared" si="23"/>
        <v>41391</v>
      </c>
      <c r="D119" s="184" t="s">
        <v>340</v>
      </c>
      <c r="E119" s="191">
        <v>41391</v>
      </c>
      <c r="F119" s="189" t="s">
        <v>498</v>
      </c>
      <c r="G119" s="604" t="s">
        <v>336</v>
      </c>
      <c r="H119" s="7"/>
      <c r="I119" s="257"/>
      <c r="J119" s="258"/>
      <c r="K119" s="38">
        <v>15000</v>
      </c>
      <c r="L119" s="603" t="s">
        <v>83</v>
      </c>
      <c r="M119" s="603" t="s">
        <v>24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>x</v>
      </c>
      <c r="U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>642</v>
      </c>
      <c r="V119" s="52" t="str">
        <f>IF(OR(TH!L119=TH!$V$7,M119=TH!$V$7),"x","")</f>
        <v>x</v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853"/>
    </row>
    <row r="120" spans="1:30" s="594" customFormat="1" ht="15.75" customHeight="1">
      <c r="A120" s="204" t="str">
        <f>IF(B120&lt;&gt;"",IF(AND(B120&gt;=_TM1,B120&lt;=_TM2,OR(TH!L120="1111",TH!M120="1111")),TH!D120,""),"")</f>
        <v/>
      </c>
      <c r="B120" s="36">
        <f t="shared" si="24"/>
        <v>5</v>
      </c>
      <c r="C120" s="184">
        <f t="shared" si="23"/>
        <v>41396</v>
      </c>
      <c r="D120" s="184" t="s">
        <v>339</v>
      </c>
      <c r="E120" s="191">
        <v>41396</v>
      </c>
      <c r="F120" s="189" t="s">
        <v>341</v>
      </c>
      <c r="G120" s="604" t="s">
        <v>336</v>
      </c>
      <c r="H120" s="7" t="s">
        <v>433</v>
      </c>
      <c r="I120" s="257"/>
      <c r="J120" s="258"/>
      <c r="K120" s="38">
        <v>8382000</v>
      </c>
      <c r="L120" s="603" t="s">
        <v>24</v>
      </c>
      <c r="M120" s="603" t="s">
        <v>265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>x</v>
      </c>
      <c r="T120" s="52" t="str">
        <f>IF(ISERROR(FIND('112'!$M$9,G120,1)),"",IF((AND(RIGHT(G120,2)=RIGHT('112'!$M$9,2),B120&lt;'112'!$N$8,$M120='112'!$I$6)),"x",""))</f>
        <v/>
      </c>
      <c r="U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853"/>
      <c r="AC120" s="211"/>
      <c r="AD120" s="211"/>
    </row>
    <row r="121" spans="1:30" s="594" customFormat="1" ht="15.75" customHeight="1">
      <c r="A121" s="204" t="str">
        <f>IF(B121&lt;&gt;"",IF(AND(B121&gt;=_TM1,B121&lt;=_TM2,OR(TH!L121="1111",TH!M121="1111")),TH!D121,""),"")</f>
        <v/>
      </c>
      <c r="B121" s="36">
        <f t="shared" si="24"/>
        <v>5</v>
      </c>
      <c r="C121" s="184">
        <f t="shared" si="23"/>
        <v>41397</v>
      </c>
      <c r="D121" s="184" t="s">
        <v>397</v>
      </c>
      <c r="E121" s="191">
        <v>41397</v>
      </c>
      <c r="F121" s="189" t="s">
        <v>502</v>
      </c>
      <c r="G121" s="604" t="s">
        <v>336</v>
      </c>
      <c r="H121" s="7" t="s">
        <v>497</v>
      </c>
      <c r="I121" s="257"/>
      <c r="J121" s="258"/>
      <c r="K121" s="38">
        <v>8000000</v>
      </c>
      <c r="L121" s="603" t="s">
        <v>47</v>
      </c>
      <c r="M121" s="603" t="s">
        <v>24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>x</v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>x</v>
      </c>
      <c r="U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853"/>
      <c r="AB121" s="211"/>
      <c r="AC121" s="211"/>
      <c r="AD121" s="211"/>
    </row>
    <row r="122" spans="1:30" s="594" customFormat="1" ht="15.75" customHeight="1">
      <c r="A122" s="204" t="str">
        <f>IF(B122&lt;&gt;"",IF(AND(B122&gt;=_TM1,B122&lt;=_TM2,OR(TH!L122="1111",TH!M122="1111")),TH!D122,""),"")</f>
        <v/>
      </c>
      <c r="B122" s="36">
        <f t="shared" si="24"/>
        <v>5</v>
      </c>
      <c r="C122" s="184">
        <f t="shared" si="23"/>
        <v>41398</v>
      </c>
      <c r="D122" s="184" t="s">
        <v>339</v>
      </c>
      <c r="E122" s="191">
        <v>41398</v>
      </c>
      <c r="F122" s="189" t="s">
        <v>341</v>
      </c>
      <c r="G122" s="604" t="s">
        <v>336</v>
      </c>
      <c r="H122" s="7" t="s">
        <v>433</v>
      </c>
      <c r="I122" s="257"/>
      <c r="J122" s="258"/>
      <c r="K122" s="38">
        <v>42122355</v>
      </c>
      <c r="L122" s="603" t="s">
        <v>24</v>
      </c>
      <c r="M122" s="603" t="s">
        <v>265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>x</v>
      </c>
      <c r="T122" s="52" t="str">
        <f>IF(ISERROR(FIND('112'!$M$9,G122,1)),"",IF((AND(RIGHT(G122,2)=RIGHT('112'!$M$9,2),B122&lt;'112'!$N$8,$M122='112'!$I$6)),"x",""))</f>
        <v/>
      </c>
      <c r="U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853"/>
      <c r="AC122" s="211"/>
      <c r="AD122" s="211"/>
    </row>
    <row r="123" spans="1:30" s="702" customFormat="1" ht="15.75" customHeight="1">
      <c r="A123" s="204" t="str">
        <f>IF(B123&lt;&gt;"",IF(AND(B123&gt;=_TM1,B123&lt;=_TM2,OR(TH!L123="1111",TH!M123="1111")),TH!D123,""),"")</f>
        <v/>
      </c>
      <c r="B123" s="36">
        <f t="shared" si="24"/>
        <v>5</v>
      </c>
      <c r="C123" s="184">
        <f t="shared" si="23"/>
        <v>41400</v>
      </c>
      <c r="D123" s="184" t="s">
        <v>402</v>
      </c>
      <c r="E123" s="191">
        <v>41400</v>
      </c>
      <c r="F123" s="189" t="s">
        <v>502</v>
      </c>
      <c r="G123" s="604" t="s">
        <v>336</v>
      </c>
      <c r="H123" s="7" t="s">
        <v>497</v>
      </c>
      <c r="I123" s="257"/>
      <c r="J123" s="258"/>
      <c r="K123" s="38">
        <v>42000000</v>
      </c>
      <c r="L123" s="603" t="s">
        <v>47</v>
      </c>
      <c r="M123" s="603" t="s">
        <v>24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>x</v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>x</v>
      </c>
      <c r="U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853"/>
      <c r="AB123" s="594"/>
      <c r="AC123" s="211"/>
      <c r="AD123" s="211"/>
    </row>
    <row r="124" spans="1:30" s="594" customFormat="1" ht="15.75" customHeight="1">
      <c r="A124" s="204" t="str">
        <f>IF(B124&lt;&gt;"",IF(AND(B124&gt;=_TM1,B124&lt;=_TM2,OR(TH!L124="1111",TH!M124="1111")),TH!D124,""),"")</f>
        <v/>
      </c>
      <c r="B124" s="36">
        <f t="shared" si="24"/>
        <v>5</v>
      </c>
      <c r="C124" s="184">
        <f t="shared" si="23"/>
        <v>41401</v>
      </c>
      <c r="D124" s="184" t="s">
        <v>380</v>
      </c>
      <c r="E124" s="191">
        <v>41401</v>
      </c>
      <c r="F124" s="189" t="s">
        <v>438</v>
      </c>
      <c r="G124" s="487" t="s">
        <v>511</v>
      </c>
      <c r="H124" s="7" t="s">
        <v>372</v>
      </c>
      <c r="I124" s="256"/>
      <c r="J124" s="256"/>
      <c r="K124" s="602">
        <v>3380000</v>
      </c>
      <c r="L124" s="603" t="s">
        <v>165</v>
      </c>
      <c r="M124" s="603" t="s">
        <v>47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>x</v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>154</v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853"/>
      <c r="AB124" s="211"/>
      <c r="AC124" s="211"/>
      <c r="AD124" s="211"/>
    </row>
    <row r="125" spans="1:30" s="594" customFormat="1" ht="15.75" customHeight="1">
      <c r="A125" s="204" t="str">
        <f>IF(B125&lt;&gt;"",IF(AND(B125&gt;=_TM1,B125&lt;=_TM2,OR(TH!L125="1111",TH!M125="1111")),TH!D125,""),"")</f>
        <v/>
      </c>
      <c r="B125" s="36">
        <f t="shared" si="24"/>
        <v>5</v>
      </c>
      <c r="C125" s="184">
        <f t="shared" si="23"/>
        <v>41401</v>
      </c>
      <c r="D125" s="184" t="s">
        <v>380</v>
      </c>
      <c r="E125" s="191">
        <v>41401</v>
      </c>
      <c r="F125" s="189" t="s">
        <v>348</v>
      </c>
      <c r="G125" s="487" t="s">
        <v>511</v>
      </c>
      <c r="H125" s="7" t="s">
        <v>372</v>
      </c>
      <c r="I125" s="257"/>
      <c r="J125" s="257"/>
      <c r="K125" s="602">
        <v>338000</v>
      </c>
      <c r="L125" s="603" t="s">
        <v>9</v>
      </c>
      <c r="M125" s="603" t="s">
        <v>47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>x</v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853"/>
      <c r="AB125" s="211">
        <v>5</v>
      </c>
      <c r="AC125" s="211"/>
      <c r="AD125" s="211"/>
    </row>
    <row r="126" spans="1:30" s="594" customFormat="1" ht="15.75" customHeight="1">
      <c r="A126" s="204" t="str">
        <f>IF(B126&lt;&gt;"",IF(AND(B126&gt;=_TM1,B126&lt;=_TM2,OR(TH!L126="1111",TH!M126="1111")),TH!D126,""),"")</f>
        <v/>
      </c>
      <c r="B126" s="36">
        <f t="shared" si="24"/>
        <v>5</v>
      </c>
      <c r="C126" s="184">
        <f t="shared" si="23"/>
        <v>41403</v>
      </c>
      <c r="D126" s="184" t="s">
        <v>381</v>
      </c>
      <c r="E126" s="191">
        <v>41403</v>
      </c>
      <c r="F126" s="189" t="s">
        <v>349</v>
      </c>
      <c r="G126" s="664" t="s">
        <v>512</v>
      </c>
      <c r="H126" s="7" t="s">
        <v>513</v>
      </c>
      <c r="I126" s="257"/>
      <c r="J126" s="258"/>
      <c r="K126" s="38">
        <v>556300</v>
      </c>
      <c r="L126" s="603" t="s">
        <v>83</v>
      </c>
      <c r="M126" s="603" t="s">
        <v>47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>x</v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>642</v>
      </c>
      <c r="V126" s="52" t="str">
        <f>IF(OR(TH!L126=TH!$V$7,M126=TH!$V$7),"x","")</f>
        <v>x</v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853"/>
      <c r="AC126" s="211"/>
      <c r="AD126" s="211"/>
    </row>
    <row r="127" spans="1:30" s="594" customFormat="1" ht="15.75" customHeight="1">
      <c r="A127" s="204" t="str">
        <f>IF(B127&lt;&gt;"",IF(AND(B127&gt;=_TM1,B127&lt;=_TM2,OR(TH!L127="1111",TH!M127="1111")),TH!D127,""),"")</f>
        <v/>
      </c>
      <c r="B127" s="36">
        <f t="shared" si="24"/>
        <v>5</v>
      </c>
      <c r="C127" s="191">
        <f t="shared" si="23"/>
        <v>41403</v>
      </c>
      <c r="D127" s="184" t="s">
        <v>382</v>
      </c>
      <c r="E127" s="191">
        <v>41403</v>
      </c>
      <c r="F127" s="189" t="s">
        <v>438</v>
      </c>
      <c r="G127" s="487" t="s">
        <v>514</v>
      </c>
      <c r="H127" s="7" t="s">
        <v>372</v>
      </c>
      <c r="I127" s="256"/>
      <c r="J127" s="256"/>
      <c r="K127" s="602">
        <v>3640000</v>
      </c>
      <c r="L127" s="603" t="s">
        <v>165</v>
      </c>
      <c r="M127" s="603" t="s">
        <v>47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>x</v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>154</v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853"/>
      <c r="AB127" s="211"/>
      <c r="AC127" s="198"/>
      <c r="AD127" s="198"/>
    </row>
    <row r="128" spans="1:30" s="594" customFormat="1" ht="15.75" customHeight="1">
      <c r="A128" s="204" t="str">
        <f>IF(B128&lt;&gt;"",IF(AND(B128&gt;=_TM1,B128&lt;=_TM2,OR(TH!L128="1111",TH!M128="1111")),TH!D128,""),"")</f>
        <v/>
      </c>
      <c r="B128" s="36">
        <f t="shared" si="24"/>
        <v>5</v>
      </c>
      <c r="C128" s="191">
        <f t="shared" si="23"/>
        <v>41403</v>
      </c>
      <c r="D128" s="184" t="s">
        <v>382</v>
      </c>
      <c r="E128" s="191">
        <v>41403</v>
      </c>
      <c r="F128" s="189" t="s">
        <v>348</v>
      </c>
      <c r="G128" s="487" t="s">
        <v>514</v>
      </c>
      <c r="H128" s="7" t="s">
        <v>372</v>
      </c>
      <c r="I128" s="257"/>
      <c r="J128" s="257"/>
      <c r="K128" s="602">
        <v>364000</v>
      </c>
      <c r="L128" s="603" t="s">
        <v>9</v>
      </c>
      <c r="M128" s="603" t="s">
        <v>47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>x</v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853"/>
      <c r="AB128" s="211">
        <v>9</v>
      </c>
      <c r="AC128" s="211"/>
      <c r="AD128" s="211"/>
    </row>
    <row r="129" spans="1:30" s="594" customFormat="1" ht="15.75" customHeight="1">
      <c r="A129" s="204" t="str">
        <f>IF(B129&lt;&gt;"",IF(AND(B129&gt;=_TM1,B129&lt;=_TM2,OR(TH!L129="1111",TH!M129="1111")),TH!D129,""),"")</f>
        <v/>
      </c>
      <c r="B129" s="36">
        <f t="shared" si="24"/>
        <v>5</v>
      </c>
      <c r="C129" s="184">
        <f t="shared" si="23"/>
        <v>41410</v>
      </c>
      <c r="D129" s="184" t="s">
        <v>339</v>
      </c>
      <c r="E129" s="191">
        <v>41410</v>
      </c>
      <c r="F129" s="189" t="s">
        <v>341</v>
      </c>
      <c r="G129" s="604" t="s">
        <v>336</v>
      </c>
      <c r="H129" s="7" t="s">
        <v>433</v>
      </c>
      <c r="I129" s="257"/>
      <c r="J129" s="258"/>
      <c r="K129" s="38">
        <v>27451050</v>
      </c>
      <c r="L129" s="603" t="s">
        <v>24</v>
      </c>
      <c r="M129" s="603" t="s">
        <v>265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>x</v>
      </c>
      <c r="T129" s="52" t="str">
        <f>IF(ISERROR(FIND('112'!$M$9,G129,1)),"",IF((AND(RIGHT(G129,2)=RIGHT('112'!$M$9,2),B129&lt;'112'!$N$8,$M129='112'!$I$6)),"x",""))</f>
        <v/>
      </c>
      <c r="U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853"/>
      <c r="AB129" s="211"/>
      <c r="AC129" s="211"/>
      <c r="AD129" s="211"/>
    </row>
    <row r="130" spans="1:30" s="211" customFormat="1" ht="15.75" customHeight="1">
      <c r="A130" s="204" t="str">
        <f>IF(B130&lt;&gt;"",IF(AND(B130&gt;=_TM1,B130&lt;=_TM2,OR(TH!L130="1111",TH!M130="1111")),TH!D130,""),"")</f>
        <v/>
      </c>
      <c r="B130" s="36">
        <f t="shared" si="24"/>
        <v>5</v>
      </c>
      <c r="C130" s="184">
        <f t="shared" ref="C130:C193" si="25">E130</f>
        <v>41411</v>
      </c>
      <c r="D130" s="184" t="s">
        <v>340</v>
      </c>
      <c r="E130" s="184">
        <v>41411</v>
      </c>
      <c r="F130" s="189" t="s">
        <v>371</v>
      </c>
      <c r="G130" s="604" t="s">
        <v>336</v>
      </c>
      <c r="H130" s="193" t="s">
        <v>1114</v>
      </c>
      <c r="I130" s="256"/>
      <c r="J130" s="256"/>
      <c r="K130" s="602">
        <v>10000000</v>
      </c>
      <c r="L130" s="603" t="s">
        <v>8</v>
      </c>
      <c r="M130" s="603" t="s">
        <v>24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>x</v>
      </c>
      <c r="U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853"/>
    </row>
    <row r="131" spans="1:30" s="211" customFormat="1" ht="15.75" customHeight="1">
      <c r="A131" s="204" t="str">
        <f>IF(B131&lt;&gt;"",IF(AND(B131&gt;=_TM1,B131&lt;=_TM2,OR(TH!L131="1111",TH!M131="1111")),TH!D131,""),"")</f>
        <v/>
      </c>
      <c r="B131" s="36">
        <f t="shared" si="24"/>
        <v>5</v>
      </c>
      <c r="C131" s="184">
        <f t="shared" si="25"/>
        <v>41411</v>
      </c>
      <c r="D131" s="184" t="s">
        <v>340</v>
      </c>
      <c r="E131" s="184">
        <v>41411</v>
      </c>
      <c r="F131" s="189" t="s">
        <v>342</v>
      </c>
      <c r="G131" s="604" t="s">
        <v>336</v>
      </c>
      <c r="H131" s="193"/>
      <c r="I131" s="256"/>
      <c r="J131" s="256"/>
      <c r="K131" s="602">
        <v>20000</v>
      </c>
      <c r="L131" s="603" t="s">
        <v>83</v>
      </c>
      <c r="M131" s="603" t="s">
        <v>24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>x</v>
      </c>
      <c r="U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>642</v>
      </c>
      <c r="V131" s="52" t="str">
        <f>IF(OR(TH!L131=TH!$V$7,M131=TH!$V$7),"x","")</f>
        <v>x</v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853"/>
      <c r="AB131" s="594"/>
    </row>
    <row r="132" spans="1:30" s="211" customFormat="1" ht="15.75" customHeight="1">
      <c r="A132" s="204" t="str">
        <f>IF(B132&lt;&gt;"",IF(AND(B132&gt;=_TM1,B132&lt;=_TM2,OR(TH!L132="1111",TH!M132="1111")),TH!D132,""),"")</f>
        <v/>
      </c>
      <c r="B132" s="36">
        <f t="shared" si="24"/>
        <v>5</v>
      </c>
      <c r="C132" s="184">
        <f t="shared" si="25"/>
        <v>41411</v>
      </c>
      <c r="D132" s="184" t="s">
        <v>468</v>
      </c>
      <c r="E132" s="184">
        <v>41411</v>
      </c>
      <c r="F132" s="189" t="s">
        <v>502</v>
      </c>
      <c r="G132" s="604" t="s">
        <v>336</v>
      </c>
      <c r="H132" s="7" t="s">
        <v>368</v>
      </c>
      <c r="I132" s="257"/>
      <c r="J132" s="258"/>
      <c r="K132" s="38">
        <v>17500000</v>
      </c>
      <c r="L132" s="603" t="s">
        <v>47</v>
      </c>
      <c r="M132" s="603" t="s">
        <v>24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>x</v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>x</v>
      </c>
      <c r="U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853"/>
      <c r="AB132" s="594"/>
    </row>
    <row r="133" spans="1:30" s="843" customFormat="1" ht="15.75" customHeight="1">
      <c r="A133" s="204" t="str">
        <f>IF(B133&lt;&gt;"",IF(AND(B133&gt;=_TM1,B133&lt;=_TM2,OR(TH!L133="1111",TH!M133="1111")),TH!D133,""),"")</f>
        <v/>
      </c>
      <c r="B133" s="36">
        <f t="shared" si="24"/>
        <v>5</v>
      </c>
      <c r="C133" s="184">
        <f t="shared" si="25"/>
        <v>41411</v>
      </c>
      <c r="D133" s="184" t="s">
        <v>340</v>
      </c>
      <c r="E133" s="184">
        <v>41411</v>
      </c>
      <c r="F133" s="189" t="s">
        <v>515</v>
      </c>
      <c r="G133" s="604" t="s">
        <v>336</v>
      </c>
      <c r="H133" s="7"/>
      <c r="I133" s="258"/>
      <c r="J133" s="256"/>
      <c r="K133" s="602">
        <v>15000</v>
      </c>
      <c r="L133" s="603" t="s">
        <v>83</v>
      </c>
      <c r="M133" s="603" t="s">
        <v>24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>x</v>
      </c>
      <c r="U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>642</v>
      </c>
      <c r="V133" s="52" t="str">
        <f>IF(OR(TH!L133=TH!$V$7,M133=TH!$V$7),"x","")</f>
        <v>x</v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853"/>
      <c r="AB133" s="211"/>
      <c r="AC133" s="594"/>
      <c r="AD133" s="594"/>
    </row>
    <row r="134" spans="1:30" s="211" customFormat="1" ht="15.75" customHeight="1">
      <c r="A134" s="204" t="str">
        <f>IF(B134&lt;&gt;"",IF(AND(B134&gt;=_TM1,B134&lt;=_TM2,OR(TH!L134="1111",TH!M134="1111")),TH!D134,""),"")</f>
        <v/>
      </c>
      <c r="B134" s="36">
        <f t="shared" si="24"/>
        <v>5</v>
      </c>
      <c r="C134" s="184">
        <f t="shared" si="25"/>
        <v>41414</v>
      </c>
      <c r="D134" s="184" t="s">
        <v>339</v>
      </c>
      <c r="E134" s="184">
        <v>41414</v>
      </c>
      <c r="F134" s="189" t="s">
        <v>341</v>
      </c>
      <c r="G134" s="604" t="s">
        <v>336</v>
      </c>
      <c r="H134" s="7" t="s">
        <v>505</v>
      </c>
      <c r="I134" s="256"/>
      <c r="J134" s="256"/>
      <c r="K134" s="602">
        <v>10000000</v>
      </c>
      <c r="L134" s="603" t="s">
        <v>24</v>
      </c>
      <c r="M134" s="603" t="s">
        <v>265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>x</v>
      </c>
      <c r="T134" s="52" t="str">
        <f>IF(ISERROR(FIND('112'!$M$9,G134,1)),"",IF((AND(RIGHT(G134,2)=RIGHT('112'!$M$9,2),B134&lt;'112'!$N$8,$M134='112'!$I$6)),"x",""))</f>
        <v/>
      </c>
      <c r="U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853"/>
      <c r="AC134" s="594"/>
      <c r="AD134" s="594"/>
    </row>
    <row r="135" spans="1:30" s="594" customFormat="1" ht="15.75" customHeight="1">
      <c r="A135" s="204" t="str">
        <f>IF(B135&lt;&gt;"",IF(AND(B135&gt;=_TM1,B135&lt;=_TM2,OR(TH!L135="1111",TH!M135="1111")),TH!D135,""),"")</f>
        <v/>
      </c>
      <c r="B135" s="36">
        <f t="shared" si="24"/>
        <v>5</v>
      </c>
      <c r="C135" s="184">
        <f t="shared" si="25"/>
        <v>41414</v>
      </c>
      <c r="D135" s="184" t="s">
        <v>339</v>
      </c>
      <c r="E135" s="184">
        <v>41414</v>
      </c>
      <c r="F135" s="189" t="s">
        <v>341</v>
      </c>
      <c r="G135" s="604" t="s">
        <v>336</v>
      </c>
      <c r="H135" s="7" t="s">
        <v>503</v>
      </c>
      <c r="I135" s="256"/>
      <c r="J135" s="256"/>
      <c r="K135" s="602">
        <v>9950490</v>
      </c>
      <c r="L135" s="603" t="s">
        <v>24</v>
      </c>
      <c r="M135" s="603" t="s">
        <v>265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>x</v>
      </c>
      <c r="T135" s="52" t="str">
        <f>IF(ISERROR(FIND('112'!$M$9,G135,1)),"",IF((AND(RIGHT(G135,2)=RIGHT('112'!$M$9,2),B135&lt;'112'!$N$8,$M135='112'!$I$6)),"x",""))</f>
        <v/>
      </c>
      <c r="U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853"/>
      <c r="AB135" s="211"/>
    </row>
    <row r="136" spans="1:30" s="594" customFormat="1" ht="15.75" customHeight="1">
      <c r="A136" s="204" t="str">
        <f>IF(B136&lt;&gt;"",IF(AND(B136&gt;=_TM1,B136&lt;=_TM2,OR(TH!L136="1111",TH!M136="1111")),TH!D136,""),"")</f>
        <v/>
      </c>
      <c r="B136" s="36">
        <f t="shared" si="24"/>
        <v>5</v>
      </c>
      <c r="C136" s="184">
        <f t="shared" si="25"/>
        <v>41419</v>
      </c>
      <c r="D136" s="184" t="s">
        <v>339</v>
      </c>
      <c r="E136" s="191">
        <v>41419</v>
      </c>
      <c r="F136" s="189" t="s">
        <v>369</v>
      </c>
      <c r="G136" s="604" t="s">
        <v>336</v>
      </c>
      <c r="H136" s="45"/>
      <c r="I136" s="256"/>
      <c r="J136" s="256"/>
      <c r="K136" s="38">
        <v>13612</v>
      </c>
      <c r="L136" s="603" t="s">
        <v>24</v>
      </c>
      <c r="M136" s="603" t="s">
        <v>40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>x</v>
      </c>
      <c r="T136" s="52" t="str">
        <f>IF(ISERROR(FIND('112'!$M$9,G136,1)),"",IF((AND(RIGHT(G136,2)=RIGHT('112'!$M$9,2),B136&lt;'112'!$N$8,$M136='112'!$I$6)),"x",""))</f>
        <v/>
      </c>
      <c r="U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853"/>
      <c r="AB136" s="211"/>
      <c r="AC136" s="211"/>
      <c r="AD136" s="211"/>
    </row>
    <row r="137" spans="1:30" s="594" customFormat="1" ht="15.75" customHeight="1">
      <c r="A137" s="204" t="str">
        <f>IF(B137&lt;&gt;"",IF(AND(B137&gt;=_TM1,B137&lt;=_TM2,OR(TH!L137="1111",TH!M137="1111")),TH!D137,""),"")</f>
        <v/>
      </c>
      <c r="B137" s="36">
        <f t="shared" si="24"/>
        <v>5</v>
      </c>
      <c r="C137" s="184">
        <f t="shared" si="25"/>
        <v>41421</v>
      </c>
      <c r="D137" s="184" t="s">
        <v>339</v>
      </c>
      <c r="E137" s="191">
        <v>41421</v>
      </c>
      <c r="F137" s="189" t="s">
        <v>341</v>
      </c>
      <c r="G137" s="604" t="s">
        <v>336</v>
      </c>
      <c r="H137" s="7" t="s">
        <v>433</v>
      </c>
      <c r="I137" s="256"/>
      <c r="J137" s="256"/>
      <c r="K137" s="38">
        <v>28498800</v>
      </c>
      <c r="L137" s="603" t="s">
        <v>24</v>
      </c>
      <c r="M137" s="603" t="s">
        <v>265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>x</v>
      </c>
      <c r="T137" s="52" t="str">
        <f>IF(ISERROR(FIND('112'!$M$9,G137,1)),"",IF((AND(RIGHT(G137,2)=RIGHT('112'!$M$9,2),B137&lt;'112'!$N$8,$M137='112'!$I$6)),"x",""))</f>
        <v/>
      </c>
      <c r="U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853"/>
      <c r="AB137" s="211"/>
    </row>
    <row r="138" spans="1:30" s="594" customFormat="1" ht="15.75" customHeight="1">
      <c r="A138" s="204" t="str">
        <f>IF(B138&lt;&gt;"",IF(AND(B138&gt;=_TM1,B138&lt;=_TM2,OR(TH!L138="1111",TH!M138="1111")),TH!D138,""),"")</f>
        <v/>
      </c>
      <c r="B138" s="36">
        <f t="shared" si="24"/>
        <v>5</v>
      </c>
      <c r="C138" s="184">
        <f t="shared" si="25"/>
        <v>41425</v>
      </c>
      <c r="D138" s="184" t="s">
        <v>339</v>
      </c>
      <c r="E138" s="191">
        <v>41425</v>
      </c>
      <c r="F138" s="189" t="s">
        <v>341</v>
      </c>
      <c r="G138" s="604" t="s">
        <v>336</v>
      </c>
      <c r="H138" s="7" t="s">
        <v>505</v>
      </c>
      <c r="I138" s="257"/>
      <c r="J138" s="258"/>
      <c r="K138" s="38">
        <v>20000000</v>
      </c>
      <c r="L138" s="603" t="s">
        <v>24</v>
      </c>
      <c r="M138" s="603" t="s">
        <v>265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>x</v>
      </c>
      <c r="T138" s="52" t="str">
        <f>IF(ISERROR(FIND('112'!$M$9,G138,1)),"",IF((AND(RIGHT(G138,2)=RIGHT('112'!$M$9,2),B138&lt;'112'!$N$8,$M138='112'!$I$6)),"x",""))</f>
        <v/>
      </c>
      <c r="U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853"/>
    </row>
    <row r="139" spans="1:30" s="594" customFormat="1" ht="15.75" customHeight="1">
      <c r="A139" s="204" t="str">
        <f>IF(B139&lt;&gt;"",IF(AND(B139&gt;=_TM1,B139&lt;=_TM2,OR(TH!L139="1111",TH!M139="1111")),TH!D139,""),"")</f>
        <v/>
      </c>
      <c r="B139" s="36">
        <f t="shared" si="24"/>
        <v>5</v>
      </c>
      <c r="C139" s="184">
        <f t="shared" si="25"/>
        <v>41425</v>
      </c>
      <c r="D139" s="184" t="s">
        <v>478</v>
      </c>
      <c r="E139" s="191">
        <v>41425</v>
      </c>
      <c r="F139" s="189" t="s">
        <v>502</v>
      </c>
      <c r="G139" s="604" t="s">
        <v>336</v>
      </c>
      <c r="H139" s="7" t="s">
        <v>368</v>
      </c>
      <c r="I139" s="256"/>
      <c r="J139" s="258"/>
      <c r="K139" s="602">
        <v>68000000</v>
      </c>
      <c r="L139" s="603" t="s">
        <v>47</v>
      </c>
      <c r="M139" s="603" t="s">
        <v>24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>x</v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>x</v>
      </c>
      <c r="U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853"/>
    </row>
    <row r="140" spans="1:30" s="594" customFormat="1" ht="15.75" customHeight="1">
      <c r="A140" s="204" t="str">
        <f>IF(B140&lt;&gt;"",IF(AND(B140&gt;=_TM1,B140&lt;=_TM2,OR(TH!L140="1111",TH!M140="1111")),TH!D140,""),"")</f>
        <v/>
      </c>
      <c r="B140" s="36">
        <f t="shared" si="24"/>
        <v>6</v>
      </c>
      <c r="C140" s="184">
        <f t="shared" si="25"/>
        <v>41429</v>
      </c>
      <c r="D140" s="184" t="s">
        <v>383</v>
      </c>
      <c r="E140" s="184">
        <v>41429</v>
      </c>
      <c r="F140" s="189" t="s">
        <v>516</v>
      </c>
      <c r="G140" s="664" t="s">
        <v>517</v>
      </c>
      <c r="H140" s="7" t="s">
        <v>518</v>
      </c>
      <c r="I140" s="256"/>
      <c r="J140" s="256"/>
      <c r="K140" s="602">
        <v>22244468</v>
      </c>
      <c r="L140" s="603" t="s">
        <v>61</v>
      </c>
      <c r="M140" s="603" t="s">
        <v>47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>x</v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853"/>
    </row>
    <row r="141" spans="1:30" s="594" customFormat="1" ht="15.75" customHeight="1">
      <c r="A141" s="204" t="str">
        <f>IF(B141&lt;&gt;"",IF(AND(B141&gt;=_TM1,B141&lt;=_TM2,OR(TH!L141="1111",TH!M141="1111")),TH!D141,""),"")</f>
        <v/>
      </c>
      <c r="B141" s="36">
        <f t="shared" si="24"/>
        <v>6</v>
      </c>
      <c r="C141" s="184">
        <f t="shared" si="25"/>
        <v>41443</v>
      </c>
      <c r="D141" s="184" t="s">
        <v>384</v>
      </c>
      <c r="E141" s="191">
        <v>41443</v>
      </c>
      <c r="F141" s="189" t="s">
        <v>388</v>
      </c>
      <c r="G141" s="664" t="s">
        <v>519</v>
      </c>
      <c r="H141" s="7" t="s">
        <v>520</v>
      </c>
      <c r="I141" s="257"/>
      <c r="J141" s="258"/>
      <c r="K141" s="38">
        <v>543634</v>
      </c>
      <c r="L141" s="603" t="s">
        <v>83</v>
      </c>
      <c r="M141" s="603" t="s">
        <v>47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>x</v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>642</v>
      </c>
      <c r="V141" s="52" t="str">
        <f>IF(OR(TH!L141=TH!$V$7,M141=TH!$V$7),"x","")</f>
        <v>x</v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853"/>
      <c r="AB141" s="211"/>
    </row>
    <row r="142" spans="1:30" s="594" customFormat="1" ht="15.75" customHeight="1">
      <c r="A142" s="204" t="str">
        <f>IF(B142&lt;&gt;"",IF(AND(B142&gt;=_TM1,B142&lt;=_TM2,OR(TH!L142="1111",TH!M142="1111")),TH!D142,""),"")</f>
        <v/>
      </c>
      <c r="B142" s="36">
        <f t="shared" si="24"/>
        <v>6</v>
      </c>
      <c r="C142" s="184">
        <f t="shared" si="25"/>
        <v>41443</v>
      </c>
      <c r="D142" s="184" t="s">
        <v>384</v>
      </c>
      <c r="E142" s="191">
        <v>41443</v>
      </c>
      <c r="F142" s="189" t="s">
        <v>389</v>
      </c>
      <c r="G142" s="664" t="s">
        <v>519</v>
      </c>
      <c r="H142" s="7" t="s">
        <v>520</v>
      </c>
      <c r="I142" s="257"/>
      <c r="J142" s="258"/>
      <c r="K142" s="38">
        <v>54363</v>
      </c>
      <c r="L142" s="603" t="s">
        <v>9</v>
      </c>
      <c r="M142" s="603" t="s">
        <v>47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>x</v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853"/>
      <c r="AB142" s="594">
        <v>9</v>
      </c>
      <c r="AC142" s="842"/>
      <c r="AD142" s="842"/>
    </row>
    <row r="143" spans="1:30" s="594" customFormat="1" ht="15.75" customHeight="1">
      <c r="A143" s="204" t="str">
        <f>IF(B143&lt;&gt;"",IF(AND(B143&gt;=_TM1,B143&lt;=_TM2,OR(TH!L143="1111",TH!M143="1111")),TH!D143,""),"")</f>
        <v/>
      </c>
      <c r="B143" s="36">
        <f t="shared" si="24"/>
        <v>6</v>
      </c>
      <c r="C143" s="184">
        <f t="shared" si="25"/>
        <v>41445</v>
      </c>
      <c r="D143" s="184" t="s">
        <v>385</v>
      </c>
      <c r="E143" s="191">
        <v>41445</v>
      </c>
      <c r="F143" s="189" t="s">
        <v>349</v>
      </c>
      <c r="G143" s="664" t="s">
        <v>521</v>
      </c>
      <c r="H143" s="7" t="s">
        <v>392</v>
      </c>
      <c r="I143" s="257"/>
      <c r="J143" s="258"/>
      <c r="K143" s="38">
        <v>400000</v>
      </c>
      <c r="L143" s="603" t="s">
        <v>83</v>
      </c>
      <c r="M143" s="603" t="s">
        <v>47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>x</v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>642</v>
      </c>
      <c r="V143" s="52" t="str">
        <f>IF(OR(TH!L143=TH!$V$7,M143=TH!$V$7),"x","")</f>
        <v>x</v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853"/>
      <c r="AB143" s="211"/>
      <c r="AC143" s="211"/>
      <c r="AD143" s="211"/>
    </row>
    <row r="144" spans="1:30" s="594" customFormat="1" ht="15.75" customHeight="1">
      <c r="A144" s="204" t="str">
        <f>IF(B144&lt;&gt;"",IF(AND(B144&gt;=_TM1,B144&lt;=_TM2,OR(TH!L144="1111",TH!M144="1111")),TH!D144,""),"")</f>
        <v/>
      </c>
      <c r="B144" s="36">
        <f t="shared" si="24"/>
        <v>6</v>
      </c>
      <c r="C144" s="184">
        <f t="shared" si="25"/>
        <v>41446</v>
      </c>
      <c r="D144" s="184" t="s">
        <v>339</v>
      </c>
      <c r="E144" s="191">
        <v>41446</v>
      </c>
      <c r="F144" s="189" t="s">
        <v>341</v>
      </c>
      <c r="G144" s="604" t="s">
        <v>336</v>
      </c>
      <c r="H144" s="7" t="s">
        <v>505</v>
      </c>
      <c r="I144" s="257"/>
      <c r="J144" s="258"/>
      <c r="K144" s="38">
        <v>23721250</v>
      </c>
      <c r="L144" s="603" t="s">
        <v>24</v>
      </c>
      <c r="M144" s="603" t="s">
        <v>265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>x</v>
      </c>
      <c r="T144" s="52" t="str">
        <f>IF(ISERROR(FIND('112'!$M$9,G144,1)),"",IF((AND(RIGHT(G144,2)=RIGHT('112'!$M$9,2),B144&lt;'112'!$N$8,$M144='112'!$I$6)),"x",""))</f>
        <v/>
      </c>
      <c r="U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853"/>
      <c r="AC144" s="198"/>
      <c r="AD144" s="198"/>
    </row>
    <row r="145" spans="1:30" s="594" customFormat="1" ht="15.75" customHeight="1">
      <c r="A145" s="204" t="str">
        <f>IF(B145&lt;&gt;"",IF(AND(B145&gt;=_TM1,B145&lt;=_TM2,OR(TH!L145="1111",TH!M145="1111")),TH!D145,""),"")</f>
        <v/>
      </c>
      <c r="B145" s="36">
        <f t="shared" si="24"/>
        <v>6</v>
      </c>
      <c r="C145" s="184">
        <f t="shared" si="25"/>
        <v>41447</v>
      </c>
      <c r="D145" s="184" t="s">
        <v>340</v>
      </c>
      <c r="E145" s="191">
        <v>41447</v>
      </c>
      <c r="F145" s="189" t="s">
        <v>371</v>
      </c>
      <c r="G145" s="604" t="s">
        <v>336</v>
      </c>
      <c r="H145" s="193" t="s">
        <v>587</v>
      </c>
      <c r="I145" s="256"/>
      <c r="J145" s="258"/>
      <c r="K145" s="602">
        <v>20000000</v>
      </c>
      <c r="L145" s="603" t="s">
        <v>8</v>
      </c>
      <c r="M145" s="603" t="s">
        <v>24</v>
      </c>
      <c r="N145" s="52" t="str">
        <f>IF(AND('331-CT'!$E$7=TH!H145,OR(L145="331",M145="331")),"331",IF(AND(OR(L145="131",M145="131"),H145='131-CT'!$E$7),"131",""))</f>
        <v>331</v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>x</v>
      </c>
      <c r="U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853"/>
      <c r="AC145" s="198"/>
      <c r="AD145" s="198"/>
    </row>
    <row r="146" spans="1:30" s="594" customFormat="1" ht="15.75" customHeight="1">
      <c r="A146" s="204" t="str">
        <f>IF(B146&lt;&gt;"",IF(AND(B146&gt;=_TM1,B146&lt;=_TM2,OR(TH!L146="1111",TH!M146="1111")),TH!D146,""),"")</f>
        <v/>
      </c>
      <c r="B146" s="36">
        <f t="shared" si="24"/>
        <v>6</v>
      </c>
      <c r="C146" s="184">
        <f t="shared" si="25"/>
        <v>41447</v>
      </c>
      <c r="D146" s="184" t="s">
        <v>340</v>
      </c>
      <c r="E146" s="191">
        <v>41447</v>
      </c>
      <c r="F146" s="189" t="s">
        <v>342</v>
      </c>
      <c r="G146" s="604" t="s">
        <v>336</v>
      </c>
      <c r="H146" s="7"/>
      <c r="I146" s="256"/>
      <c r="J146" s="258"/>
      <c r="K146" s="602">
        <v>20000</v>
      </c>
      <c r="L146" s="603" t="s">
        <v>83</v>
      </c>
      <c r="M146" s="603" t="s">
        <v>24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>x</v>
      </c>
      <c r="U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>642</v>
      </c>
      <c r="V146" s="52" t="str">
        <f>IF(OR(TH!L146=TH!$V$7,M146=TH!$V$7),"x","")</f>
        <v>x</v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853"/>
      <c r="AC146" s="198"/>
      <c r="AD146" s="198"/>
    </row>
    <row r="147" spans="1:30" s="594" customFormat="1" ht="15.75" customHeight="1">
      <c r="A147" s="204" t="str">
        <f>IF(B147&lt;&gt;"",IF(AND(B147&gt;=_TM1,B147&lt;=_TM2,OR(TH!L147="1111",TH!M147="1111")),TH!D147,""),"")</f>
        <v/>
      </c>
      <c r="B147" s="36">
        <f t="shared" si="24"/>
        <v>6</v>
      </c>
      <c r="C147" s="184">
        <f t="shared" si="25"/>
        <v>41450</v>
      </c>
      <c r="D147" s="184" t="s">
        <v>339</v>
      </c>
      <c r="E147" s="191">
        <v>41450</v>
      </c>
      <c r="F147" s="189" t="s">
        <v>341</v>
      </c>
      <c r="G147" s="604" t="s">
        <v>336</v>
      </c>
      <c r="H147" s="7" t="s">
        <v>522</v>
      </c>
      <c r="I147" s="257"/>
      <c r="J147" s="258"/>
      <c r="K147" s="38">
        <v>37813270</v>
      </c>
      <c r="L147" s="603" t="s">
        <v>24</v>
      </c>
      <c r="M147" s="603" t="s">
        <v>265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>x</v>
      </c>
      <c r="T147" s="52" t="str">
        <f>IF(ISERROR(FIND('112'!$M$9,G147,1)),"",IF((AND(RIGHT(G147,2)=RIGHT('112'!$M$9,2),B147&lt;'112'!$N$8,$M147='112'!$I$6)),"x",""))</f>
        <v/>
      </c>
      <c r="U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853"/>
      <c r="AC147" s="198"/>
      <c r="AD147" s="198"/>
    </row>
    <row r="148" spans="1:30" s="594" customFormat="1" ht="15.75" customHeight="1">
      <c r="A148" s="204" t="str">
        <f>IF(B148&lt;&gt;"",IF(AND(B148&gt;=_TM1,B148&lt;=_TM2,OR(TH!L148="1111",TH!M148="1111")),TH!D148,""),"")</f>
        <v/>
      </c>
      <c r="B148" s="36">
        <f t="shared" si="24"/>
        <v>6</v>
      </c>
      <c r="C148" s="184">
        <f t="shared" si="25"/>
        <v>41450</v>
      </c>
      <c r="D148" s="184" t="s">
        <v>339</v>
      </c>
      <c r="E148" s="191">
        <v>41450</v>
      </c>
      <c r="F148" s="189" t="s">
        <v>369</v>
      </c>
      <c r="G148" s="604" t="s">
        <v>336</v>
      </c>
      <c r="H148" s="7"/>
      <c r="I148" s="257"/>
      <c r="J148" s="258"/>
      <c r="K148" s="38">
        <v>17760</v>
      </c>
      <c r="L148" s="603" t="s">
        <v>24</v>
      </c>
      <c r="M148" s="603" t="s">
        <v>40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>x</v>
      </c>
      <c r="T148" s="52" t="str">
        <f>IF(ISERROR(FIND('112'!$M$9,G148,1)),"",IF((AND(RIGHT(G148,2)=RIGHT('112'!$M$9,2),B148&lt;'112'!$N$8,$M148='112'!$I$6)),"x",""))</f>
        <v/>
      </c>
      <c r="U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853"/>
      <c r="AC148" s="198"/>
      <c r="AD148" s="198"/>
    </row>
    <row r="149" spans="1:30" s="594" customFormat="1" ht="15.75" customHeight="1">
      <c r="A149" s="204" t="str">
        <f>IF(B149&lt;&gt;"",IF(AND(B149&gt;=_TM1,B149&lt;=_TM2,OR(TH!L149="1111",TH!M149="1111")),TH!D149,""),"")</f>
        <v/>
      </c>
      <c r="B149" s="36">
        <f t="shared" si="24"/>
        <v>6</v>
      </c>
      <c r="C149" s="184">
        <f t="shared" si="25"/>
        <v>41451</v>
      </c>
      <c r="D149" s="184" t="s">
        <v>474</v>
      </c>
      <c r="E149" s="191">
        <v>41451</v>
      </c>
      <c r="F149" s="189" t="s">
        <v>502</v>
      </c>
      <c r="G149" s="604" t="s">
        <v>336</v>
      </c>
      <c r="H149" s="7" t="s">
        <v>368</v>
      </c>
      <c r="I149" s="257"/>
      <c r="J149" s="258"/>
      <c r="K149" s="38">
        <v>22000000</v>
      </c>
      <c r="L149" s="603" t="s">
        <v>47</v>
      </c>
      <c r="M149" s="603" t="s">
        <v>24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>x</v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>x</v>
      </c>
      <c r="U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853"/>
      <c r="AC149" s="198"/>
      <c r="AD149" s="198"/>
    </row>
    <row r="150" spans="1:30" s="594" customFormat="1" ht="15.75" customHeight="1">
      <c r="A150" s="204" t="str">
        <f>IF(B150&lt;&gt;"",IF(AND(B150&gt;=_TM1,B150&lt;=_TM2,OR(TH!L150="1111",TH!M150="1111")),TH!D150,""),"")</f>
        <v/>
      </c>
      <c r="B150" s="36">
        <f t="shared" si="24"/>
        <v>6</v>
      </c>
      <c r="C150" s="184">
        <f t="shared" si="25"/>
        <v>41451</v>
      </c>
      <c r="D150" s="184" t="s">
        <v>340</v>
      </c>
      <c r="E150" s="191">
        <v>41451</v>
      </c>
      <c r="F150" s="189" t="s">
        <v>371</v>
      </c>
      <c r="G150" s="604" t="s">
        <v>336</v>
      </c>
      <c r="H150" s="193" t="s">
        <v>587</v>
      </c>
      <c r="I150" s="257"/>
      <c r="J150" s="258"/>
      <c r="K150" s="38">
        <v>20000000</v>
      </c>
      <c r="L150" s="603" t="s">
        <v>8</v>
      </c>
      <c r="M150" s="603" t="s">
        <v>24</v>
      </c>
      <c r="N150" s="52" t="str">
        <f>IF(AND('331-CT'!$E$7=TH!H150,OR(L150="331",M150="331")),"331",IF(AND(OR(L150="131",M150="131"),H150='131-CT'!$E$7),"131",""))</f>
        <v>331</v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>x</v>
      </c>
      <c r="U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853"/>
      <c r="AC150" s="198"/>
      <c r="AD150" s="198"/>
    </row>
    <row r="151" spans="1:30" s="594" customFormat="1" ht="15.75" customHeight="1">
      <c r="A151" s="204" t="str">
        <f>IF(B151&lt;&gt;"",IF(AND(B151&gt;=_TM1,B151&lt;=_TM2,OR(TH!L151="1111",TH!M151="1111")),TH!D151,""),"")</f>
        <v/>
      </c>
      <c r="B151" s="36">
        <f t="shared" si="24"/>
        <v>7</v>
      </c>
      <c r="C151" s="184">
        <f t="shared" si="25"/>
        <v>41465</v>
      </c>
      <c r="D151" s="184" t="s">
        <v>379</v>
      </c>
      <c r="E151" s="191">
        <v>41465</v>
      </c>
      <c r="F151" s="189" t="s">
        <v>523</v>
      </c>
      <c r="G151" s="664" t="s">
        <v>524</v>
      </c>
      <c r="H151" s="7" t="s">
        <v>525</v>
      </c>
      <c r="I151" s="256"/>
      <c r="J151" s="258"/>
      <c r="K151" s="602">
        <f>471793+454546</f>
        <v>926339</v>
      </c>
      <c r="L151" s="603" t="s">
        <v>83</v>
      </c>
      <c r="M151" s="603" t="s">
        <v>47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>x</v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IF(OR(TH!L151=TH!$V$7,M151=TH!$V$7),"x","")</f>
        <v>x</v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>x</v>
      </c>
      <c r="AA151" s="853"/>
      <c r="AC151" s="198"/>
      <c r="AD151" s="198"/>
    </row>
    <row r="152" spans="1:30" s="594" customFormat="1" ht="15.75" customHeight="1">
      <c r="A152" s="204" t="str">
        <f>IF(B152&lt;&gt;"",IF(AND(B152&gt;=_TM1,B152&lt;=_TM2,OR(TH!L152="1111",TH!M152="1111")),TH!D152,""),"")</f>
        <v/>
      </c>
      <c r="B152" s="36">
        <f t="shared" si="24"/>
        <v>7</v>
      </c>
      <c r="C152" s="184">
        <f t="shared" si="25"/>
        <v>41465</v>
      </c>
      <c r="D152" s="184" t="s">
        <v>379</v>
      </c>
      <c r="E152" s="191">
        <v>41465</v>
      </c>
      <c r="F152" s="189" t="s">
        <v>526</v>
      </c>
      <c r="G152" s="664" t="s">
        <v>524</v>
      </c>
      <c r="H152" s="7" t="s">
        <v>525</v>
      </c>
      <c r="I152" s="257"/>
      <c r="J152" s="258"/>
      <c r="K152" s="38">
        <f>47179+45454</f>
        <v>92633</v>
      </c>
      <c r="L152" s="603" t="s">
        <v>9</v>
      </c>
      <c r="M152" s="603" t="s">
        <v>47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>x</v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>x</v>
      </c>
      <c r="AA152" s="853"/>
      <c r="AB152" s="594">
        <v>9</v>
      </c>
      <c r="AC152" s="198"/>
      <c r="AD152" s="198"/>
    </row>
    <row r="153" spans="1:30" ht="15.75" customHeight="1">
      <c r="A153" s="204" t="str">
        <f>IF(B153&lt;&gt;"",IF(AND(B153&gt;=_TM1,B153&lt;=_TM2,OR(TH!L153="1111",TH!M153="1111")),TH!D153,""),"")</f>
        <v/>
      </c>
      <c r="B153" s="36">
        <f t="shared" si="24"/>
        <v>7</v>
      </c>
      <c r="C153" s="184">
        <f t="shared" si="25"/>
        <v>41471</v>
      </c>
      <c r="D153" s="184" t="s">
        <v>380</v>
      </c>
      <c r="E153" s="191">
        <v>41471</v>
      </c>
      <c r="F153" s="189" t="s">
        <v>527</v>
      </c>
      <c r="G153" s="664" t="s">
        <v>528</v>
      </c>
      <c r="H153" s="7" t="s">
        <v>529</v>
      </c>
      <c r="I153" s="257"/>
      <c r="J153" s="258"/>
      <c r="K153" s="38">
        <v>850000</v>
      </c>
      <c r="L153" s="603" t="s">
        <v>83</v>
      </c>
      <c r="M153" s="603" t="s">
        <v>47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>x</v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>x</v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>x</v>
      </c>
      <c r="AA153" s="853"/>
      <c r="AB153" s="211"/>
      <c r="AC153" s="702"/>
      <c r="AD153" s="702"/>
    </row>
    <row r="154" spans="1:30" ht="15.75" customHeight="1">
      <c r="A154" s="204" t="str">
        <f>IF(B154&lt;&gt;"",IF(AND(B154&gt;=_TM1,B154&lt;=_TM2,OR(TH!L154="1111",TH!M154="1111")),TH!D154,""),"")</f>
        <v/>
      </c>
      <c r="B154" s="36">
        <f t="shared" si="24"/>
        <v>7</v>
      </c>
      <c r="C154" s="184">
        <f t="shared" si="25"/>
        <v>41471</v>
      </c>
      <c r="D154" s="184" t="s">
        <v>380</v>
      </c>
      <c r="E154" s="191">
        <v>41471</v>
      </c>
      <c r="F154" s="189" t="s">
        <v>530</v>
      </c>
      <c r="G154" s="664" t="s">
        <v>528</v>
      </c>
      <c r="H154" s="7" t="s">
        <v>529</v>
      </c>
      <c r="I154" s="256"/>
      <c r="J154" s="258"/>
      <c r="K154" s="602">
        <v>85000</v>
      </c>
      <c r="L154" s="603" t="s">
        <v>9</v>
      </c>
      <c r="M154" s="603" t="s">
        <v>47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>x</v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>x</v>
      </c>
      <c r="AA154" s="853"/>
      <c r="AB154" s="594">
        <v>9</v>
      </c>
      <c r="AC154" s="594"/>
      <c r="AD154" s="594"/>
    </row>
    <row r="155" spans="1:30" ht="15.75" customHeight="1">
      <c r="A155" s="204" t="str">
        <f>IF(B155&lt;&gt;"",IF(AND(B155&gt;=_TM1,B155&lt;=_TM2,OR(TH!L155="1111",TH!M155="1111")),TH!D155,""),"")</f>
        <v/>
      </c>
      <c r="B155" s="36">
        <f t="shared" si="24"/>
        <v>7</v>
      </c>
      <c r="C155" s="184">
        <f t="shared" si="25"/>
        <v>41478</v>
      </c>
      <c r="D155" s="184" t="s">
        <v>339</v>
      </c>
      <c r="E155" s="191">
        <v>41478</v>
      </c>
      <c r="F155" s="189" t="s">
        <v>341</v>
      </c>
      <c r="G155" s="604" t="s">
        <v>336</v>
      </c>
      <c r="H155" s="7" t="s">
        <v>503</v>
      </c>
      <c r="I155" s="257"/>
      <c r="J155" s="258"/>
      <c r="K155" s="38">
        <v>9873578</v>
      </c>
      <c r="L155" s="603" t="s">
        <v>24</v>
      </c>
      <c r="M155" s="603" t="s">
        <v>265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>x</v>
      </c>
      <c r="T155" s="52" t="str">
        <f>IF(ISERROR(FIND('112'!$M$9,G155,1)),"",IF((AND(RIGHT(G155,2)=RIGHT('112'!$M$9,2),B155&lt;'112'!$N$8,$M155='112'!$I$6)),"x",""))</f>
        <v/>
      </c>
      <c r="U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>x</v>
      </c>
      <c r="AA155" s="853"/>
      <c r="AB155" s="594"/>
    </row>
    <row r="156" spans="1:30" ht="15.75" customHeight="1">
      <c r="A156" s="204" t="str">
        <f>IF(B156&lt;&gt;"",IF(AND(B156&gt;=_TM1,B156&lt;=_TM2,OR(TH!L156="1111",TH!M156="1111")),TH!D156,""),"")</f>
        <v/>
      </c>
      <c r="B156" s="36">
        <f t="shared" si="24"/>
        <v>7</v>
      </c>
      <c r="C156" s="191">
        <f t="shared" si="25"/>
        <v>41479</v>
      </c>
      <c r="D156" s="184" t="s">
        <v>381</v>
      </c>
      <c r="E156" s="191">
        <v>41479</v>
      </c>
      <c r="F156" s="189" t="s">
        <v>438</v>
      </c>
      <c r="G156" s="487" t="s">
        <v>531</v>
      </c>
      <c r="H156" s="7" t="s">
        <v>372</v>
      </c>
      <c r="I156" s="256"/>
      <c r="J156" s="256"/>
      <c r="K156" s="602">
        <v>2800000</v>
      </c>
      <c r="L156" s="603" t="s">
        <v>165</v>
      </c>
      <c r="M156" s="603" t="s">
        <v>47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>x</v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>x</v>
      </c>
      <c r="AA156" s="853"/>
      <c r="AB156" s="594"/>
    </row>
    <row r="157" spans="1:30" ht="15.75" customHeight="1">
      <c r="A157" s="204" t="str">
        <f>IF(B157&lt;&gt;"",IF(AND(B157&gt;=_TM1,B157&lt;=_TM2,OR(TH!L157="1111",TH!M157="1111")),TH!D157,""),"")</f>
        <v/>
      </c>
      <c r="B157" s="36">
        <f t="shared" si="24"/>
        <v>7</v>
      </c>
      <c r="C157" s="191">
        <f t="shared" si="25"/>
        <v>41479</v>
      </c>
      <c r="D157" s="184" t="s">
        <v>381</v>
      </c>
      <c r="E157" s="191">
        <v>41479</v>
      </c>
      <c r="F157" s="189" t="s">
        <v>348</v>
      </c>
      <c r="G157" s="487" t="s">
        <v>531</v>
      </c>
      <c r="H157" s="7" t="s">
        <v>372</v>
      </c>
      <c r="I157" s="257"/>
      <c r="J157" s="257"/>
      <c r="K157" s="602">
        <v>280000</v>
      </c>
      <c r="L157" s="603" t="s">
        <v>9</v>
      </c>
      <c r="M157" s="603" t="s">
        <v>47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>x</v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>x</v>
      </c>
      <c r="AA157" s="853"/>
      <c r="AB157" s="211">
        <v>9</v>
      </c>
    </row>
    <row r="158" spans="1:30" ht="15.75" customHeight="1">
      <c r="A158" s="204" t="str">
        <f>IF(B158&lt;&gt;"",IF(AND(B158&gt;=_TM1,B158&lt;=_TM2,OR(TH!L158="1111",TH!M158="1111")),TH!D158,""),"")</f>
        <v/>
      </c>
      <c r="B158" s="36">
        <f t="shared" si="24"/>
        <v>7</v>
      </c>
      <c r="C158" s="184">
        <f t="shared" si="25"/>
        <v>41480</v>
      </c>
      <c r="D158" s="184" t="s">
        <v>339</v>
      </c>
      <c r="E158" s="184">
        <v>41480</v>
      </c>
      <c r="F158" s="189" t="s">
        <v>341</v>
      </c>
      <c r="G158" s="604" t="s">
        <v>336</v>
      </c>
      <c r="H158" s="7" t="s">
        <v>532</v>
      </c>
      <c r="I158" s="256"/>
      <c r="J158" s="256"/>
      <c r="K158" s="602">
        <v>20754363</v>
      </c>
      <c r="L158" s="603" t="s">
        <v>24</v>
      </c>
      <c r="M158" s="603" t="s">
        <v>265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>x</v>
      </c>
      <c r="T158" s="52" t="str">
        <f>IF(ISERROR(FIND('112'!$M$9,G158,1)),"",IF((AND(RIGHT(G158,2)=RIGHT('112'!$M$9,2),B158&lt;'112'!$N$8,$M158='112'!$I$6)),"x",""))</f>
        <v/>
      </c>
      <c r="U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>x</v>
      </c>
      <c r="AA158" s="853"/>
      <c r="AB158" s="594"/>
    </row>
    <row r="159" spans="1:30" ht="15.75" customHeight="1">
      <c r="A159" s="204" t="str">
        <f>IF(B159&lt;&gt;"",IF(AND(B159&gt;=_TM1,B159&lt;=_TM2,OR(TH!L159="1111",TH!M159="1111")),TH!D159,""),"")</f>
        <v/>
      </c>
      <c r="B159" s="36">
        <f t="shared" si="24"/>
        <v>7</v>
      </c>
      <c r="C159" s="184">
        <f t="shared" si="25"/>
        <v>41480</v>
      </c>
      <c r="D159" s="184" t="s">
        <v>339</v>
      </c>
      <c r="E159" s="184">
        <v>41480</v>
      </c>
      <c r="F159" s="189" t="s">
        <v>369</v>
      </c>
      <c r="G159" s="604" t="s">
        <v>336</v>
      </c>
      <c r="H159" s="7"/>
      <c r="I159" s="256"/>
      <c r="J159" s="256"/>
      <c r="K159" s="602">
        <v>1736</v>
      </c>
      <c r="L159" s="603" t="s">
        <v>24</v>
      </c>
      <c r="M159" s="603" t="s">
        <v>40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>x</v>
      </c>
      <c r="T159" s="52" t="str">
        <f>IF(ISERROR(FIND('112'!$M$9,G159,1)),"",IF((AND(RIGHT(G159,2)=RIGHT('112'!$M$9,2),B159&lt;'112'!$N$8,$M159='112'!$I$6)),"x",""))</f>
        <v/>
      </c>
      <c r="U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>x</v>
      </c>
      <c r="AA159" s="853"/>
      <c r="AB159" s="211"/>
    </row>
    <row r="160" spans="1:30" ht="15.75" customHeight="1">
      <c r="A160" s="204" t="str">
        <f>IF(B160&lt;&gt;"",IF(AND(B160&gt;=_TM1,B160&lt;=_TM2,OR(TH!L160="1111",TH!M160="1111")),TH!D160,""),"")</f>
        <v/>
      </c>
      <c r="B160" s="36">
        <f t="shared" si="24"/>
        <v>7</v>
      </c>
      <c r="C160" s="191">
        <f t="shared" si="25"/>
        <v>41480</v>
      </c>
      <c r="D160" s="184" t="s">
        <v>382</v>
      </c>
      <c r="E160" s="191">
        <v>41480</v>
      </c>
      <c r="F160" s="189" t="s">
        <v>438</v>
      </c>
      <c r="G160" s="487" t="s">
        <v>533</v>
      </c>
      <c r="H160" s="7" t="s">
        <v>372</v>
      </c>
      <c r="I160" s="256"/>
      <c r="J160" s="256"/>
      <c r="K160" s="602">
        <v>660000</v>
      </c>
      <c r="L160" s="603" t="s">
        <v>165</v>
      </c>
      <c r="M160" s="603" t="s">
        <v>47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>x</v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>x</v>
      </c>
      <c r="AA160" s="853"/>
      <c r="AB160" s="211"/>
    </row>
    <row r="161" spans="1:30" ht="15.75" customHeight="1">
      <c r="A161" s="204" t="str">
        <f>IF(B161&lt;&gt;"",IF(AND(B161&gt;=_TM1,B161&lt;=_TM2,OR(TH!L161="1111",TH!M161="1111")),TH!D161,""),"")</f>
        <v/>
      </c>
      <c r="B161" s="36">
        <f t="shared" si="24"/>
        <v>7</v>
      </c>
      <c r="C161" s="191">
        <f t="shared" si="25"/>
        <v>41480</v>
      </c>
      <c r="D161" s="184" t="s">
        <v>382</v>
      </c>
      <c r="E161" s="191">
        <v>41480</v>
      </c>
      <c r="F161" s="189" t="s">
        <v>348</v>
      </c>
      <c r="G161" s="487" t="s">
        <v>533</v>
      </c>
      <c r="H161" s="7" t="s">
        <v>372</v>
      </c>
      <c r="I161" s="257"/>
      <c r="J161" s="257"/>
      <c r="K161" s="602">
        <v>66000</v>
      </c>
      <c r="L161" s="603" t="s">
        <v>9</v>
      </c>
      <c r="M161" s="603" t="s">
        <v>47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>x</v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>x</v>
      </c>
      <c r="AA161" s="853"/>
      <c r="AB161" s="211">
        <v>9</v>
      </c>
    </row>
    <row r="162" spans="1:30" ht="15.75" customHeight="1">
      <c r="A162" s="204" t="str">
        <f>IF(B162&lt;&gt;"",IF(AND(B162&gt;=_TM1,B162&lt;=_TM2,OR(TH!L162="1111",TH!M162="1111")),TH!D162,""),"")</f>
        <v/>
      </c>
      <c r="B162" s="36">
        <f t="shared" si="24"/>
        <v>7</v>
      </c>
      <c r="C162" s="184">
        <f t="shared" si="25"/>
        <v>41481</v>
      </c>
      <c r="D162" s="184" t="s">
        <v>339</v>
      </c>
      <c r="E162" s="191">
        <v>41481</v>
      </c>
      <c r="F162" s="189" t="s">
        <v>341</v>
      </c>
      <c r="G162" s="604" t="s">
        <v>336</v>
      </c>
      <c r="H162" s="7" t="s">
        <v>501</v>
      </c>
      <c r="I162" s="257"/>
      <c r="J162" s="258"/>
      <c r="K162" s="38">
        <v>19948170</v>
      </c>
      <c r="L162" s="603" t="s">
        <v>24</v>
      </c>
      <c r="M162" s="603" t="s">
        <v>265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>x</v>
      </c>
      <c r="T162" s="52" t="str">
        <f>IF(ISERROR(FIND('112'!$M$9,G162,1)),"",IF((AND(RIGHT(G162,2)=RIGHT('112'!$M$9,2),B162&lt;'112'!$N$8,$M162='112'!$I$6)),"x",""))</f>
        <v/>
      </c>
      <c r="U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>x</v>
      </c>
      <c r="AA162" s="853"/>
      <c r="AB162" s="211"/>
    </row>
    <row r="163" spans="1:30" ht="15.75" customHeight="1">
      <c r="A163" s="204" t="str">
        <f>IF(B163&lt;&gt;"",IF(AND(B163&gt;=_TM1,B163&lt;=_TM2,OR(TH!L163="1111",TH!M163="1111")),TH!D163,""),"")</f>
        <v/>
      </c>
      <c r="B163" s="36">
        <f t="shared" si="24"/>
        <v>7</v>
      </c>
      <c r="C163" s="184">
        <f t="shared" si="25"/>
        <v>41481</v>
      </c>
      <c r="D163" s="184" t="s">
        <v>377</v>
      </c>
      <c r="E163" s="191">
        <v>41481</v>
      </c>
      <c r="F163" s="189" t="s">
        <v>502</v>
      </c>
      <c r="G163" s="604" t="s">
        <v>336</v>
      </c>
      <c r="H163" s="7" t="s">
        <v>368</v>
      </c>
      <c r="I163" s="257"/>
      <c r="J163" s="258"/>
      <c r="K163" s="38">
        <v>31000000</v>
      </c>
      <c r="L163" s="603" t="s">
        <v>47</v>
      </c>
      <c r="M163" s="603" t="s">
        <v>24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>x</v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>x</v>
      </c>
      <c r="U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>x</v>
      </c>
      <c r="AA163" s="853"/>
      <c r="AB163" s="594"/>
    </row>
    <row r="164" spans="1:30" ht="15.75" customHeight="1">
      <c r="A164" s="204" t="str">
        <f>IF(B164&lt;&gt;"",IF(AND(B164&gt;=_TM1,B164&lt;=_TM2,OR(TH!L164="1111",TH!M164="1111")),TH!D164,""),"")</f>
        <v/>
      </c>
      <c r="B164" s="36">
        <f t="shared" si="24"/>
        <v>7</v>
      </c>
      <c r="C164" s="184">
        <f t="shared" si="25"/>
        <v>41481</v>
      </c>
      <c r="D164" s="184" t="s">
        <v>383</v>
      </c>
      <c r="E164" s="184">
        <v>41481</v>
      </c>
      <c r="F164" s="189" t="s">
        <v>534</v>
      </c>
      <c r="G164" s="664" t="s">
        <v>535</v>
      </c>
      <c r="H164" s="7" t="s">
        <v>518</v>
      </c>
      <c r="I164" s="256"/>
      <c r="J164" s="256"/>
      <c r="K164" s="602">
        <v>670000</v>
      </c>
      <c r="L164" s="603" t="s">
        <v>87</v>
      </c>
      <c r="M164" s="603" t="s">
        <v>47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>x</v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>x</v>
      </c>
      <c r="AA164" s="853"/>
      <c r="AB164" s="594"/>
      <c r="AC164" s="211"/>
      <c r="AD164" s="211"/>
    </row>
    <row r="165" spans="1:30" ht="15.75" customHeight="1">
      <c r="A165" s="204" t="str">
        <f>IF(B165&lt;&gt;"",IF(AND(B165&gt;=_TM1,B165&lt;=_TM2,OR(TH!L165="1111",TH!M165="1111")),TH!D165,""),"")</f>
        <v/>
      </c>
      <c r="B165" s="36">
        <f t="shared" si="24"/>
        <v>7</v>
      </c>
      <c r="C165" s="184">
        <f t="shared" si="25"/>
        <v>41485</v>
      </c>
      <c r="D165" s="184" t="s">
        <v>340</v>
      </c>
      <c r="E165" s="191">
        <v>41485</v>
      </c>
      <c r="F165" s="189" t="s">
        <v>371</v>
      </c>
      <c r="G165" s="604" t="s">
        <v>336</v>
      </c>
      <c r="H165" s="193" t="s">
        <v>587</v>
      </c>
      <c r="I165" s="256"/>
      <c r="J165" s="258"/>
      <c r="K165" s="602">
        <v>20000000</v>
      </c>
      <c r="L165" s="603" t="s">
        <v>8</v>
      </c>
      <c r="M165" s="603" t="s">
        <v>24</v>
      </c>
      <c r="N165" s="52" t="str">
        <f>IF(AND('331-CT'!$E$7=TH!H165,OR(L165="331",M165="331")),"331",IF(AND(OR(L165="131",M165="131"),H165='131-CT'!$E$7),"131",""))</f>
        <v>331</v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>x</v>
      </c>
      <c r="U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>x</v>
      </c>
      <c r="AA165" s="853"/>
      <c r="AB165" s="594"/>
      <c r="AC165" s="211"/>
      <c r="AD165" s="211"/>
    </row>
    <row r="166" spans="1:30" ht="15.75" customHeight="1">
      <c r="A166" s="204" t="str">
        <f>IF(B166&lt;&gt;"",IF(AND(B166&gt;=_TM1,B166&lt;=_TM2,OR(TH!L166="1111",TH!M166="1111")),TH!D166,""),"")</f>
        <v/>
      </c>
      <c r="B166" s="36">
        <f t="shared" si="24"/>
        <v>8</v>
      </c>
      <c r="C166" s="184">
        <f t="shared" si="25"/>
        <v>41492</v>
      </c>
      <c r="D166" s="184" t="s">
        <v>339</v>
      </c>
      <c r="E166" s="184">
        <v>41492</v>
      </c>
      <c r="F166" s="189" t="s">
        <v>341</v>
      </c>
      <c r="G166" s="604" t="s">
        <v>336</v>
      </c>
      <c r="H166" s="7" t="s">
        <v>433</v>
      </c>
      <c r="I166" s="256"/>
      <c r="J166" s="256"/>
      <c r="K166" s="602">
        <v>31257600</v>
      </c>
      <c r="L166" s="603" t="s">
        <v>24</v>
      </c>
      <c r="M166" s="603" t="s">
        <v>265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>x</v>
      </c>
      <c r="T166" s="52" t="str">
        <f>IF(ISERROR(FIND('112'!$M$9,G166,1)),"",IF((AND(RIGHT(G166,2)=RIGHT('112'!$M$9,2),B166&lt;'112'!$N$8,$M166='112'!$I$6)),"x",""))</f>
        <v/>
      </c>
      <c r="U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>x</v>
      </c>
      <c r="AA166" s="853"/>
      <c r="AB166" s="594"/>
      <c r="AC166" s="211"/>
      <c r="AD166" s="211"/>
    </row>
    <row r="167" spans="1:30" ht="15.75" customHeight="1">
      <c r="A167" s="204" t="str">
        <f>IF(B167&lt;&gt;"",IF(AND(B167&gt;=_TM1,B167&lt;=_TM2,OR(TH!L167="1111",TH!M167="1111")),TH!D167,""),"")</f>
        <v/>
      </c>
      <c r="B167" s="36">
        <f t="shared" si="24"/>
        <v>8</v>
      </c>
      <c r="C167" s="184">
        <f t="shared" si="25"/>
        <v>41493</v>
      </c>
      <c r="D167" s="184" t="s">
        <v>339</v>
      </c>
      <c r="E167" s="184">
        <v>41493</v>
      </c>
      <c r="F167" s="189" t="s">
        <v>341</v>
      </c>
      <c r="G167" s="604" t="s">
        <v>336</v>
      </c>
      <c r="H167" s="7" t="s">
        <v>536</v>
      </c>
      <c r="I167" s="256"/>
      <c r="J167" s="256"/>
      <c r="K167" s="602">
        <v>7668870</v>
      </c>
      <c r="L167" s="603" t="s">
        <v>24</v>
      </c>
      <c r="M167" s="603" t="s">
        <v>265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>x</v>
      </c>
      <c r="T167" s="52" t="str">
        <f>IF(ISERROR(FIND('112'!$M$9,G167,1)),"",IF((AND(RIGHT(G167,2)=RIGHT('112'!$M$9,2),B167&lt;'112'!$N$8,$M167='112'!$I$6)),"x",""))</f>
        <v/>
      </c>
      <c r="U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>x</v>
      </c>
      <c r="AA167" s="853"/>
      <c r="AB167" s="594"/>
      <c r="AC167" s="594"/>
      <c r="AD167" s="594"/>
    </row>
    <row r="168" spans="1:30" ht="15.75" customHeight="1">
      <c r="A168" s="204" t="str">
        <f>IF(B168&lt;&gt;"",IF(AND(B168&gt;=_TM1,B168&lt;=_TM2,OR(TH!L168="1111",TH!M168="1111")),TH!D168,""),"")</f>
        <v/>
      </c>
      <c r="B168" s="36">
        <f t="shared" si="24"/>
        <v>8</v>
      </c>
      <c r="C168" s="184">
        <f t="shared" si="25"/>
        <v>41493</v>
      </c>
      <c r="D168" s="184" t="s">
        <v>378</v>
      </c>
      <c r="E168" s="191">
        <v>41493</v>
      </c>
      <c r="F168" s="189" t="s">
        <v>502</v>
      </c>
      <c r="G168" s="604" t="s">
        <v>336</v>
      </c>
      <c r="H168" s="7" t="s">
        <v>368</v>
      </c>
      <c r="I168" s="256"/>
      <c r="J168" s="258"/>
      <c r="K168" s="602">
        <v>39000000</v>
      </c>
      <c r="L168" s="603" t="s">
        <v>47</v>
      </c>
      <c r="M168" s="603" t="s">
        <v>24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>x</v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>x</v>
      </c>
      <c r="U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>x</v>
      </c>
      <c r="AA168" s="853"/>
      <c r="AB168" s="211"/>
      <c r="AC168" s="594"/>
      <c r="AD168" s="594"/>
    </row>
    <row r="169" spans="1:30" ht="15.75" customHeight="1">
      <c r="A169" s="204" t="str">
        <f>IF(B169&lt;&gt;"",IF(AND(B169&gt;=_TM1,B169&lt;=_TM2,OR(TH!L169="1111",TH!M169="1111")),TH!D169,""),"")</f>
        <v/>
      </c>
      <c r="B169" s="36">
        <f t="shared" si="24"/>
        <v>8</v>
      </c>
      <c r="C169" s="184">
        <f t="shared" si="25"/>
        <v>41493</v>
      </c>
      <c r="D169" s="184" t="s">
        <v>384</v>
      </c>
      <c r="E169" s="191">
        <v>41493</v>
      </c>
      <c r="F169" s="189" t="s">
        <v>523</v>
      </c>
      <c r="G169" s="664" t="s">
        <v>537</v>
      </c>
      <c r="H169" s="7" t="s">
        <v>525</v>
      </c>
      <c r="I169" s="257"/>
      <c r="J169" s="258"/>
      <c r="K169" s="38">
        <v>299871</v>
      </c>
      <c r="L169" s="603" t="s">
        <v>83</v>
      </c>
      <c r="M169" s="603" t="s">
        <v>47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>x</v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>x</v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>x</v>
      </c>
      <c r="AA169" s="853"/>
      <c r="AB169" s="594"/>
      <c r="AC169" s="211"/>
      <c r="AD169" s="211"/>
    </row>
    <row r="170" spans="1:30" ht="15.75" customHeight="1">
      <c r="A170" s="204" t="str">
        <f>IF(B170&lt;&gt;"",IF(AND(B170&gt;=_TM1,B170&lt;=_TM2,OR(TH!L170="1111",TH!M170="1111")),TH!D170,""),"")</f>
        <v/>
      </c>
      <c r="B170" s="36">
        <f t="shared" si="24"/>
        <v>8</v>
      </c>
      <c r="C170" s="184">
        <f t="shared" si="25"/>
        <v>41493</v>
      </c>
      <c r="D170" s="184" t="s">
        <v>384</v>
      </c>
      <c r="E170" s="191">
        <v>41493</v>
      </c>
      <c r="F170" s="189" t="s">
        <v>526</v>
      </c>
      <c r="G170" s="664" t="s">
        <v>537</v>
      </c>
      <c r="H170" s="7" t="s">
        <v>525</v>
      </c>
      <c r="I170" s="256"/>
      <c r="J170" s="258"/>
      <c r="K170" s="602">
        <v>29987</v>
      </c>
      <c r="L170" s="603" t="s">
        <v>9</v>
      </c>
      <c r="M170" s="603" t="s">
        <v>47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>x</v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>x</v>
      </c>
      <c r="AA170" s="853"/>
      <c r="AB170" s="594">
        <v>12</v>
      </c>
      <c r="AC170" s="211"/>
      <c r="AD170" s="211"/>
    </row>
    <row r="171" spans="1:30" ht="15.75" customHeight="1">
      <c r="A171" s="204" t="str">
        <f>IF(B171&lt;&gt;"",IF(AND(B171&gt;=_TM1,B171&lt;=_TM2,OR(TH!L171="1111",TH!M171="1111")),TH!D171,""),"")</f>
        <v/>
      </c>
      <c r="B171" s="36">
        <f t="shared" si="24"/>
        <v>8</v>
      </c>
      <c r="C171" s="191">
        <f t="shared" si="25"/>
        <v>41496</v>
      </c>
      <c r="D171" s="184" t="s">
        <v>385</v>
      </c>
      <c r="E171" s="191">
        <v>41496</v>
      </c>
      <c r="F171" s="189" t="s">
        <v>438</v>
      </c>
      <c r="G171" s="487" t="s">
        <v>538</v>
      </c>
      <c r="H171" s="7" t="s">
        <v>372</v>
      </c>
      <c r="I171" s="256"/>
      <c r="J171" s="256"/>
      <c r="K171" s="602">
        <v>3900000</v>
      </c>
      <c r="L171" s="603" t="s">
        <v>165</v>
      </c>
      <c r="M171" s="603" t="s">
        <v>47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>x</v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>x</v>
      </c>
      <c r="AA171" s="853"/>
      <c r="AB171" s="594"/>
      <c r="AC171" s="211"/>
      <c r="AD171" s="211"/>
    </row>
    <row r="172" spans="1:30" ht="15.75" customHeight="1">
      <c r="A172" s="204" t="str">
        <f>IF(B172&lt;&gt;"",IF(AND(B172&gt;=_TM1,B172&lt;=_TM2,OR(TH!L172="1111",TH!M172="1111")),TH!D172,""),"")</f>
        <v/>
      </c>
      <c r="B172" s="36">
        <f t="shared" si="24"/>
        <v>8</v>
      </c>
      <c r="C172" s="191">
        <f t="shared" si="25"/>
        <v>41496</v>
      </c>
      <c r="D172" s="184" t="s">
        <v>385</v>
      </c>
      <c r="E172" s="191">
        <v>41496</v>
      </c>
      <c r="F172" s="189" t="s">
        <v>348</v>
      </c>
      <c r="G172" s="487" t="s">
        <v>538</v>
      </c>
      <c r="H172" s="7" t="s">
        <v>372</v>
      </c>
      <c r="I172" s="257"/>
      <c r="J172" s="257"/>
      <c r="K172" s="602">
        <v>390000</v>
      </c>
      <c r="L172" s="603" t="s">
        <v>9</v>
      </c>
      <c r="M172" s="603" t="s">
        <v>47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>x</v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>x</v>
      </c>
      <c r="AA172" s="853"/>
      <c r="AB172" s="211">
        <v>9</v>
      </c>
      <c r="AC172" s="211"/>
      <c r="AD172" s="211"/>
    </row>
    <row r="173" spans="1:30" ht="15.75" customHeight="1">
      <c r="A173" s="204" t="str">
        <f>IF(B173&lt;&gt;"",IF(AND(B173&gt;=_TM1,B173&lt;=_TM2,OR(TH!L173="1111",TH!M173="1111")),TH!D173,""),"")</f>
        <v/>
      </c>
      <c r="B173" s="36">
        <f t="shared" si="24"/>
        <v>8</v>
      </c>
      <c r="C173" s="184">
        <f t="shared" si="25"/>
        <v>41498</v>
      </c>
      <c r="D173" s="184" t="s">
        <v>339</v>
      </c>
      <c r="E173" s="184">
        <v>41498</v>
      </c>
      <c r="F173" s="189" t="s">
        <v>341</v>
      </c>
      <c r="G173" s="604" t="s">
        <v>336</v>
      </c>
      <c r="H173" s="7" t="s">
        <v>539</v>
      </c>
      <c r="I173" s="256"/>
      <c r="J173" s="256"/>
      <c r="K173" s="602">
        <v>13769635</v>
      </c>
      <c r="L173" s="603" t="s">
        <v>24</v>
      </c>
      <c r="M173" s="603" t="s">
        <v>265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>x</v>
      </c>
      <c r="T173" s="52" t="str">
        <f>IF(ISERROR(FIND('112'!$M$9,G173,1)),"",IF((AND(RIGHT(G173,2)=RIGHT('112'!$M$9,2),B173&lt;'112'!$N$8,$M173='112'!$I$6)),"x",""))</f>
        <v/>
      </c>
      <c r="U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>x</v>
      </c>
      <c r="AA173" s="853"/>
      <c r="AB173" s="594"/>
      <c r="AC173" s="211"/>
      <c r="AD173" s="211"/>
    </row>
    <row r="174" spans="1:30" ht="15.75" customHeight="1">
      <c r="A174" s="204" t="str">
        <f>IF(B174&lt;&gt;"",IF(AND(B174&gt;=_TM1,B174&lt;=_TM2,OR(TH!L174="1111",TH!M174="1111")),TH!D174,""),"")</f>
        <v/>
      </c>
      <c r="B174" s="36">
        <f t="shared" ref="B174:B237" si="26">IF(C174&lt;&gt;"",MONTH(C174),"")</f>
        <v>8</v>
      </c>
      <c r="C174" s="184">
        <f t="shared" si="25"/>
        <v>41500</v>
      </c>
      <c r="D174" s="184" t="s">
        <v>339</v>
      </c>
      <c r="E174" s="191">
        <v>41500</v>
      </c>
      <c r="F174" s="189" t="s">
        <v>341</v>
      </c>
      <c r="G174" s="604" t="s">
        <v>336</v>
      </c>
      <c r="H174" s="7" t="s">
        <v>539</v>
      </c>
      <c r="I174" s="257"/>
      <c r="J174" s="258"/>
      <c r="K174" s="38">
        <v>13730475</v>
      </c>
      <c r="L174" s="603" t="s">
        <v>24</v>
      </c>
      <c r="M174" s="603" t="s">
        <v>265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>x</v>
      </c>
      <c r="T174" s="52" t="str">
        <f>IF(ISERROR(FIND('112'!$M$9,G174,1)),"",IF((AND(RIGHT(G174,2)=RIGHT('112'!$M$9,2),B174&lt;'112'!$N$8,$M174='112'!$I$6)),"x",""))</f>
        <v/>
      </c>
      <c r="U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>x</v>
      </c>
      <c r="AA174" s="853"/>
      <c r="AB174" s="594"/>
      <c r="AC174" s="211"/>
      <c r="AD174" s="211"/>
    </row>
    <row r="175" spans="1:30" ht="15.75" customHeight="1">
      <c r="A175" s="204" t="str">
        <f>IF(B175&lt;&gt;"",IF(AND(B175&gt;=_TM1,B175&lt;=_TM2,OR(TH!L175="1111",TH!M175="1111")),TH!D175,""),"")</f>
        <v/>
      </c>
      <c r="B175" s="36">
        <f t="shared" si="26"/>
        <v>8</v>
      </c>
      <c r="C175" s="184">
        <f t="shared" si="25"/>
        <v>41500</v>
      </c>
      <c r="D175" s="184" t="s">
        <v>339</v>
      </c>
      <c r="E175" s="184">
        <v>41500</v>
      </c>
      <c r="F175" s="189" t="s">
        <v>341</v>
      </c>
      <c r="G175" s="604" t="s">
        <v>336</v>
      </c>
      <c r="H175" s="7" t="s">
        <v>503</v>
      </c>
      <c r="I175" s="256"/>
      <c r="J175" s="256"/>
      <c r="K175" s="38">
        <v>9614000</v>
      </c>
      <c r="L175" s="603" t="s">
        <v>24</v>
      </c>
      <c r="M175" s="603" t="s">
        <v>265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>x</v>
      </c>
      <c r="T175" s="52" t="str">
        <f>IF(ISERROR(FIND('112'!$M$9,G175,1)),"",IF((AND(RIGHT(G175,2)=RIGHT('112'!$M$9,2),B175&lt;'112'!$N$8,$M175='112'!$I$6)),"x",""))</f>
        <v/>
      </c>
      <c r="U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>x</v>
      </c>
      <c r="AA175" s="853"/>
      <c r="AB175" s="594"/>
      <c r="AC175" s="594"/>
      <c r="AD175" s="594"/>
    </row>
    <row r="176" spans="1:30" ht="15.75" customHeight="1">
      <c r="A176" s="204" t="str">
        <f>IF(B176&lt;&gt;"",IF(AND(B176&gt;=_TM1,B176&lt;=_TM2,OR(TH!L176="1111",TH!M176="1111")),TH!D176,""),"")</f>
        <v/>
      </c>
      <c r="B176" s="36">
        <f t="shared" si="26"/>
        <v>8</v>
      </c>
      <c r="C176" s="184">
        <f t="shared" si="25"/>
        <v>41501</v>
      </c>
      <c r="D176" s="184" t="s">
        <v>339</v>
      </c>
      <c r="E176" s="191">
        <v>41501</v>
      </c>
      <c r="F176" s="189" t="s">
        <v>341</v>
      </c>
      <c r="G176" s="604" t="s">
        <v>336</v>
      </c>
      <c r="H176" s="7" t="s">
        <v>501</v>
      </c>
      <c r="I176" s="257"/>
      <c r="J176" s="258"/>
      <c r="K176" s="38">
        <v>14048210</v>
      </c>
      <c r="L176" s="603" t="s">
        <v>24</v>
      </c>
      <c r="M176" s="603" t="s">
        <v>265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>x</v>
      </c>
      <c r="T176" s="52" t="str">
        <f>IF(ISERROR(FIND('112'!$M$9,G176,1)),"",IF((AND(RIGHT(G176,2)=RIGHT('112'!$M$9,2),B176&lt;'112'!$N$8,$M176='112'!$I$6)),"x",""))</f>
        <v/>
      </c>
      <c r="U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>x</v>
      </c>
      <c r="AA176" s="853"/>
      <c r="AB176" s="594"/>
      <c r="AC176" s="594"/>
      <c r="AD176" s="594"/>
    </row>
    <row r="177" spans="1:30" ht="15.75" customHeight="1">
      <c r="A177" s="204" t="str">
        <f>IF(B177&lt;&gt;"",IF(AND(B177&gt;=_TM1,B177&lt;=_TM2,OR(TH!L177="1111",TH!M177="1111")),TH!D177,""),"")</f>
        <v/>
      </c>
      <c r="B177" s="36">
        <f t="shared" si="26"/>
        <v>8</v>
      </c>
      <c r="C177" s="184">
        <f t="shared" si="25"/>
        <v>41502</v>
      </c>
      <c r="D177" s="184" t="s">
        <v>397</v>
      </c>
      <c r="E177" s="191">
        <v>41502</v>
      </c>
      <c r="F177" s="189" t="s">
        <v>502</v>
      </c>
      <c r="G177" s="604" t="s">
        <v>336</v>
      </c>
      <c r="H177" s="7" t="s">
        <v>368</v>
      </c>
      <c r="I177" s="256"/>
      <c r="J177" s="258"/>
      <c r="K177" s="38">
        <v>35600000</v>
      </c>
      <c r="L177" s="603" t="s">
        <v>47</v>
      </c>
      <c r="M177" s="603" t="s">
        <v>24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>x</v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>x</v>
      </c>
      <c r="U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>x</v>
      </c>
      <c r="AA177" s="853"/>
      <c r="AB177" s="594"/>
      <c r="AC177" s="594"/>
      <c r="AD177" s="594"/>
    </row>
    <row r="178" spans="1:30" ht="15.75" customHeight="1">
      <c r="A178" s="204" t="str">
        <f>IF(B178&lt;&gt;"",IF(AND(B178&gt;=_TM1,B178&lt;=_TM2,OR(TH!L178="1111",TH!M178="1111")),TH!D178,""),"")</f>
        <v/>
      </c>
      <c r="B178" s="36">
        <f t="shared" si="26"/>
        <v>8</v>
      </c>
      <c r="C178" s="184">
        <f t="shared" si="25"/>
        <v>41502</v>
      </c>
      <c r="D178" s="184" t="s">
        <v>340</v>
      </c>
      <c r="E178" s="191">
        <v>41502</v>
      </c>
      <c r="F178" s="189" t="s">
        <v>371</v>
      </c>
      <c r="G178" s="604" t="s">
        <v>336</v>
      </c>
      <c r="H178" s="193" t="s">
        <v>1114</v>
      </c>
      <c r="I178" s="256"/>
      <c r="J178" s="258"/>
      <c r="K178" s="602">
        <v>15500000</v>
      </c>
      <c r="L178" s="603" t="s">
        <v>8</v>
      </c>
      <c r="M178" s="603" t="s">
        <v>24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>x</v>
      </c>
      <c r="U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>x</v>
      </c>
      <c r="AA178" s="853"/>
      <c r="AB178" s="594"/>
      <c r="AC178" s="211"/>
      <c r="AD178" s="211"/>
    </row>
    <row r="179" spans="1:30" ht="15.75" customHeight="1">
      <c r="A179" s="204" t="str">
        <f>IF(B179&lt;&gt;"",IF(AND(B179&gt;=_TM1,B179&lt;=_TM2,OR(TH!L179="1111",TH!M179="1111")),TH!D179,""),"")</f>
        <v/>
      </c>
      <c r="B179" s="36">
        <f t="shared" si="26"/>
        <v>8</v>
      </c>
      <c r="C179" s="184">
        <f t="shared" si="25"/>
        <v>41502</v>
      </c>
      <c r="D179" s="184" t="s">
        <v>340</v>
      </c>
      <c r="E179" s="191">
        <v>41502</v>
      </c>
      <c r="F179" s="189" t="s">
        <v>342</v>
      </c>
      <c r="G179" s="604" t="s">
        <v>336</v>
      </c>
      <c r="H179" s="7"/>
      <c r="I179" s="256"/>
      <c r="J179" s="258"/>
      <c r="K179" s="602">
        <v>15000</v>
      </c>
      <c r="L179" s="603" t="s">
        <v>83</v>
      </c>
      <c r="M179" s="603" t="s">
        <v>24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>x</v>
      </c>
      <c r="U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>x</v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>x</v>
      </c>
      <c r="AA179" s="853"/>
      <c r="AB179" s="594"/>
      <c r="AC179" s="211"/>
      <c r="AD179" s="211"/>
    </row>
    <row r="180" spans="1:30" ht="15.75" customHeight="1">
      <c r="A180" s="204" t="str">
        <f>IF(B180&lt;&gt;"",IF(AND(B180&gt;=_TM1,B180&lt;=_TM2,OR(TH!L180="1111",TH!M180="1111")),TH!D180,""),"")</f>
        <v/>
      </c>
      <c r="B180" s="36">
        <f t="shared" si="26"/>
        <v>8</v>
      </c>
      <c r="C180" s="184">
        <f t="shared" si="25"/>
        <v>41505</v>
      </c>
      <c r="D180" s="184" t="s">
        <v>339</v>
      </c>
      <c r="E180" s="184">
        <v>41505</v>
      </c>
      <c r="F180" s="189" t="s">
        <v>341</v>
      </c>
      <c r="G180" s="604" t="s">
        <v>336</v>
      </c>
      <c r="H180" s="7" t="s">
        <v>433</v>
      </c>
      <c r="I180" s="256"/>
      <c r="J180" s="256"/>
      <c r="K180" s="602">
        <v>21154375</v>
      </c>
      <c r="L180" s="603" t="s">
        <v>24</v>
      </c>
      <c r="M180" s="603" t="s">
        <v>265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>x</v>
      </c>
      <c r="T180" s="52" t="str">
        <f>IF(ISERROR(FIND('112'!$M$9,G180,1)),"",IF((AND(RIGHT(G180,2)=RIGHT('112'!$M$9,2),B180&lt;'112'!$N$8,$M180='112'!$I$6)),"x",""))</f>
        <v/>
      </c>
      <c r="U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>x</v>
      </c>
      <c r="AA180" s="853"/>
      <c r="AB180" s="594"/>
      <c r="AC180" s="211"/>
      <c r="AD180" s="211"/>
    </row>
    <row r="181" spans="1:30" ht="15.75" customHeight="1">
      <c r="A181" s="204" t="str">
        <f>IF(B181&lt;&gt;"",IF(AND(B181&gt;=_TM1,B181&lt;=_TM2,OR(TH!L181="1111",TH!M181="1111")),TH!D181,""),"")</f>
        <v/>
      </c>
      <c r="B181" s="36">
        <f t="shared" si="26"/>
        <v>8</v>
      </c>
      <c r="C181" s="184">
        <f t="shared" si="25"/>
        <v>41507</v>
      </c>
      <c r="D181" s="184" t="s">
        <v>339</v>
      </c>
      <c r="E181" s="191">
        <v>41507</v>
      </c>
      <c r="F181" s="189" t="s">
        <v>341</v>
      </c>
      <c r="G181" s="604" t="s">
        <v>336</v>
      </c>
      <c r="H181" s="7" t="s">
        <v>539</v>
      </c>
      <c r="I181" s="257"/>
      <c r="J181" s="258"/>
      <c r="K181" s="38">
        <v>13847955</v>
      </c>
      <c r="L181" s="603" t="s">
        <v>24</v>
      </c>
      <c r="M181" s="603" t="s">
        <v>265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>x</v>
      </c>
      <c r="T181" s="52" t="str">
        <f>IF(ISERROR(FIND('112'!$M$9,G181,1)),"",IF((AND(RIGHT(G181,2)=RIGHT('112'!$M$9,2),B181&lt;'112'!$N$8,$M181='112'!$I$6)),"x",""))</f>
        <v/>
      </c>
      <c r="U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>x</v>
      </c>
      <c r="AA181" s="853"/>
      <c r="AB181" s="594"/>
    </row>
    <row r="182" spans="1:30" ht="15.75" customHeight="1">
      <c r="A182" s="204" t="str">
        <f>IF(B182&lt;&gt;"",IF(AND(B182&gt;=_TM1,B182&lt;=_TM2,OR(TH!L182="1111",TH!M182="1111")),TH!D182,""),"")</f>
        <v/>
      </c>
      <c r="B182" s="36">
        <f t="shared" si="26"/>
        <v>8</v>
      </c>
      <c r="C182" s="184">
        <f t="shared" si="25"/>
        <v>41507</v>
      </c>
      <c r="D182" s="184" t="s">
        <v>339</v>
      </c>
      <c r="E182" s="191">
        <v>41507</v>
      </c>
      <c r="F182" s="189" t="s">
        <v>341</v>
      </c>
      <c r="G182" s="604" t="s">
        <v>336</v>
      </c>
      <c r="H182" s="7" t="s">
        <v>433</v>
      </c>
      <c r="I182" s="257"/>
      <c r="J182" s="258"/>
      <c r="K182" s="38">
        <v>20625000</v>
      </c>
      <c r="L182" s="603" t="s">
        <v>24</v>
      </c>
      <c r="M182" s="603" t="s">
        <v>265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>x</v>
      </c>
      <c r="T182" s="52" t="str">
        <f>IF(ISERROR(FIND('112'!$M$9,G182,1)),"",IF((AND(RIGHT(G182,2)=RIGHT('112'!$M$9,2),B182&lt;'112'!$N$8,$M182='112'!$I$6)),"x",""))</f>
        <v/>
      </c>
      <c r="U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>x</v>
      </c>
      <c r="AA182" s="853"/>
      <c r="AB182" s="594"/>
    </row>
    <row r="183" spans="1:30" ht="15.75" customHeight="1">
      <c r="A183" s="204" t="str">
        <f>IF(B183&lt;&gt;"",IF(AND(B183&gt;=_TM1,B183&lt;=_TM2,OR(TH!L183="1111",TH!M183="1111")),TH!D183,""),"")</f>
        <v/>
      </c>
      <c r="B183" s="36">
        <f t="shared" si="26"/>
        <v>8</v>
      </c>
      <c r="C183" s="184">
        <f t="shared" si="25"/>
        <v>41509</v>
      </c>
      <c r="D183" s="184" t="s">
        <v>339</v>
      </c>
      <c r="E183" s="191">
        <v>41509</v>
      </c>
      <c r="F183" s="189" t="s">
        <v>341</v>
      </c>
      <c r="G183" s="604" t="s">
        <v>336</v>
      </c>
      <c r="H183" s="7" t="s">
        <v>540</v>
      </c>
      <c r="I183" s="257"/>
      <c r="J183" s="258"/>
      <c r="K183" s="38">
        <v>19995118</v>
      </c>
      <c r="L183" s="603" t="s">
        <v>24</v>
      </c>
      <c r="M183" s="603" t="s">
        <v>265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>x</v>
      </c>
      <c r="T183" s="52" t="str">
        <f>IF(ISERROR(FIND('112'!$M$9,G183,1)),"",IF((AND(RIGHT(G183,2)=RIGHT('112'!$M$9,2),B183&lt;'112'!$N$8,$M183='112'!$I$6)),"x",""))</f>
        <v/>
      </c>
      <c r="U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>x</v>
      </c>
      <c r="AA183" s="853"/>
      <c r="AB183" s="594"/>
    </row>
    <row r="184" spans="1:30" ht="15.75" customHeight="1">
      <c r="A184" s="204" t="str">
        <f>IF(B184&lt;&gt;"",IF(AND(B184&gt;=_TM1,B184&lt;=_TM2,OR(TH!L184="1111",TH!M184="1111")),TH!D184,""),"")</f>
        <v/>
      </c>
      <c r="B184" s="36">
        <f t="shared" si="26"/>
        <v>8</v>
      </c>
      <c r="C184" s="191">
        <f t="shared" si="25"/>
        <v>41509</v>
      </c>
      <c r="D184" s="184" t="s">
        <v>386</v>
      </c>
      <c r="E184" s="191">
        <v>41509</v>
      </c>
      <c r="F184" s="189" t="s">
        <v>438</v>
      </c>
      <c r="G184" s="487" t="s">
        <v>541</v>
      </c>
      <c r="H184" s="7" t="s">
        <v>372</v>
      </c>
      <c r="I184" s="256"/>
      <c r="J184" s="256"/>
      <c r="K184" s="602">
        <v>1000000</v>
      </c>
      <c r="L184" s="603" t="s">
        <v>165</v>
      </c>
      <c r="M184" s="603" t="s">
        <v>47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>x</v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>x</v>
      </c>
      <c r="AA184" s="853"/>
      <c r="AB184" s="594"/>
    </row>
    <row r="185" spans="1:30" ht="15.75" customHeight="1">
      <c r="A185" s="204" t="str">
        <f>IF(B185&lt;&gt;"",IF(AND(B185&gt;=_TM1,B185&lt;=_TM2,OR(TH!L185="1111",TH!M185="1111")),TH!D185,""),"")</f>
        <v/>
      </c>
      <c r="B185" s="36">
        <f t="shared" si="26"/>
        <v>8</v>
      </c>
      <c r="C185" s="191">
        <f t="shared" si="25"/>
        <v>41509</v>
      </c>
      <c r="D185" s="184" t="s">
        <v>386</v>
      </c>
      <c r="E185" s="191">
        <v>41509</v>
      </c>
      <c r="F185" s="189" t="s">
        <v>348</v>
      </c>
      <c r="G185" s="487" t="s">
        <v>541</v>
      </c>
      <c r="H185" s="7" t="s">
        <v>372</v>
      </c>
      <c r="I185" s="257"/>
      <c r="J185" s="257"/>
      <c r="K185" s="602">
        <v>100000</v>
      </c>
      <c r="L185" s="603" t="s">
        <v>9</v>
      </c>
      <c r="M185" s="603" t="s">
        <v>47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>x</v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>x</v>
      </c>
      <c r="AA185" s="853"/>
      <c r="AB185" s="211">
        <v>9</v>
      </c>
    </row>
    <row r="186" spans="1:30" ht="15.75" customHeight="1">
      <c r="A186" s="204" t="str">
        <f>IF(B186&lt;&gt;"",IF(AND(B186&gt;=_TM1,B186&lt;=_TM2,OR(TH!L186="1111",TH!M186="1111")),TH!D186,""),"")</f>
        <v/>
      </c>
      <c r="B186" s="36">
        <f t="shared" si="26"/>
        <v>8</v>
      </c>
      <c r="C186" s="184">
        <f t="shared" si="25"/>
        <v>41510</v>
      </c>
      <c r="D186" s="184" t="s">
        <v>339</v>
      </c>
      <c r="E186" s="184">
        <v>41510</v>
      </c>
      <c r="F186" s="189" t="s">
        <v>369</v>
      </c>
      <c r="G186" s="604" t="s">
        <v>336</v>
      </c>
      <c r="H186" s="7"/>
      <c r="I186" s="256"/>
      <c r="J186" s="256"/>
      <c r="K186" s="602">
        <v>20308</v>
      </c>
      <c r="L186" s="603" t="s">
        <v>24</v>
      </c>
      <c r="M186" s="603" t="s">
        <v>40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>x</v>
      </c>
      <c r="T186" s="52" t="str">
        <f>IF(ISERROR(FIND('112'!$M$9,G186,1)),"",IF((AND(RIGHT(G186,2)=RIGHT('112'!$M$9,2),B186&lt;'112'!$N$8,$M186='112'!$I$6)),"x",""))</f>
        <v/>
      </c>
      <c r="U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>x</v>
      </c>
      <c r="AA186" s="853"/>
      <c r="AB186" s="594"/>
    </row>
    <row r="187" spans="1:30" ht="15.75" customHeight="1">
      <c r="A187" s="204" t="str">
        <f>IF(B187&lt;&gt;"",IF(AND(B187&gt;=_TM1,B187&lt;=_TM2,OR(TH!L187="1111",TH!M187="1111")),TH!D187,""),"")</f>
        <v/>
      </c>
      <c r="B187" s="36">
        <f t="shared" si="26"/>
        <v>8</v>
      </c>
      <c r="C187" s="184">
        <f t="shared" si="25"/>
        <v>41512</v>
      </c>
      <c r="D187" s="184" t="s">
        <v>402</v>
      </c>
      <c r="E187" s="191">
        <v>41512</v>
      </c>
      <c r="F187" s="189" t="s">
        <v>502</v>
      </c>
      <c r="G187" s="604" t="s">
        <v>336</v>
      </c>
      <c r="H187" s="7" t="s">
        <v>368</v>
      </c>
      <c r="I187" s="256"/>
      <c r="J187" s="258"/>
      <c r="K187" s="38">
        <v>75500000</v>
      </c>
      <c r="L187" s="603" t="s">
        <v>47</v>
      </c>
      <c r="M187" s="603" t="s">
        <v>24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>x</v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>x</v>
      </c>
      <c r="U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>x</v>
      </c>
      <c r="AA187" s="853"/>
      <c r="AB187" s="594"/>
    </row>
    <row r="188" spans="1:30" ht="15.75" customHeight="1">
      <c r="A188" s="204" t="str">
        <f>IF(B188&lt;&gt;"",IF(AND(B188&gt;=_TM1,B188&lt;=_TM2,OR(TH!L188="1111",TH!M188="1111")),TH!D188,""),"")</f>
        <v/>
      </c>
      <c r="B188" s="36">
        <f t="shared" si="26"/>
        <v>8</v>
      </c>
      <c r="C188" s="184">
        <f t="shared" si="25"/>
        <v>41513</v>
      </c>
      <c r="D188" s="184" t="s">
        <v>339</v>
      </c>
      <c r="E188" s="191">
        <v>41513</v>
      </c>
      <c r="F188" s="189" t="s">
        <v>341</v>
      </c>
      <c r="G188" s="604" t="s">
        <v>336</v>
      </c>
      <c r="H188" s="7" t="s">
        <v>536</v>
      </c>
      <c r="I188" s="257"/>
      <c r="J188" s="258"/>
      <c r="K188" s="38">
        <v>16547850</v>
      </c>
      <c r="L188" s="603" t="s">
        <v>24</v>
      </c>
      <c r="M188" s="603" t="s">
        <v>265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>x</v>
      </c>
      <c r="T188" s="52" t="str">
        <f>IF(ISERROR(FIND('112'!$M$9,G188,1)),"",IF((AND(RIGHT(G188,2)=RIGHT('112'!$M$9,2),B188&lt;'112'!$N$8,$M188='112'!$I$6)),"x",""))</f>
        <v/>
      </c>
      <c r="U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>x</v>
      </c>
      <c r="AA188" s="853"/>
      <c r="AB188" s="211"/>
    </row>
    <row r="189" spans="1:30" ht="15.75" customHeight="1">
      <c r="A189" s="204" t="str">
        <f>IF(B189&lt;&gt;"",IF(AND(B189&gt;=_TM1,B189&lt;=_TM2,OR(TH!L189="1111",TH!M189="1111")),TH!D189,""),"")</f>
        <v/>
      </c>
      <c r="B189" s="36">
        <f t="shared" si="26"/>
        <v>8</v>
      </c>
      <c r="C189" s="184">
        <f t="shared" si="25"/>
        <v>41517</v>
      </c>
      <c r="D189" s="184" t="s">
        <v>468</v>
      </c>
      <c r="E189" s="191">
        <v>41517</v>
      </c>
      <c r="F189" s="189" t="s">
        <v>502</v>
      </c>
      <c r="G189" s="604" t="s">
        <v>336</v>
      </c>
      <c r="H189" s="7" t="s">
        <v>368</v>
      </c>
      <c r="I189" s="257"/>
      <c r="J189" s="258"/>
      <c r="K189" s="38">
        <v>16700000</v>
      </c>
      <c r="L189" s="603" t="s">
        <v>47</v>
      </c>
      <c r="M189" s="603" t="s">
        <v>24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>x</v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>x</v>
      </c>
      <c r="U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>x</v>
      </c>
      <c r="AA189" s="853"/>
      <c r="AB189" s="594"/>
    </row>
    <row r="190" spans="1:30" ht="15.75" customHeight="1">
      <c r="A190" s="204" t="str">
        <f>IF(B190&lt;&gt;"",IF(AND(B190&gt;=_TM1,B190&lt;=_TM2,OR(TH!L190="1111",TH!M190="1111")),TH!D190,""),"")</f>
        <v/>
      </c>
      <c r="B190" s="36">
        <f t="shared" si="26"/>
        <v>9</v>
      </c>
      <c r="C190" s="184">
        <f t="shared" si="25"/>
        <v>41522</v>
      </c>
      <c r="D190" s="184" t="s">
        <v>387</v>
      </c>
      <c r="E190" s="191">
        <v>41522</v>
      </c>
      <c r="F190" s="189" t="s">
        <v>523</v>
      </c>
      <c r="G190" s="664" t="s">
        <v>542</v>
      </c>
      <c r="H190" s="7" t="s">
        <v>525</v>
      </c>
      <c r="I190" s="257"/>
      <c r="J190" s="258"/>
      <c r="K190" s="38">
        <f>103476+347925</f>
        <v>451401</v>
      </c>
      <c r="L190" s="603" t="s">
        <v>83</v>
      </c>
      <c r="M190" s="603" t="s">
        <v>47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>x</v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>x</v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>x</v>
      </c>
      <c r="AA190" s="853"/>
      <c r="AB190" s="594"/>
      <c r="AC190" s="211"/>
      <c r="AD190" s="211"/>
    </row>
    <row r="191" spans="1:30" ht="15.75" customHeight="1">
      <c r="A191" s="204" t="str">
        <f>IF(B191&lt;&gt;"",IF(AND(B191&gt;=_TM1,B191&lt;=_TM2,OR(TH!L191="1111",TH!M191="1111")),TH!D191,""),"")</f>
        <v/>
      </c>
      <c r="B191" s="36">
        <f t="shared" si="26"/>
        <v>9</v>
      </c>
      <c r="C191" s="184">
        <f t="shared" si="25"/>
        <v>41522</v>
      </c>
      <c r="D191" s="184" t="s">
        <v>387</v>
      </c>
      <c r="E191" s="191">
        <v>41522</v>
      </c>
      <c r="F191" s="189" t="s">
        <v>526</v>
      </c>
      <c r="G191" s="664" t="s">
        <v>542</v>
      </c>
      <c r="H191" s="7" t="s">
        <v>525</v>
      </c>
      <c r="I191" s="257"/>
      <c r="J191" s="258"/>
      <c r="K191" s="38">
        <f>10347+34792</f>
        <v>45139</v>
      </c>
      <c r="L191" s="603" t="s">
        <v>9</v>
      </c>
      <c r="M191" s="603" t="s">
        <v>47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>x</v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>x</v>
      </c>
      <c r="AA191" s="853"/>
      <c r="AB191" s="594">
        <v>12</v>
      </c>
      <c r="AC191" s="211"/>
      <c r="AD191" s="211"/>
    </row>
    <row r="192" spans="1:30" ht="15.75" customHeight="1">
      <c r="A192" s="204" t="str">
        <f>IF(B192&lt;&gt;"",IF(AND(B192&gt;=_TM1,B192&lt;=_TM2,OR(TH!L192="1111",TH!M192="1111")),TH!D192,""),"")</f>
        <v/>
      </c>
      <c r="B192" s="36">
        <f t="shared" si="26"/>
        <v>9</v>
      </c>
      <c r="C192" s="184">
        <f t="shared" si="25"/>
        <v>41526</v>
      </c>
      <c r="D192" s="184" t="s">
        <v>339</v>
      </c>
      <c r="E192" s="191">
        <v>41526</v>
      </c>
      <c r="F192" s="189" t="s">
        <v>341</v>
      </c>
      <c r="G192" s="604" t="s">
        <v>336</v>
      </c>
      <c r="H192" s="7" t="s">
        <v>536</v>
      </c>
      <c r="I192" s="257"/>
      <c r="J192" s="258"/>
      <c r="K192" s="38">
        <v>17307400</v>
      </c>
      <c r="L192" s="603" t="s">
        <v>24</v>
      </c>
      <c r="M192" s="603" t="s">
        <v>265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>x</v>
      </c>
      <c r="T192" s="52" t="str">
        <f>IF(ISERROR(FIND('112'!$M$9,G192,1)),"",IF((AND(RIGHT(G192,2)=RIGHT('112'!$M$9,2),B192&lt;'112'!$N$8,$M192='112'!$I$6)),"x",""))</f>
        <v/>
      </c>
      <c r="U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>x</v>
      </c>
      <c r="AA192" s="853"/>
      <c r="AB192" s="211"/>
      <c r="AC192" s="211"/>
      <c r="AD192" s="211"/>
    </row>
    <row r="193" spans="1:30" ht="15.75" customHeight="1">
      <c r="A193" s="204" t="str">
        <f>IF(B193&lt;&gt;"",IF(AND(B193&gt;=_TM1,B193&lt;=_TM2,OR(TH!L193="1111",TH!M193="1111")),TH!D193,""),"")</f>
        <v/>
      </c>
      <c r="B193" s="36">
        <f t="shared" si="26"/>
        <v>9</v>
      </c>
      <c r="C193" s="184">
        <f t="shared" si="25"/>
        <v>41528</v>
      </c>
      <c r="D193" s="184" t="s">
        <v>339</v>
      </c>
      <c r="E193" s="184">
        <v>41528</v>
      </c>
      <c r="F193" s="189" t="s">
        <v>341</v>
      </c>
      <c r="G193" s="604" t="s">
        <v>336</v>
      </c>
      <c r="H193" s="7" t="s">
        <v>539</v>
      </c>
      <c r="I193" s="256"/>
      <c r="J193" s="256"/>
      <c r="K193" s="602">
        <v>11550000</v>
      </c>
      <c r="L193" s="603" t="s">
        <v>24</v>
      </c>
      <c r="M193" s="603" t="s">
        <v>265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>x</v>
      </c>
      <c r="T193" s="52" t="str">
        <f>IF(ISERROR(FIND('112'!$M$9,G193,1)),"",IF((AND(RIGHT(G193,2)=RIGHT('112'!$M$9,2),B193&lt;'112'!$N$8,$M193='112'!$I$6)),"x",""))</f>
        <v/>
      </c>
      <c r="U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>x</v>
      </c>
      <c r="AA193" s="853"/>
      <c r="AB193" s="702"/>
    </row>
    <row r="194" spans="1:30" ht="15.75" customHeight="1">
      <c r="A194" s="204" t="str">
        <f>IF(B194&lt;&gt;"",IF(AND(B194&gt;=_TM1,B194&lt;=_TM2,OR(TH!L194="1111",TH!M194="1111")),TH!D194,""),"")</f>
        <v/>
      </c>
      <c r="B194" s="36">
        <f t="shared" si="26"/>
        <v>9</v>
      </c>
      <c r="C194" s="184">
        <f t="shared" ref="C194:C257" si="27">E194</f>
        <v>41528</v>
      </c>
      <c r="D194" s="184" t="s">
        <v>478</v>
      </c>
      <c r="E194" s="191">
        <v>41528</v>
      </c>
      <c r="F194" s="189" t="s">
        <v>502</v>
      </c>
      <c r="G194" s="604" t="s">
        <v>336</v>
      </c>
      <c r="H194" s="7" t="s">
        <v>368</v>
      </c>
      <c r="I194" s="257"/>
      <c r="J194" s="258"/>
      <c r="K194" s="38">
        <v>28800000</v>
      </c>
      <c r="L194" s="603" t="s">
        <v>47</v>
      </c>
      <c r="M194" s="603" t="s">
        <v>24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>x</v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>x</v>
      </c>
      <c r="U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>x</v>
      </c>
      <c r="AA194" s="853"/>
      <c r="AB194" s="594"/>
    </row>
    <row r="195" spans="1:30" ht="15.75" customHeight="1">
      <c r="A195" s="204" t="str">
        <f>IF(B195&lt;&gt;"",IF(AND(B195&gt;=_TM1,B195&lt;=_TM2,OR(TH!L195="1111",TH!M195="1111")),TH!D195,""),"")</f>
        <v/>
      </c>
      <c r="B195" s="36">
        <f t="shared" si="26"/>
        <v>9</v>
      </c>
      <c r="C195" s="184">
        <f t="shared" si="27"/>
        <v>41533</v>
      </c>
      <c r="D195" s="184" t="s">
        <v>339</v>
      </c>
      <c r="E195" s="184">
        <v>41533</v>
      </c>
      <c r="F195" s="189" t="s">
        <v>341</v>
      </c>
      <c r="G195" s="604" t="s">
        <v>336</v>
      </c>
      <c r="H195" s="7" t="s">
        <v>432</v>
      </c>
      <c r="I195" s="256"/>
      <c r="J195" s="256"/>
      <c r="K195" s="602">
        <v>3068120</v>
      </c>
      <c r="L195" s="603" t="s">
        <v>24</v>
      </c>
      <c r="M195" s="603" t="s">
        <v>265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>x</v>
      </c>
      <c r="T195" s="52" t="str">
        <f>IF(ISERROR(FIND('112'!$M$9,G195,1)),"",IF((AND(RIGHT(G195,2)=RIGHT('112'!$M$9,2),B195&lt;'112'!$N$8,$M195='112'!$I$6)),"x",""))</f>
        <v/>
      </c>
      <c r="U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>x</v>
      </c>
      <c r="AA195" s="853"/>
      <c r="AB195" s="594"/>
    </row>
    <row r="196" spans="1:30" ht="15.75" customHeight="1">
      <c r="A196" s="204" t="str">
        <f>IF(B196&lt;&gt;"",IF(AND(B196&gt;=_TM1,B196&lt;=_TM2,OR(TH!L196="1111",TH!M196="1111")),TH!D196,""),"")</f>
        <v/>
      </c>
      <c r="B196" s="36">
        <f t="shared" si="26"/>
        <v>9</v>
      </c>
      <c r="C196" s="184">
        <f t="shared" si="27"/>
        <v>41534</v>
      </c>
      <c r="D196" s="184" t="s">
        <v>339</v>
      </c>
      <c r="E196" s="184">
        <v>41534</v>
      </c>
      <c r="F196" s="189" t="s">
        <v>341</v>
      </c>
      <c r="G196" s="604" t="s">
        <v>336</v>
      </c>
      <c r="H196" s="7" t="s">
        <v>543</v>
      </c>
      <c r="I196" s="256"/>
      <c r="J196" s="256"/>
      <c r="K196" s="602">
        <v>18409413</v>
      </c>
      <c r="L196" s="603" t="s">
        <v>24</v>
      </c>
      <c r="M196" s="603" t="s">
        <v>265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>x</v>
      </c>
      <c r="T196" s="52" t="str">
        <f>IF(ISERROR(FIND('112'!$M$9,G196,1)),"",IF((AND(RIGHT(G196,2)=RIGHT('112'!$M$9,2),B196&lt;'112'!$N$8,$M196='112'!$I$6)),"x",""))</f>
        <v/>
      </c>
      <c r="U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>x</v>
      </c>
      <c r="AA196" s="853"/>
      <c r="AB196" s="594"/>
    </row>
    <row r="197" spans="1:30" ht="15.75" customHeight="1">
      <c r="A197" s="204" t="str">
        <f>IF(B197&lt;&gt;"",IF(AND(B197&gt;=_TM1,B197&lt;=_TM2,OR(TH!L197="1111",TH!M197="1111")),TH!D197,""),"")</f>
        <v/>
      </c>
      <c r="B197" s="36">
        <f t="shared" si="26"/>
        <v>9</v>
      </c>
      <c r="C197" s="184">
        <f t="shared" si="27"/>
        <v>41535</v>
      </c>
      <c r="D197" s="184" t="s">
        <v>339</v>
      </c>
      <c r="E197" s="184">
        <v>41535</v>
      </c>
      <c r="F197" s="189" t="s">
        <v>341</v>
      </c>
      <c r="G197" s="604" t="s">
        <v>336</v>
      </c>
      <c r="H197" s="7" t="s">
        <v>433</v>
      </c>
      <c r="I197" s="256"/>
      <c r="J197" s="256"/>
      <c r="K197" s="602">
        <v>13681250</v>
      </c>
      <c r="L197" s="603" t="s">
        <v>24</v>
      </c>
      <c r="M197" s="603" t="s">
        <v>265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>x</v>
      </c>
      <c r="T197" s="52" t="str">
        <f>IF(ISERROR(FIND('112'!$M$9,G197,1)),"",IF((AND(RIGHT(G197,2)=RIGHT('112'!$M$9,2),B197&lt;'112'!$N$8,$M197='112'!$I$6)),"x",""))</f>
        <v/>
      </c>
      <c r="U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>x</v>
      </c>
      <c r="AA197" s="853"/>
      <c r="AB197" s="594"/>
    </row>
    <row r="198" spans="1:30" ht="15.75" customHeight="1">
      <c r="A198" s="204" t="str">
        <f>IF(B198&lt;&gt;"",IF(AND(B198&gt;=_TM1,B198&lt;=_TM2,OR(TH!L198="1111",TH!M198="1111")),TH!D198,""),"")</f>
        <v/>
      </c>
      <c r="B198" s="36">
        <f t="shared" si="26"/>
        <v>9</v>
      </c>
      <c r="C198" s="184">
        <f t="shared" si="27"/>
        <v>41535</v>
      </c>
      <c r="D198" s="184" t="s">
        <v>474</v>
      </c>
      <c r="E198" s="191">
        <v>41535</v>
      </c>
      <c r="F198" s="189" t="s">
        <v>502</v>
      </c>
      <c r="G198" s="604" t="s">
        <v>336</v>
      </c>
      <c r="H198" s="7" t="s">
        <v>368</v>
      </c>
      <c r="I198" s="256"/>
      <c r="J198" s="258"/>
      <c r="K198" s="602">
        <v>21500000</v>
      </c>
      <c r="L198" s="603" t="s">
        <v>47</v>
      </c>
      <c r="M198" s="603" t="s">
        <v>24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>x</v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>x</v>
      </c>
      <c r="U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>x</v>
      </c>
      <c r="AA198" s="853"/>
      <c r="AB198" s="594"/>
    </row>
    <row r="199" spans="1:30" ht="15.75" customHeight="1">
      <c r="A199" s="204" t="str">
        <f>IF(B199&lt;&gt;"",IF(AND(B199&gt;=_TM1,B199&lt;=_TM2,OR(TH!L199="1111",TH!M199="1111")),TH!D199,""),"")</f>
        <v/>
      </c>
      <c r="B199" s="36">
        <f t="shared" si="26"/>
        <v>9</v>
      </c>
      <c r="C199" s="184">
        <f t="shared" si="27"/>
        <v>41536</v>
      </c>
      <c r="D199" s="184" t="s">
        <v>339</v>
      </c>
      <c r="E199" s="191">
        <v>41536</v>
      </c>
      <c r="F199" s="189" t="s">
        <v>341</v>
      </c>
      <c r="G199" s="604" t="s">
        <v>336</v>
      </c>
      <c r="H199" s="7" t="s">
        <v>544</v>
      </c>
      <c r="I199" s="257"/>
      <c r="J199" s="258"/>
      <c r="K199" s="38">
        <v>12547810</v>
      </c>
      <c r="L199" s="603" t="s">
        <v>24</v>
      </c>
      <c r="M199" s="603" t="s">
        <v>265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>x</v>
      </c>
      <c r="T199" s="52" t="str">
        <f>IF(ISERROR(FIND('112'!$M$9,G199,1)),"",IF((AND(RIGHT(G199,2)=RIGHT('112'!$M$9,2),B199&lt;'112'!$N$8,$M199='112'!$I$6)),"x",""))</f>
        <v/>
      </c>
      <c r="U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>x</v>
      </c>
      <c r="AA199" s="853"/>
      <c r="AB199" s="211"/>
    </row>
    <row r="200" spans="1:30" ht="15.75" customHeight="1">
      <c r="A200" s="204" t="str">
        <f>IF(B200&lt;&gt;"",IF(AND(B200&gt;=_TM1,B200&lt;=_TM2,OR(TH!L200="1111",TH!M200="1111")),TH!D200,""),"")</f>
        <v/>
      </c>
      <c r="B200" s="36">
        <f t="shared" si="26"/>
        <v>9</v>
      </c>
      <c r="C200" s="184">
        <f t="shared" si="27"/>
        <v>41537</v>
      </c>
      <c r="D200" s="184" t="s">
        <v>475</v>
      </c>
      <c r="E200" s="191">
        <v>41537</v>
      </c>
      <c r="F200" s="189" t="s">
        <v>502</v>
      </c>
      <c r="G200" s="604" t="s">
        <v>336</v>
      </c>
      <c r="H200" s="7" t="s">
        <v>368</v>
      </c>
      <c r="I200" s="256"/>
      <c r="J200" s="258"/>
      <c r="K200" s="602">
        <v>26000000</v>
      </c>
      <c r="L200" s="603" t="s">
        <v>47</v>
      </c>
      <c r="M200" s="603" t="s">
        <v>24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>x</v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>x</v>
      </c>
      <c r="U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>x</v>
      </c>
      <c r="AA200" s="853"/>
      <c r="AB200" s="594"/>
    </row>
    <row r="201" spans="1:30" ht="15.75" customHeight="1">
      <c r="A201" s="204" t="str">
        <f>IF(B201&lt;&gt;"",IF(AND(B201&gt;=_TM1,B201&lt;=_TM2,OR(TH!L201="1111",TH!M201="1111")),TH!D201,""),"")</f>
        <v/>
      </c>
      <c r="B201" s="36">
        <f t="shared" si="26"/>
        <v>9</v>
      </c>
      <c r="C201" s="191">
        <f t="shared" si="27"/>
        <v>41540</v>
      </c>
      <c r="D201" s="184" t="s">
        <v>394</v>
      </c>
      <c r="E201" s="191">
        <v>41540</v>
      </c>
      <c r="F201" s="189" t="s">
        <v>438</v>
      </c>
      <c r="G201" s="487" t="s">
        <v>545</v>
      </c>
      <c r="H201" s="7" t="s">
        <v>372</v>
      </c>
      <c r="I201" s="256"/>
      <c r="J201" s="256"/>
      <c r="K201" s="602">
        <v>1680000</v>
      </c>
      <c r="L201" s="603" t="s">
        <v>165</v>
      </c>
      <c r="M201" s="603" t="s">
        <v>47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>x</v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>x</v>
      </c>
      <c r="AA201" s="853"/>
      <c r="AB201" s="211"/>
      <c r="AC201" s="594"/>
      <c r="AD201" s="594"/>
    </row>
    <row r="202" spans="1:30" ht="15.75" customHeight="1">
      <c r="A202" s="204" t="str">
        <f>IF(B202&lt;&gt;"",IF(AND(B202&gt;=_TM1,B202&lt;=_TM2,OR(TH!L202="1111",TH!M202="1111")),TH!D202,""),"")</f>
        <v/>
      </c>
      <c r="B202" s="36">
        <f t="shared" si="26"/>
        <v>9</v>
      </c>
      <c r="C202" s="191">
        <f t="shared" si="27"/>
        <v>41540</v>
      </c>
      <c r="D202" s="184" t="s">
        <v>394</v>
      </c>
      <c r="E202" s="191">
        <v>41540</v>
      </c>
      <c r="F202" s="189" t="s">
        <v>348</v>
      </c>
      <c r="G202" s="487" t="s">
        <v>545</v>
      </c>
      <c r="H202" s="7" t="s">
        <v>372</v>
      </c>
      <c r="I202" s="257"/>
      <c r="J202" s="257"/>
      <c r="K202" s="602">
        <v>168000</v>
      </c>
      <c r="L202" s="603" t="s">
        <v>9</v>
      </c>
      <c r="M202" s="603" t="s">
        <v>47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>x</v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>x</v>
      </c>
      <c r="AA202" s="853"/>
      <c r="AB202" s="211">
        <v>9</v>
      </c>
      <c r="AC202" s="594"/>
      <c r="AD202" s="211"/>
    </row>
    <row r="203" spans="1:30" ht="15.75" customHeight="1">
      <c r="A203" s="204" t="str">
        <f>IF(B203&lt;&gt;"",IF(AND(B203&gt;=_TM1,B203&lt;=_TM2,OR(TH!L203="1111",TH!M203="1111")),TH!D203,""),"")</f>
        <v/>
      </c>
      <c r="B203" s="36">
        <f t="shared" si="26"/>
        <v>9</v>
      </c>
      <c r="C203" s="184">
        <f t="shared" si="27"/>
        <v>41541</v>
      </c>
      <c r="D203" s="184" t="s">
        <v>339</v>
      </c>
      <c r="E203" s="184">
        <v>41541</v>
      </c>
      <c r="F203" s="189" t="s">
        <v>341</v>
      </c>
      <c r="G203" s="604" t="s">
        <v>336</v>
      </c>
      <c r="H203" s="7" t="s">
        <v>539</v>
      </c>
      <c r="I203" s="256"/>
      <c r="J203" s="256"/>
      <c r="K203" s="602">
        <v>12642630</v>
      </c>
      <c r="L203" s="603" t="s">
        <v>24</v>
      </c>
      <c r="M203" s="603" t="s">
        <v>265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>x</v>
      </c>
      <c r="T203" s="52" t="str">
        <f>IF(ISERROR(FIND('112'!$M$9,G203,1)),"",IF((AND(RIGHT(G203,2)=RIGHT('112'!$M$9,2),B203&lt;'112'!$N$8,$M203='112'!$I$6)),"x",""))</f>
        <v/>
      </c>
      <c r="U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>x</v>
      </c>
      <c r="AA203" s="853"/>
      <c r="AB203" s="211"/>
      <c r="AC203" s="594"/>
      <c r="AD203" s="594"/>
    </row>
    <row r="204" spans="1:30" ht="15.75" customHeight="1">
      <c r="A204" s="204" t="str">
        <f>IF(B204&lt;&gt;"",IF(AND(B204&gt;=_TM1,B204&lt;=_TM2,OR(TH!L204="1111",TH!M204="1111")),TH!D204,""),"")</f>
        <v/>
      </c>
      <c r="B204" s="36">
        <f t="shared" si="26"/>
        <v>9</v>
      </c>
      <c r="C204" s="184">
        <f t="shared" si="27"/>
        <v>41542</v>
      </c>
      <c r="D204" s="184" t="s">
        <v>339</v>
      </c>
      <c r="E204" s="191">
        <v>41542</v>
      </c>
      <c r="F204" s="189" t="s">
        <v>369</v>
      </c>
      <c r="G204" s="604" t="s">
        <v>336</v>
      </c>
      <c r="H204" s="7"/>
      <c r="I204" s="257"/>
      <c r="J204" s="258"/>
      <c r="K204" s="38">
        <v>6004</v>
      </c>
      <c r="L204" s="603" t="s">
        <v>24</v>
      </c>
      <c r="M204" s="603" t="s">
        <v>40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>x</v>
      </c>
      <c r="T204" s="52" t="str">
        <f>IF(ISERROR(FIND('112'!$M$9,G204,1)),"",IF((AND(RIGHT(G204,2)=RIGHT('112'!$M$9,2),B204&lt;'112'!$N$8,$M204='112'!$I$6)),"x",""))</f>
        <v/>
      </c>
      <c r="U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>x</v>
      </c>
      <c r="AA204" s="853"/>
      <c r="AB204" s="211"/>
      <c r="AC204" s="211"/>
      <c r="AD204" s="211"/>
    </row>
    <row r="205" spans="1:30" ht="15.75" customHeight="1">
      <c r="A205" s="204" t="str">
        <f>IF(B205&lt;&gt;"",IF(AND(B205&gt;=_TM1,B205&lt;=_TM2,OR(TH!L205="1111",TH!M205="1111")),TH!D205,""),"")</f>
        <v/>
      </c>
      <c r="B205" s="36">
        <f t="shared" si="26"/>
        <v>9</v>
      </c>
      <c r="C205" s="184">
        <f t="shared" si="27"/>
        <v>41542</v>
      </c>
      <c r="D205" s="184" t="s">
        <v>476</v>
      </c>
      <c r="E205" s="191">
        <v>41542</v>
      </c>
      <c r="F205" s="189" t="s">
        <v>502</v>
      </c>
      <c r="G205" s="604" t="s">
        <v>336</v>
      </c>
      <c r="H205" s="7" t="s">
        <v>368</v>
      </c>
      <c r="I205" s="257"/>
      <c r="J205" s="258"/>
      <c r="K205" s="602">
        <v>12900000</v>
      </c>
      <c r="L205" s="603" t="s">
        <v>47</v>
      </c>
      <c r="M205" s="603" t="s">
        <v>24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>x</v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>x</v>
      </c>
      <c r="U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>x</v>
      </c>
      <c r="AA205" s="853"/>
      <c r="AB205" s="594"/>
      <c r="AC205" s="211"/>
      <c r="AD205" s="211"/>
    </row>
    <row r="206" spans="1:30" ht="15.75" customHeight="1">
      <c r="A206" s="204" t="str">
        <f>IF(B206&lt;&gt;"",IF(AND(B206&gt;=_TM1,B206&lt;=_TM2,OR(TH!L206="1111",TH!M206="1111")),TH!D206,""),"")</f>
        <v/>
      </c>
      <c r="B206" s="36">
        <f t="shared" si="26"/>
        <v>9</v>
      </c>
      <c r="C206" s="191">
        <f t="shared" si="27"/>
        <v>41543</v>
      </c>
      <c r="D206" s="184" t="s">
        <v>395</v>
      </c>
      <c r="E206" s="191">
        <v>41543</v>
      </c>
      <c r="F206" s="189" t="s">
        <v>438</v>
      </c>
      <c r="G206" s="487" t="s">
        <v>546</v>
      </c>
      <c r="H206" s="7" t="s">
        <v>372</v>
      </c>
      <c r="I206" s="256"/>
      <c r="J206" s="256"/>
      <c r="K206" s="602">
        <v>4020000</v>
      </c>
      <c r="L206" s="603" t="s">
        <v>165</v>
      </c>
      <c r="M206" s="603" t="s">
        <v>47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>x</v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>x</v>
      </c>
      <c r="AA206" s="853"/>
      <c r="AB206" s="211"/>
      <c r="AC206" s="211"/>
      <c r="AD206" s="211"/>
    </row>
    <row r="207" spans="1:30" ht="15.75" customHeight="1">
      <c r="A207" s="204" t="str">
        <f>IF(B207&lt;&gt;"",IF(AND(B207&gt;=_TM1,B207&lt;=_TM2,OR(TH!L207="1111",TH!M207="1111")),TH!D207,""),"")</f>
        <v/>
      </c>
      <c r="B207" s="36">
        <f t="shared" si="26"/>
        <v>9</v>
      </c>
      <c r="C207" s="191">
        <f t="shared" si="27"/>
        <v>41543</v>
      </c>
      <c r="D207" s="184" t="s">
        <v>395</v>
      </c>
      <c r="E207" s="191">
        <v>41543</v>
      </c>
      <c r="F207" s="189" t="s">
        <v>348</v>
      </c>
      <c r="G207" s="487" t="s">
        <v>546</v>
      </c>
      <c r="H207" s="7" t="s">
        <v>372</v>
      </c>
      <c r="I207" s="257"/>
      <c r="J207" s="257"/>
      <c r="K207" s="602">
        <v>402000</v>
      </c>
      <c r="L207" s="603" t="s">
        <v>9</v>
      </c>
      <c r="M207" s="603" t="s">
        <v>47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>x</v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>x</v>
      </c>
      <c r="AA207" s="853"/>
      <c r="AB207" s="211">
        <v>9</v>
      </c>
      <c r="AC207" s="594"/>
      <c r="AD207" s="594"/>
    </row>
    <row r="208" spans="1:30" ht="15.75" customHeight="1">
      <c r="A208" s="204" t="str">
        <f>IF(B208&lt;&gt;"",IF(AND(B208&gt;=_TM1,B208&lt;=_TM2,OR(TH!L208="1111",TH!M208="1111")),TH!D208,""),"")</f>
        <v/>
      </c>
      <c r="B208" s="36">
        <f t="shared" si="26"/>
        <v>9</v>
      </c>
      <c r="C208" s="191">
        <f t="shared" si="27"/>
        <v>41544</v>
      </c>
      <c r="D208" s="184" t="s">
        <v>396</v>
      </c>
      <c r="E208" s="191">
        <v>41544</v>
      </c>
      <c r="F208" s="189" t="s">
        <v>438</v>
      </c>
      <c r="G208" s="487" t="s">
        <v>547</v>
      </c>
      <c r="H208" s="7" t="s">
        <v>372</v>
      </c>
      <c r="I208" s="256"/>
      <c r="J208" s="256"/>
      <c r="K208" s="602">
        <v>3920000</v>
      </c>
      <c r="L208" s="603" t="s">
        <v>165</v>
      </c>
      <c r="M208" s="603" t="s">
        <v>47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>x</v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>x</v>
      </c>
      <c r="AA208" s="853"/>
      <c r="AB208" s="211"/>
    </row>
    <row r="209" spans="1:30" ht="15.75" customHeight="1">
      <c r="A209" s="204" t="str">
        <f>IF(B209&lt;&gt;"",IF(AND(B209&gt;=_TM1,B209&lt;=_TM2,OR(TH!L209="1111",TH!M209="1111")),TH!D209,""),"")</f>
        <v/>
      </c>
      <c r="B209" s="36">
        <f t="shared" si="26"/>
        <v>9</v>
      </c>
      <c r="C209" s="191">
        <f t="shared" si="27"/>
        <v>41544</v>
      </c>
      <c r="D209" s="184" t="s">
        <v>396</v>
      </c>
      <c r="E209" s="191">
        <v>41544</v>
      </c>
      <c r="F209" s="189" t="s">
        <v>348</v>
      </c>
      <c r="G209" s="487" t="s">
        <v>547</v>
      </c>
      <c r="H209" s="7" t="s">
        <v>372</v>
      </c>
      <c r="I209" s="257"/>
      <c r="J209" s="257"/>
      <c r="K209" s="602">
        <v>392000</v>
      </c>
      <c r="L209" s="603" t="s">
        <v>9</v>
      </c>
      <c r="M209" s="603" t="s">
        <v>47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>x</v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>x</v>
      </c>
      <c r="AA209" s="853"/>
      <c r="AB209" s="594">
        <v>9</v>
      </c>
    </row>
    <row r="210" spans="1:30" ht="15.75" customHeight="1">
      <c r="A210" s="204" t="str">
        <f>IF(B210&lt;&gt;"",IF(AND(B210&gt;=_TM1,B210&lt;=_TM2,OR(TH!L210="1111",TH!M210="1111")),TH!D210,""),"")</f>
        <v/>
      </c>
      <c r="B210" s="36">
        <f t="shared" si="26"/>
        <v>9</v>
      </c>
      <c r="C210" s="184">
        <f t="shared" si="27"/>
        <v>41547</v>
      </c>
      <c r="D210" s="184" t="s">
        <v>339</v>
      </c>
      <c r="E210" s="191">
        <v>41547</v>
      </c>
      <c r="F210" s="189" t="s">
        <v>341</v>
      </c>
      <c r="G210" s="604" t="s">
        <v>336</v>
      </c>
      <c r="H210" s="7" t="s">
        <v>539</v>
      </c>
      <c r="I210" s="257"/>
      <c r="J210" s="258"/>
      <c r="K210" s="38">
        <v>14819200</v>
      </c>
      <c r="L210" s="603" t="s">
        <v>24</v>
      </c>
      <c r="M210" s="603" t="s">
        <v>265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>x</v>
      </c>
      <c r="T210" s="52" t="str">
        <f>IF(ISERROR(FIND('112'!$M$9,G210,1)),"",IF((AND(RIGHT(G210,2)=RIGHT('112'!$M$9,2),B210&lt;'112'!$N$8,$M210='112'!$I$6)),"x",""))</f>
        <v/>
      </c>
      <c r="U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>x</v>
      </c>
      <c r="AA210" s="853"/>
      <c r="AB210" s="211"/>
    </row>
    <row r="211" spans="1:30" ht="15.75" customHeight="1">
      <c r="A211" s="204" t="str">
        <f>IF(B211&lt;&gt;"",IF(AND(B211&gt;=_TM1,B211&lt;=_TM2,OR(TH!L211="1111",TH!M211="1111")),TH!D211,""),"")</f>
        <v/>
      </c>
      <c r="B211" s="36">
        <f t="shared" si="26"/>
        <v>9</v>
      </c>
      <c r="C211" s="191">
        <f t="shared" si="27"/>
        <v>41547</v>
      </c>
      <c r="D211" s="184" t="s">
        <v>398</v>
      </c>
      <c r="E211" s="191">
        <v>41547</v>
      </c>
      <c r="F211" s="189" t="s">
        <v>438</v>
      </c>
      <c r="G211" s="487" t="s">
        <v>548</v>
      </c>
      <c r="H211" s="7" t="s">
        <v>372</v>
      </c>
      <c r="I211" s="256"/>
      <c r="J211" s="256"/>
      <c r="K211" s="602">
        <v>1520000</v>
      </c>
      <c r="L211" s="603" t="s">
        <v>165</v>
      </c>
      <c r="M211" s="603" t="s">
        <v>47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>x</v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>x</v>
      </c>
      <c r="AA211" s="853"/>
      <c r="AB211" s="211"/>
    </row>
    <row r="212" spans="1:30" ht="15.75" customHeight="1">
      <c r="A212" s="204" t="str">
        <f>IF(B212&lt;&gt;"",IF(AND(B212&gt;=_TM1,B212&lt;=_TM2,OR(TH!L212="1111",TH!M212="1111")),TH!D212,""),"")</f>
        <v/>
      </c>
      <c r="B212" s="36">
        <f t="shared" si="26"/>
        <v>9</v>
      </c>
      <c r="C212" s="191">
        <f t="shared" si="27"/>
        <v>41547</v>
      </c>
      <c r="D212" s="184" t="s">
        <v>398</v>
      </c>
      <c r="E212" s="191">
        <v>41547</v>
      </c>
      <c r="F212" s="189" t="s">
        <v>348</v>
      </c>
      <c r="G212" s="487" t="s">
        <v>548</v>
      </c>
      <c r="H212" s="7" t="s">
        <v>372</v>
      </c>
      <c r="I212" s="257"/>
      <c r="J212" s="257"/>
      <c r="K212" s="602">
        <v>152000</v>
      </c>
      <c r="L212" s="603" t="s">
        <v>9</v>
      </c>
      <c r="M212" s="603" t="s">
        <v>47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>x</v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>x</v>
      </c>
      <c r="AA212" s="853"/>
      <c r="AB212" s="594">
        <v>9</v>
      </c>
    </row>
    <row r="213" spans="1:30" ht="15.75" customHeight="1">
      <c r="A213" s="204" t="str">
        <f>IF(B213&lt;&gt;"",IF(AND(B213&gt;=_TM1,B213&lt;=_TM2,OR(TH!L213="1111",TH!M213="1111")),TH!D213,""),"")</f>
        <v>C01</v>
      </c>
      <c r="B213" s="36">
        <f t="shared" si="26"/>
        <v>10</v>
      </c>
      <c r="C213" s="184">
        <f t="shared" si="27"/>
        <v>41549</v>
      </c>
      <c r="D213" s="184" t="s">
        <v>379</v>
      </c>
      <c r="E213" s="191">
        <v>41549</v>
      </c>
      <c r="F213" s="189" t="s">
        <v>523</v>
      </c>
      <c r="G213" s="664" t="s">
        <v>549</v>
      </c>
      <c r="H213" s="7" t="s">
        <v>525</v>
      </c>
      <c r="I213" s="257"/>
      <c r="J213" s="258"/>
      <c r="K213" s="38">
        <f>365139+142669+234027</f>
        <v>741835</v>
      </c>
      <c r="L213" s="603" t="s">
        <v>83</v>
      </c>
      <c r="M213" s="603" t="s">
        <v>47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>x</v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853"/>
      <c r="AB213" s="594"/>
    </row>
    <row r="214" spans="1:30" ht="15.75" customHeight="1">
      <c r="A214" s="204" t="str">
        <f>IF(B214&lt;&gt;"",IF(AND(B214&gt;=_TM1,B214&lt;=_TM2,OR(TH!L214="1111",TH!M214="1111")),TH!D214,""),"")</f>
        <v>C01</v>
      </c>
      <c r="B214" s="36">
        <f t="shared" si="26"/>
        <v>10</v>
      </c>
      <c r="C214" s="184">
        <f t="shared" si="27"/>
        <v>41549</v>
      </c>
      <c r="D214" s="184" t="s">
        <v>379</v>
      </c>
      <c r="E214" s="191">
        <v>41549</v>
      </c>
      <c r="F214" s="189" t="s">
        <v>526</v>
      </c>
      <c r="G214" s="664" t="s">
        <v>549</v>
      </c>
      <c r="H214" s="7" t="s">
        <v>525</v>
      </c>
      <c r="I214" s="257"/>
      <c r="J214" s="258"/>
      <c r="K214" s="38">
        <f>36512+14267+23403</f>
        <v>74182</v>
      </c>
      <c r="L214" s="603" t="s">
        <v>9</v>
      </c>
      <c r="M214" s="603" t="s">
        <v>47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853"/>
      <c r="AB214" s="594">
        <v>12</v>
      </c>
    </row>
    <row r="215" spans="1:30" ht="15.75" customHeight="1">
      <c r="A215" s="204" t="str">
        <f>IF(B215&lt;&gt;"",IF(AND(B215&gt;=_TM1,B215&lt;=_TM2,OR(TH!L215="1111",TH!M215="1111")),TH!D215,""),"")</f>
        <v>T01</v>
      </c>
      <c r="B215" s="36">
        <f t="shared" si="26"/>
        <v>10</v>
      </c>
      <c r="C215" s="184">
        <f t="shared" si="27"/>
        <v>41552</v>
      </c>
      <c r="D215" s="184" t="s">
        <v>377</v>
      </c>
      <c r="E215" s="191">
        <v>41552</v>
      </c>
      <c r="F215" s="189" t="s">
        <v>502</v>
      </c>
      <c r="G215" s="604" t="s">
        <v>336</v>
      </c>
      <c r="H215" s="7" t="s">
        <v>368</v>
      </c>
      <c r="I215" s="257"/>
      <c r="J215" s="258"/>
      <c r="K215" s="602">
        <v>14800000</v>
      </c>
      <c r="L215" s="603" t="s">
        <v>47</v>
      </c>
      <c r="M215" s="603" t="s">
        <v>24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>x</v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853"/>
      <c r="AB215" s="594"/>
    </row>
    <row r="216" spans="1:30" ht="15.75" customHeight="1">
      <c r="A216" s="204" t="str">
        <f>IF(B216&lt;&gt;"",IF(AND(B216&gt;=_TM1,B216&lt;=_TM2,OR(TH!L216="1111",TH!M216="1111")),TH!D216,""),"")</f>
        <v/>
      </c>
      <c r="B216" s="36">
        <f t="shared" si="26"/>
        <v>10</v>
      </c>
      <c r="C216" s="184">
        <f t="shared" si="27"/>
        <v>41554</v>
      </c>
      <c r="D216" s="184" t="s">
        <v>339</v>
      </c>
      <c r="E216" s="184">
        <v>41554</v>
      </c>
      <c r="F216" s="189" t="s">
        <v>341</v>
      </c>
      <c r="G216" s="604" t="s">
        <v>336</v>
      </c>
      <c r="H216" s="7" t="s">
        <v>539</v>
      </c>
      <c r="I216" s="256"/>
      <c r="J216" s="256"/>
      <c r="K216" s="602">
        <v>19729600</v>
      </c>
      <c r="L216" s="603" t="s">
        <v>24</v>
      </c>
      <c r="M216" s="603" t="s">
        <v>265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>x</v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853"/>
      <c r="AB216" s="211"/>
    </row>
    <row r="217" spans="1:30" ht="15.75" customHeight="1">
      <c r="A217" s="204" t="str">
        <f>IF(B217&lt;&gt;"",IF(AND(B217&gt;=_TM1,B217&lt;=_TM2,OR(TH!L217="1111",TH!M217="1111")),TH!D217,""),"")</f>
        <v/>
      </c>
      <c r="B217" s="36">
        <f t="shared" si="26"/>
        <v>10</v>
      </c>
      <c r="C217" s="184">
        <f t="shared" si="27"/>
        <v>41554</v>
      </c>
      <c r="D217" s="184" t="s">
        <v>339</v>
      </c>
      <c r="E217" s="191">
        <v>41554</v>
      </c>
      <c r="F217" s="189" t="s">
        <v>341</v>
      </c>
      <c r="G217" s="604" t="s">
        <v>336</v>
      </c>
      <c r="H217" s="7" t="s">
        <v>539</v>
      </c>
      <c r="I217" s="257"/>
      <c r="J217" s="258"/>
      <c r="K217" s="38">
        <v>13959000</v>
      </c>
      <c r="L217" s="603" t="s">
        <v>24</v>
      </c>
      <c r="M217" s="603" t="s">
        <v>265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>x</v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853"/>
      <c r="AB217" s="211"/>
      <c r="AC217" s="211"/>
      <c r="AD217" s="211"/>
    </row>
    <row r="218" spans="1:30" ht="15.75" customHeight="1">
      <c r="A218" s="204" t="str">
        <f>IF(B218&lt;&gt;"",IF(AND(B218&gt;=_TM1,B218&lt;=_TM2,OR(TH!L218="1111",TH!M218="1111")),TH!D218,""),"")</f>
        <v/>
      </c>
      <c r="B218" s="36">
        <f t="shared" si="26"/>
        <v>10</v>
      </c>
      <c r="C218" s="184">
        <f t="shared" si="27"/>
        <v>41554</v>
      </c>
      <c r="D218" s="184" t="s">
        <v>339</v>
      </c>
      <c r="E218" s="191">
        <v>41554</v>
      </c>
      <c r="F218" s="189" t="s">
        <v>341</v>
      </c>
      <c r="G218" s="604" t="s">
        <v>336</v>
      </c>
      <c r="H218" s="7" t="s">
        <v>550</v>
      </c>
      <c r="I218" s="257"/>
      <c r="J218" s="258"/>
      <c r="K218" s="38">
        <v>18621130</v>
      </c>
      <c r="L218" s="603" t="s">
        <v>24</v>
      </c>
      <c r="M218" s="603" t="s">
        <v>265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>x</v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853"/>
      <c r="AB218" s="211"/>
      <c r="AC218" s="211"/>
      <c r="AD218" s="211"/>
    </row>
    <row r="219" spans="1:30" ht="15.75" customHeight="1">
      <c r="A219" s="204" t="str">
        <f>IF(B219&lt;&gt;"",IF(AND(B219&gt;=_TM1,B219&lt;=_TM2,OR(TH!L219="1111",TH!M219="1111")),TH!D219,""),"")</f>
        <v>T02</v>
      </c>
      <c r="B219" s="36">
        <f t="shared" si="26"/>
        <v>10</v>
      </c>
      <c r="C219" s="184">
        <f t="shared" si="27"/>
        <v>41554</v>
      </c>
      <c r="D219" s="184" t="s">
        <v>378</v>
      </c>
      <c r="E219" s="191">
        <v>41554</v>
      </c>
      <c r="F219" s="189" t="s">
        <v>502</v>
      </c>
      <c r="G219" s="604" t="s">
        <v>336</v>
      </c>
      <c r="H219" s="7" t="s">
        <v>368</v>
      </c>
      <c r="I219" s="257"/>
      <c r="J219" s="258"/>
      <c r="K219" s="38">
        <v>33700000</v>
      </c>
      <c r="L219" s="603" t="s">
        <v>47</v>
      </c>
      <c r="M219" s="603" t="s">
        <v>24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>x</v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853"/>
      <c r="AB219" s="594"/>
      <c r="AC219" s="594"/>
      <c r="AD219" s="594"/>
    </row>
    <row r="220" spans="1:30" ht="15.75" customHeight="1">
      <c r="A220" s="204" t="str">
        <f>IF(B220&lt;&gt;"",IF(AND(B220&gt;=_TM1,B220&lt;=_TM2,OR(TH!L220="1111",TH!M220="1111")),TH!D220,""),"")</f>
        <v>T03</v>
      </c>
      <c r="B220" s="36">
        <f t="shared" si="26"/>
        <v>10</v>
      </c>
      <c r="C220" s="184">
        <f t="shared" si="27"/>
        <v>41556</v>
      </c>
      <c r="D220" s="184" t="s">
        <v>397</v>
      </c>
      <c r="E220" s="191">
        <v>41556</v>
      </c>
      <c r="F220" s="189" t="s">
        <v>502</v>
      </c>
      <c r="G220" s="604" t="s">
        <v>336</v>
      </c>
      <c r="H220" s="7" t="s">
        <v>368</v>
      </c>
      <c r="I220" s="257"/>
      <c r="J220" s="258"/>
      <c r="K220" s="38">
        <v>18500000</v>
      </c>
      <c r="L220" s="603" t="s">
        <v>47</v>
      </c>
      <c r="M220" s="603" t="s">
        <v>24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>x</v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853"/>
      <c r="AB220" s="594"/>
      <c r="AC220" s="594"/>
      <c r="AD220" s="594"/>
    </row>
    <row r="221" spans="1:30" ht="15.75" customHeight="1">
      <c r="A221" s="204" t="str">
        <f>IF(B221&lt;&gt;"",IF(AND(B221&gt;=_TM1,B221&lt;=_TM2,OR(TH!L221="1111",TH!M221="1111")),TH!D221,""),"")</f>
        <v/>
      </c>
      <c r="B221" s="36">
        <f t="shared" si="26"/>
        <v>10</v>
      </c>
      <c r="C221" s="184">
        <f t="shared" si="27"/>
        <v>41557</v>
      </c>
      <c r="D221" s="184" t="s">
        <v>339</v>
      </c>
      <c r="E221" s="191">
        <v>41557</v>
      </c>
      <c r="F221" s="189" t="s">
        <v>341</v>
      </c>
      <c r="G221" s="604" t="s">
        <v>336</v>
      </c>
      <c r="H221" s="7" t="s">
        <v>433</v>
      </c>
      <c r="I221" s="257"/>
      <c r="J221" s="258"/>
      <c r="K221" s="38">
        <v>6806250</v>
      </c>
      <c r="L221" s="603" t="s">
        <v>24</v>
      </c>
      <c r="M221" s="603" t="s">
        <v>265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>x</v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853"/>
      <c r="AB221" s="211"/>
      <c r="AC221" s="211"/>
      <c r="AD221" s="594"/>
    </row>
    <row r="222" spans="1:30" ht="15.75" customHeight="1">
      <c r="A222" s="204" t="str">
        <f>IF(B222&lt;&gt;"",IF(AND(B222&gt;=_TM1,B222&lt;=_TM2,OR(TH!L222="1111",TH!M222="1111")),TH!D222,""),"")</f>
        <v/>
      </c>
      <c r="B222" s="36">
        <f t="shared" si="26"/>
        <v>10</v>
      </c>
      <c r="C222" s="184">
        <f t="shared" si="27"/>
        <v>41561</v>
      </c>
      <c r="D222" s="184" t="s">
        <v>339</v>
      </c>
      <c r="E222" s="191">
        <v>41561</v>
      </c>
      <c r="F222" s="189" t="s">
        <v>341</v>
      </c>
      <c r="G222" s="604" t="s">
        <v>336</v>
      </c>
      <c r="H222" s="7" t="s">
        <v>539</v>
      </c>
      <c r="I222" s="257"/>
      <c r="J222" s="258"/>
      <c r="K222" s="38">
        <v>13855600</v>
      </c>
      <c r="L222" s="603" t="s">
        <v>24</v>
      </c>
      <c r="M222" s="603" t="s">
        <v>265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>x</v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853"/>
      <c r="AB222" s="211"/>
    </row>
    <row r="223" spans="1:30" ht="15.75" customHeight="1">
      <c r="A223" s="204" t="str">
        <f>IF(B223&lt;&gt;"",IF(AND(B223&gt;=_TM1,B223&lt;=_TM2,OR(TH!L223="1111",TH!M223="1111")),TH!D223,""),"")</f>
        <v/>
      </c>
      <c r="B223" s="36">
        <f t="shared" si="26"/>
        <v>10</v>
      </c>
      <c r="C223" s="184">
        <f t="shared" si="27"/>
        <v>41562</v>
      </c>
      <c r="D223" s="184" t="s">
        <v>339</v>
      </c>
      <c r="E223" s="184">
        <v>41562</v>
      </c>
      <c r="F223" s="189" t="s">
        <v>341</v>
      </c>
      <c r="G223" s="604" t="s">
        <v>336</v>
      </c>
      <c r="H223" s="7" t="s">
        <v>536</v>
      </c>
      <c r="I223" s="256"/>
      <c r="J223" s="256"/>
      <c r="K223" s="38">
        <v>10000000</v>
      </c>
      <c r="L223" s="603" t="s">
        <v>24</v>
      </c>
      <c r="M223" s="603" t="s">
        <v>265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>x</v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853"/>
      <c r="AB223" s="211"/>
    </row>
    <row r="224" spans="1:30" ht="15.75" customHeight="1">
      <c r="A224" s="204" t="str">
        <f>IF(B224&lt;&gt;"",IF(AND(B224&gt;=_TM1,B224&lt;=_TM2,OR(TH!L224="1111",TH!M224="1111")),TH!D224,""),"")</f>
        <v>T04</v>
      </c>
      <c r="B224" s="36">
        <f t="shared" si="26"/>
        <v>10</v>
      </c>
      <c r="C224" s="184">
        <f t="shared" si="27"/>
        <v>41562</v>
      </c>
      <c r="D224" s="184" t="s">
        <v>402</v>
      </c>
      <c r="E224" s="191">
        <v>41562</v>
      </c>
      <c r="F224" s="189" t="s">
        <v>502</v>
      </c>
      <c r="G224" s="604" t="s">
        <v>336</v>
      </c>
      <c r="H224" s="7" t="s">
        <v>368</v>
      </c>
      <c r="I224" s="256"/>
      <c r="J224" s="258"/>
      <c r="K224" s="602">
        <v>30800000</v>
      </c>
      <c r="L224" s="603" t="s">
        <v>47</v>
      </c>
      <c r="M224" s="603" t="s">
        <v>24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>x</v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853"/>
      <c r="AB224" s="594"/>
    </row>
    <row r="225" spans="1:30" ht="15.75" customHeight="1">
      <c r="A225" s="204" t="str">
        <f>IF(B225&lt;&gt;"",IF(AND(B225&gt;=_TM1,B225&lt;=_TM2,OR(TH!L225="1111",TH!M225="1111")),TH!D225,""),"")</f>
        <v/>
      </c>
      <c r="B225" s="36">
        <f t="shared" si="26"/>
        <v>10</v>
      </c>
      <c r="C225" s="184">
        <f t="shared" si="27"/>
        <v>41570</v>
      </c>
      <c r="D225" s="184" t="s">
        <v>339</v>
      </c>
      <c r="E225" s="184">
        <v>41570</v>
      </c>
      <c r="F225" s="189" t="s">
        <v>341</v>
      </c>
      <c r="G225" s="604" t="s">
        <v>336</v>
      </c>
      <c r="H225" s="7" t="s">
        <v>503</v>
      </c>
      <c r="I225" s="256"/>
      <c r="J225" s="256"/>
      <c r="K225" s="602">
        <v>5085806</v>
      </c>
      <c r="L225" s="603" t="s">
        <v>24</v>
      </c>
      <c r="M225" s="603" t="s">
        <v>265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>x</v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853"/>
      <c r="AB225" s="211"/>
    </row>
    <row r="226" spans="1:30" ht="15.75" customHeight="1">
      <c r="A226" s="204" t="str">
        <f>IF(B226&lt;&gt;"",IF(AND(B226&gt;=_TM1,B226&lt;=_TM2,OR(TH!L226="1111",TH!M226="1111")),TH!D226,""),"")</f>
        <v/>
      </c>
      <c r="B226" s="36">
        <f t="shared" si="26"/>
        <v>10</v>
      </c>
      <c r="C226" s="184">
        <f t="shared" si="27"/>
        <v>41572</v>
      </c>
      <c r="D226" s="184" t="s">
        <v>339</v>
      </c>
      <c r="E226" s="184">
        <v>41572</v>
      </c>
      <c r="F226" s="189" t="s">
        <v>369</v>
      </c>
      <c r="G226" s="604" t="s">
        <v>336</v>
      </c>
      <c r="H226" s="7"/>
      <c r="I226" s="256"/>
      <c r="J226" s="256"/>
      <c r="K226" s="602">
        <v>5895</v>
      </c>
      <c r="L226" s="603" t="s">
        <v>24</v>
      </c>
      <c r="M226" s="603" t="s">
        <v>40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>x</v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853"/>
      <c r="AB226" s="211"/>
    </row>
    <row r="227" spans="1:30" ht="15.75" customHeight="1">
      <c r="A227" s="204" t="str">
        <f>IF(B227&lt;&gt;"",IF(AND(B227&gt;=_TM1,B227&lt;=_TM2,OR(TH!L227="1111",TH!M227="1111")),TH!D227,""),"")</f>
        <v/>
      </c>
      <c r="B227" s="36">
        <f t="shared" si="26"/>
        <v>10</v>
      </c>
      <c r="C227" s="184">
        <f t="shared" si="27"/>
        <v>41575</v>
      </c>
      <c r="D227" s="184" t="s">
        <v>339</v>
      </c>
      <c r="E227" s="191">
        <v>41575</v>
      </c>
      <c r="F227" s="189" t="s">
        <v>341</v>
      </c>
      <c r="G227" s="604" t="s">
        <v>336</v>
      </c>
      <c r="H227" s="7" t="s">
        <v>543</v>
      </c>
      <c r="I227" s="257"/>
      <c r="J227" s="258"/>
      <c r="K227" s="38">
        <v>10488500</v>
      </c>
      <c r="L227" s="603" t="s">
        <v>24</v>
      </c>
      <c r="M227" s="603" t="s">
        <v>265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>x</v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853"/>
      <c r="AB227" s="594"/>
    </row>
    <row r="228" spans="1:30" ht="15.75" customHeight="1">
      <c r="A228" s="204" t="str">
        <f>IF(B228&lt;&gt;"",IF(AND(B228&gt;=_TM1,B228&lt;=_TM2,OR(TH!L228="1111",TH!M228="1111")),TH!D228,""),"")</f>
        <v/>
      </c>
      <c r="B228" s="36">
        <f t="shared" si="26"/>
        <v>10</v>
      </c>
      <c r="C228" s="184">
        <f t="shared" si="27"/>
        <v>41575</v>
      </c>
      <c r="D228" s="184" t="s">
        <v>339</v>
      </c>
      <c r="E228" s="191">
        <v>41575</v>
      </c>
      <c r="F228" s="189" t="s">
        <v>341</v>
      </c>
      <c r="G228" s="604" t="s">
        <v>336</v>
      </c>
      <c r="H228" s="7" t="s">
        <v>539</v>
      </c>
      <c r="I228" s="257"/>
      <c r="J228" s="258"/>
      <c r="K228" s="38">
        <v>13959000</v>
      </c>
      <c r="L228" s="603" t="s">
        <v>24</v>
      </c>
      <c r="M228" s="603" t="s">
        <v>265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>x</v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853"/>
      <c r="AB228" s="594"/>
    </row>
    <row r="229" spans="1:30" ht="15.75" customHeight="1">
      <c r="A229" s="204" t="str">
        <f>IF(B229&lt;&gt;"",IF(AND(B229&gt;=_TM1,B229&lt;=_TM2,OR(TH!L229="1111",TH!M229="1111")),TH!D229,""),"")</f>
        <v/>
      </c>
      <c r="B229" s="36">
        <f t="shared" si="26"/>
        <v>10</v>
      </c>
      <c r="C229" s="184">
        <f t="shared" si="27"/>
        <v>41575</v>
      </c>
      <c r="D229" s="184" t="s">
        <v>339</v>
      </c>
      <c r="E229" s="191">
        <v>41575</v>
      </c>
      <c r="F229" s="189" t="s">
        <v>341</v>
      </c>
      <c r="G229" s="604" t="s">
        <v>336</v>
      </c>
      <c r="H229" s="7" t="s">
        <v>539</v>
      </c>
      <c r="I229" s="257"/>
      <c r="J229" s="258"/>
      <c r="K229" s="38">
        <v>15708000</v>
      </c>
      <c r="L229" s="603" t="s">
        <v>24</v>
      </c>
      <c r="M229" s="603" t="s">
        <v>265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>x</v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853"/>
      <c r="AB229" s="594"/>
    </row>
    <row r="230" spans="1:30" s="810" customFormat="1" ht="15.75" customHeight="1">
      <c r="A230" s="204" t="str">
        <f>IF(B230&lt;&gt;"",IF(AND(B230&gt;=_TM1,B230&lt;=_TM2,OR(TH!L230="1111",TH!M230="1111")),TH!D230,""),"")</f>
        <v>T05</v>
      </c>
      <c r="B230" s="36">
        <f t="shared" si="26"/>
        <v>10</v>
      </c>
      <c r="C230" s="184">
        <f t="shared" si="27"/>
        <v>41576</v>
      </c>
      <c r="D230" s="184" t="s">
        <v>468</v>
      </c>
      <c r="E230" s="191">
        <v>41576</v>
      </c>
      <c r="F230" s="189" t="s">
        <v>502</v>
      </c>
      <c r="G230" s="604" t="s">
        <v>336</v>
      </c>
      <c r="H230" s="7" t="s">
        <v>368</v>
      </c>
      <c r="I230" s="258"/>
      <c r="J230" s="258"/>
      <c r="K230" s="38">
        <v>45200000</v>
      </c>
      <c r="L230" s="603" t="s">
        <v>47</v>
      </c>
      <c r="M230" s="603" t="s">
        <v>24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>x</v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853"/>
      <c r="AB230" s="211"/>
      <c r="AC230" s="198"/>
      <c r="AD230" s="198"/>
    </row>
    <row r="231" spans="1:30" s="810" customFormat="1" ht="15.75" customHeight="1">
      <c r="A231" s="204" t="str">
        <f>IF(B231&lt;&gt;"",IF(AND(B231&gt;=_TM1,B231&lt;=_TM2,OR(TH!L231="1111",TH!M231="1111")),TH!D231,""),"")</f>
        <v/>
      </c>
      <c r="B231" s="36">
        <f t="shared" si="26"/>
        <v>10</v>
      </c>
      <c r="C231" s="184">
        <f t="shared" si="27"/>
        <v>41577</v>
      </c>
      <c r="D231" s="184" t="s">
        <v>339</v>
      </c>
      <c r="E231" s="191">
        <v>41577</v>
      </c>
      <c r="F231" s="189" t="s">
        <v>341</v>
      </c>
      <c r="G231" s="604" t="s">
        <v>336</v>
      </c>
      <c r="H231" s="7" t="s">
        <v>550</v>
      </c>
      <c r="I231" s="257"/>
      <c r="J231" s="258"/>
      <c r="K231" s="38">
        <v>34257520</v>
      </c>
      <c r="L231" s="603" t="s">
        <v>24</v>
      </c>
      <c r="M231" s="603" t="s">
        <v>265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>x</v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853"/>
      <c r="AB231" s="211"/>
      <c r="AC231" s="211"/>
      <c r="AD231" s="211"/>
    </row>
    <row r="232" spans="1:30" s="810" customFormat="1" ht="15.75" customHeight="1">
      <c r="A232" s="204" t="str">
        <f>IF(B232&lt;&gt;"",IF(AND(B232&gt;=_TM1,B232&lt;=_TM2,OR(TH!L232="1111",TH!M232="1111")),TH!D232,""),"")</f>
        <v>C02</v>
      </c>
      <c r="B232" s="36">
        <f t="shared" si="26"/>
        <v>10</v>
      </c>
      <c r="C232" s="184">
        <f t="shared" si="27"/>
        <v>41577</v>
      </c>
      <c r="D232" s="184" t="s">
        <v>380</v>
      </c>
      <c r="E232" s="191">
        <v>41577</v>
      </c>
      <c r="F232" s="189" t="s">
        <v>388</v>
      </c>
      <c r="G232" s="664" t="s">
        <v>551</v>
      </c>
      <c r="H232" s="7" t="s">
        <v>520</v>
      </c>
      <c r="I232" s="257"/>
      <c r="J232" s="258"/>
      <c r="K232" s="38">
        <v>1616900</v>
      </c>
      <c r="L232" s="603" t="s">
        <v>83</v>
      </c>
      <c r="M232" s="603" t="s">
        <v>47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>x</v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853"/>
      <c r="AB232" s="594"/>
      <c r="AC232" s="211"/>
      <c r="AD232" s="211"/>
    </row>
    <row r="233" spans="1:30" s="810" customFormat="1" ht="15.75" customHeight="1">
      <c r="A233" s="204" t="str">
        <f>IF(B233&lt;&gt;"",IF(AND(B233&gt;=_TM1,B233&lt;=_TM2,OR(TH!L233="1111",TH!M233="1111")),TH!D233,""),"")</f>
        <v>C02</v>
      </c>
      <c r="B233" s="36">
        <f t="shared" si="26"/>
        <v>10</v>
      </c>
      <c r="C233" s="184">
        <f t="shared" si="27"/>
        <v>41577</v>
      </c>
      <c r="D233" s="184" t="s">
        <v>380</v>
      </c>
      <c r="E233" s="191">
        <v>41577</v>
      </c>
      <c r="F233" s="189" t="s">
        <v>389</v>
      </c>
      <c r="G233" s="664" t="s">
        <v>551</v>
      </c>
      <c r="H233" s="7" t="s">
        <v>520</v>
      </c>
      <c r="I233" s="257"/>
      <c r="J233" s="258"/>
      <c r="K233" s="38">
        <v>161690</v>
      </c>
      <c r="L233" s="603" t="s">
        <v>9</v>
      </c>
      <c r="M233" s="603" t="s">
        <v>47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853"/>
      <c r="AB233" s="594">
        <v>12</v>
      </c>
      <c r="AC233" s="211"/>
      <c r="AD233" s="211"/>
    </row>
    <row r="234" spans="1:30" s="810" customFormat="1" ht="15.75" customHeight="1">
      <c r="A234" s="204" t="str">
        <f>IF(B234&lt;&gt;"",IF(AND(B234&gt;=_TM1,B234&lt;=_TM2,OR(TH!L234="1111",TH!M234="1111")),TH!D234,""),"")</f>
        <v>C03</v>
      </c>
      <c r="B234" s="36">
        <f t="shared" si="26"/>
        <v>10</v>
      </c>
      <c r="C234" s="191">
        <f t="shared" si="27"/>
        <v>41577</v>
      </c>
      <c r="D234" s="184" t="s">
        <v>381</v>
      </c>
      <c r="E234" s="191">
        <v>41577</v>
      </c>
      <c r="F234" s="189" t="s">
        <v>438</v>
      </c>
      <c r="G234" s="487" t="s">
        <v>552</v>
      </c>
      <c r="H234" s="7" t="s">
        <v>372</v>
      </c>
      <c r="I234" s="256"/>
      <c r="J234" s="256"/>
      <c r="K234" s="602">
        <v>11940000</v>
      </c>
      <c r="L234" s="603" t="s">
        <v>165</v>
      </c>
      <c r="M234" s="603" t="s">
        <v>47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853"/>
      <c r="AB234" s="211"/>
      <c r="AC234" s="198"/>
      <c r="AD234" s="198"/>
    </row>
    <row r="235" spans="1:30" s="810" customFormat="1" ht="15.75" customHeight="1">
      <c r="A235" s="204" t="str">
        <f>IF(B235&lt;&gt;"",IF(AND(B235&gt;=_TM1,B235&lt;=_TM2,OR(TH!L235="1111",TH!M235="1111")),TH!D235,""),"")</f>
        <v>C03</v>
      </c>
      <c r="B235" s="36">
        <f t="shared" si="26"/>
        <v>10</v>
      </c>
      <c r="C235" s="191">
        <f t="shared" si="27"/>
        <v>41577</v>
      </c>
      <c r="D235" s="184" t="s">
        <v>381</v>
      </c>
      <c r="E235" s="191">
        <v>41577</v>
      </c>
      <c r="F235" s="189" t="s">
        <v>348</v>
      </c>
      <c r="G235" s="487" t="s">
        <v>552</v>
      </c>
      <c r="H235" s="7" t="s">
        <v>372</v>
      </c>
      <c r="I235" s="257"/>
      <c r="J235" s="257"/>
      <c r="K235" s="602">
        <v>1194000</v>
      </c>
      <c r="L235" s="603" t="s">
        <v>9</v>
      </c>
      <c r="M235" s="603" t="s">
        <v>47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853"/>
      <c r="AB235" s="594">
        <v>12</v>
      </c>
      <c r="AC235" s="198"/>
      <c r="AD235" s="198"/>
    </row>
    <row r="236" spans="1:30" s="810" customFormat="1" ht="15.75" customHeight="1">
      <c r="A236" s="204" t="str">
        <f>IF(B236&lt;&gt;"",IF(AND(B236&gt;=_TM1,B236&lt;=_TM2,OR(TH!L236="1111",TH!M236="1111")),TH!D236,""),"")</f>
        <v/>
      </c>
      <c r="B236" s="36">
        <f t="shared" si="26"/>
        <v>11</v>
      </c>
      <c r="C236" s="184">
        <f t="shared" si="27"/>
        <v>41579</v>
      </c>
      <c r="D236" s="184" t="s">
        <v>339</v>
      </c>
      <c r="E236" s="191">
        <v>41579</v>
      </c>
      <c r="F236" s="189" t="s">
        <v>341</v>
      </c>
      <c r="G236" s="604" t="s">
        <v>336</v>
      </c>
      <c r="H236" s="7" t="s">
        <v>540</v>
      </c>
      <c r="I236" s="257"/>
      <c r="J236" s="258"/>
      <c r="K236" s="38">
        <v>14856710</v>
      </c>
      <c r="L236" s="603" t="s">
        <v>24</v>
      </c>
      <c r="M236" s="603" t="s">
        <v>265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>x</v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853"/>
      <c r="AB236" s="594"/>
      <c r="AC236" s="198"/>
      <c r="AD236" s="198"/>
    </row>
    <row r="237" spans="1:30" s="810" customFormat="1" ht="15.75" customHeight="1">
      <c r="A237" s="204" t="str">
        <f>IF(B237&lt;&gt;"",IF(AND(B237&gt;=_TM1,B237&lt;=_TM2,OR(TH!L237="1111",TH!M237="1111")),TH!D237,""),"")</f>
        <v>T06</v>
      </c>
      <c r="B237" s="36">
        <f t="shared" si="26"/>
        <v>11</v>
      </c>
      <c r="C237" s="184">
        <f t="shared" si="27"/>
        <v>41580</v>
      </c>
      <c r="D237" s="184" t="s">
        <v>478</v>
      </c>
      <c r="E237" s="191">
        <v>41580</v>
      </c>
      <c r="F237" s="189" t="s">
        <v>502</v>
      </c>
      <c r="G237" s="604" t="s">
        <v>336</v>
      </c>
      <c r="H237" s="7" t="s">
        <v>368</v>
      </c>
      <c r="I237" s="256"/>
      <c r="J237" s="256"/>
      <c r="K237" s="602">
        <v>49000000</v>
      </c>
      <c r="L237" s="603" t="s">
        <v>47</v>
      </c>
      <c r="M237" s="603" t="s">
        <v>24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>x</v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853"/>
      <c r="AB237" s="594"/>
      <c r="AC237" s="198"/>
      <c r="AD237" s="198"/>
    </row>
    <row r="238" spans="1:30" s="810" customFormat="1" ht="15.75" customHeight="1">
      <c r="A238" s="204" t="str">
        <f>IF(B238&lt;&gt;"",IF(AND(B238&gt;=_TM1,B238&lt;=_TM2,OR(TH!L238="1111",TH!M238="1111")),TH!D238,""),"")</f>
        <v>C04</v>
      </c>
      <c r="B238" s="36">
        <f t="shared" ref="B238:B301" si="28">IF(C238&lt;&gt;"",MONTH(C238),"")</f>
        <v>11</v>
      </c>
      <c r="C238" s="184">
        <f t="shared" si="27"/>
        <v>41581</v>
      </c>
      <c r="D238" s="184" t="s">
        <v>382</v>
      </c>
      <c r="E238" s="191">
        <v>41581</v>
      </c>
      <c r="F238" s="189" t="s">
        <v>553</v>
      </c>
      <c r="G238" s="664" t="s">
        <v>554</v>
      </c>
      <c r="H238" s="7" t="s">
        <v>555</v>
      </c>
      <c r="I238" s="257"/>
      <c r="J238" s="258"/>
      <c r="K238" s="38">
        <v>15445455</v>
      </c>
      <c r="L238" s="603" t="s">
        <v>83</v>
      </c>
      <c r="M238" s="603" t="s">
        <v>47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>x</v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853"/>
      <c r="AB238" s="594"/>
      <c r="AC238" s="198"/>
      <c r="AD238" s="198"/>
    </row>
    <row r="239" spans="1:30" s="810" customFormat="1" ht="15.75" customHeight="1">
      <c r="A239" s="204" t="str">
        <f>IF(B239&lt;&gt;"",IF(AND(B239&gt;=_TM1,B239&lt;=_TM2,OR(TH!L239="1111",TH!M239="1111")),TH!D239,""),"")</f>
        <v>C04</v>
      </c>
      <c r="B239" s="36">
        <f t="shared" si="28"/>
        <v>11</v>
      </c>
      <c r="C239" s="184">
        <f t="shared" si="27"/>
        <v>41581</v>
      </c>
      <c r="D239" s="184" t="s">
        <v>382</v>
      </c>
      <c r="E239" s="191">
        <v>41581</v>
      </c>
      <c r="F239" s="189" t="s">
        <v>556</v>
      </c>
      <c r="G239" s="664" t="s">
        <v>554</v>
      </c>
      <c r="H239" s="7" t="s">
        <v>555</v>
      </c>
      <c r="I239" s="257"/>
      <c r="J239" s="258"/>
      <c r="K239" s="38">
        <v>1544545</v>
      </c>
      <c r="L239" s="603" t="s">
        <v>9</v>
      </c>
      <c r="M239" s="603" t="s">
        <v>47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853"/>
      <c r="AB239" s="594">
        <v>12</v>
      </c>
      <c r="AC239" s="198"/>
      <c r="AD239" s="198"/>
    </row>
    <row r="240" spans="1:30" s="810" customFormat="1" ht="15.75" customHeight="1">
      <c r="A240" s="204" t="str">
        <f>IF(B240&lt;&gt;"",IF(AND(B240&gt;=_TM1,B240&lt;=_TM2,OR(TH!L240="1111",TH!M240="1111")),TH!D240,""),"")</f>
        <v/>
      </c>
      <c r="B240" s="36">
        <f t="shared" si="28"/>
        <v>11</v>
      </c>
      <c r="C240" s="184">
        <f t="shared" si="27"/>
        <v>41582</v>
      </c>
      <c r="D240" s="184" t="s">
        <v>339</v>
      </c>
      <c r="E240" s="191">
        <v>41582</v>
      </c>
      <c r="F240" s="189" t="s">
        <v>341</v>
      </c>
      <c r="G240" s="604" t="s">
        <v>336</v>
      </c>
      <c r="H240" s="7" t="s">
        <v>536</v>
      </c>
      <c r="I240" s="257"/>
      <c r="J240" s="258"/>
      <c r="K240" s="38">
        <v>17671050</v>
      </c>
      <c r="L240" s="603" t="s">
        <v>24</v>
      </c>
      <c r="M240" s="603" t="s">
        <v>265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>x</v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853"/>
      <c r="AB240" s="594"/>
      <c r="AC240" s="198"/>
      <c r="AD240" s="198"/>
    </row>
    <row r="241" spans="1:30" s="810" customFormat="1" ht="15.75" customHeight="1">
      <c r="A241" s="204" t="str">
        <f>IF(B241&lt;&gt;"",IF(AND(B241&gt;=_TM1,B241&lt;=_TM2,OR(TH!L241="1111",TH!M241="1111")),TH!D241,""),"")</f>
        <v/>
      </c>
      <c r="B241" s="36">
        <f t="shared" si="28"/>
        <v>11</v>
      </c>
      <c r="C241" s="184">
        <f t="shared" si="27"/>
        <v>41583</v>
      </c>
      <c r="D241" s="184" t="s">
        <v>339</v>
      </c>
      <c r="E241" s="184">
        <v>41583</v>
      </c>
      <c r="F241" s="189" t="s">
        <v>341</v>
      </c>
      <c r="G241" s="604" t="s">
        <v>336</v>
      </c>
      <c r="H241" s="7" t="s">
        <v>503</v>
      </c>
      <c r="I241" s="256"/>
      <c r="J241" s="256"/>
      <c r="K241" s="38">
        <v>9604386</v>
      </c>
      <c r="L241" s="603" t="s">
        <v>24</v>
      </c>
      <c r="M241" s="603" t="s">
        <v>265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>x</v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853"/>
      <c r="AB241" s="594"/>
      <c r="AC241" s="198"/>
      <c r="AD241" s="198"/>
    </row>
    <row r="242" spans="1:30" s="810" customFormat="1" ht="15.75" customHeight="1">
      <c r="A242" s="204" t="str">
        <f>IF(B242&lt;&gt;"",IF(AND(B242&gt;=_TM1,B242&lt;=_TM2,OR(TH!L242="1111",TH!M242="1111")),TH!D242,""),"")</f>
        <v>T07</v>
      </c>
      <c r="B242" s="36">
        <f t="shared" si="28"/>
        <v>11</v>
      </c>
      <c r="C242" s="184">
        <f t="shared" si="27"/>
        <v>41583</v>
      </c>
      <c r="D242" s="184" t="s">
        <v>474</v>
      </c>
      <c r="E242" s="191">
        <v>41583</v>
      </c>
      <c r="F242" s="189" t="s">
        <v>502</v>
      </c>
      <c r="G242" s="604" t="s">
        <v>336</v>
      </c>
      <c r="H242" s="7" t="s">
        <v>368</v>
      </c>
      <c r="I242" s="256"/>
      <c r="J242" s="256"/>
      <c r="K242" s="38">
        <v>27500000</v>
      </c>
      <c r="L242" s="603" t="s">
        <v>47</v>
      </c>
      <c r="M242" s="603" t="s">
        <v>24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>x</v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853"/>
      <c r="AB242" s="594"/>
      <c r="AC242" s="198"/>
      <c r="AD242" s="198"/>
    </row>
    <row r="243" spans="1:30" s="810" customFormat="1" ht="15.75" customHeight="1">
      <c r="A243" s="204" t="str">
        <f>IF(B243&lt;&gt;"",IF(AND(B243&gt;=_TM1,B243&lt;=_TM2,OR(TH!L243="1111",TH!M243="1111")),TH!D243,""),"")</f>
        <v/>
      </c>
      <c r="B243" s="36">
        <f t="shared" si="28"/>
        <v>11</v>
      </c>
      <c r="C243" s="184">
        <f t="shared" si="27"/>
        <v>41585</v>
      </c>
      <c r="D243" s="184" t="s">
        <v>339</v>
      </c>
      <c r="E243" s="184">
        <v>41585</v>
      </c>
      <c r="F243" s="189" t="s">
        <v>341</v>
      </c>
      <c r="G243" s="604" t="s">
        <v>336</v>
      </c>
      <c r="H243" s="7" t="s">
        <v>539</v>
      </c>
      <c r="I243" s="256"/>
      <c r="J243" s="256"/>
      <c r="K243" s="602">
        <v>15245736</v>
      </c>
      <c r="L243" s="603" t="s">
        <v>24</v>
      </c>
      <c r="M243" s="603" t="s">
        <v>265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>x</v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853"/>
      <c r="AB243" s="594"/>
      <c r="AC243" s="594"/>
      <c r="AD243" s="211"/>
    </row>
    <row r="244" spans="1:30" s="810" customFormat="1" ht="15.75" customHeight="1">
      <c r="A244" s="204" t="str">
        <f>IF(B244&lt;&gt;"",IF(AND(B244&gt;=_TM1,B244&lt;=_TM2,OR(TH!L244="1111",TH!M244="1111")),TH!D244,""),"")</f>
        <v/>
      </c>
      <c r="B244" s="36">
        <f t="shared" si="28"/>
        <v>11</v>
      </c>
      <c r="C244" s="184">
        <f t="shared" si="27"/>
        <v>41585</v>
      </c>
      <c r="D244" s="184" t="s">
        <v>339</v>
      </c>
      <c r="E244" s="184">
        <v>41585</v>
      </c>
      <c r="F244" s="189" t="s">
        <v>341</v>
      </c>
      <c r="G244" s="604" t="s">
        <v>336</v>
      </c>
      <c r="H244" s="7" t="s">
        <v>433</v>
      </c>
      <c r="I244" s="256"/>
      <c r="J244" s="256"/>
      <c r="K244" s="602">
        <v>18562500</v>
      </c>
      <c r="L244" s="603" t="s">
        <v>24</v>
      </c>
      <c r="M244" s="603" t="s">
        <v>265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>x</v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853"/>
      <c r="AB244" s="594"/>
      <c r="AC244" s="594"/>
      <c r="AD244" s="594"/>
    </row>
    <row r="245" spans="1:30" s="810" customFormat="1" ht="15.75" customHeight="1">
      <c r="A245" s="204" t="str">
        <f>IF(B245&lt;&gt;"",IF(AND(B245&gt;=_TM1,B245&lt;=_TM2,OR(TH!L245="1111",TH!M245="1111")),TH!D245,""),"")</f>
        <v/>
      </c>
      <c r="B245" s="36">
        <f t="shared" si="28"/>
        <v>11</v>
      </c>
      <c r="C245" s="184">
        <f t="shared" si="27"/>
        <v>41585</v>
      </c>
      <c r="D245" s="184" t="s">
        <v>339</v>
      </c>
      <c r="E245" s="184">
        <v>41585</v>
      </c>
      <c r="F245" s="189" t="s">
        <v>341</v>
      </c>
      <c r="G245" s="604" t="s">
        <v>336</v>
      </c>
      <c r="H245" s="7" t="s">
        <v>433</v>
      </c>
      <c r="I245" s="257"/>
      <c r="J245" s="258"/>
      <c r="K245" s="38">
        <v>15537500</v>
      </c>
      <c r="L245" s="603" t="s">
        <v>24</v>
      </c>
      <c r="M245" s="603" t="s">
        <v>265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>x</v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853"/>
      <c r="AB245" s="594"/>
      <c r="AC245" s="211"/>
      <c r="AD245" s="594"/>
    </row>
    <row r="246" spans="1:30" s="810" customFormat="1" ht="15.75" customHeight="1">
      <c r="A246" s="204" t="str">
        <f>IF(B246&lt;&gt;"",IF(AND(B246&gt;=_TM1,B246&lt;=_TM2,OR(TH!L246="1111",TH!M246="1111")),TH!D246,""),"")</f>
        <v/>
      </c>
      <c r="B246" s="36">
        <f t="shared" si="28"/>
        <v>11</v>
      </c>
      <c r="C246" s="184">
        <f t="shared" si="27"/>
        <v>41586</v>
      </c>
      <c r="D246" s="184" t="s">
        <v>339</v>
      </c>
      <c r="E246" s="184">
        <v>41586</v>
      </c>
      <c r="F246" s="189" t="s">
        <v>341</v>
      </c>
      <c r="G246" s="604" t="s">
        <v>336</v>
      </c>
      <c r="H246" s="7" t="s">
        <v>544</v>
      </c>
      <c r="I246" s="257"/>
      <c r="J246" s="258"/>
      <c r="K246" s="38">
        <v>9105558</v>
      </c>
      <c r="L246" s="603" t="s">
        <v>24</v>
      </c>
      <c r="M246" s="603" t="s">
        <v>265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>x</v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853"/>
      <c r="AB246" s="211"/>
      <c r="AC246" s="594"/>
      <c r="AD246" s="594"/>
    </row>
    <row r="247" spans="1:30" s="810" customFormat="1" ht="15.75" customHeight="1">
      <c r="A247" s="204" t="str">
        <f>IF(B247&lt;&gt;"",IF(AND(B247&gt;=_TM1,B247&lt;=_TM2,OR(TH!L247="1111",TH!M247="1111")),TH!D247,""),"")</f>
        <v>T08</v>
      </c>
      <c r="B247" s="36">
        <f t="shared" si="28"/>
        <v>11</v>
      </c>
      <c r="C247" s="184">
        <f t="shared" si="27"/>
        <v>41586</v>
      </c>
      <c r="D247" s="184" t="s">
        <v>475</v>
      </c>
      <c r="E247" s="191">
        <v>41586</v>
      </c>
      <c r="F247" s="189" t="s">
        <v>502</v>
      </c>
      <c r="G247" s="604" t="s">
        <v>336</v>
      </c>
      <c r="H247" s="7" t="s">
        <v>368</v>
      </c>
      <c r="I247" s="257"/>
      <c r="J247" s="258"/>
      <c r="K247" s="38">
        <v>58400000</v>
      </c>
      <c r="L247" s="603" t="s">
        <v>47</v>
      </c>
      <c r="M247" s="603" t="s">
        <v>24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>x</v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853"/>
      <c r="AB247" s="594"/>
      <c r="AC247" s="594"/>
      <c r="AD247" s="594"/>
    </row>
    <row r="248" spans="1:30" s="810" customFormat="1" ht="15.75" customHeight="1">
      <c r="A248" s="204" t="str">
        <f>IF(B248&lt;&gt;"",IF(AND(B248&gt;=_TM1,B248&lt;=_TM2,OR(TH!L248="1111",TH!M248="1111")),TH!D248,""),"")</f>
        <v>C05</v>
      </c>
      <c r="B248" s="36">
        <f t="shared" si="28"/>
        <v>11</v>
      </c>
      <c r="C248" s="184">
        <f t="shared" si="27"/>
        <v>41589</v>
      </c>
      <c r="D248" s="184" t="s">
        <v>383</v>
      </c>
      <c r="E248" s="191">
        <v>41589</v>
      </c>
      <c r="F248" s="189" t="s">
        <v>349</v>
      </c>
      <c r="G248" s="664" t="s">
        <v>557</v>
      </c>
      <c r="H248" s="7" t="s">
        <v>558</v>
      </c>
      <c r="I248" s="257"/>
      <c r="J248" s="258"/>
      <c r="K248" s="38">
        <v>293364</v>
      </c>
      <c r="L248" s="603" t="s">
        <v>83</v>
      </c>
      <c r="M248" s="603" t="s">
        <v>47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>x</v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853"/>
      <c r="AB248" s="594"/>
      <c r="AC248" s="211"/>
      <c r="AD248" s="594"/>
    </row>
    <row r="249" spans="1:30" s="810" customFormat="1" ht="15.75" customHeight="1">
      <c r="A249" s="204" t="str">
        <f>IF(B249&lt;&gt;"",IF(AND(B249&gt;=_TM1,B249&lt;=_TM2,OR(TH!L249="1111",TH!M249="1111")),TH!D249,""),"")</f>
        <v>C05</v>
      </c>
      <c r="B249" s="36">
        <f t="shared" si="28"/>
        <v>11</v>
      </c>
      <c r="C249" s="184">
        <f t="shared" si="27"/>
        <v>41589</v>
      </c>
      <c r="D249" s="184" t="s">
        <v>383</v>
      </c>
      <c r="E249" s="191">
        <v>41589</v>
      </c>
      <c r="F249" s="189" t="s">
        <v>559</v>
      </c>
      <c r="G249" s="664" t="s">
        <v>557</v>
      </c>
      <c r="H249" s="7" t="s">
        <v>558</v>
      </c>
      <c r="I249" s="257"/>
      <c r="J249" s="258"/>
      <c r="K249" s="38">
        <v>29336</v>
      </c>
      <c r="L249" s="603" t="s">
        <v>9</v>
      </c>
      <c r="M249" s="603" t="s">
        <v>47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853"/>
      <c r="AB249" s="594">
        <v>12</v>
      </c>
      <c r="AC249" s="594"/>
      <c r="AD249" s="594"/>
    </row>
    <row r="250" spans="1:30" s="810" customFormat="1" ht="15.75" customHeight="1">
      <c r="A250" s="204" t="str">
        <f>IF(B250&lt;&gt;"",IF(AND(B250&gt;=_TM1,B250&lt;=_TM2,OR(TH!L250="1111",TH!M250="1111")),TH!D250,""),"")</f>
        <v>C06</v>
      </c>
      <c r="B250" s="36">
        <f t="shared" si="28"/>
        <v>11</v>
      </c>
      <c r="C250" s="184">
        <f t="shared" si="27"/>
        <v>41591</v>
      </c>
      <c r="D250" s="184" t="s">
        <v>384</v>
      </c>
      <c r="E250" s="191">
        <v>41591</v>
      </c>
      <c r="F250" s="189" t="s">
        <v>523</v>
      </c>
      <c r="G250" s="664" t="s">
        <v>560</v>
      </c>
      <c r="H250" s="7" t="s">
        <v>525</v>
      </c>
      <c r="I250" s="257"/>
      <c r="J250" s="258"/>
      <c r="K250" s="38">
        <f>753970+328347+599063</f>
        <v>1681380</v>
      </c>
      <c r="L250" s="603" t="s">
        <v>83</v>
      </c>
      <c r="M250" s="603" t="s">
        <v>47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>x</v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853"/>
      <c r="AB250" s="211"/>
      <c r="AC250" s="594"/>
      <c r="AD250" s="594"/>
    </row>
    <row r="251" spans="1:30" s="810" customFormat="1" ht="15.75" customHeight="1">
      <c r="A251" s="204" t="str">
        <f>IF(B251&lt;&gt;"",IF(AND(B251&gt;=_TM1,B251&lt;=_TM2,OR(TH!L251="1111",TH!M251="1111")),TH!D251,""),"")</f>
        <v>C06</v>
      </c>
      <c r="B251" s="36">
        <f t="shared" si="28"/>
        <v>11</v>
      </c>
      <c r="C251" s="184">
        <f t="shared" si="27"/>
        <v>41591</v>
      </c>
      <c r="D251" s="184" t="s">
        <v>384</v>
      </c>
      <c r="E251" s="191">
        <v>41591</v>
      </c>
      <c r="F251" s="189" t="s">
        <v>526</v>
      </c>
      <c r="G251" s="664" t="s">
        <v>560</v>
      </c>
      <c r="H251" s="7" t="s">
        <v>525</v>
      </c>
      <c r="I251" s="256"/>
      <c r="J251" s="258"/>
      <c r="K251" s="602">
        <f>75397+32833+59906</f>
        <v>168136</v>
      </c>
      <c r="L251" s="603" t="s">
        <v>9</v>
      </c>
      <c r="M251" s="603" t="s">
        <v>47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853"/>
      <c r="AB251" s="594">
        <v>12</v>
      </c>
      <c r="AC251" s="594"/>
      <c r="AD251" s="594"/>
    </row>
    <row r="252" spans="1:30" s="810" customFormat="1" ht="15.75" customHeight="1">
      <c r="A252" s="204" t="str">
        <f>IF(B252&lt;&gt;"",IF(AND(B252&gt;=_TM1,B252&lt;=_TM2,OR(TH!L252="1111",TH!M252="1111")),TH!D252,""),"")</f>
        <v>C07</v>
      </c>
      <c r="B252" s="36">
        <f t="shared" si="28"/>
        <v>11</v>
      </c>
      <c r="C252" s="191">
        <f t="shared" si="27"/>
        <v>41591</v>
      </c>
      <c r="D252" s="184" t="s">
        <v>385</v>
      </c>
      <c r="E252" s="191">
        <v>41591</v>
      </c>
      <c r="F252" s="189" t="s">
        <v>438</v>
      </c>
      <c r="G252" s="487" t="s">
        <v>561</v>
      </c>
      <c r="H252" s="7" t="s">
        <v>372</v>
      </c>
      <c r="I252" s="256"/>
      <c r="J252" s="256"/>
      <c r="K252" s="602">
        <v>1360000</v>
      </c>
      <c r="L252" s="603" t="s">
        <v>165</v>
      </c>
      <c r="M252" s="603" t="s">
        <v>47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853"/>
      <c r="AB252" s="211"/>
      <c r="AC252" s="594"/>
      <c r="AD252" s="594"/>
    </row>
    <row r="253" spans="1:30" s="810" customFormat="1" ht="15.75" customHeight="1">
      <c r="A253" s="204" t="str">
        <f>IF(B253&lt;&gt;"",IF(AND(B253&gt;=_TM1,B253&lt;=_TM2,OR(TH!L253="1111",TH!M253="1111")),TH!D253,""),"")</f>
        <v>C07</v>
      </c>
      <c r="B253" s="36">
        <f t="shared" si="28"/>
        <v>11</v>
      </c>
      <c r="C253" s="191">
        <f t="shared" si="27"/>
        <v>41591</v>
      </c>
      <c r="D253" s="184" t="s">
        <v>385</v>
      </c>
      <c r="E253" s="191">
        <v>41591</v>
      </c>
      <c r="F253" s="189" t="s">
        <v>348</v>
      </c>
      <c r="G253" s="487" t="s">
        <v>561</v>
      </c>
      <c r="H253" s="7" t="s">
        <v>372</v>
      </c>
      <c r="I253" s="257"/>
      <c r="J253" s="257"/>
      <c r="K253" s="602">
        <v>136000</v>
      </c>
      <c r="L253" s="603" t="s">
        <v>9</v>
      </c>
      <c r="M253" s="603" t="s">
        <v>47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853"/>
      <c r="AB253" s="594">
        <v>12</v>
      </c>
      <c r="AC253" s="211"/>
      <c r="AD253" s="594"/>
    </row>
    <row r="254" spans="1:30" s="810" customFormat="1" ht="15.75" customHeight="1">
      <c r="A254" s="204" t="str">
        <f>IF(B254&lt;&gt;"",IF(AND(B254&gt;=_TM1,B254&lt;=_TM2,OR(TH!L254="1111",TH!M254="1111")),TH!D254,""),"")</f>
        <v/>
      </c>
      <c r="B254" s="36">
        <f t="shared" si="28"/>
        <v>11</v>
      </c>
      <c r="C254" s="184">
        <f t="shared" si="27"/>
        <v>41592</v>
      </c>
      <c r="D254" s="184" t="s">
        <v>339</v>
      </c>
      <c r="E254" s="191">
        <v>41592</v>
      </c>
      <c r="F254" s="189" t="s">
        <v>341</v>
      </c>
      <c r="G254" s="604" t="s">
        <v>336</v>
      </c>
      <c r="H254" s="7" t="s">
        <v>539</v>
      </c>
      <c r="I254" s="257"/>
      <c r="J254" s="258"/>
      <c r="K254" s="38">
        <v>14204124</v>
      </c>
      <c r="L254" s="603" t="s">
        <v>24</v>
      </c>
      <c r="M254" s="603" t="s">
        <v>265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>x</v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853"/>
      <c r="AB254" s="211"/>
      <c r="AC254" s="594"/>
      <c r="AD254" s="594"/>
    </row>
    <row r="255" spans="1:30" s="810" customFormat="1" ht="15.75" customHeight="1">
      <c r="A255" s="204" t="str">
        <f>IF(B255&lt;&gt;"",IF(AND(B255&gt;=_TM1,B255&lt;=_TM2,OR(TH!L255="1111",TH!M255="1111")),TH!D255,""),"")</f>
        <v>T09</v>
      </c>
      <c r="B255" s="36">
        <f t="shared" si="28"/>
        <v>11</v>
      </c>
      <c r="C255" s="184">
        <f t="shared" si="27"/>
        <v>41598</v>
      </c>
      <c r="D255" s="184" t="s">
        <v>476</v>
      </c>
      <c r="E255" s="191">
        <v>41598</v>
      </c>
      <c r="F255" s="189" t="s">
        <v>502</v>
      </c>
      <c r="G255" s="604" t="s">
        <v>336</v>
      </c>
      <c r="H255" s="7" t="s">
        <v>368</v>
      </c>
      <c r="I255" s="257"/>
      <c r="J255" s="258"/>
      <c r="K255" s="38">
        <v>14200000</v>
      </c>
      <c r="L255" s="603" t="s">
        <v>47</v>
      </c>
      <c r="M255" s="603" t="s">
        <v>24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>x</v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853"/>
      <c r="AB255" s="211"/>
      <c r="AC255" s="211"/>
      <c r="AD255" s="594"/>
    </row>
    <row r="256" spans="1:30" s="810" customFormat="1" ht="15.75" customHeight="1">
      <c r="A256" s="204" t="str">
        <f>IF(B256&lt;&gt;"",IF(AND(B256&gt;=_TM1,B256&lt;=_TM2,OR(TH!L256="1111",TH!M256="1111")),TH!D256,""),"")</f>
        <v>C08</v>
      </c>
      <c r="B256" s="36">
        <f t="shared" si="28"/>
        <v>11</v>
      </c>
      <c r="C256" s="184">
        <f t="shared" si="27"/>
        <v>41600</v>
      </c>
      <c r="D256" s="184" t="s">
        <v>386</v>
      </c>
      <c r="E256" s="191">
        <v>41600</v>
      </c>
      <c r="F256" s="189" t="s">
        <v>562</v>
      </c>
      <c r="G256" s="664" t="s">
        <v>563</v>
      </c>
      <c r="H256" s="7" t="s">
        <v>564</v>
      </c>
      <c r="I256" s="257"/>
      <c r="J256" s="258"/>
      <c r="K256" s="38">
        <v>1027273</v>
      </c>
      <c r="L256" s="603" t="s">
        <v>83</v>
      </c>
      <c r="M256" s="603" t="s">
        <v>47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>x</v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853"/>
      <c r="AB256" s="594"/>
      <c r="AC256" s="594"/>
      <c r="AD256" s="594"/>
    </row>
    <row r="257" spans="1:30" s="810" customFormat="1" ht="15.75" customHeight="1">
      <c r="A257" s="204" t="str">
        <f>IF(B257&lt;&gt;"",IF(AND(B257&gt;=_TM1,B257&lt;=_TM2,OR(TH!L257="1111",TH!M257="1111")),TH!D257,""),"")</f>
        <v>C08</v>
      </c>
      <c r="B257" s="36">
        <f t="shared" si="28"/>
        <v>11</v>
      </c>
      <c r="C257" s="184">
        <f t="shared" si="27"/>
        <v>41600</v>
      </c>
      <c r="D257" s="184" t="s">
        <v>386</v>
      </c>
      <c r="E257" s="191">
        <v>41600</v>
      </c>
      <c r="F257" s="189" t="s">
        <v>565</v>
      </c>
      <c r="G257" s="664" t="s">
        <v>563</v>
      </c>
      <c r="H257" s="7" t="s">
        <v>564</v>
      </c>
      <c r="I257" s="257"/>
      <c r="J257" s="258"/>
      <c r="K257" s="38">
        <v>102727</v>
      </c>
      <c r="L257" s="603" t="s">
        <v>9</v>
      </c>
      <c r="M257" s="603" t="s">
        <v>47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853"/>
      <c r="AB257" s="594">
        <v>12</v>
      </c>
      <c r="AC257" s="198"/>
      <c r="AD257" s="198"/>
    </row>
    <row r="258" spans="1:30" s="810" customFormat="1" ht="15.75" customHeight="1">
      <c r="A258" s="204" t="str">
        <f>IF(B258&lt;&gt;"",IF(AND(B258&gt;=_TM1,B258&lt;=_TM2,OR(TH!L258="1111",TH!M258="1111")),TH!D258,""),"")</f>
        <v/>
      </c>
      <c r="B258" s="36">
        <f t="shared" si="28"/>
        <v>11</v>
      </c>
      <c r="C258" s="184">
        <f t="shared" ref="C258:C328" si="29">E258</f>
        <v>41603</v>
      </c>
      <c r="D258" s="184" t="s">
        <v>339</v>
      </c>
      <c r="E258" s="191">
        <v>41603</v>
      </c>
      <c r="F258" s="189" t="s">
        <v>369</v>
      </c>
      <c r="G258" s="604" t="s">
        <v>336</v>
      </c>
      <c r="H258" s="7"/>
      <c r="I258" s="257"/>
      <c r="J258" s="258"/>
      <c r="K258" s="38">
        <v>10898</v>
      </c>
      <c r="L258" s="603" t="s">
        <v>24</v>
      </c>
      <c r="M258" s="603" t="s">
        <v>40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>x</v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853"/>
      <c r="AB258" s="211"/>
      <c r="AC258" s="198"/>
      <c r="AD258" s="198"/>
    </row>
    <row r="259" spans="1:30" s="810" customFormat="1" ht="15.75" customHeight="1">
      <c r="A259" s="204" t="str">
        <f>IF(B259&lt;&gt;"",IF(AND(B259&gt;=_TM1,B259&lt;=_TM2,OR(TH!L259="1111",TH!M259="1111")),TH!D259,""),"")</f>
        <v/>
      </c>
      <c r="B259" s="36">
        <f t="shared" si="28"/>
        <v>11</v>
      </c>
      <c r="C259" s="184">
        <f t="shared" si="29"/>
        <v>41604</v>
      </c>
      <c r="D259" s="184" t="s">
        <v>339</v>
      </c>
      <c r="E259" s="184">
        <v>41604</v>
      </c>
      <c r="F259" s="189" t="s">
        <v>341</v>
      </c>
      <c r="G259" s="604" t="s">
        <v>336</v>
      </c>
      <c r="H259" s="7" t="s">
        <v>543</v>
      </c>
      <c r="I259" s="256"/>
      <c r="J259" s="256"/>
      <c r="K259" s="602">
        <v>11109780</v>
      </c>
      <c r="L259" s="603" t="s">
        <v>24</v>
      </c>
      <c r="M259" s="603" t="s">
        <v>265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>x</v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853"/>
      <c r="AB259" s="211"/>
      <c r="AC259" s="198"/>
      <c r="AD259" s="198"/>
    </row>
    <row r="260" spans="1:30" s="810" customFormat="1" ht="15.75" customHeight="1">
      <c r="A260" s="204" t="str">
        <f>IF(B260&lt;&gt;"",IF(AND(B260&gt;=_TM1,B260&lt;=_TM2,OR(TH!L260="1111",TH!M260="1111")),TH!D260,""),"")</f>
        <v>C09</v>
      </c>
      <c r="B260" s="36">
        <f t="shared" si="28"/>
        <v>11</v>
      </c>
      <c r="C260" s="184">
        <f t="shared" si="29"/>
        <v>41604</v>
      </c>
      <c r="D260" s="184" t="s">
        <v>387</v>
      </c>
      <c r="E260" s="184">
        <v>41604</v>
      </c>
      <c r="F260" s="189" t="s">
        <v>438</v>
      </c>
      <c r="G260" s="664" t="s">
        <v>566</v>
      </c>
      <c r="H260" s="7" t="s">
        <v>567</v>
      </c>
      <c r="I260" s="256"/>
      <c r="J260" s="256"/>
      <c r="K260" s="602">
        <v>4025000</v>
      </c>
      <c r="L260" s="603" t="s">
        <v>165</v>
      </c>
      <c r="M260" s="603" t="s">
        <v>47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853"/>
      <c r="AB260" s="211"/>
      <c r="AC260" s="198"/>
      <c r="AD260" s="198"/>
    </row>
    <row r="261" spans="1:30" s="810" customFormat="1" ht="15.75" customHeight="1">
      <c r="A261" s="204" t="str">
        <f>IF(B261&lt;&gt;"",IF(AND(B261&gt;=_TM1,B261&lt;=_TM2,OR(TH!L261="1111",TH!M261="1111")),TH!D261,""),"")</f>
        <v>C09</v>
      </c>
      <c r="B261" s="36">
        <f t="shared" si="28"/>
        <v>11</v>
      </c>
      <c r="C261" s="184">
        <f t="shared" si="29"/>
        <v>41604</v>
      </c>
      <c r="D261" s="184" t="s">
        <v>387</v>
      </c>
      <c r="E261" s="184">
        <v>41604</v>
      </c>
      <c r="F261" s="189" t="s">
        <v>348</v>
      </c>
      <c r="G261" s="664" t="s">
        <v>566</v>
      </c>
      <c r="H261" s="7" t="s">
        <v>567</v>
      </c>
      <c r="I261" s="256"/>
      <c r="J261" s="256"/>
      <c r="K261" s="602">
        <v>402500</v>
      </c>
      <c r="L261" s="603" t="s">
        <v>9</v>
      </c>
      <c r="M261" s="603" t="s">
        <v>47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853"/>
      <c r="AB261" s="594">
        <v>12</v>
      </c>
      <c r="AC261" s="198"/>
      <c r="AD261" s="198"/>
    </row>
    <row r="262" spans="1:30" s="810" customFormat="1" ht="15.75" customHeight="1">
      <c r="A262" s="204" t="str">
        <f>IF(B262&lt;&gt;"",IF(AND(B262&gt;=_TM1,B262&lt;=_TM2,OR(TH!L262="1111",TH!M262="1111")),TH!D262,""),"")</f>
        <v/>
      </c>
      <c r="B262" s="36">
        <f t="shared" si="28"/>
        <v>11</v>
      </c>
      <c r="C262" s="184">
        <f t="shared" si="29"/>
        <v>41606</v>
      </c>
      <c r="D262" s="184" t="s">
        <v>339</v>
      </c>
      <c r="E262" s="184">
        <v>41606</v>
      </c>
      <c r="F262" s="189" t="s">
        <v>341</v>
      </c>
      <c r="G262" s="604" t="s">
        <v>336</v>
      </c>
      <c r="H262" s="7" t="s">
        <v>539</v>
      </c>
      <c r="I262" s="256"/>
      <c r="J262" s="256"/>
      <c r="K262" s="602">
        <v>27871470</v>
      </c>
      <c r="L262" s="603" t="s">
        <v>24</v>
      </c>
      <c r="M262" s="603" t="s">
        <v>265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>x</v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853"/>
      <c r="AB262" s="211"/>
      <c r="AC262" s="198"/>
      <c r="AD262" s="198"/>
    </row>
    <row r="263" spans="1:30" s="810" customFormat="1" ht="15.75" customHeight="1">
      <c r="A263" s="204" t="str">
        <f>IF(B263&lt;&gt;"",IF(AND(B263&gt;=_TM1,B263&lt;=_TM2,OR(TH!L263="1111",TH!M263="1111")),TH!D263,""),"")</f>
        <v>T10</v>
      </c>
      <c r="B263" s="36">
        <f t="shared" si="28"/>
        <v>11</v>
      </c>
      <c r="C263" s="184">
        <f t="shared" si="29"/>
        <v>41607</v>
      </c>
      <c r="D263" s="184" t="s">
        <v>477</v>
      </c>
      <c r="E263" s="191">
        <v>41607</v>
      </c>
      <c r="F263" s="189" t="s">
        <v>502</v>
      </c>
      <c r="G263" s="604" t="s">
        <v>336</v>
      </c>
      <c r="H263" s="7" t="s">
        <v>368</v>
      </c>
      <c r="I263" s="257"/>
      <c r="J263" s="258"/>
      <c r="K263" s="38">
        <v>39000000</v>
      </c>
      <c r="L263" s="603" t="s">
        <v>47</v>
      </c>
      <c r="M263" s="603" t="s">
        <v>24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>x</v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853"/>
      <c r="AB263" s="594"/>
      <c r="AC263" s="198"/>
      <c r="AD263" s="198"/>
    </row>
    <row r="264" spans="1:30" s="810" customFormat="1" ht="15.75" customHeight="1">
      <c r="A264" s="204" t="str">
        <f>IF(B264&lt;&gt;"",IF(AND(B264&gt;=_TM1,B264&lt;=_TM2,OR(TH!L264="1111",TH!M264="1111")),TH!D264,""),"")</f>
        <v>C10</v>
      </c>
      <c r="B264" s="36">
        <f t="shared" si="28"/>
        <v>11</v>
      </c>
      <c r="C264" s="184">
        <f t="shared" si="29"/>
        <v>41607</v>
      </c>
      <c r="D264" s="184" t="s">
        <v>394</v>
      </c>
      <c r="E264" s="184">
        <v>41607</v>
      </c>
      <c r="F264" s="189" t="s">
        <v>388</v>
      </c>
      <c r="G264" s="664" t="s">
        <v>568</v>
      </c>
      <c r="H264" s="7" t="s">
        <v>520</v>
      </c>
      <c r="I264" s="256"/>
      <c r="J264" s="258"/>
      <c r="K264" s="602">
        <v>1131830</v>
      </c>
      <c r="L264" s="603" t="s">
        <v>83</v>
      </c>
      <c r="M264" s="603" t="s">
        <v>47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>x</v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853"/>
      <c r="AB264" s="211"/>
      <c r="AC264" s="198"/>
      <c r="AD264" s="198"/>
    </row>
    <row r="265" spans="1:30" s="810" customFormat="1" ht="15.75" customHeight="1">
      <c r="A265" s="204" t="str">
        <f>IF(B265&lt;&gt;"",IF(AND(B265&gt;=_TM1,B265&lt;=_TM2,OR(TH!L265="1111",TH!M265="1111")),TH!D265,""),"")</f>
        <v>C10</v>
      </c>
      <c r="B265" s="36">
        <f t="shared" si="28"/>
        <v>11</v>
      </c>
      <c r="C265" s="184">
        <f t="shared" si="29"/>
        <v>41607</v>
      </c>
      <c r="D265" s="184" t="s">
        <v>394</v>
      </c>
      <c r="E265" s="184">
        <v>41607</v>
      </c>
      <c r="F265" s="189" t="s">
        <v>389</v>
      </c>
      <c r="G265" s="664" t="s">
        <v>568</v>
      </c>
      <c r="H265" s="7" t="s">
        <v>520</v>
      </c>
      <c r="I265" s="257"/>
      <c r="J265" s="258"/>
      <c r="K265" s="38">
        <v>113183</v>
      </c>
      <c r="L265" s="603" t="s">
        <v>9</v>
      </c>
      <c r="M265" s="603" t="s">
        <v>47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853"/>
      <c r="AB265" s="594">
        <v>12</v>
      </c>
      <c r="AC265" s="198"/>
      <c r="AD265" s="198"/>
    </row>
    <row r="266" spans="1:30" s="810" customFormat="1" ht="15.75" customHeight="1">
      <c r="A266" s="204" t="str">
        <f>IF(B266&lt;&gt;"",IF(AND(B266&gt;=_TM1,B266&lt;=_TM2,OR(TH!L266="1111",TH!M266="1111")),TH!D266,""),"")</f>
        <v>C11</v>
      </c>
      <c r="B266" s="36">
        <f t="shared" si="28"/>
        <v>11</v>
      </c>
      <c r="C266" s="184">
        <f t="shared" si="29"/>
        <v>41607</v>
      </c>
      <c r="D266" s="184" t="s">
        <v>395</v>
      </c>
      <c r="E266" s="191">
        <v>41607</v>
      </c>
      <c r="F266" s="189" t="s">
        <v>569</v>
      </c>
      <c r="G266" s="664" t="s">
        <v>570</v>
      </c>
      <c r="H266" s="7" t="s">
        <v>571</v>
      </c>
      <c r="I266" s="257">
        <v>240</v>
      </c>
      <c r="J266" s="258">
        <v>6060</v>
      </c>
      <c r="K266" s="38">
        <f>ROUND(I266*J266,0)</f>
        <v>1454400</v>
      </c>
      <c r="L266" s="603" t="s">
        <v>83</v>
      </c>
      <c r="M266" s="603" t="s">
        <v>47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>x</v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853"/>
      <c r="AB266" s="594"/>
      <c r="AC266" s="594"/>
      <c r="AD266" s="594"/>
    </row>
    <row r="267" spans="1:30" s="810" customFormat="1" ht="15.75" customHeight="1">
      <c r="A267" s="204" t="str">
        <f>IF(B267&lt;&gt;"",IF(AND(B267&gt;=_TM1,B267&lt;=_TM2,OR(TH!L267="1111",TH!M267="1111")),TH!D267,""),"")</f>
        <v>C11</v>
      </c>
      <c r="B267" s="36">
        <f t="shared" si="28"/>
        <v>11</v>
      </c>
      <c r="C267" s="184">
        <f t="shared" si="29"/>
        <v>41607</v>
      </c>
      <c r="D267" s="184" t="s">
        <v>395</v>
      </c>
      <c r="E267" s="191">
        <v>41607</v>
      </c>
      <c r="F267" s="189" t="s">
        <v>572</v>
      </c>
      <c r="G267" s="664" t="s">
        <v>570</v>
      </c>
      <c r="H267" s="7" t="s">
        <v>571</v>
      </c>
      <c r="I267" s="257"/>
      <c r="J267" s="258"/>
      <c r="K267" s="38">
        <v>145440</v>
      </c>
      <c r="L267" s="603" t="s">
        <v>9</v>
      </c>
      <c r="M267" s="603" t="s">
        <v>47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853"/>
      <c r="AB267" s="211">
        <v>12</v>
      </c>
      <c r="AC267" s="211"/>
      <c r="AD267" s="211"/>
    </row>
    <row r="268" spans="1:30" s="810" customFormat="1" ht="15.75" customHeight="1">
      <c r="A268" s="204" t="str">
        <f>IF(B268&lt;&gt;"",IF(AND(B268&gt;=_TM1,B268&lt;=_TM2,OR(TH!L268="1111",TH!M268="1111")),TH!D268,""),"")</f>
        <v/>
      </c>
      <c r="B268" s="36">
        <f t="shared" si="28"/>
        <v>12</v>
      </c>
      <c r="C268" s="184">
        <f t="shared" si="29"/>
        <v>41613</v>
      </c>
      <c r="D268" s="184" t="s">
        <v>339</v>
      </c>
      <c r="E268" s="191">
        <v>41613</v>
      </c>
      <c r="F268" s="189" t="s">
        <v>341</v>
      </c>
      <c r="G268" s="604" t="s">
        <v>336</v>
      </c>
      <c r="H268" s="7" t="s">
        <v>544</v>
      </c>
      <c r="I268" s="257"/>
      <c r="J268" s="258"/>
      <c r="K268" s="38">
        <v>6157635</v>
      </c>
      <c r="L268" s="603" t="s">
        <v>24</v>
      </c>
      <c r="M268" s="603" t="s">
        <v>265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>x</v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853"/>
      <c r="AB268" s="211"/>
      <c r="AC268" s="594"/>
      <c r="AD268" s="594"/>
    </row>
    <row r="269" spans="1:30" s="810" customFormat="1" ht="15.75" customHeight="1">
      <c r="A269" s="204" t="str">
        <f>IF(B269&lt;&gt;"",IF(AND(B269&gt;=_TM1,B269&lt;=_TM2,OR(TH!L269="1111",TH!M269="1111")),TH!D269,""),"")</f>
        <v/>
      </c>
      <c r="B269" s="36">
        <f t="shared" si="28"/>
        <v>12</v>
      </c>
      <c r="C269" s="184">
        <f t="shared" si="29"/>
        <v>41613</v>
      </c>
      <c r="D269" s="184" t="s">
        <v>339</v>
      </c>
      <c r="E269" s="191">
        <v>41613</v>
      </c>
      <c r="F269" s="189" t="s">
        <v>341</v>
      </c>
      <c r="G269" s="604" t="s">
        <v>336</v>
      </c>
      <c r="H269" s="7" t="s">
        <v>433</v>
      </c>
      <c r="I269" s="257"/>
      <c r="J269" s="258"/>
      <c r="K269" s="38">
        <v>21014400</v>
      </c>
      <c r="L269" s="603" t="s">
        <v>24</v>
      </c>
      <c r="M269" s="603" t="s">
        <v>265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>x</v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853"/>
      <c r="AB269" s="594"/>
      <c r="AC269" s="594"/>
      <c r="AD269" s="594"/>
    </row>
    <row r="270" spans="1:30" s="810" customFormat="1" ht="15.75" customHeight="1">
      <c r="A270" s="204" t="str">
        <f>IF(B270&lt;&gt;"",IF(AND(B270&gt;=_TM1,B270&lt;=_TM2,OR(TH!L270="1111",TH!M270="1111")),TH!D270,""),"")</f>
        <v/>
      </c>
      <c r="B270" s="36">
        <f t="shared" si="28"/>
        <v>12</v>
      </c>
      <c r="C270" s="184">
        <f t="shared" si="29"/>
        <v>41613</v>
      </c>
      <c r="D270" s="184" t="s">
        <v>406</v>
      </c>
      <c r="E270" s="191">
        <v>41613</v>
      </c>
      <c r="F270" s="189" t="s">
        <v>346</v>
      </c>
      <c r="G270" s="664" t="s">
        <v>573</v>
      </c>
      <c r="H270" s="7" t="s">
        <v>376</v>
      </c>
      <c r="I270" s="256">
        <v>48</v>
      </c>
      <c r="J270" s="258">
        <v>44000</v>
      </c>
      <c r="K270" s="38">
        <f>ROUND(I270*J270,0)</f>
        <v>2112000</v>
      </c>
      <c r="L270" s="603" t="s">
        <v>161</v>
      </c>
      <c r="M270" s="603" t="s">
        <v>8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853"/>
      <c r="AB270" s="594"/>
      <c r="AC270" s="594"/>
      <c r="AD270" s="594"/>
    </row>
    <row r="271" spans="1:30" s="810" customFormat="1" ht="15.75" customHeight="1">
      <c r="A271" s="204" t="str">
        <f>IF(B271&lt;&gt;"",IF(AND(B271&gt;=_TM1,B271&lt;=_TM2,OR(TH!L271="1111",TH!M271="1111")),TH!D271,""),"")</f>
        <v/>
      </c>
      <c r="B271" s="36">
        <f t="shared" si="28"/>
        <v>12</v>
      </c>
      <c r="C271" s="184">
        <f t="shared" si="29"/>
        <v>41613</v>
      </c>
      <c r="D271" s="184" t="s">
        <v>406</v>
      </c>
      <c r="E271" s="191">
        <v>41613</v>
      </c>
      <c r="F271" s="189" t="s">
        <v>347</v>
      </c>
      <c r="G271" s="664" t="s">
        <v>573</v>
      </c>
      <c r="H271" s="7" t="s">
        <v>376</v>
      </c>
      <c r="I271" s="257"/>
      <c r="J271" s="258"/>
      <c r="K271" s="602">
        <v>211200</v>
      </c>
      <c r="L271" s="603" t="s">
        <v>9</v>
      </c>
      <c r="M271" s="603" t="s">
        <v>8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853"/>
      <c r="AB271" s="594">
        <v>12</v>
      </c>
      <c r="AC271" s="594"/>
      <c r="AD271" s="594"/>
    </row>
    <row r="272" spans="1:30" s="810" customFormat="1" ht="15.75" customHeight="1">
      <c r="A272" s="204" t="str">
        <f>IF(B272&lt;&gt;"",IF(AND(B272&gt;=_TM1,B272&lt;=_TM2,OR(TH!L272="1111",TH!M272="1111")),TH!D272,""),"")</f>
        <v>C12</v>
      </c>
      <c r="B272" s="36">
        <f t="shared" si="28"/>
        <v>12</v>
      </c>
      <c r="C272" s="184">
        <f t="shared" si="29"/>
        <v>41613</v>
      </c>
      <c r="D272" s="184" t="s">
        <v>396</v>
      </c>
      <c r="E272" s="191">
        <v>41613</v>
      </c>
      <c r="F272" s="189" t="s">
        <v>371</v>
      </c>
      <c r="G272" s="664" t="s">
        <v>573</v>
      </c>
      <c r="H272" s="7" t="s">
        <v>376</v>
      </c>
      <c r="I272" s="257"/>
      <c r="J272" s="258"/>
      <c r="K272" s="602">
        <v>2323200</v>
      </c>
      <c r="L272" s="603" t="s">
        <v>8</v>
      </c>
      <c r="M272" s="603" t="s">
        <v>47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853"/>
      <c r="AB272" s="594"/>
      <c r="AC272" s="211"/>
      <c r="AD272" s="594"/>
    </row>
    <row r="273" spans="1:30" s="810" customFormat="1" ht="15.75" customHeight="1">
      <c r="A273" s="204" t="str">
        <f>IF(B273&lt;&gt;"",IF(AND(B273&gt;=_TM1,B273&lt;=_TM2,OR(TH!L273="1111",TH!M273="1111")),TH!D273,""),"")</f>
        <v/>
      </c>
      <c r="B273" s="36">
        <f t="shared" si="28"/>
        <v>12</v>
      </c>
      <c r="C273" s="184">
        <f t="shared" si="29"/>
        <v>41614</v>
      </c>
      <c r="D273" s="184" t="s">
        <v>339</v>
      </c>
      <c r="E273" s="191">
        <v>41614</v>
      </c>
      <c r="F273" s="189" t="s">
        <v>341</v>
      </c>
      <c r="G273" s="604" t="s">
        <v>336</v>
      </c>
      <c r="H273" s="7" t="s">
        <v>550</v>
      </c>
      <c r="I273" s="257"/>
      <c r="J273" s="258"/>
      <c r="K273" s="38">
        <v>23651870</v>
      </c>
      <c r="L273" s="603" t="s">
        <v>24</v>
      </c>
      <c r="M273" s="603" t="s">
        <v>265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>x</v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853"/>
      <c r="AB273" s="594"/>
      <c r="AC273" s="594"/>
      <c r="AD273" s="594"/>
    </row>
    <row r="274" spans="1:30" s="810" customFormat="1" ht="15.75" customHeight="1">
      <c r="A274" s="204" t="str">
        <f>IF(B274&lt;&gt;"",IF(AND(B274&gt;=_TM1,B274&lt;=_TM2,OR(TH!L274="1111",TH!M274="1111")),TH!D274,""),"")</f>
        <v>C13</v>
      </c>
      <c r="B274" s="36">
        <f t="shared" si="28"/>
        <v>12</v>
      </c>
      <c r="C274" s="184">
        <f t="shared" si="29"/>
        <v>41615</v>
      </c>
      <c r="D274" s="184" t="s">
        <v>398</v>
      </c>
      <c r="E274" s="191">
        <v>41615</v>
      </c>
      <c r="F274" s="189" t="s">
        <v>438</v>
      </c>
      <c r="G274" s="487" t="s">
        <v>472</v>
      </c>
      <c r="H274" s="7" t="s">
        <v>567</v>
      </c>
      <c r="I274" s="256"/>
      <c r="J274" s="256"/>
      <c r="K274" s="602">
        <v>2120000</v>
      </c>
      <c r="L274" s="603" t="s">
        <v>165</v>
      </c>
      <c r="M274" s="603" t="s">
        <v>47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853"/>
      <c r="AB274" s="211"/>
      <c r="AC274" s="594"/>
      <c r="AD274" s="594"/>
    </row>
    <row r="275" spans="1:30" s="810" customFormat="1" ht="15.75" customHeight="1">
      <c r="A275" s="204" t="str">
        <f>IF(B275&lt;&gt;"",IF(AND(B275&gt;=_TM1,B275&lt;=_TM2,OR(TH!L275="1111",TH!M275="1111")),TH!D275,""),"")</f>
        <v>C13</v>
      </c>
      <c r="B275" s="36">
        <f t="shared" si="28"/>
        <v>12</v>
      </c>
      <c r="C275" s="184">
        <f t="shared" si="29"/>
        <v>41615</v>
      </c>
      <c r="D275" s="184" t="s">
        <v>398</v>
      </c>
      <c r="E275" s="191">
        <v>41615</v>
      </c>
      <c r="F275" s="189" t="s">
        <v>348</v>
      </c>
      <c r="G275" s="487" t="s">
        <v>472</v>
      </c>
      <c r="H275" s="7" t="s">
        <v>567</v>
      </c>
      <c r="I275" s="256"/>
      <c r="J275" s="256"/>
      <c r="K275" s="602">
        <v>212000</v>
      </c>
      <c r="L275" s="603" t="s">
        <v>9</v>
      </c>
      <c r="M275" s="603" t="s">
        <v>47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853"/>
      <c r="AB275" s="211">
        <v>12</v>
      </c>
      <c r="AC275" s="594"/>
      <c r="AD275" s="594"/>
    </row>
    <row r="276" spans="1:30" s="810" customFormat="1" ht="15.75" customHeight="1">
      <c r="A276" s="204" t="str">
        <f>IF(B276&lt;&gt;"",IF(AND(B276&gt;=_TM1,B276&lt;=_TM2,OR(TH!L276="1111",TH!M276="1111")),TH!D276,""),"")</f>
        <v>C14</v>
      </c>
      <c r="B276" s="36">
        <f t="shared" si="28"/>
        <v>12</v>
      </c>
      <c r="C276" s="184">
        <f t="shared" si="29"/>
        <v>41616</v>
      </c>
      <c r="D276" s="184" t="s">
        <v>399</v>
      </c>
      <c r="E276" s="881">
        <v>41616</v>
      </c>
      <c r="F276" s="189" t="s">
        <v>562</v>
      </c>
      <c r="G276" s="664" t="s">
        <v>574</v>
      </c>
      <c r="H276" s="7" t="s">
        <v>575</v>
      </c>
      <c r="I276" s="256"/>
      <c r="J276" s="258"/>
      <c r="K276" s="38">
        <v>1413637</v>
      </c>
      <c r="L276" s="603" t="s">
        <v>83</v>
      </c>
      <c r="M276" s="603" t="s">
        <v>47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>x</v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853"/>
      <c r="AB276" s="211"/>
      <c r="AC276" s="594"/>
      <c r="AD276" s="594"/>
    </row>
    <row r="277" spans="1:30" s="810" customFormat="1" ht="15.75" customHeight="1">
      <c r="A277" s="204" t="str">
        <f>IF(B277&lt;&gt;"",IF(AND(B277&gt;=_TM1,B277&lt;=_TM2,OR(TH!L277="1111",TH!M277="1111")),TH!D277,""),"")</f>
        <v>C14</v>
      </c>
      <c r="B277" s="36">
        <f t="shared" si="28"/>
        <v>12</v>
      </c>
      <c r="C277" s="184">
        <f t="shared" si="29"/>
        <v>41616</v>
      </c>
      <c r="D277" s="184" t="s">
        <v>399</v>
      </c>
      <c r="E277" s="881">
        <v>41616</v>
      </c>
      <c r="F277" s="189" t="s">
        <v>565</v>
      </c>
      <c r="G277" s="664" t="s">
        <v>574</v>
      </c>
      <c r="H277" s="7" t="s">
        <v>575</v>
      </c>
      <c r="I277" s="257"/>
      <c r="J277" s="258"/>
      <c r="K277" s="38">
        <v>141363</v>
      </c>
      <c r="L277" s="603" t="s">
        <v>9</v>
      </c>
      <c r="M277" s="603" t="s">
        <v>47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853"/>
      <c r="AB277" s="594">
        <v>12</v>
      </c>
      <c r="AC277" s="198"/>
      <c r="AD277" s="198"/>
    </row>
    <row r="278" spans="1:30" s="810" customFormat="1" ht="15.75" customHeight="1">
      <c r="A278" s="204" t="str">
        <f>IF(B278&lt;&gt;"",IF(AND(B278&gt;=_TM1,B278&lt;=_TM2,OR(TH!L278="1111",TH!M278="1111")),TH!D278,""),"")</f>
        <v/>
      </c>
      <c r="B278" s="36">
        <f t="shared" si="28"/>
        <v>12</v>
      </c>
      <c r="C278" s="184">
        <f t="shared" si="29"/>
        <v>41617</v>
      </c>
      <c r="D278" s="184" t="s">
        <v>339</v>
      </c>
      <c r="E278" s="184">
        <v>41617</v>
      </c>
      <c r="F278" s="189" t="s">
        <v>341</v>
      </c>
      <c r="G278" s="604" t="s">
        <v>336</v>
      </c>
      <c r="H278" s="7" t="s">
        <v>539</v>
      </c>
      <c r="I278" s="256"/>
      <c r="J278" s="256"/>
      <c r="K278" s="602">
        <v>15030851</v>
      </c>
      <c r="L278" s="603" t="s">
        <v>24</v>
      </c>
      <c r="M278" s="603" t="s">
        <v>265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>x</v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853"/>
      <c r="AB278" s="594"/>
      <c r="AC278" s="198"/>
      <c r="AD278" s="198"/>
    </row>
    <row r="279" spans="1:30" s="810" customFormat="1" ht="15.75" customHeight="1">
      <c r="A279" s="204" t="str">
        <f>IF(B279&lt;&gt;"",IF(AND(B279&gt;=_TM1,B279&lt;=_TM2,OR(TH!L279="1111",TH!M279="1111")),TH!D279,""),"")</f>
        <v/>
      </c>
      <c r="B279" s="36">
        <f t="shared" si="28"/>
        <v>12</v>
      </c>
      <c r="C279" s="184">
        <f t="shared" si="29"/>
        <v>41618</v>
      </c>
      <c r="D279" s="184" t="s">
        <v>340</v>
      </c>
      <c r="E279" s="191">
        <v>41618</v>
      </c>
      <c r="F279" s="189" t="s">
        <v>515</v>
      </c>
      <c r="G279" s="604" t="s">
        <v>336</v>
      </c>
      <c r="H279" s="7" t="s">
        <v>368</v>
      </c>
      <c r="I279" s="257"/>
      <c r="J279" s="258"/>
      <c r="K279" s="38">
        <v>45000</v>
      </c>
      <c r="L279" s="603" t="s">
        <v>83</v>
      </c>
      <c r="M279" s="603" t="s">
        <v>24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>x</v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>x</v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853"/>
      <c r="AB279" s="211"/>
      <c r="AC279" s="198"/>
      <c r="AD279" s="198"/>
    </row>
    <row r="280" spans="1:30" s="810" customFormat="1" ht="15.75" customHeight="1">
      <c r="A280" s="204" t="str">
        <f>IF(B280&lt;&gt;"",IF(AND(B280&gt;=_TM1,B280&lt;=_TM2,OR(TH!L280="1111",TH!M280="1111")),TH!D280,""),"")</f>
        <v>T11</v>
      </c>
      <c r="B280" s="36">
        <f t="shared" si="28"/>
        <v>12</v>
      </c>
      <c r="C280" s="184">
        <f t="shared" si="29"/>
        <v>41618</v>
      </c>
      <c r="D280" s="184" t="s">
        <v>576</v>
      </c>
      <c r="E280" s="191">
        <v>41618</v>
      </c>
      <c r="F280" s="189" t="s">
        <v>502</v>
      </c>
      <c r="G280" s="604" t="s">
        <v>336</v>
      </c>
      <c r="H280" s="7" t="s">
        <v>368</v>
      </c>
      <c r="I280" s="256"/>
      <c r="J280" s="256"/>
      <c r="K280" s="602">
        <v>65800000</v>
      </c>
      <c r="L280" s="603" t="s">
        <v>47</v>
      </c>
      <c r="M280" s="603" t="s">
        <v>24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>x</v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853"/>
      <c r="AB280" s="594"/>
      <c r="AC280" s="198"/>
      <c r="AD280" s="198"/>
    </row>
    <row r="281" spans="1:30" s="810" customFormat="1" ht="15.75" customHeight="1">
      <c r="A281" s="204" t="str">
        <f>IF(B281&lt;&gt;"",IF(AND(B281&gt;=_TM1,B281&lt;=_TM2,OR(TH!L281="1111",TH!M281="1111")),TH!D281,""),"")</f>
        <v/>
      </c>
      <c r="B281" s="36">
        <f t="shared" si="28"/>
        <v>12</v>
      </c>
      <c r="C281" s="184">
        <f t="shared" si="29"/>
        <v>41620</v>
      </c>
      <c r="D281" s="184" t="s">
        <v>339</v>
      </c>
      <c r="E281" s="184">
        <v>41620</v>
      </c>
      <c r="F281" s="189" t="s">
        <v>341</v>
      </c>
      <c r="G281" s="604" t="s">
        <v>336</v>
      </c>
      <c r="H281" s="7" t="s">
        <v>539</v>
      </c>
      <c r="I281" s="256"/>
      <c r="J281" s="256"/>
      <c r="K281" s="602">
        <v>13659140</v>
      </c>
      <c r="L281" s="603" t="s">
        <v>24</v>
      </c>
      <c r="M281" s="603" t="s">
        <v>265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>x</v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853"/>
      <c r="AB281" s="211"/>
      <c r="AC281" s="198"/>
      <c r="AD281" s="198"/>
    </row>
    <row r="282" spans="1:30" s="810" customFormat="1" ht="15.75" customHeight="1">
      <c r="A282" s="204" t="str">
        <f>IF(B282&lt;&gt;"",IF(AND(B282&gt;=_TM1,B282&lt;=_TM2,OR(TH!L282="1111",TH!M282="1111")),TH!D282,""),"")</f>
        <v/>
      </c>
      <c r="B282" s="36">
        <f t="shared" si="28"/>
        <v>12</v>
      </c>
      <c r="C282" s="184">
        <f t="shared" si="29"/>
        <v>41624</v>
      </c>
      <c r="D282" s="184" t="s">
        <v>339</v>
      </c>
      <c r="E282" s="184">
        <v>41624</v>
      </c>
      <c r="F282" s="189" t="s">
        <v>341</v>
      </c>
      <c r="G282" s="604" t="s">
        <v>336</v>
      </c>
      <c r="H282" s="7" t="s">
        <v>540</v>
      </c>
      <c r="I282" s="256"/>
      <c r="J282" s="256"/>
      <c r="K282" s="602">
        <v>13413400</v>
      </c>
      <c r="L282" s="603" t="s">
        <v>24</v>
      </c>
      <c r="M282" s="603" t="s">
        <v>265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>x</v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853"/>
      <c r="AB282" s="211"/>
      <c r="AC282" s="198"/>
      <c r="AD282" s="198"/>
    </row>
    <row r="283" spans="1:30" s="810" customFormat="1" ht="15.75" customHeight="1">
      <c r="A283" s="204" t="str">
        <f>IF(B283&lt;&gt;"",IF(AND(B283&gt;=_TM1,B283&lt;=_TM2,OR(TH!L283="1111",TH!M283="1111")),TH!D283,""),"")</f>
        <v/>
      </c>
      <c r="B283" s="36">
        <f t="shared" si="28"/>
        <v>12</v>
      </c>
      <c r="C283" s="184">
        <f t="shared" si="29"/>
        <v>41625</v>
      </c>
      <c r="D283" s="184" t="s">
        <v>339</v>
      </c>
      <c r="E283" s="184">
        <v>41625</v>
      </c>
      <c r="F283" s="189" t="s">
        <v>341</v>
      </c>
      <c r="G283" s="604" t="s">
        <v>336</v>
      </c>
      <c r="H283" s="7" t="s">
        <v>544</v>
      </c>
      <c r="I283" s="256"/>
      <c r="J283" s="256"/>
      <c r="K283" s="602">
        <v>15019180</v>
      </c>
      <c r="L283" s="603" t="s">
        <v>24</v>
      </c>
      <c r="M283" s="603" t="s">
        <v>265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>x</v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853"/>
      <c r="AB283" s="211"/>
      <c r="AC283" s="198"/>
      <c r="AD283" s="198"/>
    </row>
    <row r="284" spans="1:30" s="810" customFormat="1" ht="15.75" customHeight="1">
      <c r="A284" s="204" t="str">
        <f>IF(B284&lt;&gt;"",IF(AND(B284&gt;=_TM1,B284&lt;=_TM2,OR(TH!L284="1111",TH!M284="1111")),TH!D284,""),"")</f>
        <v>T12</v>
      </c>
      <c r="B284" s="36">
        <f t="shared" si="28"/>
        <v>12</v>
      </c>
      <c r="C284" s="184">
        <f t="shared" si="29"/>
        <v>41625</v>
      </c>
      <c r="D284" s="184" t="s">
        <v>577</v>
      </c>
      <c r="E284" s="184">
        <v>41625</v>
      </c>
      <c r="F284" s="189" t="s">
        <v>502</v>
      </c>
      <c r="G284" s="604" t="s">
        <v>336</v>
      </c>
      <c r="H284" s="7" t="s">
        <v>368</v>
      </c>
      <c r="I284" s="254"/>
      <c r="J284" s="254"/>
      <c r="K284" s="701">
        <v>42000000</v>
      </c>
      <c r="L284" s="603" t="s">
        <v>47</v>
      </c>
      <c r="M284" s="603" t="s">
        <v>24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>x</v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853"/>
      <c r="AB284" s="594"/>
      <c r="AC284" s="198"/>
      <c r="AD284" s="198"/>
    </row>
    <row r="285" spans="1:30" s="810" customFormat="1" ht="15.75" customHeight="1">
      <c r="A285" s="204" t="str">
        <f>IF(B285&lt;&gt;"",IF(AND(B285&gt;=_TM1,B285&lt;=_TM2,OR(TH!L285="1111",TH!M285="1111")),TH!D285,""),"")</f>
        <v/>
      </c>
      <c r="B285" s="36">
        <f t="shared" si="28"/>
        <v>12</v>
      </c>
      <c r="C285" s="184">
        <f t="shared" si="29"/>
        <v>41625</v>
      </c>
      <c r="D285" s="184" t="s">
        <v>400</v>
      </c>
      <c r="E285" s="191">
        <v>41625</v>
      </c>
      <c r="F285" s="189" t="s">
        <v>578</v>
      </c>
      <c r="G285" s="664" t="s">
        <v>579</v>
      </c>
      <c r="H285" s="7" t="s">
        <v>580</v>
      </c>
      <c r="I285" s="257">
        <v>100</v>
      </c>
      <c r="J285" s="258">
        <v>17500</v>
      </c>
      <c r="K285" s="38">
        <f>ROUND(I285*J285,0)</f>
        <v>1750000</v>
      </c>
      <c r="L285" s="603" t="s">
        <v>161</v>
      </c>
      <c r="M285" s="603" t="s">
        <v>8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853"/>
      <c r="AB285" s="594"/>
      <c r="AC285" s="198"/>
      <c r="AD285" s="198"/>
    </row>
    <row r="286" spans="1:30" s="810" customFormat="1" ht="15.75" customHeight="1">
      <c r="A286" s="204" t="str">
        <f>IF(B286&lt;&gt;"",IF(AND(B286&gt;=_TM1,B286&lt;=_TM2,OR(TH!L286="1111",TH!M286="1111")),TH!D286,""),"")</f>
        <v/>
      </c>
      <c r="B286" s="36">
        <f t="shared" si="28"/>
        <v>12</v>
      </c>
      <c r="C286" s="184">
        <f t="shared" si="29"/>
        <v>41625</v>
      </c>
      <c r="D286" s="184" t="s">
        <v>400</v>
      </c>
      <c r="E286" s="191">
        <v>41625</v>
      </c>
      <c r="F286" s="189" t="s">
        <v>581</v>
      </c>
      <c r="G286" s="664" t="s">
        <v>579</v>
      </c>
      <c r="H286" s="7" t="s">
        <v>580</v>
      </c>
      <c r="I286" s="257"/>
      <c r="J286" s="258"/>
      <c r="K286" s="38">
        <v>175000</v>
      </c>
      <c r="L286" s="603" t="s">
        <v>9</v>
      </c>
      <c r="M286" s="603" t="s">
        <v>8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853"/>
      <c r="AB286" s="211">
        <v>12</v>
      </c>
      <c r="AC286" s="198"/>
      <c r="AD286" s="198"/>
    </row>
    <row r="287" spans="1:30" s="810" customFormat="1" ht="15.75" customHeight="1">
      <c r="A287" s="204" t="str">
        <f>IF(B287&lt;&gt;"",IF(AND(B287&gt;=_TM1,B287&lt;=_TM2,OR(TH!L287="1111",TH!M287="1111")),TH!D287,""),"")</f>
        <v>C15</v>
      </c>
      <c r="B287" s="36">
        <f t="shared" si="28"/>
        <v>12</v>
      </c>
      <c r="C287" s="184">
        <f t="shared" ref="C287" si="30">E287</f>
        <v>41625</v>
      </c>
      <c r="D287" s="184" t="s">
        <v>400</v>
      </c>
      <c r="E287" s="191">
        <v>41625</v>
      </c>
      <c r="F287" s="189" t="s">
        <v>371</v>
      </c>
      <c r="G287" s="664" t="s">
        <v>579</v>
      </c>
      <c r="H287" s="7" t="s">
        <v>580</v>
      </c>
      <c r="I287" s="257"/>
      <c r="J287" s="258"/>
      <c r="K287" s="38">
        <v>1925000</v>
      </c>
      <c r="L287" s="603" t="s">
        <v>8</v>
      </c>
      <c r="M287" s="603" t="s">
        <v>47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853"/>
      <c r="AB287" s="211"/>
      <c r="AC287" s="198"/>
      <c r="AD287" s="198"/>
    </row>
    <row r="288" spans="1:30" s="810" customFormat="1" ht="15.75" customHeight="1">
      <c r="A288" s="204" t="str">
        <f>IF(B288&lt;&gt;"",IF(AND(B288&gt;=_TM1,B288&lt;=_TM2,OR(TH!L288="1111",TH!M288="1111")),TH!D288,""),"")</f>
        <v>C16</v>
      </c>
      <c r="B288" s="36">
        <f t="shared" si="28"/>
        <v>12</v>
      </c>
      <c r="C288" s="184">
        <f t="shared" si="29"/>
        <v>41625</v>
      </c>
      <c r="D288" s="184" t="s">
        <v>401</v>
      </c>
      <c r="E288" s="191">
        <v>41625</v>
      </c>
      <c r="F288" s="189" t="s">
        <v>438</v>
      </c>
      <c r="G288" s="487" t="s">
        <v>473</v>
      </c>
      <c r="H288" s="7" t="s">
        <v>567</v>
      </c>
      <c r="I288" s="256"/>
      <c r="J288" s="256"/>
      <c r="K288" s="602">
        <v>2850000</v>
      </c>
      <c r="L288" s="603" t="s">
        <v>165</v>
      </c>
      <c r="M288" s="603" t="s">
        <v>47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853"/>
      <c r="AB288" s="594"/>
      <c r="AC288" s="198"/>
      <c r="AD288" s="198"/>
    </row>
    <row r="289" spans="1:30" s="810" customFormat="1" ht="15.75" customHeight="1">
      <c r="A289" s="204" t="str">
        <f>IF(B289&lt;&gt;"",IF(AND(B289&gt;=_TM1,B289&lt;=_TM2,OR(TH!L289="1111",TH!M289="1111")),TH!D289,""),"")</f>
        <v>C16</v>
      </c>
      <c r="B289" s="36">
        <f t="shared" si="28"/>
        <v>12</v>
      </c>
      <c r="C289" s="184">
        <f t="shared" si="29"/>
        <v>41625</v>
      </c>
      <c r="D289" s="184" t="s">
        <v>401</v>
      </c>
      <c r="E289" s="191">
        <v>41625</v>
      </c>
      <c r="F289" s="189" t="s">
        <v>348</v>
      </c>
      <c r="G289" s="487" t="s">
        <v>473</v>
      </c>
      <c r="H289" s="7" t="s">
        <v>567</v>
      </c>
      <c r="I289" s="256"/>
      <c r="J289" s="256"/>
      <c r="K289" s="602">
        <v>285000</v>
      </c>
      <c r="L289" s="603" t="s">
        <v>9</v>
      </c>
      <c r="M289" s="603" t="s">
        <v>47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853"/>
      <c r="AB289" s="211">
        <v>12</v>
      </c>
      <c r="AC289" s="198"/>
      <c r="AD289" s="198"/>
    </row>
    <row r="290" spans="1:30" s="810" customFormat="1" ht="15.75" customHeight="1">
      <c r="A290" s="204" t="str">
        <f>IF(B290&lt;&gt;"",IF(AND(B290&gt;=_TM1,B290&lt;=_TM2,OR(TH!L290="1111",TH!M290="1111")),TH!D290,""),"")</f>
        <v/>
      </c>
      <c r="B290" s="36">
        <f t="shared" si="28"/>
        <v>12</v>
      </c>
      <c r="C290" s="184">
        <f t="shared" si="29"/>
        <v>41632</v>
      </c>
      <c r="D290" s="184" t="s">
        <v>339</v>
      </c>
      <c r="E290" s="184">
        <v>41632</v>
      </c>
      <c r="F290" s="189" t="s">
        <v>341</v>
      </c>
      <c r="G290" s="604" t="s">
        <v>336</v>
      </c>
      <c r="H290" s="7" t="s">
        <v>582</v>
      </c>
      <c r="I290" s="256"/>
      <c r="J290" s="256"/>
      <c r="K290" s="602">
        <v>23385120</v>
      </c>
      <c r="L290" s="603" t="s">
        <v>24</v>
      </c>
      <c r="M290" s="603" t="s">
        <v>265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>x</v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853"/>
      <c r="AB290" s="211"/>
      <c r="AC290" s="198"/>
      <c r="AD290" s="198"/>
    </row>
    <row r="291" spans="1:30" s="810" customFormat="1" ht="15.75" customHeight="1">
      <c r="A291" s="204" t="str">
        <f>IF(B291&lt;&gt;"",IF(AND(B291&gt;=_TM1,B291&lt;=_TM2,OR(TH!L291="1111",TH!M291="1111")),TH!D291,""),"")</f>
        <v/>
      </c>
      <c r="B291" s="36">
        <f t="shared" si="28"/>
        <v>12</v>
      </c>
      <c r="C291" s="184">
        <f t="shared" si="29"/>
        <v>41633</v>
      </c>
      <c r="D291" s="184" t="s">
        <v>339</v>
      </c>
      <c r="E291" s="184">
        <v>41633</v>
      </c>
      <c r="F291" s="189" t="s">
        <v>369</v>
      </c>
      <c r="G291" s="604" t="s">
        <v>336</v>
      </c>
      <c r="H291" s="7"/>
      <c r="I291" s="256"/>
      <c r="J291" s="256"/>
      <c r="K291" s="602">
        <v>14562</v>
      </c>
      <c r="L291" s="603" t="s">
        <v>24</v>
      </c>
      <c r="M291" s="603" t="s">
        <v>40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>x</v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853"/>
      <c r="AB291" s="211"/>
      <c r="AC291" s="198"/>
      <c r="AD291" s="198"/>
    </row>
    <row r="292" spans="1:30" s="810" customFormat="1" ht="15.75" customHeight="1">
      <c r="A292" s="204" t="str">
        <f>IF(B292&lt;&gt;"",IF(AND(B292&gt;=_TM1,B292&lt;=_TM2,OR(TH!L292="1111",TH!M292="1111")),TH!D292,""),"")</f>
        <v/>
      </c>
      <c r="B292" s="36">
        <f t="shared" si="28"/>
        <v>12</v>
      </c>
      <c r="C292" s="184">
        <f t="shared" si="29"/>
        <v>41635</v>
      </c>
      <c r="D292" s="184" t="s">
        <v>340</v>
      </c>
      <c r="E292" s="184">
        <v>41635</v>
      </c>
      <c r="F292" s="189" t="s">
        <v>341</v>
      </c>
      <c r="G292" s="604" t="s">
        <v>336</v>
      </c>
      <c r="H292" s="7" t="s">
        <v>503</v>
      </c>
      <c r="I292" s="256"/>
      <c r="J292" s="256"/>
      <c r="K292" s="602">
        <v>9421720</v>
      </c>
      <c r="L292" s="603" t="s">
        <v>24</v>
      </c>
      <c r="M292" s="603" t="s">
        <v>265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>x</v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853"/>
      <c r="AB292" s="211"/>
      <c r="AC292" s="198"/>
      <c r="AD292" s="198"/>
    </row>
    <row r="293" spans="1:30" s="810" customFormat="1" ht="15.75" customHeight="1">
      <c r="A293" s="204" t="str">
        <f>IF(B293&lt;&gt;"",IF(AND(B293&gt;=_TM1,B293&lt;=_TM2,OR(TH!L293="1111",TH!M293="1111")),TH!D293,""),"")</f>
        <v>T13</v>
      </c>
      <c r="B293" s="36">
        <f t="shared" si="28"/>
        <v>12</v>
      </c>
      <c r="C293" s="184">
        <f t="shared" si="29"/>
        <v>41639</v>
      </c>
      <c r="D293" s="184" t="s">
        <v>583</v>
      </c>
      <c r="E293" s="191">
        <v>41639</v>
      </c>
      <c r="F293" s="189" t="s">
        <v>502</v>
      </c>
      <c r="G293" s="604" t="s">
        <v>336</v>
      </c>
      <c r="H293" s="7" t="s">
        <v>368</v>
      </c>
      <c r="I293" s="257"/>
      <c r="J293" s="258"/>
      <c r="K293" s="38">
        <v>32900000</v>
      </c>
      <c r="L293" s="603" t="s">
        <v>47</v>
      </c>
      <c r="M293" s="603" t="s">
        <v>24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>x</v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853"/>
      <c r="AB293" s="594"/>
      <c r="AC293" s="198"/>
      <c r="AD293" s="198"/>
    </row>
    <row r="294" spans="1:30" s="810" customFormat="1" ht="15.75" customHeight="1">
      <c r="A294" s="204" t="str">
        <f>IF(B294&lt;&gt;"",IF(AND(B294&gt;=_TM1,B294&lt;=_TM2,OR(TH!L294="1111",TH!M294="1111")),TH!D294,""),"")</f>
        <v>C17</v>
      </c>
      <c r="B294" s="36">
        <f t="shared" si="28"/>
        <v>12</v>
      </c>
      <c r="C294" s="184">
        <f t="shared" si="29"/>
        <v>41639</v>
      </c>
      <c r="D294" s="184" t="s">
        <v>403</v>
      </c>
      <c r="E294" s="191">
        <v>41639</v>
      </c>
      <c r="F294" s="189" t="s">
        <v>388</v>
      </c>
      <c r="G294" s="664" t="s">
        <v>584</v>
      </c>
      <c r="H294" s="7" t="s">
        <v>520</v>
      </c>
      <c r="I294" s="256"/>
      <c r="J294" s="258"/>
      <c r="K294" s="602">
        <v>1136048</v>
      </c>
      <c r="L294" s="603" t="s">
        <v>83</v>
      </c>
      <c r="M294" s="603" t="s">
        <v>47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>x</v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853"/>
      <c r="AB294" s="594"/>
      <c r="AC294" s="198"/>
      <c r="AD294" s="198"/>
    </row>
    <row r="295" spans="1:30" s="810" customFormat="1" ht="15.75" customHeight="1">
      <c r="A295" s="204" t="str">
        <f>IF(B295&lt;&gt;"",IF(AND(B295&gt;=_TM1,B295&lt;=_TM2,OR(TH!L295="1111",TH!M295="1111")),TH!D295,""),"")</f>
        <v>C17</v>
      </c>
      <c r="B295" s="36">
        <f t="shared" si="28"/>
        <v>12</v>
      </c>
      <c r="C295" s="184">
        <f t="shared" si="29"/>
        <v>41639</v>
      </c>
      <c r="D295" s="184" t="s">
        <v>403</v>
      </c>
      <c r="E295" s="191">
        <v>41639</v>
      </c>
      <c r="F295" s="189" t="s">
        <v>389</v>
      </c>
      <c r="G295" s="664" t="s">
        <v>584</v>
      </c>
      <c r="H295" s="7" t="s">
        <v>520</v>
      </c>
      <c r="I295" s="257"/>
      <c r="J295" s="258"/>
      <c r="K295" s="38">
        <v>113605</v>
      </c>
      <c r="L295" s="603" t="s">
        <v>9</v>
      </c>
      <c r="M295" s="603" t="s">
        <v>47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853"/>
      <c r="AB295" s="211">
        <v>12</v>
      </c>
      <c r="AC295" s="198"/>
      <c r="AD295" s="198"/>
    </row>
    <row r="296" spans="1:30" s="810" customFormat="1" ht="15.75" customHeight="1">
      <c r="A296" s="204" t="str">
        <f>IF(B296&lt;&gt;"",IF(AND(B296&gt;=_TM1,B296&lt;=_TM2,OR(TH!L296="1111",TH!M296="1111")),TH!D296,""),"")</f>
        <v/>
      </c>
      <c r="B296" s="36">
        <f t="shared" si="28"/>
        <v>1</v>
      </c>
      <c r="C296" s="191">
        <f t="shared" si="29"/>
        <v>41276</v>
      </c>
      <c r="D296" s="184" t="s">
        <v>408</v>
      </c>
      <c r="E296" s="191">
        <v>41276</v>
      </c>
      <c r="F296" s="192" t="s">
        <v>585</v>
      </c>
      <c r="G296" s="487" t="s">
        <v>586</v>
      </c>
      <c r="H296" s="193" t="s">
        <v>587</v>
      </c>
      <c r="I296" s="256">
        <v>203</v>
      </c>
      <c r="J296" s="256">
        <v>20765</v>
      </c>
      <c r="K296" s="38">
        <f>ROUND(I296*J296,0)</f>
        <v>4215295</v>
      </c>
      <c r="L296" s="194" t="s">
        <v>159</v>
      </c>
      <c r="M296" s="194" t="s">
        <v>8</v>
      </c>
      <c r="N296" s="52" t="str">
        <f>IF(AND('331-CT'!$E$7=TH!H296,OR(L296="331",M296="331")),"331",IF(AND(OR(L296="131",M296="131"),H296='131-CT'!$E$7),"131",""))</f>
        <v>331</v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853"/>
      <c r="AB296" s="211"/>
      <c r="AC296" s="198"/>
      <c r="AD296" s="198"/>
    </row>
    <row r="297" spans="1:30" s="810" customFormat="1" ht="15.75" customHeight="1">
      <c r="A297" s="204" t="str">
        <f>IF(B297&lt;&gt;"",IF(AND(B297&gt;=_TM1,B297&lt;=_TM2,OR(TH!L297="1111",TH!M297="1111")),TH!D297,""),"")</f>
        <v/>
      </c>
      <c r="B297" s="36">
        <f t="shared" si="28"/>
        <v>1</v>
      </c>
      <c r="C297" s="191">
        <f t="shared" si="29"/>
        <v>41276</v>
      </c>
      <c r="D297" s="184" t="s">
        <v>408</v>
      </c>
      <c r="E297" s="191">
        <v>41276</v>
      </c>
      <c r="F297" s="192" t="s">
        <v>588</v>
      </c>
      <c r="G297" s="487" t="s">
        <v>586</v>
      </c>
      <c r="H297" s="193" t="s">
        <v>587</v>
      </c>
      <c r="I297" s="256">
        <v>201</v>
      </c>
      <c r="J297" s="256">
        <v>17438</v>
      </c>
      <c r="K297" s="38">
        <f>ROUND(I297*J297,0)</f>
        <v>3505038</v>
      </c>
      <c r="L297" s="194" t="s">
        <v>159</v>
      </c>
      <c r="M297" s="194" t="s">
        <v>8</v>
      </c>
      <c r="N297" s="52" t="str">
        <f>IF(AND('331-CT'!$E$7=TH!H297,OR(L297="331",M297="331")),"331",IF(AND(OR(L297="131",M297="131"),H297='131-CT'!$E$7),"131",""))</f>
        <v>331</v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853"/>
      <c r="AB297" s="211"/>
      <c r="AC297" s="198"/>
      <c r="AD297" s="198"/>
    </row>
    <row r="298" spans="1:30" s="810" customFormat="1" ht="15.75" customHeight="1">
      <c r="A298" s="204" t="str">
        <f>IF(B298&lt;&gt;"",IF(AND(B298&gt;=_TM1,B298&lt;=_TM2,OR(TH!L298="1111",TH!M298="1111")),TH!D298,""),"")</f>
        <v/>
      </c>
      <c r="B298" s="36">
        <f t="shared" si="28"/>
        <v>1</v>
      </c>
      <c r="C298" s="191">
        <f t="shared" si="29"/>
        <v>41276</v>
      </c>
      <c r="D298" s="184" t="s">
        <v>408</v>
      </c>
      <c r="E298" s="191">
        <v>41276</v>
      </c>
      <c r="F298" s="192" t="s">
        <v>589</v>
      </c>
      <c r="G298" s="487" t="s">
        <v>586</v>
      </c>
      <c r="H298" s="193" t="s">
        <v>587</v>
      </c>
      <c r="I298" s="258">
        <v>260</v>
      </c>
      <c r="J298" s="258">
        <v>16626</v>
      </c>
      <c r="K298" s="38">
        <f>ROUND(I298*J298,0)</f>
        <v>4322760</v>
      </c>
      <c r="L298" s="194" t="s">
        <v>159</v>
      </c>
      <c r="M298" s="194" t="s">
        <v>8</v>
      </c>
      <c r="N298" s="52" t="str">
        <f>IF(AND('331-CT'!$E$7=TH!H298,OR(L298="331",M298="331")),"331",IF(AND(OR(L298="131",M298="131"),H298='131-CT'!$E$7),"131",""))</f>
        <v>331</v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853"/>
      <c r="AB298" s="211"/>
      <c r="AC298" s="198"/>
      <c r="AD298" s="198"/>
    </row>
    <row r="299" spans="1:30" s="810" customFormat="1" ht="15.75" customHeight="1">
      <c r="A299" s="204" t="str">
        <f>IF(B299&lt;&gt;"",IF(AND(B299&gt;=_TM1,B299&lt;=_TM2,OR(TH!L299="1111",TH!M299="1111")),TH!D299,""),"")</f>
        <v/>
      </c>
      <c r="B299" s="36">
        <f t="shared" si="28"/>
        <v>1</v>
      </c>
      <c r="C299" s="191">
        <f t="shared" si="29"/>
        <v>41276</v>
      </c>
      <c r="D299" s="184" t="s">
        <v>408</v>
      </c>
      <c r="E299" s="191">
        <v>41276</v>
      </c>
      <c r="F299" s="192" t="s">
        <v>590</v>
      </c>
      <c r="G299" s="487" t="s">
        <v>586</v>
      </c>
      <c r="H299" s="193" t="s">
        <v>587</v>
      </c>
      <c r="I299" s="256"/>
      <c r="J299" s="256"/>
      <c r="K299" s="38">
        <v>1204310</v>
      </c>
      <c r="L299" s="194" t="s">
        <v>9</v>
      </c>
      <c r="M299" s="194" t="s">
        <v>8</v>
      </c>
      <c r="N299" s="52" t="str">
        <f>IF(AND('331-CT'!$E$7=TH!H299,OR(L299="331",M299="331")),"331",IF(AND(OR(L299="131",M299="131"),H299='131-CT'!$E$7),"131",""))</f>
        <v>331</v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853"/>
      <c r="AB299" s="211">
        <v>1</v>
      </c>
      <c r="AC299" s="198"/>
      <c r="AD299" s="198"/>
    </row>
    <row r="300" spans="1:30" s="810" customFormat="1" ht="15.75" customHeight="1">
      <c r="A300" s="204" t="str">
        <f>IF(B300&lt;&gt;"",IF(AND(B300&gt;=_TM1,B300&lt;=_TM2,OR(TH!L300="1111",TH!M300="1111")),TH!D300,""),"")</f>
        <v/>
      </c>
      <c r="B300" s="36">
        <f t="shared" si="28"/>
        <v>1</v>
      </c>
      <c r="C300" s="191">
        <f t="shared" ref="C300" si="31">E300</f>
        <v>41276</v>
      </c>
      <c r="D300" s="184" t="s">
        <v>408</v>
      </c>
      <c r="E300" s="191">
        <v>41276</v>
      </c>
      <c r="F300" s="192" t="s">
        <v>371</v>
      </c>
      <c r="G300" s="487" t="s">
        <v>586</v>
      </c>
      <c r="H300" s="193" t="s">
        <v>587</v>
      </c>
      <c r="I300" s="256"/>
      <c r="J300" s="256"/>
      <c r="K300" s="38">
        <v>13247403</v>
      </c>
      <c r="L300" s="194" t="s">
        <v>8</v>
      </c>
      <c r="M300" s="194" t="s">
        <v>47</v>
      </c>
      <c r="N300" s="52" t="str">
        <f>IF(AND('331-CT'!$E$7=TH!H300,OR(L300="331",M300="331")),"331",IF(AND(OR(L300="131",M300="131"),H300='131-CT'!$E$7),"131",""))</f>
        <v>331</v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>x</v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853"/>
      <c r="AB300" s="211"/>
      <c r="AC300" s="198"/>
      <c r="AD300" s="198"/>
    </row>
    <row r="301" spans="1:30" s="810" customFormat="1" ht="15.75" customHeight="1">
      <c r="A301" s="204" t="str">
        <f>IF(B301&lt;&gt;"",IF(AND(B301&gt;=_TM1,B301&lt;=_TM2,OR(TH!L301="1111",TH!M301="1111")),TH!D301,""),"")</f>
        <v/>
      </c>
      <c r="B301" s="36">
        <f t="shared" si="28"/>
        <v>1</v>
      </c>
      <c r="C301" s="191">
        <f t="shared" si="29"/>
        <v>41277</v>
      </c>
      <c r="D301" s="184" t="s">
        <v>409</v>
      </c>
      <c r="E301" s="191">
        <v>41277</v>
      </c>
      <c r="F301" s="192" t="s">
        <v>591</v>
      </c>
      <c r="G301" s="487" t="s">
        <v>592</v>
      </c>
      <c r="H301" s="193" t="s">
        <v>587</v>
      </c>
      <c r="I301" s="258">
        <v>258</v>
      </c>
      <c r="J301" s="258">
        <v>19896</v>
      </c>
      <c r="K301" s="38">
        <f>ROUND(I301*J301,0)</f>
        <v>5133168</v>
      </c>
      <c r="L301" s="194" t="s">
        <v>159</v>
      </c>
      <c r="M301" s="194" t="s">
        <v>8</v>
      </c>
      <c r="N301" s="52" t="str">
        <f>IF(AND('331-CT'!$E$7=TH!H301,OR(L301="331",M301="331")),"331",IF(AND(OR(L301="131",M301="131"),H301='131-CT'!$E$7),"131",""))</f>
        <v>331</v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853"/>
      <c r="AB301" s="211"/>
      <c r="AC301" s="198"/>
      <c r="AD301" s="198"/>
    </row>
    <row r="302" spans="1:30" s="810" customFormat="1" ht="15.75" customHeight="1">
      <c r="A302" s="204" t="str">
        <f>IF(B302&lt;&gt;"",IF(AND(B302&gt;=_TM1,B302&lt;=_TM2,OR(TH!L302="1111",TH!M302="1111")),TH!D302,""),"")</f>
        <v/>
      </c>
      <c r="B302" s="36">
        <f t="shared" ref="B302:B365" si="32">IF(C302&lt;&gt;"",MONTH(C302),"")</f>
        <v>1</v>
      </c>
      <c r="C302" s="191">
        <f t="shared" si="29"/>
        <v>41277</v>
      </c>
      <c r="D302" s="184" t="s">
        <v>409</v>
      </c>
      <c r="E302" s="191">
        <v>41277</v>
      </c>
      <c r="F302" s="192" t="s">
        <v>593</v>
      </c>
      <c r="G302" s="487" t="s">
        <v>592</v>
      </c>
      <c r="H302" s="193" t="s">
        <v>587</v>
      </c>
      <c r="I302" s="256">
        <v>505</v>
      </c>
      <c r="J302" s="256">
        <v>29568</v>
      </c>
      <c r="K302" s="38">
        <f>ROUND(I302*J302,0)</f>
        <v>14931840</v>
      </c>
      <c r="L302" s="194" t="s">
        <v>159</v>
      </c>
      <c r="M302" s="194" t="s">
        <v>8</v>
      </c>
      <c r="N302" s="52" t="str">
        <f>IF(AND('331-CT'!$E$7=TH!H302,OR(L302="331",M302="331")),"331",IF(AND(OR(L302="131",M302="131"),H302='131-CT'!$E$7),"131",""))</f>
        <v>331</v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853"/>
      <c r="AB302" s="211"/>
      <c r="AC302" s="198"/>
      <c r="AD302" s="198"/>
    </row>
    <row r="303" spans="1:30" s="810" customFormat="1" ht="15.75" customHeight="1">
      <c r="A303" s="204" t="str">
        <f>IF(B303&lt;&gt;"",IF(AND(B303&gt;=_TM1,B303&lt;=_TM2,OR(TH!L303="1111",TH!M303="1111")),TH!D303,""),"")</f>
        <v/>
      </c>
      <c r="B303" s="36">
        <f t="shared" si="32"/>
        <v>1</v>
      </c>
      <c r="C303" s="191">
        <f t="shared" si="29"/>
        <v>41277</v>
      </c>
      <c r="D303" s="184" t="s">
        <v>409</v>
      </c>
      <c r="E303" s="191">
        <v>41277</v>
      </c>
      <c r="F303" s="192" t="s">
        <v>590</v>
      </c>
      <c r="G303" s="487" t="s">
        <v>592</v>
      </c>
      <c r="H303" s="193" t="s">
        <v>587</v>
      </c>
      <c r="I303" s="256"/>
      <c r="J303" s="256"/>
      <c r="K303" s="38">
        <v>2006501</v>
      </c>
      <c r="L303" s="194" t="s">
        <v>9</v>
      </c>
      <c r="M303" s="194" t="s">
        <v>8</v>
      </c>
      <c r="N303" s="52" t="str">
        <f>IF(AND('331-CT'!$E$7=TH!H303,OR(L303="331",M303="331")),"331",IF(AND(OR(L303="131",M303="131"),H303='131-CT'!$E$7),"131",""))</f>
        <v>331</v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853"/>
      <c r="AB303" s="211">
        <v>1</v>
      </c>
      <c r="AC303" s="198"/>
      <c r="AD303" s="198"/>
    </row>
    <row r="304" spans="1:30" s="810" customFormat="1" ht="15.75" customHeight="1">
      <c r="A304" s="204" t="str">
        <f>IF(B304&lt;&gt;"",IF(AND(B304&gt;=_TM1,B304&lt;=_TM2,OR(TH!L304="1111",TH!M304="1111")),TH!D304,""),"")</f>
        <v/>
      </c>
      <c r="B304" s="36">
        <f t="shared" si="32"/>
        <v>1</v>
      </c>
      <c r="C304" s="191">
        <f t="shared" si="29"/>
        <v>41278</v>
      </c>
      <c r="D304" s="184" t="s">
        <v>410</v>
      </c>
      <c r="E304" s="191">
        <v>41278</v>
      </c>
      <c r="F304" s="192" t="s">
        <v>594</v>
      </c>
      <c r="G304" s="487" t="s">
        <v>595</v>
      </c>
      <c r="H304" s="193" t="s">
        <v>587</v>
      </c>
      <c r="I304" s="256">
        <v>515</v>
      </c>
      <c r="J304" s="256">
        <v>8978</v>
      </c>
      <c r="K304" s="38">
        <f>ROUND(I304*J304,0)</f>
        <v>4623670</v>
      </c>
      <c r="L304" s="194" t="s">
        <v>159</v>
      </c>
      <c r="M304" s="194" t="s">
        <v>8</v>
      </c>
      <c r="N304" s="52" t="str">
        <f>IF(AND('331-CT'!$E$7=TH!H304,OR(L304="331",M304="331")),"331",IF(AND(OR(L304="131",M304="131"),H304='131-CT'!$E$7),"131",""))</f>
        <v>331</v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853"/>
      <c r="AB304" s="211"/>
      <c r="AC304" s="198"/>
      <c r="AD304" s="198"/>
    </row>
    <row r="305" spans="1:30" s="810" customFormat="1" ht="15.75" customHeight="1">
      <c r="A305" s="204" t="str">
        <f>IF(B305&lt;&gt;"",IF(AND(B305&gt;=_TM1,B305&lt;=_TM2,OR(TH!L305="1111",TH!M305="1111")),TH!D305,""),"")</f>
        <v/>
      </c>
      <c r="B305" s="36">
        <f t="shared" si="32"/>
        <v>1</v>
      </c>
      <c r="C305" s="191">
        <f t="shared" si="29"/>
        <v>41278</v>
      </c>
      <c r="D305" s="184" t="s">
        <v>410</v>
      </c>
      <c r="E305" s="191">
        <v>41278</v>
      </c>
      <c r="F305" s="192" t="s">
        <v>590</v>
      </c>
      <c r="G305" s="487" t="s">
        <v>595</v>
      </c>
      <c r="H305" s="193" t="s">
        <v>587</v>
      </c>
      <c r="I305" s="256"/>
      <c r="J305" s="256"/>
      <c r="K305" s="38">
        <v>462367</v>
      </c>
      <c r="L305" s="194" t="s">
        <v>9</v>
      </c>
      <c r="M305" s="194" t="s">
        <v>8</v>
      </c>
      <c r="N305" s="52" t="str">
        <f>IF(AND('331-CT'!$E$7=TH!H305,OR(L305="331",M305="331")),"331",IF(AND(OR(L305="131",M305="131"),H305='131-CT'!$E$7),"131",""))</f>
        <v>331</v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853"/>
      <c r="AB305" s="211">
        <v>1</v>
      </c>
      <c r="AC305" s="198"/>
      <c r="AD305" s="198"/>
    </row>
    <row r="306" spans="1:30" s="810" customFormat="1" ht="15.75" customHeight="1">
      <c r="A306" s="204" t="str">
        <f>IF(B306&lt;&gt;"",IF(AND(B306&gt;=_TM1,B306&lt;=_TM2,OR(TH!L306="1111",TH!M306="1111")),TH!D306,""),"")</f>
        <v/>
      </c>
      <c r="B306" s="36">
        <f t="shared" si="32"/>
        <v>1</v>
      </c>
      <c r="C306" s="191">
        <f t="shared" ref="C306" si="33">E306</f>
        <v>41278</v>
      </c>
      <c r="D306" s="184" t="s">
        <v>410</v>
      </c>
      <c r="E306" s="191">
        <v>41278</v>
      </c>
      <c r="F306" s="192" t="s">
        <v>371</v>
      </c>
      <c r="G306" s="487" t="s">
        <v>595</v>
      </c>
      <c r="H306" s="193" t="s">
        <v>587</v>
      </c>
      <c r="I306" s="256"/>
      <c r="J306" s="256"/>
      <c r="K306" s="38">
        <v>5086037</v>
      </c>
      <c r="L306" s="194" t="s">
        <v>8</v>
      </c>
      <c r="M306" s="194" t="s">
        <v>47</v>
      </c>
      <c r="N306" s="52" t="str">
        <f>IF(AND('331-CT'!$E$7=TH!H306,OR(L306="331",M306="331")),"331",IF(AND(OR(L306="131",M306="131"),H306='131-CT'!$E$7),"131",""))</f>
        <v>331</v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>x</v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853"/>
      <c r="AB306" s="211"/>
      <c r="AC306" s="198"/>
      <c r="AD306" s="198"/>
    </row>
    <row r="307" spans="1:30" s="810" customFormat="1" ht="15.75" customHeight="1">
      <c r="A307" s="204" t="str">
        <f>IF(B307&lt;&gt;"",IF(AND(B307&gt;=_TM1,B307&lt;=_TM2,OR(TH!L307="1111",TH!M307="1111")),TH!D307,""),"")</f>
        <v/>
      </c>
      <c r="B307" s="36">
        <f t="shared" si="32"/>
        <v>1</v>
      </c>
      <c r="C307" s="191">
        <f t="shared" si="29"/>
        <v>41282</v>
      </c>
      <c r="D307" s="184" t="s">
        <v>411</v>
      </c>
      <c r="E307" s="796">
        <v>41282</v>
      </c>
      <c r="F307" s="192" t="s">
        <v>596</v>
      </c>
      <c r="G307" s="487" t="s">
        <v>597</v>
      </c>
      <c r="H307" s="193" t="s">
        <v>587</v>
      </c>
      <c r="I307" s="259">
        <v>121</v>
      </c>
      <c r="J307" s="259">
        <v>13625</v>
      </c>
      <c r="K307" s="38">
        <f>ROUND(I307*J307,0)</f>
        <v>1648625</v>
      </c>
      <c r="L307" s="194" t="s">
        <v>159</v>
      </c>
      <c r="M307" s="194" t="s">
        <v>8</v>
      </c>
      <c r="N307" s="52" t="str">
        <f>IF(AND('331-CT'!$E$7=TH!H307,OR(L307="331",M307="331")),"331",IF(AND(OR(L307="131",M307="131"),H307='131-CT'!$E$7),"131",""))</f>
        <v>331</v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853"/>
      <c r="AB307" s="211"/>
      <c r="AC307" s="198"/>
      <c r="AD307" s="198"/>
    </row>
    <row r="308" spans="1:30" s="810" customFormat="1" ht="15.75" customHeight="1">
      <c r="A308" s="204" t="str">
        <f>IF(B308&lt;&gt;"",IF(AND(B308&gt;=_TM1,B308&lt;=_TM2,OR(TH!L308="1111",TH!M308="1111")),TH!D308,""),"")</f>
        <v/>
      </c>
      <c r="B308" s="36">
        <f t="shared" si="32"/>
        <v>1</v>
      </c>
      <c r="C308" s="191">
        <f t="shared" si="29"/>
        <v>41282</v>
      </c>
      <c r="D308" s="184" t="s">
        <v>411</v>
      </c>
      <c r="E308" s="796">
        <v>41282</v>
      </c>
      <c r="F308" s="192" t="s">
        <v>598</v>
      </c>
      <c r="G308" s="487" t="s">
        <v>597</v>
      </c>
      <c r="H308" s="193" t="s">
        <v>587</v>
      </c>
      <c r="I308" s="256">
        <v>100</v>
      </c>
      <c r="J308" s="256">
        <v>23890</v>
      </c>
      <c r="K308" s="38">
        <f>ROUND(I308*J308,0)</f>
        <v>2389000</v>
      </c>
      <c r="L308" s="194" t="s">
        <v>159</v>
      </c>
      <c r="M308" s="194" t="s">
        <v>8</v>
      </c>
      <c r="N308" s="52" t="str">
        <f>IF(AND('331-CT'!$E$7=TH!H308,OR(L308="331",M308="331")),"331",IF(AND(OR(L308="131",M308="131"),H308='131-CT'!$E$7),"131",""))</f>
        <v>331</v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853"/>
      <c r="AB308" s="211"/>
      <c r="AC308" s="198"/>
      <c r="AD308" s="198"/>
    </row>
    <row r="309" spans="1:30" s="810" customFormat="1" ht="15.75" customHeight="1">
      <c r="A309" s="204" t="str">
        <f>IF(B309&lt;&gt;"",IF(AND(B309&gt;=_TM1,B309&lt;=_TM2,OR(TH!L309="1111",TH!M309="1111")),TH!D309,""),"")</f>
        <v/>
      </c>
      <c r="B309" s="36">
        <f t="shared" si="32"/>
        <v>1</v>
      </c>
      <c r="C309" s="191">
        <f t="shared" si="29"/>
        <v>41282</v>
      </c>
      <c r="D309" s="184" t="s">
        <v>411</v>
      </c>
      <c r="E309" s="796">
        <v>41282</v>
      </c>
      <c r="F309" s="192" t="s">
        <v>599</v>
      </c>
      <c r="G309" s="487" t="s">
        <v>597</v>
      </c>
      <c r="H309" s="193" t="s">
        <v>587</v>
      </c>
      <c r="I309" s="256">
        <v>100</v>
      </c>
      <c r="J309" s="256">
        <v>25603</v>
      </c>
      <c r="K309" s="38">
        <f>ROUND(I309*J309,0)</f>
        <v>2560300</v>
      </c>
      <c r="L309" s="194" t="s">
        <v>159</v>
      </c>
      <c r="M309" s="194" t="s">
        <v>8</v>
      </c>
      <c r="N309" s="52" t="str">
        <f>IF(AND('331-CT'!$E$7=TH!H309,OR(L309="331",M309="331")),"331",IF(AND(OR(L309="131",M309="131"),H309='131-CT'!$E$7),"131",""))</f>
        <v>331</v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853"/>
      <c r="AB309" s="211"/>
      <c r="AC309" s="198"/>
      <c r="AD309" s="198"/>
    </row>
    <row r="310" spans="1:30" s="810" customFormat="1" ht="15.75" customHeight="1">
      <c r="A310" s="204" t="str">
        <f>IF(B310&lt;&gt;"",IF(AND(B310&gt;=_TM1,B310&lt;=_TM2,OR(TH!L310="1111",TH!M310="1111")),TH!D310,""),"")</f>
        <v/>
      </c>
      <c r="B310" s="36">
        <f t="shared" si="32"/>
        <v>1</v>
      </c>
      <c r="C310" s="191">
        <f t="shared" si="29"/>
        <v>41282</v>
      </c>
      <c r="D310" s="184" t="s">
        <v>411</v>
      </c>
      <c r="E310" s="796">
        <v>41282</v>
      </c>
      <c r="F310" s="192" t="s">
        <v>600</v>
      </c>
      <c r="G310" s="487" t="s">
        <v>597</v>
      </c>
      <c r="H310" s="193" t="s">
        <v>587</v>
      </c>
      <c r="I310" s="257">
        <v>244</v>
      </c>
      <c r="J310" s="256">
        <v>17722</v>
      </c>
      <c r="K310" s="38">
        <f>ROUND(I310*J310,0)</f>
        <v>4324168</v>
      </c>
      <c r="L310" s="194" t="s">
        <v>159</v>
      </c>
      <c r="M310" s="194" t="s">
        <v>8</v>
      </c>
      <c r="N310" s="52" t="str">
        <f>IF(AND('331-CT'!$E$7=TH!H310,OR(L310="331",M310="331")),"331",IF(AND(OR(L310="131",M310="131"),H310='131-CT'!$E$7),"131",""))</f>
        <v>331</v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853"/>
      <c r="AB310" s="594"/>
      <c r="AC310" s="198"/>
      <c r="AD310" s="198"/>
    </row>
    <row r="311" spans="1:30" s="810" customFormat="1" ht="15.75" customHeight="1">
      <c r="A311" s="204" t="str">
        <f>IF(B311&lt;&gt;"",IF(AND(B311&gt;=_TM1,B311&lt;=_TM2,OR(TH!L311="1111",TH!M311="1111")),TH!D311,""),"")</f>
        <v/>
      </c>
      <c r="B311" s="36">
        <f t="shared" si="32"/>
        <v>1</v>
      </c>
      <c r="C311" s="191">
        <f t="shared" si="29"/>
        <v>41282</v>
      </c>
      <c r="D311" s="184" t="s">
        <v>411</v>
      </c>
      <c r="E311" s="796">
        <v>41282</v>
      </c>
      <c r="F311" s="192" t="s">
        <v>601</v>
      </c>
      <c r="G311" s="487" t="s">
        <v>597</v>
      </c>
      <c r="H311" s="193" t="s">
        <v>587</v>
      </c>
      <c r="I311" s="257">
        <v>206</v>
      </c>
      <c r="J311" s="256">
        <v>19958</v>
      </c>
      <c r="K311" s="38">
        <f>ROUND(I311*J311,0)</f>
        <v>4111348</v>
      </c>
      <c r="L311" s="194" t="s">
        <v>159</v>
      </c>
      <c r="M311" s="194" t="s">
        <v>8</v>
      </c>
      <c r="N311" s="52" t="str">
        <f>IF(AND('331-CT'!$E$7=TH!H311,OR(L311="331",M311="331")),"331",IF(AND(OR(L311="131",M311="131"),H311='131-CT'!$E$7),"131",""))</f>
        <v>331</v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853"/>
      <c r="AB311" s="211"/>
      <c r="AC311" s="198"/>
      <c r="AD311" s="198"/>
    </row>
    <row r="312" spans="1:30" s="810" customFormat="1" ht="15.75" customHeight="1">
      <c r="A312" s="204" t="str">
        <f>IF(B312&lt;&gt;"",IF(AND(B312&gt;=_TM1,B312&lt;=_TM2,OR(TH!L312="1111",TH!M312="1111")),TH!D312,""),"")</f>
        <v/>
      </c>
      <c r="B312" s="36">
        <f t="shared" si="32"/>
        <v>1</v>
      </c>
      <c r="C312" s="191">
        <f t="shared" si="29"/>
        <v>41282</v>
      </c>
      <c r="D312" s="184" t="s">
        <v>411</v>
      </c>
      <c r="E312" s="796">
        <v>41282</v>
      </c>
      <c r="F312" s="192" t="s">
        <v>590</v>
      </c>
      <c r="G312" s="487" t="s">
        <v>597</v>
      </c>
      <c r="H312" s="193" t="s">
        <v>587</v>
      </c>
      <c r="I312" s="257"/>
      <c r="J312" s="256"/>
      <c r="K312" s="38">
        <v>1503344</v>
      </c>
      <c r="L312" s="194" t="s">
        <v>9</v>
      </c>
      <c r="M312" s="194" t="s">
        <v>8</v>
      </c>
      <c r="N312" s="52" t="str">
        <f>IF(AND('331-CT'!$E$7=TH!H312,OR(L312="331",M312="331")),"331",IF(AND(OR(L312="131",M312="131"),H312='131-CT'!$E$7),"131",""))</f>
        <v>331</v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853"/>
      <c r="AB312" s="594">
        <v>1</v>
      </c>
      <c r="AC312" s="198"/>
      <c r="AD312" s="198"/>
    </row>
    <row r="313" spans="1:30" s="810" customFormat="1" ht="15.75" customHeight="1">
      <c r="A313" s="204" t="str">
        <f>IF(B313&lt;&gt;"",IF(AND(B313&gt;=_TM1,B313&lt;=_TM2,OR(TH!L313="1111",TH!M313="1111")),TH!D313,""),"")</f>
        <v/>
      </c>
      <c r="B313" s="36">
        <f t="shared" si="32"/>
        <v>1</v>
      </c>
      <c r="C313" s="191">
        <f t="shared" ref="C313" si="34">E313</f>
        <v>41282</v>
      </c>
      <c r="D313" s="184" t="s">
        <v>411</v>
      </c>
      <c r="E313" s="796">
        <v>41282</v>
      </c>
      <c r="F313" s="192" t="s">
        <v>371</v>
      </c>
      <c r="G313" s="487" t="s">
        <v>597</v>
      </c>
      <c r="H313" s="193" t="s">
        <v>587</v>
      </c>
      <c r="I313" s="257"/>
      <c r="J313" s="256"/>
      <c r="K313" s="38">
        <v>16536785</v>
      </c>
      <c r="L313" s="194" t="s">
        <v>8</v>
      </c>
      <c r="M313" s="194" t="s">
        <v>47</v>
      </c>
      <c r="N313" s="52" t="str">
        <f>IF(AND('331-CT'!$E$7=TH!H313,OR(L313="331",M313="331")),"331",IF(AND(OR(L313="131",M313="131"),H313='131-CT'!$E$7),"131",""))</f>
        <v>331</v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>x</v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853"/>
      <c r="AB313" s="211"/>
      <c r="AC313" s="198"/>
      <c r="AD313" s="198"/>
    </row>
    <row r="314" spans="1:30" s="810" customFormat="1" ht="15.75" customHeight="1">
      <c r="A314" s="204" t="str">
        <f>IF(B314&lt;&gt;"",IF(AND(B314&gt;=_TM1,B314&lt;=_TM2,OR(TH!L314="1111",TH!M314="1111")),TH!D314,""),"")</f>
        <v/>
      </c>
      <c r="B314" s="36">
        <f t="shared" si="32"/>
        <v>1</v>
      </c>
      <c r="C314" s="191">
        <f t="shared" si="29"/>
        <v>41282</v>
      </c>
      <c r="D314" s="184" t="s">
        <v>412</v>
      </c>
      <c r="E314" s="796">
        <v>41282</v>
      </c>
      <c r="F314" s="192" t="s">
        <v>602</v>
      </c>
      <c r="G314" s="485" t="s">
        <v>603</v>
      </c>
      <c r="H314" s="193" t="s">
        <v>587</v>
      </c>
      <c r="I314" s="257">
        <v>300</v>
      </c>
      <c r="J314" s="256">
        <v>21888</v>
      </c>
      <c r="K314" s="38">
        <f>ROUND(I314*J314,0)</f>
        <v>6566400</v>
      </c>
      <c r="L314" s="194" t="s">
        <v>159</v>
      </c>
      <c r="M314" s="194" t="s">
        <v>8</v>
      </c>
      <c r="N314" s="52" t="str">
        <f>IF(AND('331-CT'!$E$7=TH!H314,OR(L314="331",M314="331")),"331",IF(AND(OR(L314="131",M314="131"),H314='131-CT'!$E$7),"131",""))</f>
        <v>331</v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853"/>
      <c r="AB314" s="594"/>
      <c r="AC314" s="198"/>
      <c r="AD314" s="198"/>
    </row>
    <row r="315" spans="1:30" s="810" customFormat="1" ht="15.75" customHeight="1">
      <c r="A315" s="204" t="str">
        <f>IF(B315&lt;&gt;"",IF(AND(B315&gt;=_TM1,B315&lt;=_TM2,OR(TH!L315="1111",TH!M315="1111")),TH!D315,""),"")</f>
        <v/>
      </c>
      <c r="B315" s="36">
        <f t="shared" si="32"/>
        <v>1</v>
      </c>
      <c r="C315" s="191">
        <f t="shared" si="29"/>
        <v>41282</v>
      </c>
      <c r="D315" s="184" t="s">
        <v>412</v>
      </c>
      <c r="E315" s="796">
        <v>41282</v>
      </c>
      <c r="F315" s="192" t="s">
        <v>604</v>
      </c>
      <c r="G315" s="485" t="s">
        <v>603</v>
      </c>
      <c r="H315" s="193" t="s">
        <v>587</v>
      </c>
      <c r="I315" s="256">
        <v>90</v>
      </c>
      <c r="J315" s="256">
        <v>13306</v>
      </c>
      <c r="K315" s="38">
        <f>ROUND(I315*J315,0)</f>
        <v>1197540</v>
      </c>
      <c r="L315" s="194" t="s">
        <v>159</v>
      </c>
      <c r="M315" s="194" t="s">
        <v>8</v>
      </c>
      <c r="N315" s="52" t="str">
        <f>IF(AND('331-CT'!$E$7=TH!H315,OR(L315="331",M315="331")),"331",IF(AND(OR(L315="131",M315="131"),H315='131-CT'!$E$7),"131",""))</f>
        <v>331</v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853"/>
      <c r="AB315" s="594"/>
      <c r="AC315" s="198"/>
      <c r="AD315" s="198"/>
    </row>
    <row r="316" spans="1:30" s="810" customFormat="1" ht="15.75" customHeight="1">
      <c r="A316" s="204" t="str">
        <f>IF(B316&lt;&gt;"",IF(AND(B316&gt;=_TM1,B316&lt;=_TM2,OR(TH!L316="1111",TH!M316="1111")),TH!D316,""),"")</f>
        <v/>
      </c>
      <c r="B316" s="36">
        <f t="shared" si="32"/>
        <v>1</v>
      </c>
      <c r="C316" s="191">
        <f t="shared" si="29"/>
        <v>41282</v>
      </c>
      <c r="D316" s="184" t="s">
        <v>412</v>
      </c>
      <c r="E316" s="796">
        <v>41282</v>
      </c>
      <c r="F316" s="192" t="s">
        <v>605</v>
      </c>
      <c r="G316" s="485" t="s">
        <v>603</v>
      </c>
      <c r="H316" s="193" t="s">
        <v>587</v>
      </c>
      <c r="I316" s="256">
        <v>336</v>
      </c>
      <c r="J316" s="256">
        <v>20553</v>
      </c>
      <c r="K316" s="38">
        <f>ROUND(I316*J316,0)</f>
        <v>6905808</v>
      </c>
      <c r="L316" s="194" t="s">
        <v>159</v>
      </c>
      <c r="M316" s="194" t="s">
        <v>8</v>
      </c>
      <c r="N316" s="52" t="str">
        <f>IF(AND('331-CT'!$E$7=TH!H316,OR(L316="331",M316="331")),"331",IF(AND(OR(L316="131",M316="131"),H316='131-CT'!$E$7),"131",""))</f>
        <v>331</v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853"/>
      <c r="AB316" s="594"/>
      <c r="AC316" s="198"/>
      <c r="AD316" s="198"/>
    </row>
    <row r="317" spans="1:30" s="810" customFormat="1" ht="15.75" customHeight="1">
      <c r="A317" s="204" t="str">
        <f>IF(B317&lt;&gt;"",IF(AND(B317&gt;=_TM1,B317&lt;=_TM2,OR(TH!L317="1111",TH!M317="1111")),TH!D317,""),"")</f>
        <v/>
      </c>
      <c r="B317" s="36">
        <f t="shared" si="32"/>
        <v>1</v>
      </c>
      <c r="C317" s="191">
        <f t="shared" si="29"/>
        <v>41282</v>
      </c>
      <c r="D317" s="184" t="s">
        <v>412</v>
      </c>
      <c r="E317" s="796">
        <v>41282</v>
      </c>
      <c r="F317" s="192" t="s">
        <v>590</v>
      </c>
      <c r="G317" s="485" t="s">
        <v>603</v>
      </c>
      <c r="H317" s="193" t="s">
        <v>587</v>
      </c>
      <c r="I317" s="256"/>
      <c r="J317" s="256"/>
      <c r="K317" s="38">
        <v>1466975</v>
      </c>
      <c r="L317" s="194" t="s">
        <v>9</v>
      </c>
      <c r="M317" s="194" t="s">
        <v>8</v>
      </c>
      <c r="N317" s="52" t="str">
        <f>IF(AND('331-CT'!$E$7=TH!H317,OR(L317="331",M317="331")),"331",IF(AND(OR(L317="131",M317="131"),H317='131-CT'!$E$7),"131",""))</f>
        <v>331</v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853"/>
      <c r="AB317" s="594">
        <v>1</v>
      </c>
      <c r="AC317" s="198"/>
      <c r="AD317" s="198"/>
    </row>
    <row r="318" spans="1:30" s="810" customFormat="1" ht="15.75" customHeight="1">
      <c r="A318" s="204" t="str">
        <f>IF(B318&lt;&gt;"",IF(AND(B318&gt;=_TM1,B318&lt;=_TM2,OR(TH!L318="1111",TH!M318="1111")),TH!D318,""),"")</f>
        <v/>
      </c>
      <c r="B318" s="36">
        <f t="shared" si="32"/>
        <v>1</v>
      </c>
      <c r="C318" s="191">
        <f t="shared" ref="C318" si="35">E318</f>
        <v>41282</v>
      </c>
      <c r="D318" s="184" t="s">
        <v>412</v>
      </c>
      <c r="E318" s="796">
        <v>41282</v>
      </c>
      <c r="F318" s="192" t="s">
        <v>371</v>
      </c>
      <c r="G318" s="485" t="s">
        <v>603</v>
      </c>
      <c r="H318" s="193" t="s">
        <v>587</v>
      </c>
      <c r="I318" s="256"/>
      <c r="J318" s="256"/>
      <c r="K318" s="38">
        <v>16136723</v>
      </c>
      <c r="L318" s="194" t="s">
        <v>8</v>
      </c>
      <c r="M318" s="194" t="s">
        <v>47</v>
      </c>
      <c r="N318" s="52" t="str">
        <f>IF(AND('331-CT'!$E$7=TH!H318,OR(L318="331",M318="331")),"331",IF(AND(OR(L318="131",M318="131"),H318='131-CT'!$E$7),"131",""))</f>
        <v>331</v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>x</v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853"/>
      <c r="AB318" s="211"/>
      <c r="AC318" s="198"/>
      <c r="AD318" s="198"/>
    </row>
    <row r="319" spans="1:30" s="812" customFormat="1" ht="15.75" customHeight="1">
      <c r="A319" s="204" t="str">
        <f>IF(B319&lt;&gt;"",IF(AND(B319&gt;=_TM1,B319&lt;=_TM2,OR(TH!L319="1111",TH!M319="1111")),TH!D319,""),"")</f>
        <v/>
      </c>
      <c r="B319" s="36">
        <f t="shared" si="32"/>
        <v>1</v>
      </c>
      <c r="C319" s="191">
        <f t="shared" si="29"/>
        <v>41283</v>
      </c>
      <c r="D319" s="184" t="s">
        <v>413</v>
      </c>
      <c r="E319" s="796">
        <v>41283</v>
      </c>
      <c r="F319" s="192" t="s">
        <v>604</v>
      </c>
      <c r="G319" s="664" t="s">
        <v>606</v>
      </c>
      <c r="H319" s="193" t="s">
        <v>587</v>
      </c>
      <c r="I319" s="256">
        <v>152</v>
      </c>
      <c r="J319" s="256">
        <v>13306</v>
      </c>
      <c r="K319" s="38">
        <f>ROUND(I319*J319,0)</f>
        <v>2022512</v>
      </c>
      <c r="L319" s="194" t="s">
        <v>159</v>
      </c>
      <c r="M319" s="194" t="s">
        <v>8</v>
      </c>
      <c r="N319" s="52" t="str">
        <f>IF(AND('331-CT'!$E$7=TH!H319,OR(L319="331",M319="331")),"331",IF(AND(OR(L319="131",M319="131"),H319='131-CT'!$E$7),"131",""))</f>
        <v>331</v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853"/>
      <c r="AB319" s="594"/>
      <c r="AC319" s="198"/>
      <c r="AD319" s="198"/>
    </row>
    <row r="320" spans="1:30" ht="15.75" customHeight="1">
      <c r="A320" s="204" t="str">
        <f>IF(B320&lt;&gt;"",IF(AND(B320&gt;=_TM1,B320&lt;=_TM2,OR(TH!L320="1111",TH!M320="1111")),TH!D320,""),"")</f>
        <v/>
      </c>
      <c r="B320" s="36">
        <f t="shared" si="32"/>
        <v>1</v>
      </c>
      <c r="C320" s="191">
        <f t="shared" si="29"/>
        <v>41283</v>
      </c>
      <c r="D320" s="184" t="s">
        <v>413</v>
      </c>
      <c r="E320" s="796">
        <v>41283</v>
      </c>
      <c r="F320" s="192" t="s">
        <v>602</v>
      </c>
      <c r="G320" s="664" t="s">
        <v>606</v>
      </c>
      <c r="H320" s="193" t="s">
        <v>587</v>
      </c>
      <c r="I320" s="256">
        <v>212</v>
      </c>
      <c r="J320" s="256">
        <v>21888</v>
      </c>
      <c r="K320" s="38">
        <f>ROUND(I320*J320,0)</f>
        <v>4640256</v>
      </c>
      <c r="L320" s="194" t="s">
        <v>159</v>
      </c>
      <c r="M320" s="194" t="s">
        <v>8</v>
      </c>
      <c r="N320" s="52" t="str">
        <f>IF(AND('331-CT'!$E$7=TH!H320,OR(L320="331",M320="331")),"331",IF(AND(OR(L320="131",M320="131"),H320='131-CT'!$E$7),"131",""))</f>
        <v>331</v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853"/>
      <c r="AB320" s="594"/>
    </row>
    <row r="321" spans="1:28" ht="15.75" customHeight="1">
      <c r="A321" s="204" t="str">
        <f>IF(B321&lt;&gt;"",IF(AND(B321&gt;=_TM1,B321&lt;=_TM2,OR(TH!L321="1111",TH!M321="1111")),TH!D321,""),"")</f>
        <v/>
      </c>
      <c r="B321" s="36">
        <f t="shared" si="32"/>
        <v>1</v>
      </c>
      <c r="C321" s="191">
        <f t="shared" si="29"/>
        <v>41283</v>
      </c>
      <c r="D321" s="184" t="s">
        <v>413</v>
      </c>
      <c r="E321" s="796">
        <v>41283</v>
      </c>
      <c r="F321" s="192" t="s">
        <v>607</v>
      </c>
      <c r="G321" s="664" t="s">
        <v>606</v>
      </c>
      <c r="H321" s="193" t="s">
        <v>587</v>
      </c>
      <c r="I321" s="256">
        <v>137</v>
      </c>
      <c r="J321" s="256">
        <v>18605</v>
      </c>
      <c r="K321" s="38">
        <f>ROUND(I321*J321,0)</f>
        <v>2548885</v>
      </c>
      <c r="L321" s="194" t="s">
        <v>159</v>
      </c>
      <c r="M321" s="194" t="s">
        <v>8</v>
      </c>
      <c r="N321" s="52" t="str">
        <f>IF(AND('331-CT'!$E$7=TH!H321,OR(L321="331",M321="331")),"331",IF(AND(OR(L321="131",M321="131"),H321='131-CT'!$E$7),"131",""))</f>
        <v>331</v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853"/>
      <c r="AB321" s="594"/>
    </row>
    <row r="322" spans="1:28" ht="15.75" customHeight="1">
      <c r="A322" s="204" t="str">
        <f>IF(B322&lt;&gt;"",IF(AND(B322&gt;=_TM1,B322&lt;=_TM2,OR(TH!L322="1111",TH!M322="1111")),TH!D322,""),"")</f>
        <v/>
      </c>
      <c r="B322" s="36">
        <f t="shared" si="32"/>
        <v>1</v>
      </c>
      <c r="C322" s="191">
        <f t="shared" si="29"/>
        <v>41283</v>
      </c>
      <c r="D322" s="184" t="s">
        <v>413</v>
      </c>
      <c r="E322" s="796">
        <v>41283</v>
      </c>
      <c r="F322" s="192" t="s">
        <v>590</v>
      </c>
      <c r="G322" s="664" t="s">
        <v>606</v>
      </c>
      <c r="H322" s="193" t="s">
        <v>587</v>
      </c>
      <c r="I322" s="256"/>
      <c r="J322" s="256"/>
      <c r="K322" s="38">
        <v>921166</v>
      </c>
      <c r="L322" s="194" t="s">
        <v>9</v>
      </c>
      <c r="M322" s="194" t="s">
        <v>8</v>
      </c>
      <c r="N322" s="52" t="str">
        <f>IF(AND('331-CT'!$E$7=TH!H322,OR(L322="331",M322="331")),"331",IF(AND(OR(L322="131",M322="131"),H322='131-CT'!$E$7),"131",""))</f>
        <v>331</v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853"/>
      <c r="AB322" s="594">
        <v>1</v>
      </c>
    </row>
    <row r="323" spans="1:28" ht="15.75" customHeight="1">
      <c r="A323" s="204" t="str">
        <f>IF(B323&lt;&gt;"",IF(AND(B323&gt;=_TM1,B323&lt;=_TM2,OR(TH!L323="1111",TH!M323="1111")),TH!D323,""),"")</f>
        <v/>
      </c>
      <c r="B323" s="36">
        <f t="shared" si="32"/>
        <v>1</v>
      </c>
      <c r="C323" s="191">
        <f t="shared" ref="C323" si="36">E323</f>
        <v>41283</v>
      </c>
      <c r="D323" s="184" t="s">
        <v>413</v>
      </c>
      <c r="E323" s="796">
        <v>41283</v>
      </c>
      <c r="F323" s="192" t="s">
        <v>371</v>
      </c>
      <c r="G323" s="664" t="s">
        <v>606</v>
      </c>
      <c r="H323" s="193" t="s">
        <v>587</v>
      </c>
      <c r="I323" s="256"/>
      <c r="J323" s="256"/>
      <c r="K323" s="38">
        <v>10132819</v>
      </c>
      <c r="L323" s="194" t="s">
        <v>8</v>
      </c>
      <c r="M323" s="194" t="s">
        <v>47</v>
      </c>
      <c r="N323" s="52" t="str">
        <f>IF(AND('331-CT'!$E$7=TH!H323,OR(L323="331",M323="331")),"331",IF(AND(OR(L323="131",M323="131"),H323='131-CT'!$E$7),"131",""))</f>
        <v>331</v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>x</v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853"/>
      <c r="AB323" s="211"/>
    </row>
    <row r="324" spans="1:28" ht="15.75" customHeight="1">
      <c r="A324" s="204" t="str">
        <f>IF(B324&lt;&gt;"",IF(AND(B324&gt;=_TM1,B324&lt;=_TM2,OR(TH!L324="1111",TH!M324="1111")),TH!D324,""),"")</f>
        <v/>
      </c>
      <c r="B324" s="36">
        <f t="shared" si="32"/>
        <v>1</v>
      </c>
      <c r="C324" s="191">
        <f t="shared" si="29"/>
        <v>41285</v>
      </c>
      <c r="D324" s="184" t="s">
        <v>414</v>
      </c>
      <c r="E324" s="191">
        <v>41285</v>
      </c>
      <c r="F324" s="192" t="s">
        <v>608</v>
      </c>
      <c r="G324" s="487" t="s">
        <v>609</v>
      </c>
      <c r="H324" s="193" t="s">
        <v>587</v>
      </c>
      <c r="I324" s="258">
        <v>140</v>
      </c>
      <c r="J324" s="258">
        <v>38966</v>
      </c>
      <c r="K324" s="38">
        <f>ROUND(I324*J324,0)</f>
        <v>5455240</v>
      </c>
      <c r="L324" s="194" t="s">
        <v>159</v>
      </c>
      <c r="M324" s="194" t="s">
        <v>8</v>
      </c>
      <c r="N324" s="52" t="str">
        <f>IF(AND('331-CT'!$E$7=TH!H324,OR(L324="331",M324="331")),"331",IF(AND(OR(L324="131",M324="131"),H324='131-CT'!$E$7),"131",""))</f>
        <v>331</v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853"/>
      <c r="AB324" s="211"/>
    </row>
    <row r="325" spans="1:28" ht="15.75" customHeight="1">
      <c r="A325" s="204" t="str">
        <f>IF(B325&lt;&gt;"",IF(AND(B325&gt;=_TM1,B325&lt;=_TM2,OR(TH!L325="1111",TH!M325="1111")),TH!D325,""),"")</f>
        <v/>
      </c>
      <c r="B325" s="36">
        <f t="shared" si="32"/>
        <v>1</v>
      </c>
      <c r="C325" s="191">
        <f t="shared" si="29"/>
        <v>41285</v>
      </c>
      <c r="D325" s="184" t="s">
        <v>414</v>
      </c>
      <c r="E325" s="191">
        <v>41285</v>
      </c>
      <c r="F325" s="192" t="s">
        <v>593</v>
      </c>
      <c r="G325" s="487" t="s">
        <v>609</v>
      </c>
      <c r="H325" s="193" t="s">
        <v>587</v>
      </c>
      <c r="I325" s="258">
        <v>167</v>
      </c>
      <c r="J325" s="258">
        <v>29568</v>
      </c>
      <c r="K325" s="38">
        <f>ROUND(I325*J325,0)</f>
        <v>4937856</v>
      </c>
      <c r="L325" s="194" t="s">
        <v>159</v>
      </c>
      <c r="M325" s="194" t="s">
        <v>8</v>
      </c>
      <c r="N325" s="52" t="str">
        <f>IF(AND('331-CT'!$E$7=TH!H325,OR(L325="331",M325="331")),"331",IF(AND(OR(L325="131",M325="131"),H325='131-CT'!$E$7),"131",""))</f>
        <v>331</v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853"/>
      <c r="AB325" s="594"/>
    </row>
    <row r="326" spans="1:28" ht="15.75" customHeight="1">
      <c r="A326" s="204" t="str">
        <f>IF(B326&lt;&gt;"",IF(AND(B326&gt;=_TM1,B326&lt;=_TM2,OR(TH!L326="1111",TH!M326="1111")),TH!D326,""),"")</f>
        <v/>
      </c>
      <c r="B326" s="36">
        <f t="shared" si="32"/>
        <v>1</v>
      </c>
      <c r="C326" s="191">
        <f t="shared" si="29"/>
        <v>41285</v>
      </c>
      <c r="D326" s="184" t="s">
        <v>414</v>
      </c>
      <c r="E326" s="191">
        <v>41285</v>
      </c>
      <c r="F326" s="192" t="s">
        <v>590</v>
      </c>
      <c r="G326" s="487" t="s">
        <v>609</v>
      </c>
      <c r="H326" s="193" t="s">
        <v>587</v>
      </c>
      <c r="I326" s="256"/>
      <c r="J326" s="256"/>
      <c r="K326" s="38">
        <v>1039310</v>
      </c>
      <c r="L326" s="194" t="s">
        <v>9</v>
      </c>
      <c r="M326" s="194" t="s">
        <v>8</v>
      </c>
      <c r="N326" s="52" t="str">
        <f>IF(AND('331-CT'!$E$7=TH!H326,OR(L326="331",M326="331")),"331",IF(AND(OR(L326="131",M326="131"),H326='131-CT'!$E$7),"131",""))</f>
        <v>331</v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853"/>
      <c r="AB326" s="594">
        <v>1</v>
      </c>
    </row>
    <row r="327" spans="1:28" ht="15.75" customHeight="1">
      <c r="A327" s="204" t="str">
        <f>IF(B327&lt;&gt;"",IF(AND(B327&gt;=_TM1,B327&lt;=_TM2,OR(TH!L327="1111",TH!M327="1111")),TH!D327,""),"")</f>
        <v/>
      </c>
      <c r="B327" s="36">
        <f t="shared" si="32"/>
        <v>1</v>
      </c>
      <c r="C327" s="191">
        <f t="shared" ref="C327" si="37">E327</f>
        <v>41285</v>
      </c>
      <c r="D327" s="184" t="s">
        <v>414</v>
      </c>
      <c r="E327" s="191">
        <v>41285</v>
      </c>
      <c r="F327" s="192" t="s">
        <v>371</v>
      </c>
      <c r="G327" s="487" t="s">
        <v>609</v>
      </c>
      <c r="H327" s="193" t="s">
        <v>587</v>
      </c>
      <c r="I327" s="256"/>
      <c r="J327" s="256"/>
      <c r="K327" s="38">
        <v>11432406</v>
      </c>
      <c r="L327" s="194" t="s">
        <v>8</v>
      </c>
      <c r="M327" s="194" t="s">
        <v>47</v>
      </c>
      <c r="N327" s="52" t="str">
        <f>IF(AND('331-CT'!$E$7=TH!H327,OR(L327="331",M327="331")),"331",IF(AND(OR(L327="131",M327="131"),H327='131-CT'!$E$7),"131",""))</f>
        <v>331</v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>x</v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853"/>
      <c r="AB327" s="211"/>
    </row>
    <row r="328" spans="1:28" ht="15.75" customHeight="1">
      <c r="A328" s="204" t="str">
        <f>IF(B328&lt;&gt;"",IF(AND(B328&gt;=_TM1,B328&lt;=_TM2,OR(TH!L328="1111",TH!M328="1111")),TH!D328,""),"")</f>
        <v/>
      </c>
      <c r="B328" s="36">
        <f t="shared" si="32"/>
        <v>1</v>
      </c>
      <c r="C328" s="191">
        <f t="shared" si="29"/>
        <v>41286</v>
      </c>
      <c r="D328" s="184" t="s">
        <v>415</v>
      </c>
      <c r="E328" s="191">
        <v>41286</v>
      </c>
      <c r="F328" s="192" t="s">
        <v>610</v>
      </c>
      <c r="G328" s="664" t="s">
        <v>611</v>
      </c>
      <c r="H328" s="193" t="s">
        <v>587</v>
      </c>
      <c r="I328" s="256">
        <v>275</v>
      </c>
      <c r="J328" s="256">
        <v>19270</v>
      </c>
      <c r="K328" s="38">
        <f>ROUND(I328*J328,0)</f>
        <v>5299250</v>
      </c>
      <c r="L328" s="194" t="s">
        <v>159</v>
      </c>
      <c r="M328" s="194" t="s">
        <v>8</v>
      </c>
      <c r="N328" s="52" t="str">
        <f>IF(AND('331-CT'!$E$7=TH!H328,OR(L328="331",M328="331")),"331",IF(AND(OR(L328="131",M328="131"),H328='131-CT'!$E$7),"131",""))</f>
        <v>331</v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853"/>
      <c r="AB328" s="594"/>
    </row>
    <row r="329" spans="1:28" ht="15.75" customHeight="1">
      <c r="A329" s="204" t="str">
        <f>IF(B329&lt;&gt;"",IF(AND(B329&gt;=_TM1,B329&lt;=_TM2,OR(TH!L329="1111",TH!M329="1111")),TH!D329,""),"")</f>
        <v/>
      </c>
      <c r="B329" s="36">
        <f t="shared" si="32"/>
        <v>1</v>
      </c>
      <c r="C329" s="191">
        <f t="shared" ref="C329:C408" si="38">E329</f>
        <v>41286</v>
      </c>
      <c r="D329" s="184" t="s">
        <v>415</v>
      </c>
      <c r="E329" s="191">
        <v>41286</v>
      </c>
      <c r="F329" s="192" t="s">
        <v>612</v>
      </c>
      <c r="G329" s="664" t="s">
        <v>611</v>
      </c>
      <c r="H329" s="193" t="s">
        <v>587</v>
      </c>
      <c r="I329" s="256">
        <v>259</v>
      </c>
      <c r="J329" s="256">
        <v>17473</v>
      </c>
      <c r="K329" s="38">
        <f>ROUND(I329*J329,0)</f>
        <v>4525507</v>
      </c>
      <c r="L329" s="194" t="s">
        <v>159</v>
      </c>
      <c r="M329" s="194" t="s">
        <v>8</v>
      </c>
      <c r="N329" s="52" t="str">
        <f>IF(AND('331-CT'!$E$7=TH!H329,OR(L329="331",M329="331")),"331",IF(AND(OR(L329="131",M329="131"),H329='131-CT'!$E$7),"131",""))</f>
        <v>331</v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853"/>
      <c r="AB329" s="594"/>
    </row>
    <row r="330" spans="1:28" ht="15.75" customHeight="1">
      <c r="A330" s="204" t="str">
        <f>IF(B330&lt;&gt;"",IF(AND(B330&gt;=_TM1,B330&lt;=_TM2,OR(TH!L330="1111",TH!M330="1111")),TH!D330,""),"")</f>
        <v/>
      </c>
      <c r="B330" s="36">
        <f t="shared" si="32"/>
        <v>1</v>
      </c>
      <c r="C330" s="191">
        <f t="shared" si="38"/>
        <v>41286</v>
      </c>
      <c r="D330" s="184" t="s">
        <v>415</v>
      </c>
      <c r="E330" s="191">
        <v>41286</v>
      </c>
      <c r="F330" s="192" t="s">
        <v>613</v>
      </c>
      <c r="G330" s="664" t="s">
        <v>611</v>
      </c>
      <c r="H330" s="193" t="s">
        <v>587</v>
      </c>
      <c r="I330" s="256">
        <v>302</v>
      </c>
      <c r="J330" s="256">
        <v>8461</v>
      </c>
      <c r="K330" s="38">
        <f>ROUND(I330*J330,0)</f>
        <v>2555222</v>
      </c>
      <c r="L330" s="194" t="s">
        <v>159</v>
      </c>
      <c r="M330" s="194" t="s">
        <v>8</v>
      </c>
      <c r="N330" s="52" t="str">
        <f>IF(AND('331-CT'!$E$7=TH!H330,OR(L330="331",M330="331")),"331",IF(AND(OR(L330="131",M330="131"),H330='131-CT'!$E$7),"131",""))</f>
        <v>331</v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853"/>
      <c r="AB330" s="211"/>
    </row>
    <row r="331" spans="1:28" ht="15.75" customHeight="1">
      <c r="A331" s="204" t="str">
        <f>IF(B331&lt;&gt;"",IF(AND(B331&gt;=_TM1,B331&lt;=_TM2,OR(TH!L331="1111",TH!M331="1111")),TH!D331,""),"")</f>
        <v/>
      </c>
      <c r="B331" s="36">
        <f t="shared" si="32"/>
        <v>1</v>
      </c>
      <c r="C331" s="191">
        <f t="shared" si="38"/>
        <v>41286</v>
      </c>
      <c r="D331" s="184" t="s">
        <v>415</v>
      </c>
      <c r="E331" s="191">
        <v>41286</v>
      </c>
      <c r="F331" s="192" t="s">
        <v>590</v>
      </c>
      <c r="G331" s="664" t="s">
        <v>611</v>
      </c>
      <c r="H331" s="193" t="s">
        <v>587</v>
      </c>
      <c r="I331" s="256"/>
      <c r="J331" s="256"/>
      <c r="K331" s="38">
        <v>1237998</v>
      </c>
      <c r="L331" s="194" t="s">
        <v>9</v>
      </c>
      <c r="M331" s="194" t="s">
        <v>8</v>
      </c>
      <c r="N331" s="52" t="str">
        <f>IF(AND('331-CT'!$E$7=TH!H331,OR(L331="331",M331="331")),"331",IF(AND(OR(L331="131",M331="131"),H331='131-CT'!$E$7),"131",""))</f>
        <v>331</v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853"/>
      <c r="AB331" s="594">
        <v>1</v>
      </c>
    </row>
    <row r="332" spans="1:28" ht="15.75" customHeight="1">
      <c r="A332" s="204" t="str">
        <f>IF(B332&lt;&gt;"",IF(AND(B332&gt;=_TM1,B332&lt;=_TM2,OR(TH!L332="1111",TH!M332="1111")),TH!D332,""),"")</f>
        <v/>
      </c>
      <c r="B332" s="36">
        <f t="shared" si="32"/>
        <v>1</v>
      </c>
      <c r="C332" s="191">
        <f t="shared" ref="C332" si="39">E332</f>
        <v>41286</v>
      </c>
      <c r="D332" s="184" t="s">
        <v>415</v>
      </c>
      <c r="E332" s="191">
        <v>41286</v>
      </c>
      <c r="F332" s="192" t="s">
        <v>371</v>
      </c>
      <c r="G332" s="664" t="s">
        <v>611</v>
      </c>
      <c r="H332" s="193" t="s">
        <v>587</v>
      </c>
      <c r="I332" s="256"/>
      <c r="J332" s="256"/>
      <c r="K332" s="38">
        <v>13617977</v>
      </c>
      <c r="L332" s="194" t="s">
        <v>8</v>
      </c>
      <c r="M332" s="194" t="s">
        <v>47</v>
      </c>
      <c r="N332" s="52" t="str">
        <f>IF(AND('331-CT'!$E$7=TH!H332,OR(L332="331",M332="331")),"331",IF(AND(OR(L332="131",M332="131"),H332='131-CT'!$E$7),"131",""))</f>
        <v>331</v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>x</v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853"/>
      <c r="AB332" s="211"/>
    </row>
    <row r="333" spans="1:28" ht="15.75" customHeight="1">
      <c r="A333" s="204" t="str">
        <f>IF(B333&lt;&gt;"",IF(AND(B333&gt;=_TM1,B333&lt;=_TM2,OR(TH!L333="1111",TH!M333="1111")),TH!D333,""),"")</f>
        <v/>
      </c>
      <c r="B333" s="36">
        <f t="shared" si="32"/>
        <v>1</v>
      </c>
      <c r="C333" s="191">
        <f t="shared" si="38"/>
        <v>41290</v>
      </c>
      <c r="D333" s="184" t="s">
        <v>416</v>
      </c>
      <c r="E333" s="796">
        <v>41290</v>
      </c>
      <c r="F333" s="192" t="s">
        <v>614</v>
      </c>
      <c r="G333" s="487" t="s">
        <v>615</v>
      </c>
      <c r="H333" s="193" t="s">
        <v>587</v>
      </c>
      <c r="I333" s="256">
        <v>130</v>
      </c>
      <c r="J333" s="256">
        <v>7274</v>
      </c>
      <c r="K333" s="38">
        <f t="shared" ref="K333:K339" si="40">ROUND(I333*J333,0)</f>
        <v>945620</v>
      </c>
      <c r="L333" s="194" t="s">
        <v>159</v>
      </c>
      <c r="M333" s="194" t="s">
        <v>8</v>
      </c>
      <c r="N333" s="52" t="str">
        <f>IF(AND('331-CT'!$E$7=TH!H333,OR(L333="331",M333="331")),"331",IF(AND(OR(L333="131",M333="131"),H333='131-CT'!$E$7),"131",""))</f>
        <v>331</v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853"/>
      <c r="AB333" s="211"/>
    </row>
    <row r="334" spans="1:28" ht="15.75" customHeight="1">
      <c r="A334" s="204" t="str">
        <f>IF(B334&lt;&gt;"",IF(AND(B334&gt;=_TM1,B334&lt;=_TM2,OR(TH!L334="1111",TH!M334="1111")),TH!D334,""),"")</f>
        <v/>
      </c>
      <c r="B334" s="36">
        <f t="shared" si="32"/>
        <v>1</v>
      </c>
      <c r="C334" s="191">
        <f t="shared" si="38"/>
        <v>41290</v>
      </c>
      <c r="D334" s="184" t="s">
        <v>416</v>
      </c>
      <c r="E334" s="796">
        <v>41290</v>
      </c>
      <c r="F334" s="192" t="s">
        <v>616</v>
      </c>
      <c r="G334" s="487" t="s">
        <v>615</v>
      </c>
      <c r="H334" s="193" t="s">
        <v>587</v>
      </c>
      <c r="I334" s="256">
        <v>106</v>
      </c>
      <c r="J334" s="256">
        <v>10886</v>
      </c>
      <c r="K334" s="38">
        <f t="shared" si="40"/>
        <v>1153916</v>
      </c>
      <c r="L334" s="194" t="s">
        <v>159</v>
      </c>
      <c r="M334" s="194" t="s">
        <v>8</v>
      </c>
      <c r="N334" s="52" t="str">
        <f>IF(AND('331-CT'!$E$7=TH!H334,OR(L334="331",M334="331")),"331",IF(AND(OR(L334="131",M334="131"),H334='131-CT'!$E$7),"131",""))</f>
        <v>331</v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853"/>
      <c r="AB334" s="211"/>
    </row>
    <row r="335" spans="1:28" ht="15.75" customHeight="1">
      <c r="A335" s="204" t="str">
        <f>IF(B335&lt;&gt;"",IF(AND(B335&gt;=_TM1,B335&lt;=_TM2,OR(TH!L335="1111",TH!M335="1111")),TH!D335,""),"")</f>
        <v/>
      </c>
      <c r="B335" s="36">
        <f t="shared" si="32"/>
        <v>1</v>
      </c>
      <c r="C335" s="191">
        <f t="shared" si="38"/>
        <v>41290</v>
      </c>
      <c r="D335" s="184" t="s">
        <v>416</v>
      </c>
      <c r="E335" s="796">
        <v>41290</v>
      </c>
      <c r="F335" s="192" t="s">
        <v>617</v>
      </c>
      <c r="G335" s="487" t="s">
        <v>615</v>
      </c>
      <c r="H335" s="193" t="s">
        <v>587</v>
      </c>
      <c r="I335" s="257">
        <v>101</v>
      </c>
      <c r="J335" s="257">
        <v>9324</v>
      </c>
      <c r="K335" s="38">
        <f t="shared" si="40"/>
        <v>941724</v>
      </c>
      <c r="L335" s="194" t="s">
        <v>159</v>
      </c>
      <c r="M335" s="194" t="s">
        <v>8</v>
      </c>
      <c r="N335" s="52" t="str">
        <f>IF(AND('331-CT'!$E$7=TH!H335,OR(L335="331",M335="331")),"331",IF(AND(OR(L335="131",M335="131"),H335='131-CT'!$E$7),"131",""))</f>
        <v>331</v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853"/>
      <c r="AB335" s="211"/>
    </row>
    <row r="336" spans="1:28" ht="15.75" customHeight="1">
      <c r="A336" s="204" t="str">
        <f>IF(B336&lt;&gt;"",IF(AND(B336&gt;=_TM1,B336&lt;=_TM2,OR(TH!L336="1111",TH!M336="1111")),TH!D336,""),"")</f>
        <v/>
      </c>
      <c r="B336" s="36">
        <f t="shared" si="32"/>
        <v>1</v>
      </c>
      <c r="C336" s="191">
        <f t="shared" si="38"/>
        <v>41290</v>
      </c>
      <c r="D336" s="184" t="s">
        <v>416</v>
      </c>
      <c r="E336" s="796">
        <v>41290</v>
      </c>
      <c r="F336" s="192" t="s">
        <v>618</v>
      </c>
      <c r="G336" s="487" t="s">
        <v>615</v>
      </c>
      <c r="H336" s="193" t="s">
        <v>587</v>
      </c>
      <c r="I336" s="256">
        <v>106</v>
      </c>
      <c r="J336" s="256">
        <v>12528</v>
      </c>
      <c r="K336" s="38">
        <f t="shared" si="40"/>
        <v>1327968</v>
      </c>
      <c r="L336" s="194" t="s">
        <v>159</v>
      </c>
      <c r="M336" s="194" t="s">
        <v>8</v>
      </c>
      <c r="N336" s="52" t="str">
        <f>IF(AND('331-CT'!$E$7=TH!H336,OR(L336="331",M336="331")),"331",IF(AND(OR(L336="131",M336="131"),H336='131-CT'!$E$7),"131",""))</f>
        <v>331</v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853"/>
      <c r="AB336" s="594"/>
    </row>
    <row r="337" spans="1:30" ht="15.75" customHeight="1">
      <c r="A337" s="204" t="str">
        <f>IF(B337&lt;&gt;"",IF(AND(B337&gt;=_TM1,B337&lt;=_TM2,OR(TH!L337="1111",TH!M337="1111")),TH!D337,""),"")</f>
        <v/>
      </c>
      <c r="B337" s="36">
        <f t="shared" si="32"/>
        <v>1</v>
      </c>
      <c r="C337" s="191">
        <f t="shared" si="38"/>
        <v>41290</v>
      </c>
      <c r="D337" s="184" t="s">
        <v>416</v>
      </c>
      <c r="E337" s="796">
        <v>41290</v>
      </c>
      <c r="F337" s="192" t="s">
        <v>619</v>
      </c>
      <c r="G337" s="487" t="s">
        <v>615</v>
      </c>
      <c r="H337" s="193" t="s">
        <v>587</v>
      </c>
      <c r="I337" s="256">
        <v>149</v>
      </c>
      <c r="J337" s="256">
        <v>12010</v>
      </c>
      <c r="K337" s="38">
        <f t="shared" si="40"/>
        <v>1789490</v>
      </c>
      <c r="L337" s="194" t="s">
        <v>159</v>
      </c>
      <c r="M337" s="194" t="s">
        <v>8</v>
      </c>
      <c r="N337" s="52" t="str">
        <f>IF(AND('331-CT'!$E$7=TH!H337,OR(L337="331",M337="331")),"331",IF(AND(OR(L337="131",M337="131"),H337='131-CT'!$E$7),"131",""))</f>
        <v>331</v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853"/>
      <c r="AB337" s="211"/>
    </row>
    <row r="338" spans="1:30" ht="15.75" customHeight="1">
      <c r="A338" s="204" t="str">
        <f>IF(B338&lt;&gt;"",IF(AND(B338&gt;=_TM1,B338&lt;=_TM2,OR(TH!L338="1111",TH!M338="1111")),TH!D338,""),"")</f>
        <v/>
      </c>
      <c r="B338" s="36">
        <f t="shared" si="32"/>
        <v>1</v>
      </c>
      <c r="C338" s="191">
        <f t="shared" si="38"/>
        <v>41290</v>
      </c>
      <c r="D338" s="184" t="s">
        <v>416</v>
      </c>
      <c r="E338" s="796">
        <v>41290</v>
      </c>
      <c r="F338" s="192" t="s">
        <v>620</v>
      </c>
      <c r="G338" s="487" t="s">
        <v>615</v>
      </c>
      <c r="H338" s="193" t="s">
        <v>587</v>
      </c>
      <c r="I338" s="256">
        <v>101</v>
      </c>
      <c r="J338" s="256">
        <v>22982</v>
      </c>
      <c r="K338" s="38">
        <f t="shared" si="40"/>
        <v>2321182</v>
      </c>
      <c r="L338" s="194" t="s">
        <v>159</v>
      </c>
      <c r="M338" s="194" t="s">
        <v>8</v>
      </c>
      <c r="N338" s="52" t="str">
        <f>IF(AND('331-CT'!$E$7=TH!H338,OR(L338="331",M338="331")),"331",IF(AND(OR(L338="131",M338="131"),H338='131-CT'!$E$7),"131",""))</f>
        <v>331</v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853"/>
      <c r="AB338" s="594"/>
    </row>
    <row r="339" spans="1:30" ht="15.75" customHeight="1">
      <c r="A339" s="204" t="str">
        <f>IF(B339&lt;&gt;"",IF(AND(B339&gt;=_TM1,B339&lt;=_TM2,OR(TH!L339="1111",TH!M339="1111")),TH!D339,""),"")</f>
        <v/>
      </c>
      <c r="B339" s="36">
        <f t="shared" si="32"/>
        <v>1</v>
      </c>
      <c r="C339" s="191">
        <f t="shared" si="38"/>
        <v>41290</v>
      </c>
      <c r="D339" s="184" t="s">
        <v>416</v>
      </c>
      <c r="E339" s="796">
        <v>41290</v>
      </c>
      <c r="F339" s="192" t="s">
        <v>621</v>
      </c>
      <c r="G339" s="487" t="s">
        <v>615</v>
      </c>
      <c r="H339" s="193" t="s">
        <v>587</v>
      </c>
      <c r="I339" s="256">
        <v>203</v>
      </c>
      <c r="J339" s="256">
        <v>22277</v>
      </c>
      <c r="K339" s="38">
        <f t="shared" si="40"/>
        <v>4522231</v>
      </c>
      <c r="L339" s="194" t="s">
        <v>159</v>
      </c>
      <c r="M339" s="194" t="s">
        <v>8</v>
      </c>
      <c r="N339" s="52" t="str">
        <f>IF(AND('331-CT'!$E$7=TH!H339,OR(L339="331",M339="331")),"331",IF(AND(OR(L339="131",M339="131"),H339='131-CT'!$E$7),"131",""))</f>
        <v>331</v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853"/>
      <c r="AB339" s="211"/>
    </row>
    <row r="340" spans="1:30" ht="15.75" customHeight="1">
      <c r="A340" s="204" t="str">
        <f>IF(B340&lt;&gt;"",IF(AND(B340&gt;=_TM1,B340&lt;=_TM2,OR(TH!L340="1111",TH!M340="1111")),TH!D340,""),"")</f>
        <v/>
      </c>
      <c r="B340" s="36">
        <f t="shared" si="32"/>
        <v>1</v>
      </c>
      <c r="C340" s="191">
        <f t="shared" si="38"/>
        <v>41290</v>
      </c>
      <c r="D340" s="184" t="s">
        <v>416</v>
      </c>
      <c r="E340" s="796">
        <v>41290</v>
      </c>
      <c r="F340" s="192" t="s">
        <v>590</v>
      </c>
      <c r="G340" s="487" t="s">
        <v>615</v>
      </c>
      <c r="H340" s="193" t="s">
        <v>587</v>
      </c>
      <c r="I340" s="256"/>
      <c r="J340" s="256"/>
      <c r="K340" s="38">
        <v>1300213</v>
      </c>
      <c r="L340" s="194" t="s">
        <v>9</v>
      </c>
      <c r="M340" s="194" t="s">
        <v>8</v>
      </c>
      <c r="N340" s="52" t="str">
        <f>IF(AND('331-CT'!$E$7=TH!H340,OR(L340="331",M340="331")),"331",IF(AND(OR(L340="131",M340="131"),H340='131-CT'!$E$7),"131",""))</f>
        <v>331</v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853"/>
      <c r="AB340" s="211">
        <v>1</v>
      </c>
    </row>
    <row r="341" spans="1:30" ht="15.75" customHeight="1">
      <c r="A341" s="204" t="str">
        <f>IF(B341&lt;&gt;"",IF(AND(B341&gt;=_TM1,B341&lt;=_TM2,OR(TH!L341="1111",TH!M341="1111")),TH!D341,""),"")</f>
        <v/>
      </c>
      <c r="B341" s="36">
        <f t="shared" si="32"/>
        <v>1</v>
      </c>
      <c r="C341" s="191">
        <f t="shared" ref="C341" si="41">E341</f>
        <v>41290</v>
      </c>
      <c r="D341" s="184" t="s">
        <v>416</v>
      </c>
      <c r="E341" s="796">
        <v>41290</v>
      </c>
      <c r="F341" s="192" t="s">
        <v>371</v>
      </c>
      <c r="G341" s="487" t="s">
        <v>615</v>
      </c>
      <c r="H341" s="193" t="s">
        <v>587</v>
      </c>
      <c r="I341" s="256"/>
      <c r="J341" s="256"/>
      <c r="K341" s="38">
        <v>14302344</v>
      </c>
      <c r="L341" s="194" t="s">
        <v>8</v>
      </c>
      <c r="M341" s="194" t="s">
        <v>47</v>
      </c>
      <c r="N341" s="52" t="str">
        <f>IF(AND('331-CT'!$E$7=TH!H341,OR(L341="331",M341="331")),"331",IF(AND(OR(L341="131",M341="131"),H341='131-CT'!$E$7),"131",""))</f>
        <v>331</v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>x</v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853"/>
      <c r="AB341" s="211"/>
    </row>
    <row r="342" spans="1:30" s="211" customFormat="1" ht="15.75" customHeight="1">
      <c r="A342" s="204" t="str">
        <f>IF(B342&lt;&gt;"",IF(AND(B342&gt;=_TM1,B342&lt;=_TM2,OR(TH!L342="1111",TH!M342="1111")),TH!D342,""),"")</f>
        <v/>
      </c>
      <c r="B342" s="36">
        <f t="shared" si="32"/>
        <v>1</v>
      </c>
      <c r="C342" s="191">
        <f t="shared" si="38"/>
        <v>41291</v>
      </c>
      <c r="D342" s="184" t="s">
        <v>417</v>
      </c>
      <c r="E342" s="796">
        <v>41291</v>
      </c>
      <c r="F342" s="192" t="s">
        <v>622</v>
      </c>
      <c r="G342" s="487" t="s">
        <v>623</v>
      </c>
      <c r="H342" s="193" t="s">
        <v>587</v>
      </c>
      <c r="I342" s="256">
        <v>114</v>
      </c>
      <c r="J342" s="256">
        <v>21888</v>
      </c>
      <c r="K342" s="38">
        <f>ROUND(I342*J342,0)</f>
        <v>2495232</v>
      </c>
      <c r="L342" s="194" t="s">
        <v>159</v>
      </c>
      <c r="M342" s="194" t="s">
        <v>8</v>
      </c>
      <c r="N342" s="52" t="str">
        <f>IF(AND('331-CT'!$E$7=TH!H342,OR(L342="331",M342="331")),"331",IF(AND(OR(L342="131",M342="131"),H342='131-CT'!$E$7),"131",""))</f>
        <v>331</v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853"/>
      <c r="AC342" s="198"/>
      <c r="AD342" s="198"/>
    </row>
    <row r="343" spans="1:30" s="211" customFormat="1" ht="15.75" customHeight="1">
      <c r="A343" s="204" t="str">
        <f>IF(B343&lt;&gt;"",IF(AND(B343&gt;=_TM1,B343&lt;=_TM2,OR(TH!L343="1111",TH!M343="1111")),TH!D343,""),"")</f>
        <v/>
      </c>
      <c r="B343" s="36">
        <f t="shared" si="32"/>
        <v>1</v>
      </c>
      <c r="C343" s="191">
        <f t="shared" si="38"/>
        <v>41291</v>
      </c>
      <c r="D343" s="184" t="s">
        <v>417</v>
      </c>
      <c r="E343" s="796">
        <v>41291</v>
      </c>
      <c r="F343" s="192" t="s">
        <v>624</v>
      </c>
      <c r="G343" s="487" t="s">
        <v>623</v>
      </c>
      <c r="H343" s="193" t="s">
        <v>587</v>
      </c>
      <c r="I343" s="256">
        <v>142</v>
      </c>
      <c r="J343" s="256">
        <v>18617</v>
      </c>
      <c r="K343" s="38">
        <f>ROUND(I343*J343,0)</f>
        <v>2643614</v>
      </c>
      <c r="L343" s="194" t="s">
        <v>159</v>
      </c>
      <c r="M343" s="194" t="s">
        <v>8</v>
      </c>
      <c r="N343" s="52" t="str">
        <f>IF(AND('331-CT'!$E$7=TH!H343,OR(L343="331",M343="331")),"331",IF(AND(OR(L343="131",M343="131"),H343='131-CT'!$E$7),"131",""))</f>
        <v>331</v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853"/>
      <c r="AC343" s="198"/>
      <c r="AD343" s="198"/>
    </row>
    <row r="344" spans="1:30" s="211" customFormat="1" ht="15.75" customHeight="1">
      <c r="A344" s="204" t="str">
        <f>IF(B344&lt;&gt;"",IF(AND(B344&gt;=_TM1,B344&lt;=_TM2,OR(TH!L344="1111",TH!M344="1111")),TH!D344,""),"")</f>
        <v/>
      </c>
      <c r="B344" s="36">
        <f t="shared" si="32"/>
        <v>1</v>
      </c>
      <c r="C344" s="191">
        <f t="shared" si="38"/>
        <v>41291</v>
      </c>
      <c r="D344" s="184" t="s">
        <v>417</v>
      </c>
      <c r="E344" s="796">
        <v>41291</v>
      </c>
      <c r="F344" s="192" t="s">
        <v>625</v>
      </c>
      <c r="G344" s="487" t="s">
        <v>623</v>
      </c>
      <c r="H344" s="193" t="s">
        <v>587</v>
      </c>
      <c r="I344" s="256">
        <v>497</v>
      </c>
      <c r="J344" s="256">
        <v>11416</v>
      </c>
      <c r="K344" s="38">
        <f>ROUND(I344*J344,0)</f>
        <v>5673752</v>
      </c>
      <c r="L344" s="194" t="s">
        <v>159</v>
      </c>
      <c r="M344" s="194" t="s">
        <v>8</v>
      </c>
      <c r="N344" s="52" t="str">
        <f>IF(AND('331-CT'!$E$7=TH!H344,OR(L344="331",M344="331")),"331",IF(AND(OR(L344="131",M344="131"),H344='131-CT'!$E$7),"131",""))</f>
        <v>331</v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853"/>
      <c r="AB344" s="594"/>
      <c r="AC344" s="198"/>
      <c r="AD344" s="198"/>
    </row>
    <row r="345" spans="1:30" s="211" customFormat="1" ht="15.75" customHeight="1">
      <c r="A345" s="204" t="str">
        <f>IF(B345&lt;&gt;"",IF(AND(B345&gt;=_TM1,B345&lt;=_TM2,OR(TH!L345="1111",TH!M345="1111")),TH!D345,""),"")</f>
        <v/>
      </c>
      <c r="B345" s="36">
        <f t="shared" si="32"/>
        <v>1</v>
      </c>
      <c r="C345" s="191">
        <f t="shared" si="38"/>
        <v>41291</v>
      </c>
      <c r="D345" s="184" t="s">
        <v>417</v>
      </c>
      <c r="E345" s="796">
        <v>41291</v>
      </c>
      <c r="F345" s="192" t="s">
        <v>626</v>
      </c>
      <c r="G345" s="487" t="s">
        <v>623</v>
      </c>
      <c r="H345" s="193" t="s">
        <v>587</v>
      </c>
      <c r="I345" s="256">
        <v>50</v>
      </c>
      <c r="J345" s="256">
        <v>15713</v>
      </c>
      <c r="K345" s="38">
        <f>ROUND(I345*J345,0)</f>
        <v>785650</v>
      </c>
      <c r="L345" s="194" t="s">
        <v>159</v>
      </c>
      <c r="M345" s="194" t="s">
        <v>8</v>
      </c>
      <c r="N345" s="52" t="str">
        <f>IF(AND('331-CT'!$E$7=TH!H345,OR(L345="331",M345="331")),"331",IF(AND(OR(L345="131",M345="131"),H345='131-CT'!$E$7),"131",""))</f>
        <v>331</v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853"/>
      <c r="AC345" s="198"/>
      <c r="AD345" s="198"/>
    </row>
    <row r="346" spans="1:30" ht="15.75" customHeight="1">
      <c r="A346" s="204" t="str">
        <f>IF(B346&lt;&gt;"",IF(AND(B346&gt;=_TM1,B346&lt;=_TM2,OR(TH!L346="1111",TH!M346="1111")),TH!D346,""),"")</f>
        <v/>
      </c>
      <c r="B346" s="36">
        <f t="shared" si="32"/>
        <v>1</v>
      </c>
      <c r="C346" s="191">
        <f t="shared" si="38"/>
        <v>41291</v>
      </c>
      <c r="D346" s="184" t="s">
        <v>417</v>
      </c>
      <c r="E346" s="796">
        <v>41291</v>
      </c>
      <c r="F346" s="192" t="s">
        <v>590</v>
      </c>
      <c r="G346" s="487" t="s">
        <v>623</v>
      </c>
      <c r="H346" s="193" t="s">
        <v>587</v>
      </c>
      <c r="I346" s="256"/>
      <c r="J346" s="256"/>
      <c r="K346" s="38">
        <v>1159824</v>
      </c>
      <c r="L346" s="194" t="s">
        <v>9</v>
      </c>
      <c r="M346" s="194" t="s">
        <v>8</v>
      </c>
      <c r="N346" s="52" t="str">
        <f>IF(AND('331-CT'!$E$7=TH!H346,OR(L346="331",M346="331")),"331",IF(AND(OR(L346="131",M346="131"),H346='131-CT'!$E$7),"131",""))</f>
        <v>331</v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853"/>
      <c r="AB346" s="211">
        <v>1</v>
      </c>
    </row>
    <row r="347" spans="1:30" ht="15.75" customHeight="1">
      <c r="A347" s="204" t="str">
        <f>IF(B347&lt;&gt;"",IF(AND(B347&gt;=_TM1,B347&lt;=_TM2,OR(TH!L347="1111",TH!M347="1111")),TH!D347,""),"")</f>
        <v/>
      </c>
      <c r="B347" s="36">
        <f t="shared" si="32"/>
        <v>1</v>
      </c>
      <c r="C347" s="191">
        <f t="shared" ref="C347" si="42">E347</f>
        <v>41291</v>
      </c>
      <c r="D347" s="184" t="s">
        <v>417</v>
      </c>
      <c r="E347" s="796">
        <v>41291</v>
      </c>
      <c r="F347" s="192" t="s">
        <v>371</v>
      </c>
      <c r="G347" s="487" t="s">
        <v>623</v>
      </c>
      <c r="H347" s="193" t="s">
        <v>587</v>
      </c>
      <c r="I347" s="256"/>
      <c r="J347" s="256"/>
      <c r="K347" s="38">
        <v>12758072</v>
      </c>
      <c r="L347" s="194" t="s">
        <v>8</v>
      </c>
      <c r="M347" s="194" t="s">
        <v>47</v>
      </c>
      <c r="N347" s="52" t="str">
        <f>IF(AND('331-CT'!$E$7=TH!H347,OR(L347="331",M347="331")),"331",IF(AND(OR(L347="131",M347="131"),H347='131-CT'!$E$7),"131",""))</f>
        <v>331</v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>x</v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853"/>
      <c r="AB347" s="211"/>
    </row>
    <row r="348" spans="1:30" ht="15.75" customHeight="1">
      <c r="A348" s="204" t="str">
        <f>IF(B348&lt;&gt;"",IF(AND(B348&gt;=_TM1,B348&lt;=_TM2,OR(TH!L348="1111",TH!M348="1111")),TH!D348,""),"")</f>
        <v/>
      </c>
      <c r="B348" s="36">
        <f t="shared" si="32"/>
        <v>1</v>
      </c>
      <c r="C348" s="191">
        <f t="shared" si="38"/>
        <v>41292</v>
      </c>
      <c r="D348" s="184" t="s">
        <v>418</v>
      </c>
      <c r="E348" s="796">
        <v>41292</v>
      </c>
      <c r="F348" s="192" t="s">
        <v>627</v>
      </c>
      <c r="G348" s="487" t="s">
        <v>628</v>
      </c>
      <c r="H348" s="193" t="s">
        <v>587</v>
      </c>
      <c r="I348" s="256">
        <v>251</v>
      </c>
      <c r="J348" s="256">
        <v>19514</v>
      </c>
      <c r="K348" s="38">
        <f>ROUND(I348*J348,0)</f>
        <v>4898014</v>
      </c>
      <c r="L348" s="194" t="s">
        <v>159</v>
      </c>
      <c r="M348" s="194" t="s">
        <v>8</v>
      </c>
      <c r="N348" s="52" t="str">
        <f>IF(AND('331-CT'!$E$7=TH!H348,OR(L348="331",M348="331")),"331",IF(AND(OR(L348="131",M348="131"),H348='131-CT'!$E$7),"131",""))</f>
        <v>331</v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853"/>
      <c r="AB348" s="594"/>
    </row>
    <row r="349" spans="1:30" ht="15.75" customHeight="1">
      <c r="A349" s="204" t="str">
        <f>IF(B349&lt;&gt;"",IF(AND(B349&gt;=_TM1,B349&lt;=_TM2,OR(TH!L349="1111",TH!M349="1111")),TH!D349,""),"")</f>
        <v/>
      </c>
      <c r="B349" s="36">
        <f t="shared" si="32"/>
        <v>1</v>
      </c>
      <c r="C349" s="191">
        <f t="shared" si="38"/>
        <v>41292</v>
      </c>
      <c r="D349" s="184" t="s">
        <v>418</v>
      </c>
      <c r="E349" s="796">
        <v>41292</v>
      </c>
      <c r="F349" s="192" t="s">
        <v>629</v>
      </c>
      <c r="G349" s="487" t="s">
        <v>628</v>
      </c>
      <c r="H349" s="193" t="s">
        <v>587</v>
      </c>
      <c r="I349" s="256">
        <v>250</v>
      </c>
      <c r="J349" s="256">
        <v>31288</v>
      </c>
      <c r="K349" s="38">
        <f>ROUND(I349*J349,0)</f>
        <v>7822000</v>
      </c>
      <c r="L349" s="194" t="s">
        <v>159</v>
      </c>
      <c r="M349" s="194" t="s">
        <v>8</v>
      </c>
      <c r="N349" s="52" t="str">
        <f>IF(AND('331-CT'!$E$7=TH!H349,OR(L349="331",M349="331")),"331",IF(AND(OR(L349="131",M349="131"),H349='131-CT'!$E$7),"131",""))</f>
        <v>331</v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853"/>
      <c r="AB349" s="594"/>
    </row>
    <row r="350" spans="1:30" ht="15.75" customHeight="1">
      <c r="A350" s="204" t="str">
        <f>IF(B350&lt;&gt;"",IF(AND(B350&gt;=_TM1,B350&lt;=_TM2,OR(TH!L350="1111",TH!M350="1111")),TH!D350,""),"")</f>
        <v/>
      </c>
      <c r="B350" s="36">
        <f t="shared" si="32"/>
        <v>1</v>
      </c>
      <c r="C350" s="191">
        <f t="shared" si="38"/>
        <v>41292</v>
      </c>
      <c r="D350" s="184" t="s">
        <v>418</v>
      </c>
      <c r="E350" s="796">
        <v>41292</v>
      </c>
      <c r="F350" s="192" t="s">
        <v>590</v>
      </c>
      <c r="G350" s="487" t="s">
        <v>628</v>
      </c>
      <c r="H350" s="193" t="s">
        <v>587</v>
      </c>
      <c r="I350" s="256"/>
      <c r="J350" s="256"/>
      <c r="K350" s="38">
        <v>1272001</v>
      </c>
      <c r="L350" s="194" t="s">
        <v>9</v>
      </c>
      <c r="M350" s="194" t="s">
        <v>8</v>
      </c>
      <c r="N350" s="52" t="str">
        <f>IF(AND('331-CT'!$E$7=TH!H350,OR(L350="331",M350="331")),"331",IF(AND(OR(L350="131",M350="131"),H350='131-CT'!$E$7),"131",""))</f>
        <v>331</v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/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853"/>
      <c r="AB350" s="594">
        <v>1</v>
      </c>
    </row>
    <row r="351" spans="1:30" ht="15.75" customHeight="1">
      <c r="A351" s="204" t="str">
        <f>IF(B351&lt;&gt;"",IF(AND(B351&gt;=_TM1,B351&lt;=_TM2,OR(TH!L351="1111",TH!M351="1111")),TH!D351,""),"")</f>
        <v/>
      </c>
      <c r="B351" s="36">
        <f t="shared" si="32"/>
        <v>1</v>
      </c>
      <c r="C351" s="191">
        <f t="shared" ref="C351" si="43">E351</f>
        <v>41292</v>
      </c>
      <c r="D351" s="184" t="s">
        <v>418</v>
      </c>
      <c r="E351" s="796">
        <v>41292</v>
      </c>
      <c r="F351" s="192" t="s">
        <v>371</v>
      </c>
      <c r="G351" s="487" t="s">
        <v>628</v>
      </c>
      <c r="H351" s="193" t="s">
        <v>587</v>
      </c>
      <c r="I351" s="256"/>
      <c r="J351" s="256"/>
      <c r="K351" s="38">
        <v>13992015</v>
      </c>
      <c r="L351" s="194" t="s">
        <v>8</v>
      </c>
      <c r="M351" s="194" t="s">
        <v>47</v>
      </c>
      <c r="N351" s="52" t="str">
        <f>IF(AND('331-CT'!$E$7=TH!H351,OR(L351="331",M351="331")),"331",IF(AND(OR(L351="131",M351="131"),H351='131-CT'!$E$7),"131",""))</f>
        <v>331</v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>x</v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853"/>
      <c r="AB351" s="211"/>
    </row>
    <row r="352" spans="1:30" ht="15.75" customHeight="1">
      <c r="A352" s="204" t="str">
        <f>IF(B352&lt;&gt;"",IF(AND(B352&gt;=_TM1,B352&lt;=_TM2,OR(TH!L352="1111",TH!M352="1111")),TH!D352,""),"")</f>
        <v/>
      </c>
      <c r="B352" s="36">
        <f t="shared" si="32"/>
        <v>1</v>
      </c>
      <c r="C352" s="191">
        <f t="shared" si="38"/>
        <v>41295</v>
      </c>
      <c r="D352" s="184" t="s">
        <v>419</v>
      </c>
      <c r="E352" s="184">
        <v>41295</v>
      </c>
      <c r="F352" s="192" t="s">
        <v>630</v>
      </c>
      <c r="G352" s="487" t="s">
        <v>631</v>
      </c>
      <c r="H352" s="193" t="s">
        <v>587</v>
      </c>
      <c r="I352" s="256">
        <v>685</v>
      </c>
      <c r="J352" s="256">
        <v>8385</v>
      </c>
      <c r="K352" s="38">
        <f>ROUND(I352*J352,0)</f>
        <v>5743725</v>
      </c>
      <c r="L352" s="194" t="s">
        <v>159</v>
      </c>
      <c r="M352" s="194" t="s">
        <v>8</v>
      </c>
      <c r="N352" s="52" t="str">
        <f>IF(AND('331-CT'!$E$7=TH!H352,OR(L352="331",M352="331")),"331",IF(AND(OR(L352="131",M352="131"),H352='131-CT'!$E$7),"131",""))</f>
        <v>331</v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853"/>
      <c r="AB352" s="594"/>
    </row>
    <row r="353" spans="1:30" ht="15.75" customHeight="1">
      <c r="A353" s="204" t="str">
        <f>IF(B353&lt;&gt;"",IF(AND(B353&gt;=_TM1,B353&lt;=_TM2,OR(TH!L353="1111",TH!M353="1111")),TH!D353,""),"")</f>
        <v/>
      </c>
      <c r="B353" s="36">
        <f t="shared" si="32"/>
        <v>1</v>
      </c>
      <c r="C353" s="191">
        <f t="shared" si="38"/>
        <v>41295</v>
      </c>
      <c r="D353" s="184" t="s">
        <v>419</v>
      </c>
      <c r="E353" s="184">
        <v>41295</v>
      </c>
      <c r="F353" s="192" t="s">
        <v>632</v>
      </c>
      <c r="G353" s="487" t="s">
        <v>631</v>
      </c>
      <c r="H353" s="193" t="s">
        <v>587</v>
      </c>
      <c r="I353" s="256">
        <v>241</v>
      </c>
      <c r="J353" s="256">
        <v>14784</v>
      </c>
      <c r="K353" s="38">
        <f>ROUND(I353*J353,0)</f>
        <v>3562944</v>
      </c>
      <c r="L353" s="194" t="s">
        <v>159</v>
      </c>
      <c r="M353" s="194" t="s">
        <v>8</v>
      </c>
      <c r="N353" s="52" t="str">
        <f>IF(AND('331-CT'!$E$7=TH!H353,OR(L353="331",M353="331")),"331",IF(AND(OR(L353="131",M353="131"),H353='131-CT'!$E$7),"131",""))</f>
        <v>331</v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853"/>
      <c r="AB353" s="594"/>
    </row>
    <row r="354" spans="1:30" ht="15.75" customHeight="1">
      <c r="A354" s="204" t="str">
        <f>IF(B354&lt;&gt;"",IF(AND(B354&gt;=_TM1,B354&lt;=_TM2,OR(TH!L354="1111",TH!M354="1111")),TH!D354,""),"")</f>
        <v/>
      </c>
      <c r="B354" s="36">
        <f t="shared" si="32"/>
        <v>1</v>
      </c>
      <c r="C354" s="191">
        <f t="shared" si="38"/>
        <v>41295</v>
      </c>
      <c r="D354" s="184" t="s">
        <v>419</v>
      </c>
      <c r="E354" s="184">
        <v>41295</v>
      </c>
      <c r="F354" s="192" t="s">
        <v>590</v>
      </c>
      <c r="G354" s="487" t="s">
        <v>631</v>
      </c>
      <c r="H354" s="193" t="s">
        <v>587</v>
      </c>
      <c r="I354" s="256"/>
      <c r="J354" s="256"/>
      <c r="K354" s="38">
        <v>930667</v>
      </c>
      <c r="L354" s="194" t="s">
        <v>9</v>
      </c>
      <c r="M354" s="194" t="s">
        <v>8</v>
      </c>
      <c r="N354" s="52" t="str">
        <f>IF(AND('331-CT'!$E$7=TH!H354,OR(L354="331",M354="331")),"331",IF(AND(OR(L354="131",M354="131"),H354='131-CT'!$E$7),"131",""))</f>
        <v>331</v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853"/>
      <c r="AB354" s="211">
        <v>1</v>
      </c>
    </row>
    <row r="355" spans="1:30" ht="15.75" customHeight="1">
      <c r="A355" s="204" t="str">
        <f>IF(B355&lt;&gt;"",IF(AND(B355&gt;=_TM1,B355&lt;=_TM2,OR(TH!L355="1111",TH!M355="1111")),TH!D355,""),"")</f>
        <v/>
      </c>
      <c r="B355" s="36">
        <f t="shared" si="32"/>
        <v>1</v>
      </c>
      <c r="C355" s="191">
        <f t="shared" ref="C355" si="44">E355</f>
        <v>41295</v>
      </c>
      <c r="D355" s="184" t="s">
        <v>419</v>
      </c>
      <c r="E355" s="184">
        <v>41295</v>
      </c>
      <c r="F355" s="192" t="s">
        <v>371</v>
      </c>
      <c r="G355" s="487" t="s">
        <v>631</v>
      </c>
      <c r="H355" s="193" t="s">
        <v>587</v>
      </c>
      <c r="I355" s="256"/>
      <c r="J355" s="256"/>
      <c r="K355" s="38">
        <v>10237336</v>
      </c>
      <c r="L355" s="194" t="s">
        <v>8</v>
      </c>
      <c r="M355" s="194" t="s">
        <v>47</v>
      </c>
      <c r="N355" s="52" t="str">
        <f>IF(AND('331-CT'!$E$7=TH!H355,OR(L355="331",M355="331")),"331",IF(AND(OR(L355="131",M355="131"),H355='131-CT'!$E$7),"131",""))</f>
        <v>331</v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>x</v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853"/>
      <c r="AB355" s="211"/>
    </row>
    <row r="356" spans="1:30" ht="15.75" customHeight="1">
      <c r="A356" s="204" t="str">
        <f>IF(B356&lt;&gt;"",IF(AND(B356&gt;=_TM1,B356&lt;=_TM2,OR(TH!L356="1111",TH!M356="1111")),TH!D356,""),"")</f>
        <v/>
      </c>
      <c r="B356" s="36">
        <f t="shared" si="32"/>
        <v>1</v>
      </c>
      <c r="C356" s="191">
        <f t="shared" si="38"/>
        <v>41298</v>
      </c>
      <c r="D356" s="184" t="s">
        <v>420</v>
      </c>
      <c r="E356" s="191">
        <v>41298</v>
      </c>
      <c r="F356" s="192" t="s">
        <v>610</v>
      </c>
      <c r="G356" s="487" t="s">
        <v>633</v>
      </c>
      <c r="H356" s="193" t="s">
        <v>587</v>
      </c>
      <c r="I356" s="256">
        <v>199</v>
      </c>
      <c r="J356" s="256">
        <v>19270</v>
      </c>
      <c r="K356" s="38">
        <f>ROUND(I356*J356,0)</f>
        <v>3834730</v>
      </c>
      <c r="L356" s="194" t="s">
        <v>159</v>
      </c>
      <c r="M356" s="194" t="s">
        <v>8</v>
      </c>
      <c r="N356" s="52" t="str">
        <f>IF(AND('331-CT'!$E$7=TH!H356,OR(L356="331",M356="331")),"331",IF(AND(OR(L356="131",M356="131"),H356='131-CT'!$E$7),"131",""))</f>
        <v>331</v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853"/>
      <c r="AB356" s="211"/>
    </row>
    <row r="357" spans="1:30" ht="15.75" customHeight="1">
      <c r="A357" s="204" t="str">
        <f>IF(B357&lt;&gt;"",IF(AND(B357&gt;=_TM1,B357&lt;=_TM2,OR(TH!L357="1111",TH!M357="1111")),TH!D357,""),"")</f>
        <v/>
      </c>
      <c r="B357" s="36">
        <f t="shared" si="32"/>
        <v>1</v>
      </c>
      <c r="C357" s="191">
        <f t="shared" si="38"/>
        <v>41298</v>
      </c>
      <c r="D357" s="184" t="s">
        <v>420</v>
      </c>
      <c r="E357" s="191">
        <v>41298</v>
      </c>
      <c r="F357" s="192" t="s">
        <v>594</v>
      </c>
      <c r="G357" s="487" t="s">
        <v>633</v>
      </c>
      <c r="H357" s="193" t="s">
        <v>587</v>
      </c>
      <c r="I357" s="256">
        <v>500</v>
      </c>
      <c r="J357" s="256">
        <v>8505</v>
      </c>
      <c r="K357" s="38">
        <f>ROUND(I357*J357,0)</f>
        <v>4252500</v>
      </c>
      <c r="L357" s="194" t="s">
        <v>159</v>
      </c>
      <c r="M357" s="194" t="s">
        <v>8</v>
      </c>
      <c r="N357" s="52" t="str">
        <f>IF(AND('331-CT'!$E$7=TH!H357,OR(L357="331",M357="331")),"331",IF(AND(OR(L357="131",M357="131"),H357='131-CT'!$E$7),"131",""))</f>
        <v>331</v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853"/>
      <c r="AB357" s="594"/>
    </row>
    <row r="358" spans="1:30" ht="15.75" customHeight="1">
      <c r="A358" s="204" t="str">
        <f>IF(B358&lt;&gt;"",IF(AND(B358&gt;=_TM1,B358&lt;=_TM2,OR(TH!L358="1111",TH!M358="1111")),TH!D358,""),"")</f>
        <v/>
      </c>
      <c r="B358" s="36">
        <f t="shared" si="32"/>
        <v>1</v>
      </c>
      <c r="C358" s="191">
        <f t="shared" si="38"/>
        <v>41298</v>
      </c>
      <c r="D358" s="184" t="s">
        <v>420</v>
      </c>
      <c r="E358" s="191">
        <v>41298</v>
      </c>
      <c r="F358" s="192" t="s">
        <v>590</v>
      </c>
      <c r="G358" s="487" t="s">
        <v>633</v>
      </c>
      <c r="H358" s="193" t="s">
        <v>587</v>
      </c>
      <c r="I358" s="256"/>
      <c r="J358" s="256"/>
      <c r="K358" s="38">
        <v>808723</v>
      </c>
      <c r="L358" s="194" t="s">
        <v>9</v>
      </c>
      <c r="M358" s="194" t="s">
        <v>8</v>
      </c>
      <c r="N358" s="52" t="str">
        <f>IF(AND('331-CT'!$E$7=TH!H358,OR(L358="331",M358="331")),"331",IF(AND(OR(L358="131",M358="131"),H358='131-CT'!$E$7),"131",""))</f>
        <v>331</v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853"/>
      <c r="AB358" s="594">
        <v>1</v>
      </c>
    </row>
    <row r="359" spans="1:30" ht="15.75" customHeight="1">
      <c r="A359" s="204" t="str">
        <f>IF(B359&lt;&gt;"",IF(AND(B359&gt;=_TM1,B359&lt;=_TM2,OR(TH!L359="1111",TH!M359="1111")),TH!D359,""),"")</f>
        <v/>
      </c>
      <c r="B359" s="36">
        <f t="shared" si="32"/>
        <v>1</v>
      </c>
      <c r="C359" s="191">
        <f t="shared" ref="C359" si="45">E359</f>
        <v>41298</v>
      </c>
      <c r="D359" s="184" t="s">
        <v>420</v>
      </c>
      <c r="E359" s="191">
        <v>41298</v>
      </c>
      <c r="F359" s="192" t="s">
        <v>371</v>
      </c>
      <c r="G359" s="487" t="s">
        <v>633</v>
      </c>
      <c r="H359" s="193" t="s">
        <v>587</v>
      </c>
      <c r="I359" s="256"/>
      <c r="J359" s="256"/>
      <c r="K359" s="38">
        <v>8895953</v>
      </c>
      <c r="L359" s="194" t="s">
        <v>8</v>
      </c>
      <c r="M359" s="194" t="s">
        <v>47</v>
      </c>
      <c r="N359" s="52" t="str">
        <f>IF(AND('331-CT'!$E$7=TH!H359,OR(L359="331",M359="331")),"331",IF(AND(OR(L359="131",M359="131"),H359='131-CT'!$E$7),"131",""))</f>
        <v>331</v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>x</v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853"/>
      <c r="AB359" s="211"/>
    </row>
    <row r="360" spans="1:30" s="594" customFormat="1" ht="15.75" customHeight="1">
      <c r="A360" s="204" t="str">
        <f>IF(B360&lt;&gt;"",IF(AND(B360&gt;=_TM1,B360&lt;=_TM2,OR(TH!L360="1111",TH!M360="1111")),TH!D360,""),"")</f>
        <v/>
      </c>
      <c r="B360" s="36">
        <f t="shared" si="32"/>
        <v>1</v>
      </c>
      <c r="C360" s="191">
        <f t="shared" si="38"/>
        <v>41302</v>
      </c>
      <c r="D360" s="184" t="s">
        <v>421</v>
      </c>
      <c r="E360" s="184">
        <v>41302</v>
      </c>
      <c r="F360" s="192" t="s">
        <v>634</v>
      </c>
      <c r="G360" s="664" t="s">
        <v>635</v>
      </c>
      <c r="H360" s="193" t="s">
        <v>587</v>
      </c>
      <c r="I360" s="256">
        <v>201</v>
      </c>
      <c r="J360" s="256">
        <v>13517</v>
      </c>
      <c r="K360" s="38">
        <f>ROUND(I360*J360,0)</f>
        <v>2716917</v>
      </c>
      <c r="L360" s="194" t="s">
        <v>159</v>
      </c>
      <c r="M360" s="194" t="s">
        <v>8</v>
      </c>
      <c r="N360" s="52" t="str">
        <f>IF(AND('331-CT'!$E$7=TH!H360,OR(L360="331",M360="331")),"331",IF(AND(OR(L360="131",M360="131"),H360='131-CT'!$E$7),"131",""))</f>
        <v>331</v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853"/>
      <c r="AC360" s="198"/>
      <c r="AD360" s="198"/>
    </row>
    <row r="361" spans="1:30" s="594" customFormat="1" ht="15.75" customHeight="1">
      <c r="A361" s="204" t="str">
        <f>IF(B361&lt;&gt;"",IF(AND(B361&gt;=_TM1,B361&lt;=_TM2,OR(TH!L361="1111",TH!M361="1111")),TH!D361,""),"")</f>
        <v/>
      </c>
      <c r="B361" s="36">
        <f t="shared" si="32"/>
        <v>1</v>
      </c>
      <c r="C361" s="191">
        <f t="shared" si="38"/>
        <v>41302</v>
      </c>
      <c r="D361" s="184" t="s">
        <v>421</v>
      </c>
      <c r="E361" s="184">
        <v>41302</v>
      </c>
      <c r="F361" s="192" t="s">
        <v>636</v>
      </c>
      <c r="G361" s="664" t="s">
        <v>635</v>
      </c>
      <c r="H361" s="193" t="s">
        <v>587</v>
      </c>
      <c r="I361" s="256">
        <v>192</v>
      </c>
      <c r="J361" s="256">
        <v>11126</v>
      </c>
      <c r="K361" s="38">
        <f>ROUND(I361*J361,0)</f>
        <v>2136192</v>
      </c>
      <c r="L361" s="194" t="s">
        <v>159</v>
      </c>
      <c r="M361" s="194" t="s">
        <v>8</v>
      </c>
      <c r="N361" s="52" t="str">
        <f>IF(AND('331-CT'!$E$7=TH!H361,OR(L361="331",M361="331")),"331",IF(AND(OR(L361="131",M361="131"),H361='131-CT'!$E$7),"131",""))</f>
        <v>331</v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853"/>
      <c r="AB361" s="211"/>
      <c r="AC361" s="198"/>
      <c r="AD361" s="198"/>
    </row>
    <row r="362" spans="1:30" s="594" customFormat="1" ht="15.75" customHeight="1">
      <c r="A362" s="204" t="str">
        <f>IF(B362&lt;&gt;"",IF(AND(B362&gt;=_TM1,B362&lt;=_TM2,OR(TH!L362="1111",TH!M362="1111")),TH!D362,""),"")</f>
        <v/>
      </c>
      <c r="B362" s="36">
        <f t="shared" si="32"/>
        <v>1</v>
      </c>
      <c r="C362" s="191">
        <f t="shared" si="38"/>
        <v>41302</v>
      </c>
      <c r="D362" s="184" t="s">
        <v>421</v>
      </c>
      <c r="E362" s="184">
        <v>41302</v>
      </c>
      <c r="F362" s="192" t="s">
        <v>632</v>
      </c>
      <c r="G362" s="664" t="s">
        <v>635</v>
      </c>
      <c r="H362" s="193" t="s">
        <v>587</v>
      </c>
      <c r="I362" s="256">
        <v>378</v>
      </c>
      <c r="J362" s="256">
        <v>14784</v>
      </c>
      <c r="K362" s="38">
        <f>ROUND(I362*J362,0)</f>
        <v>5588352</v>
      </c>
      <c r="L362" s="194" t="s">
        <v>159</v>
      </c>
      <c r="M362" s="194" t="s">
        <v>8</v>
      </c>
      <c r="N362" s="52" t="str">
        <f>IF(AND('331-CT'!$E$7=TH!H362,OR(L362="331",M362="331")),"331",IF(AND(OR(L362="131",M362="131"),H362='131-CT'!$E$7),"131",""))</f>
        <v>331</v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853"/>
      <c r="AB362" s="211"/>
      <c r="AC362" s="198"/>
      <c r="AD362" s="198"/>
    </row>
    <row r="363" spans="1:30" s="594" customFormat="1" ht="15.75" customHeight="1">
      <c r="A363" s="204" t="str">
        <f>IF(B363&lt;&gt;"",IF(AND(B363&gt;=_TM1,B363&lt;=_TM2,OR(TH!L363="1111",TH!M363="1111")),TH!D363,""),"")</f>
        <v/>
      </c>
      <c r="B363" s="36">
        <f t="shared" si="32"/>
        <v>1</v>
      </c>
      <c r="C363" s="191">
        <f t="shared" si="38"/>
        <v>41302</v>
      </c>
      <c r="D363" s="184" t="s">
        <v>421</v>
      </c>
      <c r="E363" s="184">
        <v>41302</v>
      </c>
      <c r="F363" s="192" t="s">
        <v>637</v>
      </c>
      <c r="G363" s="664" t="s">
        <v>635</v>
      </c>
      <c r="H363" s="193" t="s">
        <v>587</v>
      </c>
      <c r="I363" s="256">
        <v>505</v>
      </c>
      <c r="J363" s="256">
        <v>13465</v>
      </c>
      <c r="K363" s="38">
        <f>ROUND(I363*J363,0)</f>
        <v>6799825</v>
      </c>
      <c r="L363" s="194" t="s">
        <v>159</v>
      </c>
      <c r="M363" s="194" t="s">
        <v>8</v>
      </c>
      <c r="N363" s="52" t="str">
        <f>IF(AND('331-CT'!$E$7=TH!H363,OR(L363="331",M363="331")),"331",IF(AND(OR(L363="131",M363="131"),H363='131-CT'!$E$7),"131",""))</f>
        <v>331</v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853"/>
      <c r="AC363" s="198"/>
      <c r="AD363" s="198"/>
    </row>
    <row r="364" spans="1:30" s="594" customFormat="1" ht="15.75" customHeight="1">
      <c r="A364" s="204" t="str">
        <f>IF(B364&lt;&gt;"",IF(AND(B364&gt;=_TM1,B364&lt;=_TM2,OR(TH!L364="1111",TH!M364="1111")),TH!D364,""),"")</f>
        <v/>
      </c>
      <c r="B364" s="36">
        <f t="shared" si="32"/>
        <v>1</v>
      </c>
      <c r="C364" s="191">
        <f t="shared" si="38"/>
        <v>41302</v>
      </c>
      <c r="D364" s="184" t="s">
        <v>421</v>
      </c>
      <c r="E364" s="184">
        <v>41302</v>
      </c>
      <c r="F364" s="192" t="s">
        <v>590</v>
      </c>
      <c r="G364" s="664" t="s">
        <v>635</v>
      </c>
      <c r="H364" s="193" t="s">
        <v>587</v>
      </c>
      <c r="I364" s="256"/>
      <c r="J364" s="256"/>
      <c r="K364" s="38">
        <v>1724129</v>
      </c>
      <c r="L364" s="194" t="s">
        <v>9</v>
      </c>
      <c r="M364" s="194" t="s">
        <v>8</v>
      </c>
      <c r="N364" s="52" t="str">
        <f>IF(AND('331-CT'!$E$7=TH!H364,OR(L364="331",M364="331")),"331",IF(AND(OR(L364="131",M364="131"),H364='131-CT'!$E$7),"131",""))</f>
        <v>331</v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853"/>
      <c r="AB364" s="594">
        <v>1</v>
      </c>
      <c r="AC364" s="198"/>
      <c r="AD364" s="198"/>
    </row>
    <row r="365" spans="1:30" s="594" customFormat="1" ht="15.75" customHeight="1">
      <c r="A365" s="204" t="str">
        <f>IF(B365&lt;&gt;"",IF(AND(B365&gt;=_TM1,B365&lt;=_TM2,OR(TH!L365="1111",TH!M365="1111")),TH!D365,""),"")</f>
        <v/>
      </c>
      <c r="B365" s="36">
        <f t="shared" si="32"/>
        <v>1</v>
      </c>
      <c r="C365" s="191">
        <f t="shared" ref="C365" si="46">E365</f>
        <v>41302</v>
      </c>
      <c r="D365" s="184" t="s">
        <v>421</v>
      </c>
      <c r="E365" s="184">
        <v>41302</v>
      </c>
      <c r="F365" s="192" t="s">
        <v>371</v>
      </c>
      <c r="G365" s="664" t="s">
        <v>635</v>
      </c>
      <c r="H365" s="193" t="s">
        <v>587</v>
      </c>
      <c r="I365" s="256"/>
      <c r="J365" s="256"/>
      <c r="K365" s="38">
        <v>18965415</v>
      </c>
      <c r="L365" s="194" t="s">
        <v>8</v>
      </c>
      <c r="M365" s="194" t="s">
        <v>47</v>
      </c>
      <c r="N365" s="52" t="str">
        <f>IF(AND('331-CT'!$E$7=TH!H365,OR(L365="331",M365="331")),"331",IF(AND(OR(L365="131",M365="131"),H365='131-CT'!$E$7),"131",""))</f>
        <v>331</v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>x</v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853"/>
      <c r="AB365" s="211"/>
      <c r="AC365" s="198"/>
      <c r="AD365" s="198"/>
    </row>
    <row r="366" spans="1:30" s="594" customFormat="1" ht="15.75" customHeight="1">
      <c r="A366" s="204" t="str">
        <f>IF(B366&lt;&gt;"",IF(AND(B366&gt;=_TM1,B366&lt;=_TM2,OR(TH!L366="1111",TH!M366="1111")),TH!D366,""),"")</f>
        <v/>
      </c>
      <c r="B366" s="36">
        <f t="shared" ref="B366:B429" si="47">IF(C366&lt;&gt;"",MONTH(C366),"")</f>
        <v>1</v>
      </c>
      <c r="C366" s="191">
        <f t="shared" si="38"/>
        <v>41303</v>
      </c>
      <c r="D366" s="184" t="s">
        <v>422</v>
      </c>
      <c r="E366" s="184">
        <v>41303</v>
      </c>
      <c r="F366" s="192" t="s">
        <v>638</v>
      </c>
      <c r="G366" s="664" t="s">
        <v>639</v>
      </c>
      <c r="H366" s="193" t="s">
        <v>587</v>
      </c>
      <c r="I366" s="256">
        <v>235</v>
      </c>
      <c r="J366" s="256">
        <v>36234</v>
      </c>
      <c r="K366" s="38">
        <f>ROUND(I366*J366,0)</f>
        <v>8514990</v>
      </c>
      <c r="L366" s="194" t="s">
        <v>159</v>
      </c>
      <c r="M366" s="194" t="s">
        <v>8</v>
      </c>
      <c r="N366" s="52" t="str">
        <f>IF(AND('331-CT'!$E$7=TH!H366,OR(L366="331",M366="331")),"331",IF(AND(OR(L366="131",M366="131"),H366='131-CT'!$E$7),"131",""))</f>
        <v>331</v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853"/>
      <c r="AC366" s="198"/>
      <c r="AD366" s="198"/>
    </row>
    <row r="367" spans="1:30" s="594" customFormat="1" ht="15.75" customHeight="1">
      <c r="A367" s="204" t="str">
        <f>IF(B367&lt;&gt;"",IF(AND(B367&gt;=_TM1,B367&lt;=_TM2,OR(TH!L367="1111",TH!M367="1111")),TH!D367,""),"")</f>
        <v/>
      </c>
      <c r="B367" s="36">
        <f t="shared" si="47"/>
        <v>1</v>
      </c>
      <c r="C367" s="191">
        <f t="shared" si="38"/>
        <v>41303</v>
      </c>
      <c r="D367" s="184" t="s">
        <v>422</v>
      </c>
      <c r="E367" s="184">
        <v>41303</v>
      </c>
      <c r="F367" s="192" t="s">
        <v>590</v>
      </c>
      <c r="G367" s="664" t="s">
        <v>639</v>
      </c>
      <c r="H367" s="193" t="s">
        <v>587</v>
      </c>
      <c r="I367" s="256"/>
      <c r="J367" s="256"/>
      <c r="K367" s="38">
        <v>851499</v>
      </c>
      <c r="L367" s="194" t="s">
        <v>9</v>
      </c>
      <c r="M367" s="194" t="s">
        <v>8</v>
      </c>
      <c r="N367" s="52" t="str">
        <f>IF(AND('331-CT'!$E$7=TH!H367,OR(L367="331",M367="331")),"331",IF(AND(OR(L367="131",M367="131"),H367='131-CT'!$E$7),"131",""))</f>
        <v>331</v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853"/>
      <c r="AB367" s="594">
        <v>1</v>
      </c>
      <c r="AC367" s="198"/>
      <c r="AD367" s="198"/>
    </row>
    <row r="368" spans="1:30" s="594" customFormat="1" ht="15.75" customHeight="1">
      <c r="A368" s="204" t="str">
        <f>IF(B368&lt;&gt;"",IF(AND(B368&gt;=_TM1,B368&lt;=_TM2,OR(TH!L368="1111",TH!M368="1111")),TH!D368,""),"")</f>
        <v/>
      </c>
      <c r="B368" s="36">
        <f t="shared" si="47"/>
        <v>1</v>
      </c>
      <c r="C368" s="191">
        <f t="shared" ref="C368" si="48">E368</f>
        <v>41303</v>
      </c>
      <c r="D368" s="184" t="s">
        <v>422</v>
      </c>
      <c r="E368" s="184">
        <v>41303</v>
      </c>
      <c r="F368" s="192" t="s">
        <v>371</v>
      </c>
      <c r="G368" s="664" t="s">
        <v>639</v>
      </c>
      <c r="H368" s="193" t="s">
        <v>587</v>
      </c>
      <c r="I368" s="256"/>
      <c r="J368" s="256"/>
      <c r="K368" s="38">
        <v>9366489</v>
      </c>
      <c r="L368" s="194" t="s">
        <v>8</v>
      </c>
      <c r="M368" s="194" t="s">
        <v>47</v>
      </c>
      <c r="N368" s="52" t="str">
        <f>IF(AND('331-CT'!$E$7=TH!H368,OR(L368="331",M368="331")),"331",IF(AND(OR(L368="131",M368="131"),H368='131-CT'!$E$7),"131",""))</f>
        <v>331</v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>x</v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853"/>
      <c r="AB368" s="211"/>
      <c r="AC368" s="198"/>
      <c r="AD368" s="198"/>
    </row>
    <row r="369" spans="1:30" s="594" customFormat="1" ht="15.75" customHeight="1">
      <c r="A369" s="204" t="str">
        <f>IF(B369&lt;&gt;"",IF(AND(B369&gt;=_TM1,B369&lt;=_TM2,OR(TH!L369="1111",TH!M369="1111")),TH!D369,""),"")</f>
        <v/>
      </c>
      <c r="B369" s="36">
        <f t="shared" si="47"/>
        <v>1</v>
      </c>
      <c r="C369" s="191">
        <f t="shared" si="38"/>
        <v>41303</v>
      </c>
      <c r="D369" s="184" t="s">
        <v>423</v>
      </c>
      <c r="E369" s="184">
        <v>41303</v>
      </c>
      <c r="F369" s="192" t="s">
        <v>613</v>
      </c>
      <c r="G369" s="664" t="s">
        <v>640</v>
      </c>
      <c r="H369" s="193" t="s">
        <v>587</v>
      </c>
      <c r="I369" s="256">
        <v>410</v>
      </c>
      <c r="J369" s="256">
        <v>8461</v>
      </c>
      <c r="K369" s="38">
        <f>ROUND(I369*J369,0)</f>
        <v>3469010</v>
      </c>
      <c r="L369" s="194" t="s">
        <v>159</v>
      </c>
      <c r="M369" s="194" t="s">
        <v>8</v>
      </c>
      <c r="N369" s="52" t="str">
        <f>IF(AND('331-CT'!$E$7=TH!H369,OR(L369="331",M369="331")),"331",IF(AND(OR(L369="131",M369="131"),H369='131-CT'!$E$7),"131",""))</f>
        <v>331</v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A369" s="853"/>
      <c r="AC369" s="198"/>
      <c r="AD369" s="198"/>
    </row>
    <row r="370" spans="1:30" s="594" customFormat="1" ht="15.75" customHeight="1">
      <c r="A370" s="204" t="str">
        <f>IF(B370&lt;&gt;"",IF(AND(B370&gt;=_TM1,B370&lt;=_TM2,OR(TH!L370="1111",TH!M370="1111")),TH!D370,""),"")</f>
        <v/>
      </c>
      <c r="B370" s="36">
        <f t="shared" si="47"/>
        <v>1</v>
      </c>
      <c r="C370" s="191">
        <f t="shared" si="38"/>
        <v>41303</v>
      </c>
      <c r="D370" s="184" t="s">
        <v>423</v>
      </c>
      <c r="E370" s="184">
        <v>41303</v>
      </c>
      <c r="F370" s="192" t="s">
        <v>641</v>
      </c>
      <c r="G370" s="664" t="s">
        <v>640</v>
      </c>
      <c r="H370" s="193" t="s">
        <v>587</v>
      </c>
      <c r="I370" s="256">
        <v>308</v>
      </c>
      <c r="J370" s="256">
        <v>20420</v>
      </c>
      <c r="K370" s="38">
        <f>ROUND(I370*J370,0)</f>
        <v>6289360</v>
      </c>
      <c r="L370" s="194" t="s">
        <v>159</v>
      </c>
      <c r="M370" s="194" t="s">
        <v>8</v>
      </c>
      <c r="N370" s="52" t="str">
        <f>IF(AND('331-CT'!$E$7=TH!H370,OR(L370="331",M370="331")),"331",IF(AND(OR(L370="131",M370="131"),H370='131-CT'!$E$7),"131",""))</f>
        <v>331</v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853"/>
      <c r="AB370" s="211"/>
      <c r="AC370" s="198"/>
      <c r="AD370" s="198"/>
    </row>
    <row r="371" spans="1:30" s="594" customFormat="1" ht="15.75" customHeight="1">
      <c r="A371" s="204" t="str">
        <f>IF(B371&lt;&gt;"",IF(AND(B371&gt;=_TM1,B371&lt;=_TM2,OR(TH!L371="1111",TH!M371="1111")),TH!D371,""),"")</f>
        <v/>
      </c>
      <c r="B371" s="36">
        <f t="shared" si="47"/>
        <v>1</v>
      </c>
      <c r="C371" s="191">
        <f t="shared" si="38"/>
        <v>41303</v>
      </c>
      <c r="D371" s="184" t="s">
        <v>423</v>
      </c>
      <c r="E371" s="184">
        <v>41303</v>
      </c>
      <c r="F371" s="192" t="s">
        <v>590</v>
      </c>
      <c r="G371" s="664" t="s">
        <v>640</v>
      </c>
      <c r="H371" s="193" t="s">
        <v>587</v>
      </c>
      <c r="I371" s="256"/>
      <c r="J371" s="256"/>
      <c r="K371" s="38">
        <v>975837</v>
      </c>
      <c r="L371" s="194" t="s">
        <v>9</v>
      </c>
      <c r="M371" s="194" t="s">
        <v>8</v>
      </c>
      <c r="N371" s="52" t="str">
        <f>IF(AND('331-CT'!$E$7=TH!H371,OR(L371="331",M371="331")),"331",IF(AND(OR(L371="131",M371="131"),H371='131-CT'!$E$7),"131",""))</f>
        <v>331</v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853"/>
      <c r="AB371" s="211">
        <v>1</v>
      </c>
      <c r="AC371" s="198"/>
      <c r="AD371" s="198"/>
    </row>
    <row r="372" spans="1:30" s="594" customFormat="1" ht="15.75" customHeight="1">
      <c r="A372" s="204" t="str">
        <f>IF(B372&lt;&gt;"",IF(AND(B372&gt;=_TM1,B372&lt;=_TM2,OR(TH!L372="1111",TH!M372="1111")),TH!D372,""),"")</f>
        <v/>
      </c>
      <c r="B372" s="36">
        <f t="shared" si="47"/>
        <v>1</v>
      </c>
      <c r="C372" s="191">
        <f t="shared" ref="C372" si="49">E372</f>
        <v>41303</v>
      </c>
      <c r="D372" s="184" t="s">
        <v>423</v>
      </c>
      <c r="E372" s="184">
        <v>41303</v>
      </c>
      <c r="F372" s="192" t="s">
        <v>371</v>
      </c>
      <c r="G372" s="664" t="s">
        <v>640</v>
      </c>
      <c r="H372" s="193" t="s">
        <v>587</v>
      </c>
      <c r="I372" s="256"/>
      <c r="J372" s="256"/>
      <c r="K372" s="38">
        <v>10734207</v>
      </c>
      <c r="L372" s="194" t="s">
        <v>8</v>
      </c>
      <c r="M372" s="194" t="s">
        <v>47</v>
      </c>
      <c r="N372" s="52" t="str">
        <f>IF(AND('331-CT'!$E$7=TH!H372,OR(L372="331",M372="331")),"331",IF(AND(OR(L372="131",M372="131"),H372='131-CT'!$E$7),"131",""))</f>
        <v>331</v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>x</v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853"/>
      <c r="AB372" s="211"/>
      <c r="AC372" s="198"/>
      <c r="AD372" s="198"/>
    </row>
    <row r="373" spans="1:30" s="594" customFormat="1" ht="15.75" customHeight="1">
      <c r="A373" s="204" t="str">
        <f>IF(B373&lt;&gt;"",IF(AND(B373&gt;=_TM1,B373&lt;=_TM2,OR(TH!L373="1111",TH!M373="1111")),TH!D373,""),"")</f>
        <v/>
      </c>
      <c r="B373" s="36">
        <f t="shared" si="47"/>
        <v>1</v>
      </c>
      <c r="C373" s="191">
        <f t="shared" si="38"/>
        <v>41304</v>
      </c>
      <c r="D373" s="184" t="s">
        <v>424</v>
      </c>
      <c r="E373" s="184">
        <v>41304</v>
      </c>
      <c r="F373" s="192" t="s">
        <v>641</v>
      </c>
      <c r="G373" s="487" t="s">
        <v>642</v>
      </c>
      <c r="H373" s="193" t="s">
        <v>587</v>
      </c>
      <c r="I373" s="256">
        <v>270</v>
      </c>
      <c r="J373" s="256">
        <v>20420</v>
      </c>
      <c r="K373" s="38">
        <f>ROUND(I373*J373,0)</f>
        <v>5513400</v>
      </c>
      <c r="L373" s="194" t="s">
        <v>159</v>
      </c>
      <c r="M373" s="194" t="s">
        <v>8</v>
      </c>
      <c r="N373" s="52" t="str">
        <f>IF(AND('331-CT'!$E$7=TH!H373,OR(L373="331",M373="331")),"331",IF(AND(OR(L373="131",M373="131"),H373='131-CT'!$E$7),"131",""))</f>
        <v>331</v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853"/>
      <c r="AB373" s="211"/>
      <c r="AC373" s="198"/>
      <c r="AD373" s="198"/>
    </row>
    <row r="374" spans="1:30" s="594" customFormat="1" ht="15.75" customHeight="1">
      <c r="A374" s="204" t="str">
        <f>IF(B374&lt;&gt;"",IF(AND(B374&gt;=_TM1,B374&lt;=_TM2,OR(TH!L374="1111",TH!M374="1111")),TH!D374,""),"")</f>
        <v/>
      </c>
      <c r="B374" s="36">
        <f t="shared" si="47"/>
        <v>1</v>
      </c>
      <c r="C374" s="191">
        <f t="shared" si="38"/>
        <v>41304</v>
      </c>
      <c r="D374" s="184" t="s">
        <v>424</v>
      </c>
      <c r="E374" s="184">
        <v>41304</v>
      </c>
      <c r="F374" s="192" t="s">
        <v>590</v>
      </c>
      <c r="G374" s="487" t="s">
        <v>642</v>
      </c>
      <c r="H374" s="193" t="s">
        <v>587</v>
      </c>
      <c r="I374" s="256"/>
      <c r="J374" s="256"/>
      <c r="K374" s="38">
        <v>551340</v>
      </c>
      <c r="L374" s="194" t="s">
        <v>9</v>
      </c>
      <c r="M374" s="194" t="s">
        <v>8</v>
      </c>
      <c r="N374" s="52" t="str">
        <f>IF(AND('331-CT'!$E$7=TH!H374,OR(L374="331",M374="331")),"331",IF(AND(OR(L374="131",M374="131"),H374='131-CT'!$E$7),"131",""))</f>
        <v>331</v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853"/>
      <c r="AB374" s="211">
        <v>1</v>
      </c>
      <c r="AC374" s="198"/>
      <c r="AD374" s="198"/>
    </row>
    <row r="375" spans="1:30" s="594" customFormat="1" ht="15.75" customHeight="1">
      <c r="A375" s="204" t="str">
        <f>IF(B375&lt;&gt;"",IF(AND(B375&gt;=_TM1,B375&lt;=_TM2,OR(TH!L375="1111",TH!M375="1111")),TH!D375,""),"")</f>
        <v/>
      </c>
      <c r="B375" s="36">
        <f t="shared" si="47"/>
        <v>1</v>
      </c>
      <c r="C375" s="191">
        <f t="shared" ref="C375" si="50">E375</f>
        <v>41304</v>
      </c>
      <c r="D375" s="184" t="s">
        <v>424</v>
      </c>
      <c r="E375" s="184">
        <v>41304</v>
      </c>
      <c r="F375" s="192" t="s">
        <v>371</v>
      </c>
      <c r="G375" s="487" t="s">
        <v>642</v>
      </c>
      <c r="H375" s="193" t="s">
        <v>587</v>
      </c>
      <c r="I375" s="256"/>
      <c r="J375" s="256"/>
      <c r="K375" s="38">
        <v>6064740</v>
      </c>
      <c r="L375" s="194" t="s">
        <v>8</v>
      </c>
      <c r="M375" s="194" t="s">
        <v>47</v>
      </c>
      <c r="N375" s="52" t="str">
        <f>IF(AND('331-CT'!$E$7=TH!H375,OR(L375="331",M375="331")),"331",IF(AND(OR(L375="131",M375="131"),H375='131-CT'!$E$7),"131",""))</f>
        <v>331</v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>x</v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853"/>
      <c r="AB375" s="211"/>
      <c r="AC375" s="198"/>
      <c r="AD375" s="198"/>
    </row>
    <row r="376" spans="1:30" s="594" customFormat="1" ht="15.75" customHeight="1">
      <c r="A376" s="204" t="str">
        <f>IF(B376&lt;&gt;"",IF(AND(B376&gt;=_TM1,B376&lt;=_TM2,OR(TH!L376="1111",TH!M376="1111")),TH!D376,""),"")</f>
        <v/>
      </c>
      <c r="B376" s="36">
        <f t="shared" si="47"/>
        <v>8</v>
      </c>
      <c r="C376" s="191">
        <f t="shared" ref="C376" si="51">E376</f>
        <v>41517</v>
      </c>
      <c r="D376" s="184" t="s">
        <v>424</v>
      </c>
      <c r="E376" s="184">
        <v>41517</v>
      </c>
      <c r="F376" s="192" t="s">
        <v>371</v>
      </c>
      <c r="G376" s="487"/>
      <c r="H376" s="193" t="s">
        <v>587</v>
      </c>
      <c r="I376" s="256"/>
      <c r="J376" s="256"/>
      <c r="K376" s="38">
        <v>18066091</v>
      </c>
      <c r="L376" s="194" t="s">
        <v>8</v>
      </c>
      <c r="M376" s="194" t="s">
        <v>47</v>
      </c>
      <c r="N376" s="52" t="str">
        <f>IF(AND('331-CT'!$E$7=TH!H376,OR(L376="331",M376="331")),"331",IF(AND(OR(L376="131",M376="131"),H376='131-CT'!$E$7),"131",""))</f>
        <v>331</v>
      </c>
      <c r="O376" s="52" t="str">
        <f>IF(AND($B376&gt;='111'!$N$11,$B376&lt;='111'!$O$11,OR($L376=$O$7,$M376=$O$7)),"x","")</f>
        <v>x</v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>x</v>
      </c>
      <c r="AA376" s="853"/>
      <c r="AB376" s="211"/>
      <c r="AC376" s="198"/>
      <c r="AD376" s="198"/>
    </row>
    <row r="377" spans="1:30" s="594" customFormat="1" ht="15.75" customHeight="1">
      <c r="A377" s="204" t="str">
        <f>IF(B377&lt;&gt;"",IF(AND(B377&gt;=_TM1,B377&lt;=_TM2,OR(TH!L377="1111",TH!M377="1111")),TH!D377,""),"")</f>
        <v/>
      </c>
      <c r="B377" s="36">
        <f t="shared" si="47"/>
        <v>4</v>
      </c>
      <c r="C377" s="191">
        <f t="shared" si="38"/>
        <v>41376</v>
      </c>
      <c r="D377" s="184" t="s">
        <v>408</v>
      </c>
      <c r="E377" s="191">
        <v>41376</v>
      </c>
      <c r="F377" s="192" t="s">
        <v>643</v>
      </c>
      <c r="G377" s="485" t="s">
        <v>644</v>
      </c>
      <c r="H377" s="193" t="s">
        <v>645</v>
      </c>
      <c r="I377" s="256">
        <v>350</v>
      </c>
      <c r="J377" s="256">
        <v>7823</v>
      </c>
      <c r="K377" s="38">
        <f>ROUND(I377*J377,0)</f>
        <v>2738050</v>
      </c>
      <c r="L377" s="194" t="s">
        <v>159</v>
      </c>
      <c r="M377" s="194" t="s">
        <v>8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853"/>
      <c r="AB377" s="211"/>
      <c r="AC377" s="198"/>
      <c r="AD377" s="198"/>
    </row>
    <row r="378" spans="1:30" s="594" customFormat="1" ht="15.75" customHeight="1">
      <c r="A378" s="204" t="str">
        <f>IF(B378&lt;&gt;"",IF(AND(B378&gt;=_TM1,B378&lt;=_TM2,OR(TH!L378="1111",TH!M378="1111")),TH!D378,""),"")</f>
        <v/>
      </c>
      <c r="B378" s="36">
        <f t="shared" si="47"/>
        <v>4</v>
      </c>
      <c r="C378" s="191">
        <f t="shared" si="38"/>
        <v>41376</v>
      </c>
      <c r="D378" s="184" t="s">
        <v>408</v>
      </c>
      <c r="E378" s="191">
        <v>41376</v>
      </c>
      <c r="F378" s="192" t="s">
        <v>646</v>
      </c>
      <c r="G378" s="485" t="s">
        <v>644</v>
      </c>
      <c r="H378" s="193" t="s">
        <v>645</v>
      </c>
      <c r="I378" s="256">
        <v>500</v>
      </c>
      <c r="J378" s="256">
        <v>19312</v>
      </c>
      <c r="K378" s="38">
        <f>ROUND(I378*J378,0)</f>
        <v>9656000</v>
      </c>
      <c r="L378" s="194" t="s">
        <v>159</v>
      </c>
      <c r="M378" s="194" t="s">
        <v>8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853"/>
      <c r="AB378" s="211"/>
      <c r="AC378" s="198"/>
      <c r="AD378" s="198"/>
    </row>
    <row r="379" spans="1:30" s="211" customFormat="1" ht="15.75" customHeight="1">
      <c r="A379" s="204" t="str">
        <f>IF(B379&lt;&gt;"",IF(AND(B379&gt;=_TM1,B379&lt;=_TM2,OR(TH!L379="1111",TH!M379="1111")),TH!D379,""),"")</f>
        <v/>
      </c>
      <c r="B379" s="36">
        <f t="shared" si="47"/>
        <v>4</v>
      </c>
      <c r="C379" s="191">
        <f t="shared" si="38"/>
        <v>41376</v>
      </c>
      <c r="D379" s="184" t="s">
        <v>408</v>
      </c>
      <c r="E379" s="191">
        <v>41376</v>
      </c>
      <c r="F379" s="192" t="s">
        <v>647</v>
      </c>
      <c r="G379" s="485" t="s">
        <v>644</v>
      </c>
      <c r="H379" s="193" t="s">
        <v>645</v>
      </c>
      <c r="I379" s="256">
        <v>250</v>
      </c>
      <c r="J379" s="256">
        <v>17792</v>
      </c>
      <c r="K379" s="38">
        <f>ROUND(I379*J379,0)</f>
        <v>4448000</v>
      </c>
      <c r="L379" s="194" t="s">
        <v>159</v>
      </c>
      <c r="M379" s="194" t="s">
        <v>8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853"/>
      <c r="AC379" s="198"/>
      <c r="AD379" s="198"/>
    </row>
    <row r="380" spans="1:30" s="211" customFormat="1" ht="15.75" customHeight="1">
      <c r="A380" s="204" t="str">
        <f>IF(B380&lt;&gt;"",IF(AND(B380&gt;=_TM1,B380&lt;=_TM2,OR(TH!L380="1111",TH!M380="1111")),TH!D380,""),"")</f>
        <v/>
      </c>
      <c r="B380" s="36">
        <f t="shared" si="47"/>
        <v>4</v>
      </c>
      <c r="C380" s="191">
        <f t="shared" si="38"/>
        <v>41376</v>
      </c>
      <c r="D380" s="184" t="s">
        <v>408</v>
      </c>
      <c r="E380" s="191">
        <v>41376</v>
      </c>
      <c r="F380" s="192" t="s">
        <v>590</v>
      </c>
      <c r="G380" s="485" t="s">
        <v>644</v>
      </c>
      <c r="H380" s="193" t="s">
        <v>645</v>
      </c>
      <c r="I380" s="256"/>
      <c r="J380" s="256"/>
      <c r="K380" s="38">
        <v>1684205</v>
      </c>
      <c r="L380" s="194" t="s">
        <v>9</v>
      </c>
      <c r="M380" s="194" t="s">
        <v>8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853"/>
      <c r="AB380" s="211">
        <v>4</v>
      </c>
      <c r="AC380" s="198"/>
      <c r="AD380" s="198"/>
    </row>
    <row r="381" spans="1:30" s="211" customFormat="1" ht="15.75" customHeight="1">
      <c r="A381" s="204" t="str">
        <f>IF(B381&lt;&gt;"",IF(AND(B381&gt;=_TM1,B381&lt;=_TM2,OR(TH!L381="1111",TH!M381="1111")),TH!D381,""),"")</f>
        <v/>
      </c>
      <c r="B381" s="36">
        <f t="shared" si="47"/>
        <v>4</v>
      </c>
      <c r="C381" s="191">
        <f t="shared" ref="C381" si="52">E381</f>
        <v>41376</v>
      </c>
      <c r="D381" s="184" t="s">
        <v>408</v>
      </c>
      <c r="E381" s="191">
        <v>41376</v>
      </c>
      <c r="F381" s="192" t="s">
        <v>371</v>
      </c>
      <c r="G381" s="485" t="s">
        <v>644</v>
      </c>
      <c r="H381" s="193" t="s">
        <v>645</v>
      </c>
      <c r="I381" s="256"/>
      <c r="J381" s="256"/>
      <c r="K381" s="38">
        <v>18526255</v>
      </c>
      <c r="L381" s="194" t="s">
        <v>8</v>
      </c>
      <c r="M381" s="194" t="s">
        <v>47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>x</v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853"/>
      <c r="AC381" s="198"/>
      <c r="AD381" s="198"/>
    </row>
    <row r="382" spans="1:30" s="594" customFormat="1" ht="15.75" customHeight="1">
      <c r="A382" s="204" t="str">
        <f>IF(B382&lt;&gt;"",IF(AND(B382&gt;=_TM1,B382&lt;=_TM2,OR(TH!L382="1111",TH!M382="1111")),TH!D382,""),"")</f>
        <v/>
      </c>
      <c r="B382" s="36">
        <f t="shared" si="47"/>
        <v>4</v>
      </c>
      <c r="C382" s="191">
        <f t="shared" si="38"/>
        <v>41387</v>
      </c>
      <c r="D382" s="184" t="s">
        <v>409</v>
      </c>
      <c r="E382" s="191">
        <v>41387</v>
      </c>
      <c r="F382" s="192" t="s">
        <v>648</v>
      </c>
      <c r="G382" s="487" t="s">
        <v>649</v>
      </c>
      <c r="H382" s="193" t="s">
        <v>645</v>
      </c>
      <c r="I382" s="256">
        <v>530</v>
      </c>
      <c r="J382" s="256">
        <v>7400</v>
      </c>
      <c r="K382" s="38">
        <f>ROUND(I382*J382,0)</f>
        <v>3922000</v>
      </c>
      <c r="L382" s="194" t="s">
        <v>159</v>
      </c>
      <c r="M382" s="194" t="s">
        <v>8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853"/>
      <c r="AB382" s="211"/>
      <c r="AC382" s="198"/>
      <c r="AD382" s="198"/>
    </row>
    <row r="383" spans="1:30" s="594" customFormat="1" ht="15.75" customHeight="1">
      <c r="A383" s="204" t="str">
        <f>IF(B383&lt;&gt;"",IF(AND(B383&gt;=_TM1,B383&lt;=_TM2,OR(TH!L383="1111",TH!M383="1111")),TH!D383,""),"")</f>
        <v/>
      </c>
      <c r="B383" s="36">
        <f t="shared" si="47"/>
        <v>4</v>
      </c>
      <c r="C383" s="191">
        <f t="shared" si="38"/>
        <v>41387</v>
      </c>
      <c r="D383" s="184" t="s">
        <v>409</v>
      </c>
      <c r="E383" s="191">
        <v>41387</v>
      </c>
      <c r="F383" s="192" t="s">
        <v>650</v>
      </c>
      <c r="G383" s="487" t="s">
        <v>649</v>
      </c>
      <c r="H383" s="193" t="s">
        <v>645</v>
      </c>
      <c r="I383" s="256">
        <v>105</v>
      </c>
      <c r="J383" s="256">
        <v>6600</v>
      </c>
      <c r="K383" s="38">
        <f>ROUND(I383*J383,0)</f>
        <v>693000</v>
      </c>
      <c r="L383" s="194" t="s">
        <v>159</v>
      </c>
      <c r="M383" s="194" t="s">
        <v>8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853"/>
      <c r="AB383" s="211"/>
      <c r="AC383" s="198"/>
      <c r="AD383" s="198"/>
    </row>
    <row r="384" spans="1:30" s="594" customFormat="1" ht="15.75" customHeight="1">
      <c r="A384" s="204" t="str">
        <f>IF(B384&lt;&gt;"",IF(AND(B384&gt;=_TM1,B384&lt;=_TM2,OR(TH!L384="1111",TH!M384="1111")),TH!D384,""),"")</f>
        <v/>
      </c>
      <c r="B384" s="36">
        <f t="shared" si="47"/>
        <v>4</v>
      </c>
      <c r="C384" s="191">
        <f t="shared" si="38"/>
        <v>41387</v>
      </c>
      <c r="D384" s="184" t="s">
        <v>409</v>
      </c>
      <c r="E384" s="191">
        <v>41387</v>
      </c>
      <c r="F384" s="192" t="s">
        <v>651</v>
      </c>
      <c r="G384" s="487" t="s">
        <v>649</v>
      </c>
      <c r="H384" s="193" t="s">
        <v>645</v>
      </c>
      <c r="I384" s="256">
        <v>215</v>
      </c>
      <c r="J384" s="256">
        <v>9200</v>
      </c>
      <c r="K384" s="38">
        <f>ROUND(I384*J384,0)</f>
        <v>1978000</v>
      </c>
      <c r="L384" s="194" t="s">
        <v>159</v>
      </c>
      <c r="M384" s="194" t="s">
        <v>8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853"/>
      <c r="AC384" s="198"/>
      <c r="AD384" s="198"/>
    </row>
    <row r="385" spans="1:30" s="594" customFormat="1" ht="15.75" customHeight="1">
      <c r="A385" s="204" t="str">
        <f>IF(B385&lt;&gt;"",IF(AND(B385&gt;=_TM1,B385&lt;=_TM2,OR(TH!L385="1111",TH!M385="1111")),TH!D385,""),"")</f>
        <v/>
      </c>
      <c r="B385" s="36">
        <f t="shared" si="47"/>
        <v>4</v>
      </c>
      <c r="C385" s="191">
        <f t="shared" si="38"/>
        <v>41387</v>
      </c>
      <c r="D385" s="184" t="s">
        <v>409</v>
      </c>
      <c r="E385" s="191">
        <v>41387</v>
      </c>
      <c r="F385" s="192" t="s">
        <v>652</v>
      </c>
      <c r="G385" s="487" t="s">
        <v>649</v>
      </c>
      <c r="H385" s="193" t="s">
        <v>645</v>
      </c>
      <c r="I385" s="256">
        <v>2000</v>
      </c>
      <c r="J385" s="256">
        <v>5700</v>
      </c>
      <c r="K385" s="38">
        <f>ROUND(I385*J385,0)</f>
        <v>11400000</v>
      </c>
      <c r="L385" s="194" t="s">
        <v>159</v>
      </c>
      <c r="M385" s="194" t="s">
        <v>8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853"/>
      <c r="AC385" s="198"/>
      <c r="AD385" s="198"/>
    </row>
    <row r="386" spans="1:30" s="594" customFormat="1" ht="15.75" customHeight="1">
      <c r="A386" s="204" t="str">
        <f>IF(B386&lt;&gt;"",IF(AND(B386&gt;=_TM1,B386&lt;=_TM2,OR(TH!L386="1111",TH!M386="1111")),TH!D386,""),"")</f>
        <v/>
      </c>
      <c r="B386" s="36">
        <f t="shared" si="47"/>
        <v>4</v>
      </c>
      <c r="C386" s="191">
        <f t="shared" si="38"/>
        <v>41387</v>
      </c>
      <c r="D386" s="184" t="s">
        <v>409</v>
      </c>
      <c r="E386" s="191">
        <v>41387</v>
      </c>
      <c r="F386" s="192" t="s">
        <v>590</v>
      </c>
      <c r="G386" s="487" t="s">
        <v>649</v>
      </c>
      <c r="H386" s="193" t="s">
        <v>645</v>
      </c>
      <c r="I386" s="256"/>
      <c r="J386" s="256"/>
      <c r="K386" s="38">
        <v>1799300</v>
      </c>
      <c r="L386" s="194" t="s">
        <v>9</v>
      </c>
      <c r="M386" s="194" t="s">
        <v>8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853"/>
      <c r="AB386" s="594">
        <v>4</v>
      </c>
      <c r="AC386" s="198"/>
      <c r="AD386" s="198"/>
    </row>
    <row r="387" spans="1:30" s="594" customFormat="1" ht="15.75" customHeight="1">
      <c r="A387" s="204" t="str">
        <f>IF(B387&lt;&gt;"",IF(AND(B387&gt;=_TM1,B387&lt;=_TM2,OR(TH!L387="1111",TH!M387="1111")),TH!D387,""),"")</f>
        <v/>
      </c>
      <c r="B387" s="36">
        <f t="shared" si="47"/>
        <v>4</v>
      </c>
      <c r="C387" s="191">
        <f t="shared" ref="C387" si="53">E387</f>
        <v>41387</v>
      </c>
      <c r="D387" s="184" t="s">
        <v>409</v>
      </c>
      <c r="E387" s="191">
        <v>41387</v>
      </c>
      <c r="F387" s="192" t="s">
        <v>371</v>
      </c>
      <c r="G387" s="487" t="s">
        <v>649</v>
      </c>
      <c r="H387" s="193" t="s">
        <v>645</v>
      </c>
      <c r="I387" s="256"/>
      <c r="J387" s="256"/>
      <c r="K387" s="38">
        <v>19792300</v>
      </c>
      <c r="L387" s="194" t="s">
        <v>8</v>
      </c>
      <c r="M387" s="194" t="s">
        <v>47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>x</v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853"/>
      <c r="AB387" s="211"/>
      <c r="AC387" s="198"/>
      <c r="AD387" s="198"/>
    </row>
    <row r="388" spans="1:30" s="211" customFormat="1" ht="15.75" customHeight="1">
      <c r="A388" s="204" t="str">
        <f>IF(B388&lt;&gt;"",IF(AND(B388&gt;=_TM1,B388&lt;=_TM2,OR(TH!L388="1111",TH!M388="1111")),TH!D388,""),"")</f>
        <v/>
      </c>
      <c r="B388" s="36">
        <f t="shared" si="47"/>
        <v>4</v>
      </c>
      <c r="C388" s="191">
        <f t="shared" si="38"/>
        <v>41393</v>
      </c>
      <c r="D388" s="184" t="s">
        <v>410</v>
      </c>
      <c r="E388" s="184">
        <v>41393</v>
      </c>
      <c r="F388" s="192" t="s">
        <v>653</v>
      </c>
      <c r="G388" s="664" t="s">
        <v>654</v>
      </c>
      <c r="H388" s="193" t="s">
        <v>645</v>
      </c>
      <c r="I388" s="256">
        <v>50</v>
      </c>
      <c r="J388" s="256">
        <v>24098</v>
      </c>
      <c r="K388" s="38">
        <f t="shared" ref="K388:K394" si="54">ROUND(I388*J388,0)</f>
        <v>1204900</v>
      </c>
      <c r="L388" s="194" t="s">
        <v>159</v>
      </c>
      <c r="M388" s="194" t="s">
        <v>8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853"/>
      <c r="AB388" s="594"/>
      <c r="AC388" s="198"/>
      <c r="AD388" s="198"/>
    </row>
    <row r="389" spans="1:30" s="211" customFormat="1" ht="15.75" customHeight="1">
      <c r="A389" s="204" t="str">
        <f>IF(B389&lt;&gt;"",IF(AND(B389&gt;=_TM1,B389&lt;=_TM2,OR(TH!L389="1111",TH!M389="1111")),TH!D389,""),"")</f>
        <v/>
      </c>
      <c r="B389" s="36">
        <f t="shared" si="47"/>
        <v>4</v>
      </c>
      <c r="C389" s="191">
        <f t="shared" si="38"/>
        <v>41393</v>
      </c>
      <c r="D389" s="184" t="s">
        <v>410</v>
      </c>
      <c r="E389" s="184">
        <v>41393</v>
      </c>
      <c r="F389" s="192" t="s">
        <v>655</v>
      </c>
      <c r="G389" s="664" t="s">
        <v>654</v>
      </c>
      <c r="H389" s="193" t="s">
        <v>645</v>
      </c>
      <c r="I389" s="256">
        <v>50</v>
      </c>
      <c r="J389" s="256">
        <v>22812</v>
      </c>
      <c r="K389" s="38">
        <f t="shared" si="54"/>
        <v>1140600</v>
      </c>
      <c r="L389" s="194" t="s">
        <v>159</v>
      </c>
      <c r="M389" s="194" t="s">
        <v>8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853"/>
      <c r="AC389" s="198"/>
      <c r="AD389" s="198"/>
    </row>
    <row r="390" spans="1:30" s="211" customFormat="1" ht="15.75" customHeight="1">
      <c r="A390" s="204" t="str">
        <f>IF(B390&lt;&gt;"",IF(AND(B390&gt;=_TM1,B390&lt;=_TM2,OR(TH!L390="1111",TH!M390="1111")),TH!D390,""),"")</f>
        <v/>
      </c>
      <c r="B390" s="36">
        <f t="shared" si="47"/>
        <v>4</v>
      </c>
      <c r="C390" s="191">
        <f t="shared" si="38"/>
        <v>41393</v>
      </c>
      <c r="D390" s="184" t="s">
        <v>410</v>
      </c>
      <c r="E390" s="184">
        <v>41393</v>
      </c>
      <c r="F390" s="192" t="s">
        <v>656</v>
      </c>
      <c r="G390" s="664" t="s">
        <v>654</v>
      </c>
      <c r="H390" s="193" t="s">
        <v>645</v>
      </c>
      <c r="I390" s="256">
        <v>50</v>
      </c>
      <c r="J390" s="256">
        <v>20420</v>
      </c>
      <c r="K390" s="38">
        <f t="shared" si="54"/>
        <v>1021000</v>
      </c>
      <c r="L390" s="194" t="s">
        <v>159</v>
      </c>
      <c r="M390" s="194" t="s">
        <v>8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853"/>
      <c r="AC390" s="198"/>
      <c r="AD390" s="198"/>
    </row>
    <row r="391" spans="1:30" s="211" customFormat="1" ht="15.75" customHeight="1">
      <c r="A391" s="204" t="str">
        <f>IF(B391&lt;&gt;"",IF(AND(B391&gt;=_TM1,B391&lt;=_TM2,OR(TH!L391="1111",TH!M391="1111")),TH!D391,""),"")</f>
        <v/>
      </c>
      <c r="B391" s="36">
        <f t="shared" si="47"/>
        <v>4</v>
      </c>
      <c r="C391" s="191">
        <f t="shared" si="38"/>
        <v>41393</v>
      </c>
      <c r="D391" s="184" t="s">
        <v>410</v>
      </c>
      <c r="E391" s="184">
        <v>41393</v>
      </c>
      <c r="F391" s="192" t="s">
        <v>657</v>
      </c>
      <c r="G391" s="664" t="s">
        <v>654</v>
      </c>
      <c r="H391" s="193" t="s">
        <v>645</v>
      </c>
      <c r="I391" s="256">
        <v>135</v>
      </c>
      <c r="J391" s="256">
        <v>12665</v>
      </c>
      <c r="K391" s="38">
        <f t="shared" si="54"/>
        <v>1709775</v>
      </c>
      <c r="L391" s="194" t="s">
        <v>159</v>
      </c>
      <c r="M391" s="194" t="s">
        <v>8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853"/>
      <c r="AC391" s="198"/>
      <c r="AD391" s="198"/>
    </row>
    <row r="392" spans="1:30" s="594" customFormat="1" ht="15.75" customHeight="1">
      <c r="A392" s="204" t="str">
        <f>IF(B392&lt;&gt;"",IF(AND(B392&gt;=_TM1,B392&lt;=_TM2,OR(TH!L392="1111",TH!M392="1111")),TH!D392,""),"")</f>
        <v/>
      </c>
      <c r="B392" s="36">
        <f t="shared" si="47"/>
        <v>4</v>
      </c>
      <c r="C392" s="191">
        <f t="shared" si="38"/>
        <v>41393</v>
      </c>
      <c r="D392" s="184" t="s">
        <v>410</v>
      </c>
      <c r="E392" s="184">
        <v>41393</v>
      </c>
      <c r="F392" s="192" t="s">
        <v>658</v>
      </c>
      <c r="G392" s="664" t="s">
        <v>654</v>
      </c>
      <c r="H392" s="193" t="s">
        <v>645</v>
      </c>
      <c r="I392" s="256">
        <v>265</v>
      </c>
      <c r="J392" s="256">
        <v>13832</v>
      </c>
      <c r="K392" s="38">
        <f t="shared" si="54"/>
        <v>3665480</v>
      </c>
      <c r="L392" s="194" t="s">
        <v>159</v>
      </c>
      <c r="M392" s="194" t="s">
        <v>8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853"/>
      <c r="AB392" s="211"/>
      <c r="AC392" s="198"/>
      <c r="AD392" s="198"/>
    </row>
    <row r="393" spans="1:30" s="594" customFormat="1" ht="15.75" customHeight="1">
      <c r="A393" s="204" t="str">
        <f>IF(B393&lt;&gt;"",IF(AND(B393&gt;=_TM1,B393&lt;=_TM2,OR(TH!L393="1111",TH!M393="1111")),TH!D393,""),"")</f>
        <v/>
      </c>
      <c r="B393" s="36">
        <f t="shared" si="47"/>
        <v>4</v>
      </c>
      <c r="C393" s="191">
        <f t="shared" si="38"/>
        <v>41393</v>
      </c>
      <c r="D393" s="184" t="s">
        <v>410</v>
      </c>
      <c r="E393" s="184">
        <v>41393</v>
      </c>
      <c r="F393" s="192" t="s">
        <v>659</v>
      </c>
      <c r="G393" s="664" t="s">
        <v>654</v>
      </c>
      <c r="H393" s="193" t="s">
        <v>645</v>
      </c>
      <c r="I393" s="256">
        <v>265</v>
      </c>
      <c r="J393" s="256">
        <v>14434</v>
      </c>
      <c r="K393" s="38">
        <f t="shared" si="54"/>
        <v>3825010</v>
      </c>
      <c r="L393" s="194" t="s">
        <v>159</v>
      </c>
      <c r="M393" s="194" t="s">
        <v>8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853"/>
      <c r="AB393" s="211"/>
      <c r="AC393" s="198"/>
      <c r="AD393" s="198"/>
    </row>
    <row r="394" spans="1:30" s="594" customFormat="1" ht="15.75" customHeight="1">
      <c r="A394" s="204" t="str">
        <f>IF(B394&lt;&gt;"",IF(AND(B394&gt;=_TM1,B394&lt;=_TM2,OR(TH!L394="1111",TH!M394="1111")),TH!D394,""),"")</f>
        <v/>
      </c>
      <c r="B394" s="36">
        <f t="shared" si="47"/>
        <v>4</v>
      </c>
      <c r="C394" s="191">
        <f t="shared" si="38"/>
        <v>41393</v>
      </c>
      <c r="D394" s="184" t="s">
        <v>410</v>
      </c>
      <c r="E394" s="184">
        <v>41393</v>
      </c>
      <c r="F394" s="192" t="s">
        <v>652</v>
      </c>
      <c r="G394" s="664" t="s">
        <v>654</v>
      </c>
      <c r="H394" s="193" t="s">
        <v>645</v>
      </c>
      <c r="I394" s="256">
        <v>500</v>
      </c>
      <c r="J394" s="256">
        <v>11172</v>
      </c>
      <c r="K394" s="38">
        <f t="shared" si="54"/>
        <v>5586000</v>
      </c>
      <c r="L394" s="194" t="s">
        <v>159</v>
      </c>
      <c r="M394" s="194" t="s">
        <v>8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853"/>
      <c r="AC394" s="198"/>
      <c r="AD394" s="198"/>
    </row>
    <row r="395" spans="1:30" s="594" customFormat="1" ht="15.75" customHeight="1">
      <c r="A395" s="204" t="str">
        <f>IF(B395&lt;&gt;"",IF(AND(B395&gt;=_TM1,B395&lt;=_TM2,OR(TH!L395="1111",TH!M395="1111")),TH!D395,""),"")</f>
        <v/>
      </c>
      <c r="B395" s="36">
        <f t="shared" si="47"/>
        <v>4</v>
      </c>
      <c r="C395" s="191">
        <f t="shared" si="38"/>
        <v>41393</v>
      </c>
      <c r="D395" s="184" t="s">
        <v>410</v>
      </c>
      <c r="E395" s="184">
        <v>41393</v>
      </c>
      <c r="F395" s="192" t="s">
        <v>590</v>
      </c>
      <c r="G395" s="664" t="s">
        <v>654</v>
      </c>
      <c r="H395" s="193" t="s">
        <v>645</v>
      </c>
      <c r="I395" s="256"/>
      <c r="J395" s="256"/>
      <c r="K395" s="38">
        <v>1815276</v>
      </c>
      <c r="L395" s="194" t="s">
        <v>9</v>
      </c>
      <c r="M395" s="194" t="s">
        <v>8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853"/>
      <c r="AB395" s="211">
        <v>5</v>
      </c>
      <c r="AC395" s="198"/>
      <c r="AD395" s="198"/>
    </row>
    <row r="396" spans="1:30" s="594" customFormat="1" ht="15.75" customHeight="1">
      <c r="A396" s="204" t="str">
        <f>IF(B396&lt;&gt;"",IF(AND(B396&gt;=_TM1,B396&lt;=_TM2,OR(TH!L396="1111",TH!M396="1111")),TH!D396,""),"")</f>
        <v/>
      </c>
      <c r="B396" s="36">
        <f t="shared" si="47"/>
        <v>4</v>
      </c>
      <c r="C396" s="191">
        <f t="shared" ref="C396" si="55">E396</f>
        <v>41393</v>
      </c>
      <c r="D396" s="184" t="s">
        <v>410</v>
      </c>
      <c r="E396" s="184">
        <v>41393</v>
      </c>
      <c r="F396" s="192" t="s">
        <v>371</v>
      </c>
      <c r="G396" s="664" t="s">
        <v>654</v>
      </c>
      <c r="H396" s="193" t="s">
        <v>645</v>
      </c>
      <c r="I396" s="256"/>
      <c r="J396" s="256"/>
      <c r="K396" s="38">
        <v>19968041</v>
      </c>
      <c r="L396" s="194" t="s">
        <v>8</v>
      </c>
      <c r="M396" s="194" t="s">
        <v>47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>x</v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853"/>
      <c r="AB396" s="211"/>
      <c r="AC396" s="198"/>
      <c r="AD396" s="198"/>
    </row>
    <row r="397" spans="1:30" s="594" customFormat="1" ht="15.75" customHeight="1">
      <c r="A397" s="204" t="str">
        <f>IF(B397&lt;&gt;"",IF(AND(B397&gt;=_TM1,B397&lt;=_TM2,OR(TH!L397="1111",TH!M397="1111")),TH!D397,""),"")</f>
        <v/>
      </c>
      <c r="B397" s="36">
        <f t="shared" si="47"/>
        <v>5</v>
      </c>
      <c r="C397" s="191">
        <f t="shared" si="38"/>
        <v>41397</v>
      </c>
      <c r="D397" s="184" t="s">
        <v>411</v>
      </c>
      <c r="E397" s="184">
        <v>41397</v>
      </c>
      <c r="F397" s="192" t="s">
        <v>652</v>
      </c>
      <c r="G397" s="664" t="s">
        <v>660</v>
      </c>
      <c r="H397" s="193" t="s">
        <v>645</v>
      </c>
      <c r="I397" s="256">
        <v>1539</v>
      </c>
      <c r="J397" s="256">
        <v>11172</v>
      </c>
      <c r="K397" s="38">
        <f>ROUND(I397*J397,0)</f>
        <v>17193708</v>
      </c>
      <c r="L397" s="194" t="s">
        <v>159</v>
      </c>
      <c r="M397" s="194" t="s">
        <v>8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853"/>
      <c r="AB397" s="211"/>
      <c r="AC397" s="198"/>
      <c r="AD397" s="198"/>
    </row>
    <row r="398" spans="1:30" s="594" customFormat="1" ht="15.75" customHeight="1">
      <c r="A398" s="204" t="str">
        <f>IF(B398&lt;&gt;"",IF(AND(B398&gt;=_TM1,B398&lt;=_TM2,OR(TH!L398="1111",TH!M398="1111")),TH!D398,""),"")</f>
        <v/>
      </c>
      <c r="B398" s="36">
        <f t="shared" si="47"/>
        <v>5</v>
      </c>
      <c r="C398" s="191">
        <f t="shared" si="38"/>
        <v>41397</v>
      </c>
      <c r="D398" s="184" t="s">
        <v>411</v>
      </c>
      <c r="E398" s="184">
        <v>41397</v>
      </c>
      <c r="F398" s="192" t="s">
        <v>590</v>
      </c>
      <c r="G398" s="664" t="s">
        <v>660</v>
      </c>
      <c r="H398" s="193" t="s">
        <v>645</v>
      </c>
      <c r="I398" s="256"/>
      <c r="J398" s="256"/>
      <c r="K398" s="38">
        <v>1719370</v>
      </c>
      <c r="L398" s="194" t="s">
        <v>9</v>
      </c>
      <c r="M398" s="194" t="s">
        <v>8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853"/>
      <c r="AB398" s="211">
        <v>5</v>
      </c>
      <c r="AC398" s="198"/>
      <c r="AD398" s="198"/>
    </row>
    <row r="399" spans="1:30" s="594" customFormat="1" ht="15.75" customHeight="1">
      <c r="A399" s="204" t="str">
        <f>IF(B399&lt;&gt;"",IF(AND(B399&gt;=_TM1,B399&lt;=_TM2,OR(TH!L399="1111",TH!M399="1111")),TH!D399,""),"")</f>
        <v/>
      </c>
      <c r="B399" s="36">
        <f t="shared" si="47"/>
        <v>5</v>
      </c>
      <c r="C399" s="191">
        <f t="shared" ref="C399" si="56">E399</f>
        <v>41397</v>
      </c>
      <c r="D399" s="184" t="s">
        <v>411</v>
      </c>
      <c r="E399" s="184">
        <v>41397</v>
      </c>
      <c r="F399" s="192" t="s">
        <v>371</v>
      </c>
      <c r="G399" s="664" t="s">
        <v>660</v>
      </c>
      <c r="H399" s="193" t="s">
        <v>645</v>
      </c>
      <c r="I399" s="256"/>
      <c r="J399" s="256"/>
      <c r="K399" s="38">
        <v>18913078</v>
      </c>
      <c r="L399" s="194" t="s">
        <v>8</v>
      </c>
      <c r="M399" s="194" t="s">
        <v>47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>x</v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853"/>
      <c r="AB399" s="211"/>
      <c r="AC399" s="198"/>
      <c r="AD399" s="198"/>
    </row>
    <row r="400" spans="1:30" s="594" customFormat="1" ht="15.75" customHeight="1">
      <c r="A400" s="204" t="str">
        <f>IF(B400&lt;&gt;"",IF(AND(B400&gt;=_TM1,B400&lt;=_TM2,OR(TH!L400="1111",TH!M400="1111")),TH!D400,""),"")</f>
        <v/>
      </c>
      <c r="B400" s="36">
        <f t="shared" si="47"/>
        <v>5</v>
      </c>
      <c r="C400" s="191">
        <f t="shared" si="38"/>
        <v>41402</v>
      </c>
      <c r="D400" s="184" t="s">
        <v>412</v>
      </c>
      <c r="E400" s="184">
        <v>41402</v>
      </c>
      <c r="F400" s="192" t="s">
        <v>661</v>
      </c>
      <c r="G400" s="664" t="s">
        <v>662</v>
      </c>
      <c r="H400" s="193" t="s">
        <v>645</v>
      </c>
      <c r="I400" s="256">
        <v>350</v>
      </c>
      <c r="J400" s="256">
        <v>20290</v>
      </c>
      <c r="K400" s="38">
        <f>ROUND(I400*J400,0)</f>
        <v>7101500</v>
      </c>
      <c r="L400" s="194" t="s">
        <v>159</v>
      </c>
      <c r="M400" s="194" t="s">
        <v>8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853"/>
      <c r="AB400" s="211"/>
      <c r="AC400" s="198"/>
      <c r="AD400" s="198"/>
    </row>
    <row r="401" spans="1:30" s="594" customFormat="1" ht="15.75" customHeight="1">
      <c r="A401" s="204" t="str">
        <f>IF(B401&lt;&gt;"",IF(AND(B401&gt;=_TM1,B401&lt;=_TM2,OR(TH!L401="1111",TH!M401="1111")),TH!D401,""),"")</f>
        <v/>
      </c>
      <c r="B401" s="36">
        <f t="shared" si="47"/>
        <v>5</v>
      </c>
      <c r="C401" s="191">
        <f t="shared" si="38"/>
        <v>41402</v>
      </c>
      <c r="D401" s="184" t="s">
        <v>412</v>
      </c>
      <c r="E401" s="184">
        <v>41402</v>
      </c>
      <c r="F401" s="192" t="s">
        <v>663</v>
      </c>
      <c r="G401" s="664" t="s">
        <v>662</v>
      </c>
      <c r="H401" s="193" t="s">
        <v>645</v>
      </c>
      <c r="I401" s="256">
        <v>60</v>
      </c>
      <c r="J401" s="256">
        <v>17222</v>
      </c>
      <c r="K401" s="38">
        <f>ROUND(I401*J401,0)</f>
        <v>1033320</v>
      </c>
      <c r="L401" s="194" t="s">
        <v>159</v>
      </c>
      <c r="M401" s="194" t="s">
        <v>8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853"/>
      <c r="AC401" s="198"/>
      <c r="AD401" s="198"/>
    </row>
    <row r="402" spans="1:30" s="594" customFormat="1" ht="15.75" customHeight="1">
      <c r="A402" s="204" t="str">
        <f>IF(B402&lt;&gt;"",IF(AND(B402&gt;=_TM1,B402&lt;=_TM2,OR(TH!L402="1111",TH!M402="1111")),TH!D402,""),"")</f>
        <v/>
      </c>
      <c r="B402" s="36">
        <f t="shared" si="47"/>
        <v>5</v>
      </c>
      <c r="C402" s="191">
        <f t="shared" si="38"/>
        <v>41402</v>
      </c>
      <c r="D402" s="184" t="s">
        <v>412</v>
      </c>
      <c r="E402" s="184">
        <v>41402</v>
      </c>
      <c r="F402" s="192" t="s">
        <v>664</v>
      </c>
      <c r="G402" s="664" t="s">
        <v>662</v>
      </c>
      <c r="H402" s="193" t="s">
        <v>645</v>
      </c>
      <c r="I402" s="256">
        <v>108</v>
      </c>
      <c r="J402" s="256">
        <v>14978</v>
      </c>
      <c r="K402" s="38">
        <f>ROUND(I402*J402,0)</f>
        <v>1617624</v>
      </c>
      <c r="L402" s="194" t="s">
        <v>159</v>
      </c>
      <c r="M402" s="194" t="s">
        <v>8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853"/>
      <c r="AC402" s="198"/>
      <c r="AD402" s="198"/>
    </row>
    <row r="403" spans="1:30" s="594" customFormat="1" ht="15.75" customHeight="1">
      <c r="A403" s="204" t="str">
        <f>IF(B403&lt;&gt;"",IF(AND(B403&gt;=_TM1,B403&lt;=_TM2,OR(TH!L403="1111",TH!M403="1111")),TH!D403,""),"")</f>
        <v/>
      </c>
      <c r="B403" s="36">
        <f t="shared" si="47"/>
        <v>5</v>
      </c>
      <c r="C403" s="191">
        <f t="shared" si="38"/>
        <v>41402</v>
      </c>
      <c r="D403" s="184" t="s">
        <v>412</v>
      </c>
      <c r="E403" s="184">
        <v>41402</v>
      </c>
      <c r="F403" s="192" t="s">
        <v>665</v>
      </c>
      <c r="G403" s="664" t="s">
        <v>662</v>
      </c>
      <c r="H403" s="193" t="s">
        <v>645</v>
      </c>
      <c r="I403" s="256">
        <v>100</v>
      </c>
      <c r="J403" s="256">
        <v>11238</v>
      </c>
      <c r="K403" s="38">
        <f>ROUND(I403*J403,0)</f>
        <v>1123800</v>
      </c>
      <c r="L403" s="194" t="s">
        <v>159</v>
      </c>
      <c r="M403" s="194" t="s">
        <v>8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853"/>
      <c r="AC403" s="198"/>
      <c r="AD403" s="198"/>
    </row>
    <row r="404" spans="1:30" s="594" customFormat="1" ht="15.75" customHeight="1">
      <c r="A404" s="204" t="str">
        <f>IF(B404&lt;&gt;"",IF(AND(B404&gt;=_TM1,B404&lt;=_TM2,OR(TH!L404="1111",TH!M404="1111")),TH!D404,""),"")</f>
        <v/>
      </c>
      <c r="B404" s="36">
        <f t="shared" si="47"/>
        <v>5</v>
      </c>
      <c r="C404" s="191">
        <f t="shared" si="38"/>
        <v>41402</v>
      </c>
      <c r="D404" s="184" t="s">
        <v>412</v>
      </c>
      <c r="E404" s="184">
        <v>41402</v>
      </c>
      <c r="F404" s="192" t="s">
        <v>666</v>
      </c>
      <c r="G404" s="664" t="s">
        <v>662</v>
      </c>
      <c r="H404" s="193" t="s">
        <v>645</v>
      </c>
      <c r="I404" s="256">
        <v>100</v>
      </c>
      <c r="J404" s="256">
        <v>12629</v>
      </c>
      <c r="K404" s="38">
        <f>ROUND(I404*J404,0)</f>
        <v>1262900</v>
      </c>
      <c r="L404" s="194" t="s">
        <v>159</v>
      </c>
      <c r="M404" s="194" t="s">
        <v>8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853"/>
      <c r="AC404" s="198"/>
      <c r="AD404" s="198"/>
    </row>
    <row r="405" spans="1:30" s="594" customFormat="1" ht="15.75" customHeight="1">
      <c r="A405" s="204" t="str">
        <f>IF(B405&lt;&gt;"",IF(AND(B405&gt;=_TM1,B405&lt;=_TM2,OR(TH!L405="1111",TH!M405="1111")),TH!D405,""),"")</f>
        <v/>
      </c>
      <c r="B405" s="36">
        <f t="shared" si="47"/>
        <v>5</v>
      </c>
      <c r="C405" s="191">
        <f t="shared" si="38"/>
        <v>41402</v>
      </c>
      <c r="D405" s="184" t="s">
        <v>412</v>
      </c>
      <c r="E405" s="184">
        <v>41402</v>
      </c>
      <c r="F405" s="192" t="s">
        <v>590</v>
      </c>
      <c r="G405" s="664" t="s">
        <v>662</v>
      </c>
      <c r="H405" s="193" t="s">
        <v>645</v>
      </c>
      <c r="I405" s="256"/>
      <c r="J405" s="256"/>
      <c r="K405" s="38">
        <v>1213914</v>
      </c>
      <c r="L405" s="194" t="s">
        <v>9</v>
      </c>
      <c r="M405" s="194" t="s">
        <v>8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853"/>
      <c r="AB405" s="594">
        <v>5</v>
      </c>
      <c r="AC405" s="198"/>
      <c r="AD405" s="198"/>
    </row>
    <row r="406" spans="1:30" s="594" customFormat="1" ht="15.75" customHeight="1">
      <c r="A406" s="204" t="str">
        <f>IF(B406&lt;&gt;"",IF(AND(B406&gt;=_TM1,B406&lt;=_TM2,OR(TH!L406="1111",TH!M406="1111")),TH!D406,""),"")</f>
        <v/>
      </c>
      <c r="B406" s="36">
        <f t="shared" si="47"/>
        <v>5</v>
      </c>
      <c r="C406" s="191">
        <f t="shared" ref="C406" si="57">E406</f>
        <v>41402</v>
      </c>
      <c r="D406" s="184" t="s">
        <v>412</v>
      </c>
      <c r="E406" s="184">
        <v>41402</v>
      </c>
      <c r="F406" s="192" t="s">
        <v>371</v>
      </c>
      <c r="G406" s="664" t="s">
        <v>662</v>
      </c>
      <c r="H406" s="193" t="s">
        <v>645</v>
      </c>
      <c r="I406" s="256"/>
      <c r="J406" s="256"/>
      <c r="K406" s="38">
        <v>13353058</v>
      </c>
      <c r="L406" s="194" t="s">
        <v>8</v>
      </c>
      <c r="M406" s="194" t="s">
        <v>47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>x</v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853"/>
      <c r="AB406" s="211"/>
      <c r="AC406" s="198"/>
      <c r="AD406" s="198"/>
    </row>
    <row r="407" spans="1:30" s="594" customFormat="1" ht="15.75" customHeight="1">
      <c r="A407" s="204" t="str">
        <f>IF(B407&lt;&gt;"",IF(AND(B407&gt;=_TM1,B407&lt;=_TM2,OR(TH!L407="1111",TH!M407="1111")),TH!D407,""),"")</f>
        <v/>
      </c>
      <c r="B407" s="36">
        <f t="shared" si="47"/>
        <v>5</v>
      </c>
      <c r="C407" s="191">
        <f t="shared" si="38"/>
        <v>41404</v>
      </c>
      <c r="D407" s="184" t="s">
        <v>413</v>
      </c>
      <c r="E407" s="184">
        <v>41404</v>
      </c>
      <c r="F407" s="192" t="s">
        <v>667</v>
      </c>
      <c r="G407" s="664" t="s">
        <v>668</v>
      </c>
      <c r="H407" s="193" t="s">
        <v>645</v>
      </c>
      <c r="I407" s="256">
        <v>510</v>
      </c>
      <c r="J407" s="256">
        <v>16375</v>
      </c>
      <c r="K407" s="38">
        <f>ROUND(I407*J407,0)</f>
        <v>8351250</v>
      </c>
      <c r="L407" s="194" t="s">
        <v>159</v>
      </c>
      <c r="M407" s="194" t="s">
        <v>8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853"/>
      <c r="AB407" s="211"/>
      <c r="AC407" s="198"/>
      <c r="AD407" s="198"/>
    </row>
    <row r="408" spans="1:30" s="594" customFormat="1" ht="15.75" customHeight="1">
      <c r="A408" s="204" t="str">
        <f>IF(B408&lt;&gt;"",IF(AND(B408&gt;=_TM1,B408&lt;=_TM2,OR(TH!L408="1111",TH!M408="1111")),TH!D408,""),"")</f>
        <v/>
      </c>
      <c r="B408" s="36">
        <f t="shared" si="47"/>
        <v>5</v>
      </c>
      <c r="C408" s="191">
        <f t="shared" si="38"/>
        <v>41404</v>
      </c>
      <c r="D408" s="184" t="s">
        <v>413</v>
      </c>
      <c r="E408" s="184">
        <v>41404</v>
      </c>
      <c r="F408" s="192" t="s">
        <v>669</v>
      </c>
      <c r="G408" s="664" t="s">
        <v>668</v>
      </c>
      <c r="H408" s="193" t="s">
        <v>645</v>
      </c>
      <c r="I408" s="256">
        <v>250</v>
      </c>
      <c r="J408" s="256">
        <v>26903</v>
      </c>
      <c r="K408" s="38">
        <f>ROUND(I408*J408,0)</f>
        <v>6725750</v>
      </c>
      <c r="L408" s="194" t="s">
        <v>159</v>
      </c>
      <c r="M408" s="194" t="s">
        <v>8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853"/>
      <c r="AB408" s="211"/>
      <c r="AC408" s="198"/>
      <c r="AD408" s="198"/>
    </row>
    <row r="409" spans="1:30" s="594" customFormat="1" ht="15.75" customHeight="1">
      <c r="A409" s="204" t="str">
        <f>IF(B409&lt;&gt;"",IF(AND(B409&gt;=_TM1,B409&lt;=_TM2,OR(TH!L409="1111",TH!M409="1111")),TH!D409,""),"")</f>
        <v/>
      </c>
      <c r="B409" s="36">
        <f t="shared" si="47"/>
        <v>5</v>
      </c>
      <c r="C409" s="191">
        <f t="shared" ref="C409:C498" si="58">E409</f>
        <v>41404</v>
      </c>
      <c r="D409" s="184" t="s">
        <v>413</v>
      </c>
      <c r="E409" s="184">
        <v>41404</v>
      </c>
      <c r="F409" s="192" t="s">
        <v>590</v>
      </c>
      <c r="G409" s="664" t="s">
        <v>668</v>
      </c>
      <c r="H409" s="193" t="s">
        <v>645</v>
      </c>
      <c r="I409" s="256"/>
      <c r="J409" s="256"/>
      <c r="K409" s="38">
        <v>1507700</v>
      </c>
      <c r="L409" s="194" t="s">
        <v>9</v>
      </c>
      <c r="M409" s="194" t="s">
        <v>8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853"/>
      <c r="AB409" s="594">
        <v>5</v>
      </c>
      <c r="AC409" s="198"/>
      <c r="AD409" s="198"/>
    </row>
    <row r="410" spans="1:30" s="594" customFormat="1" ht="15.75" customHeight="1">
      <c r="A410" s="204" t="str">
        <f>IF(B410&lt;&gt;"",IF(AND(B410&gt;=_TM1,B410&lt;=_TM2,OR(TH!L410="1111",TH!M410="1111")),TH!D410,""),"")</f>
        <v/>
      </c>
      <c r="B410" s="36">
        <f t="shared" si="47"/>
        <v>5</v>
      </c>
      <c r="C410" s="191">
        <f t="shared" ref="C410" si="59">E410</f>
        <v>41404</v>
      </c>
      <c r="D410" s="184" t="s">
        <v>413</v>
      </c>
      <c r="E410" s="184">
        <v>41404</v>
      </c>
      <c r="F410" s="192" t="s">
        <v>371</v>
      </c>
      <c r="G410" s="664" t="s">
        <v>668</v>
      </c>
      <c r="H410" s="193" t="s">
        <v>645</v>
      </c>
      <c r="I410" s="256"/>
      <c r="J410" s="256"/>
      <c r="K410" s="38">
        <v>16584700</v>
      </c>
      <c r="L410" s="194" t="s">
        <v>8</v>
      </c>
      <c r="M410" s="194" t="s">
        <v>47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>x</v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853"/>
      <c r="AB410" s="211"/>
      <c r="AC410" s="198"/>
      <c r="AD410" s="198"/>
    </row>
    <row r="411" spans="1:30" s="594" customFormat="1" ht="15.75" customHeight="1">
      <c r="A411" s="204" t="str">
        <f>IF(B411&lt;&gt;"",IF(AND(B411&gt;=_TM1,B411&lt;=_TM2,OR(TH!L411="1111",TH!M411="1111")),TH!D411,""),"")</f>
        <v/>
      </c>
      <c r="B411" s="36">
        <f t="shared" si="47"/>
        <v>5</v>
      </c>
      <c r="C411" s="191">
        <f t="shared" si="58"/>
        <v>41423</v>
      </c>
      <c r="D411" s="184" t="s">
        <v>414</v>
      </c>
      <c r="E411" s="184">
        <v>41423</v>
      </c>
      <c r="F411" s="192" t="s">
        <v>670</v>
      </c>
      <c r="G411" s="664" t="s">
        <v>671</v>
      </c>
      <c r="H411" s="193" t="s">
        <v>645</v>
      </c>
      <c r="I411" s="256">
        <v>150</v>
      </c>
      <c r="J411" s="256">
        <v>15456</v>
      </c>
      <c r="K411" s="38">
        <f>ROUND(I411*J411,0)</f>
        <v>2318400</v>
      </c>
      <c r="L411" s="194" t="s">
        <v>159</v>
      </c>
      <c r="M411" s="194" t="s">
        <v>8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853"/>
      <c r="AB411" s="211"/>
      <c r="AC411" s="198"/>
      <c r="AD411" s="198"/>
    </row>
    <row r="412" spans="1:30" s="594" customFormat="1" ht="15.75" customHeight="1">
      <c r="A412" s="204" t="str">
        <f>IF(B412&lt;&gt;"",IF(AND(B412&gt;=_TM1,B412&lt;=_TM2,OR(TH!L412="1111",TH!M412="1111")),TH!D412,""),"")</f>
        <v/>
      </c>
      <c r="B412" s="36">
        <f t="shared" si="47"/>
        <v>5</v>
      </c>
      <c r="C412" s="191">
        <f t="shared" si="58"/>
        <v>41423</v>
      </c>
      <c r="D412" s="184" t="s">
        <v>414</v>
      </c>
      <c r="E412" s="184">
        <v>41423</v>
      </c>
      <c r="F412" s="192" t="s">
        <v>672</v>
      </c>
      <c r="G412" s="664" t="s">
        <v>671</v>
      </c>
      <c r="H412" s="193" t="s">
        <v>645</v>
      </c>
      <c r="I412" s="256">
        <v>1280</v>
      </c>
      <c r="J412" s="256">
        <v>10801</v>
      </c>
      <c r="K412" s="38">
        <f>ROUND(I412*J412,0)</f>
        <v>13825280</v>
      </c>
      <c r="L412" s="194" t="s">
        <v>159</v>
      </c>
      <c r="M412" s="194" t="s">
        <v>8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853"/>
      <c r="AB412" s="211"/>
      <c r="AC412" s="198"/>
      <c r="AD412" s="198"/>
    </row>
    <row r="413" spans="1:30" s="594" customFormat="1" ht="15.75" customHeight="1">
      <c r="A413" s="204" t="str">
        <f>IF(B413&lt;&gt;"",IF(AND(B413&gt;=_TM1,B413&lt;=_TM2,OR(TH!L413="1111",TH!M413="1111")),TH!D413,""),"")</f>
        <v/>
      </c>
      <c r="B413" s="36">
        <f t="shared" si="47"/>
        <v>5</v>
      </c>
      <c r="C413" s="191">
        <f t="shared" si="58"/>
        <v>41423</v>
      </c>
      <c r="D413" s="184" t="s">
        <v>414</v>
      </c>
      <c r="E413" s="184">
        <v>41423</v>
      </c>
      <c r="F413" s="192" t="s">
        <v>590</v>
      </c>
      <c r="G413" s="664" t="s">
        <v>671</v>
      </c>
      <c r="H413" s="193" t="s">
        <v>645</v>
      </c>
      <c r="I413" s="256"/>
      <c r="J413" s="256"/>
      <c r="K413" s="38">
        <v>1614368</v>
      </c>
      <c r="L413" s="194" t="s">
        <v>9</v>
      </c>
      <c r="M413" s="194" t="s">
        <v>8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853"/>
      <c r="AB413" s="594">
        <v>6</v>
      </c>
      <c r="AC413" s="198"/>
      <c r="AD413" s="198"/>
    </row>
    <row r="414" spans="1:30" s="594" customFormat="1" ht="15.75" customHeight="1">
      <c r="A414" s="204" t="str">
        <f>IF(B414&lt;&gt;"",IF(AND(B414&gt;=_TM1,B414&lt;=_TM2,OR(TH!L414="1111",TH!M414="1111")),TH!D414,""),"")</f>
        <v/>
      </c>
      <c r="B414" s="36">
        <f t="shared" si="47"/>
        <v>5</v>
      </c>
      <c r="C414" s="191">
        <f t="shared" ref="C414" si="60">E414</f>
        <v>41423</v>
      </c>
      <c r="D414" s="184" t="s">
        <v>414</v>
      </c>
      <c r="E414" s="184">
        <v>41423</v>
      </c>
      <c r="F414" s="192" t="s">
        <v>371</v>
      </c>
      <c r="G414" s="664" t="s">
        <v>671</v>
      </c>
      <c r="H414" s="193" t="s">
        <v>645</v>
      </c>
      <c r="I414" s="256"/>
      <c r="J414" s="256"/>
      <c r="K414" s="38">
        <v>17758048</v>
      </c>
      <c r="L414" s="194" t="s">
        <v>8</v>
      </c>
      <c r="M414" s="194" t="s">
        <v>47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>x</v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853"/>
      <c r="AB414" s="211"/>
      <c r="AC414" s="198"/>
      <c r="AD414" s="198"/>
    </row>
    <row r="415" spans="1:30" s="594" customFormat="1" ht="15.75" customHeight="1">
      <c r="A415" s="204" t="str">
        <f>IF(B415&lt;&gt;"",IF(AND(B415&gt;=_TM1,B415&lt;=_TM2,OR(TH!L415="1111",TH!M415="1111")),TH!D415,""),"")</f>
        <v/>
      </c>
      <c r="B415" s="36">
        <f t="shared" si="47"/>
        <v>5</v>
      </c>
      <c r="C415" s="191">
        <f t="shared" si="58"/>
        <v>41424</v>
      </c>
      <c r="D415" s="184" t="s">
        <v>415</v>
      </c>
      <c r="E415" s="184">
        <v>41424</v>
      </c>
      <c r="F415" s="192" t="s">
        <v>673</v>
      </c>
      <c r="G415" s="664" t="s">
        <v>674</v>
      </c>
      <c r="H415" s="193" t="s">
        <v>645</v>
      </c>
      <c r="I415" s="256">
        <v>835</v>
      </c>
      <c r="J415" s="256">
        <v>14813</v>
      </c>
      <c r="K415" s="38">
        <f>ROUND(I415*J415,0)</f>
        <v>12368855</v>
      </c>
      <c r="L415" s="194" t="s">
        <v>159</v>
      </c>
      <c r="M415" s="194" t="s">
        <v>8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853"/>
      <c r="AC415" s="198"/>
      <c r="AD415" s="198"/>
    </row>
    <row r="416" spans="1:30" s="594" customFormat="1" ht="15.75" customHeight="1">
      <c r="A416" s="204" t="str">
        <f>IF(B416&lt;&gt;"",IF(AND(B416&gt;=_TM1,B416&lt;=_TM2,OR(TH!L416="1111",TH!M416="1111")),TH!D416,""),"")</f>
        <v/>
      </c>
      <c r="B416" s="36">
        <f t="shared" si="47"/>
        <v>5</v>
      </c>
      <c r="C416" s="191">
        <f t="shared" si="58"/>
        <v>41424</v>
      </c>
      <c r="D416" s="184" t="s">
        <v>415</v>
      </c>
      <c r="E416" s="184">
        <v>41424</v>
      </c>
      <c r="F416" s="192" t="s">
        <v>675</v>
      </c>
      <c r="G416" s="664" t="s">
        <v>674</v>
      </c>
      <c r="H416" s="193" t="s">
        <v>645</v>
      </c>
      <c r="I416" s="256">
        <v>150</v>
      </c>
      <c r="J416" s="256">
        <v>10904</v>
      </c>
      <c r="K416" s="38">
        <f>ROUND(I416*J416,0)</f>
        <v>1635600</v>
      </c>
      <c r="L416" s="194" t="s">
        <v>159</v>
      </c>
      <c r="M416" s="194" t="s">
        <v>8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853"/>
      <c r="AB416" s="211"/>
      <c r="AC416" s="198"/>
      <c r="AD416" s="198"/>
    </row>
    <row r="417" spans="1:30" s="594" customFormat="1" ht="15.75" customHeight="1">
      <c r="A417" s="204" t="str">
        <f>IF(B417&lt;&gt;"",IF(AND(B417&gt;=_TM1,B417&lt;=_TM2,OR(TH!L417="1111",TH!M417="1111")),TH!D417,""),"")</f>
        <v/>
      </c>
      <c r="B417" s="36">
        <f t="shared" si="47"/>
        <v>5</v>
      </c>
      <c r="C417" s="191">
        <f t="shared" si="58"/>
        <v>41424</v>
      </c>
      <c r="D417" s="184" t="s">
        <v>415</v>
      </c>
      <c r="E417" s="184">
        <v>41424</v>
      </c>
      <c r="F417" s="192" t="s">
        <v>590</v>
      </c>
      <c r="G417" s="664" t="s">
        <v>674</v>
      </c>
      <c r="H417" s="193" t="s">
        <v>645</v>
      </c>
      <c r="I417" s="256"/>
      <c r="J417" s="256"/>
      <c r="K417" s="38">
        <v>1400445</v>
      </c>
      <c r="L417" s="194" t="s">
        <v>9</v>
      </c>
      <c r="M417" s="194" t="s">
        <v>8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853"/>
      <c r="AB417" s="594">
        <v>6</v>
      </c>
      <c r="AC417" s="198"/>
      <c r="AD417" s="198"/>
    </row>
    <row r="418" spans="1:30" s="594" customFormat="1" ht="15.75" customHeight="1">
      <c r="A418" s="204" t="str">
        <f>IF(B418&lt;&gt;"",IF(AND(B418&gt;=_TM1,B418&lt;=_TM2,OR(TH!L418="1111",TH!M418="1111")),TH!D418,""),"")</f>
        <v/>
      </c>
      <c r="B418" s="36">
        <f t="shared" si="47"/>
        <v>5</v>
      </c>
      <c r="C418" s="191">
        <f t="shared" ref="C418" si="61">E418</f>
        <v>41424</v>
      </c>
      <c r="D418" s="184" t="s">
        <v>415</v>
      </c>
      <c r="E418" s="184">
        <v>41424</v>
      </c>
      <c r="F418" s="192" t="s">
        <v>371</v>
      </c>
      <c r="G418" s="664" t="s">
        <v>674</v>
      </c>
      <c r="H418" s="193" t="s">
        <v>645</v>
      </c>
      <c r="I418" s="256"/>
      <c r="J418" s="256"/>
      <c r="K418" s="38">
        <v>15404900</v>
      </c>
      <c r="L418" s="194" t="s">
        <v>8</v>
      </c>
      <c r="M418" s="194" t="s">
        <v>47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>x</v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853"/>
      <c r="AB418" s="211"/>
      <c r="AC418" s="198"/>
      <c r="AD418" s="198"/>
    </row>
    <row r="419" spans="1:30" s="594" customFormat="1" ht="15.75" customHeight="1">
      <c r="A419" s="204" t="str">
        <f>IF(B419&lt;&gt;"",IF(AND(B419&gt;=_TM1,B419&lt;=_TM2,OR(TH!L419="1111",TH!M419="1111")),TH!D419,""),"")</f>
        <v/>
      </c>
      <c r="B419" s="36">
        <f t="shared" si="47"/>
        <v>8</v>
      </c>
      <c r="C419" s="191">
        <f t="shared" si="58"/>
        <v>41487</v>
      </c>
      <c r="D419" s="184" t="s">
        <v>408</v>
      </c>
      <c r="E419" s="184">
        <v>41487</v>
      </c>
      <c r="F419" s="192" t="s">
        <v>676</v>
      </c>
      <c r="G419" s="664" t="s">
        <v>677</v>
      </c>
      <c r="H419" s="193" t="s">
        <v>678</v>
      </c>
      <c r="I419" s="256">
        <v>650</v>
      </c>
      <c r="J419" s="256">
        <v>9577</v>
      </c>
      <c r="K419" s="38">
        <f>ROUND(I419*J419,0)</f>
        <v>6225050</v>
      </c>
      <c r="L419" s="194" t="s">
        <v>159</v>
      </c>
      <c r="M419" s="194" t="s">
        <v>8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>x</v>
      </c>
      <c r="AA419" s="853"/>
      <c r="AC419" s="198"/>
      <c r="AD419" s="198"/>
    </row>
    <row r="420" spans="1:30" s="594" customFormat="1" ht="15.75" customHeight="1">
      <c r="A420" s="204" t="str">
        <f>IF(B420&lt;&gt;"",IF(AND(B420&gt;=_TM1,B420&lt;=_TM2,OR(TH!L420="1111",TH!M420="1111")),TH!D420,""),"")</f>
        <v/>
      </c>
      <c r="B420" s="36">
        <f t="shared" si="47"/>
        <v>8</v>
      </c>
      <c r="C420" s="191">
        <f t="shared" si="58"/>
        <v>41487</v>
      </c>
      <c r="D420" s="184" t="s">
        <v>408</v>
      </c>
      <c r="E420" s="184">
        <v>41487</v>
      </c>
      <c r="F420" s="192" t="s">
        <v>590</v>
      </c>
      <c r="G420" s="664" t="s">
        <v>677</v>
      </c>
      <c r="H420" s="193" t="s">
        <v>678</v>
      </c>
      <c r="I420" s="256"/>
      <c r="J420" s="256"/>
      <c r="K420" s="38">
        <v>622505</v>
      </c>
      <c r="L420" s="194" t="s">
        <v>9</v>
      </c>
      <c r="M420" s="194" t="s">
        <v>8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>x</v>
      </c>
      <c r="AA420" s="853"/>
      <c r="AB420" s="594">
        <v>9</v>
      </c>
      <c r="AC420" s="198"/>
      <c r="AD420" s="198"/>
    </row>
    <row r="421" spans="1:30" s="594" customFormat="1" ht="15.75" customHeight="1">
      <c r="A421" s="204" t="str">
        <f>IF(B421&lt;&gt;"",IF(AND(B421&gt;=_TM1,B421&lt;=_TM2,OR(TH!L421="1111",TH!M421="1111")),TH!D421,""),"")</f>
        <v/>
      </c>
      <c r="B421" s="36">
        <f t="shared" si="47"/>
        <v>8</v>
      </c>
      <c r="C421" s="191">
        <f t="shared" ref="C421" si="62">E421</f>
        <v>41487</v>
      </c>
      <c r="D421" s="184" t="s">
        <v>408</v>
      </c>
      <c r="E421" s="184">
        <v>41487</v>
      </c>
      <c r="F421" s="192" t="s">
        <v>371</v>
      </c>
      <c r="G421" s="664" t="s">
        <v>677</v>
      </c>
      <c r="H421" s="193" t="s">
        <v>678</v>
      </c>
      <c r="I421" s="256"/>
      <c r="J421" s="256"/>
      <c r="K421" s="38">
        <v>6847555</v>
      </c>
      <c r="L421" s="194" t="s">
        <v>8</v>
      </c>
      <c r="M421" s="194" t="s">
        <v>47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>x</v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>x</v>
      </c>
      <c r="AA421" s="853"/>
      <c r="AB421" s="211"/>
      <c r="AC421" s="198"/>
      <c r="AD421" s="198"/>
    </row>
    <row r="422" spans="1:30" s="594" customFormat="1" ht="15.75" customHeight="1">
      <c r="A422" s="204" t="str">
        <f>IF(B422&lt;&gt;"",IF(AND(B422&gt;=_TM1,B422&lt;=_TM2,OR(TH!L422="1111",TH!M422="1111")),TH!D422,""),"")</f>
        <v/>
      </c>
      <c r="B422" s="36">
        <f t="shared" si="47"/>
        <v>8</v>
      </c>
      <c r="C422" s="191">
        <f t="shared" si="58"/>
        <v>41502</v>
      </c>
      <c r="D422" s="184" t="s">
        <v>408</v>
      </c>
      <c r="E422" s="191">
        <v>41502</v>
      </c>
      <c r="F422" s="192" t="s">
        <v>679</v>
      </c>
      <c r="G422" s="487" t="s">
        <v>680</v>
      </c>
      <c r="H422" s="193" t="s">
        <v>678</v>
      </c>
      <c r="I422" s="256">
        <v>2000</v>
      </c>
      <c r="J422" s="256">
        <v>11722</v>
      </c>
      <c r="K422" s="38">
        <f>ROUND(I422*J422,0)</f>
        <v>23444000</v>
      </c>
      <c r="L422" s="194" t="s">
        <v>159</v>
      </c>
      <c r="M422" s="194" t="s">
        <v>8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>x</v>
      </c>
      <c r="AA422" s="853"/>
      <c r="AB422" s="211"/>
      <c r="AC422" s="198"/>
      <c r="AD422" s="198"/>
    </row>
    <row r="423" spans="1:30" s="594" customFormat="1" ht="15.75" customHeight="1">
      <c r="A423" s="204" t="str">
        <f>IF(B423&lt;&gt;"",IF(AND(B423&gt;=_TM1,B423&lt;=_TM2,OR(TH!L423="1111",TH!M423="1111")),TH!D423,""),"")</f>
        <v/>
      </c>
      <c r="B423" s="36">
        <f t="shared" si="47"/>
        <v>8</v>
      </c>
      <c r="C423" s="191">
        <f t="shared" si="58"/>
        <v>41502</v>
      </c>
      <c r="D423" s="184" t="s">
        <v>408</v>
      </c>
      <c r="E423" s="191">
        <v>41502</v>
      </c>
      <c r="F423" s="192" t="s">
        <v>590</v>
      </c>
      <c r="G423" s="487" t="s">
        <v>680</v>
      </c>
      <c r="H423" s="193" t="s">
        <v>678</v>
      </c>
      <c r="I423" s="256"/>
      <c r="J423" s="256"/>
      <c r="K423" s="38">
        <v>2344400</v>
      </c>
      <c r="L423" s="194" t="s">
        <v>9</v>
      </c>
      <c r="M423" s="194" t="s">
        <v>8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>x</v>
      </c>
      <c r="AA423" s="853"/>
      <c r="AB423" s="211">
        <v>9</v>
      </c>
      <c r="AC423" s="198"/>
      <c r="AD423" s="198"/>
    </row>
    <row r="424" spans="1:30" s="594" customFormat="1" ht="15.75" customHeight="1">
      <c r="A424" s="204" t="str">
        <f>IF(B424&lt;&gt;"",IF(AND(B424&gt;=_TM1,B424&lt;=_TM2,OR(TH!L424="1111",TH!M424="1111")),TH!D424,""),"")</f>
        <v/>
      </c>
      <c r="B424" s="36">
        <f t="shared" si="47"/>
        <v>8</v>
      </c>
      <c r="C424" s="191">
        <f t="shared" ref="C424" si="63">E424</f>
        <v>41502</v>
      </c>
      <c r="D424" s="184" t="s">
        <v>408</v>
      </c>
      <c r="E424" s="191">
        <v>41502</v>
      </c>
      <c r="F424" s="192" t="s">
        <v>371</v>
      </c>
      <c r="G424" s="487" t="s">
        <v>680</v>
      </c>
      <c r="H424" s="193" t="s">
        <v>678</v>
      </c>
      <c r="I424" s="256"/>
      <c r="J424" s="256"/>
      <c r="K424" s="38">
        <f>K422+K423</f>
        <v>25788400</v>
      </c>
      <c r="L424" s="194" t="s">
        <v>8</v>
      </c>
      <c r="M424" s="194" t="s">
        <v>47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>x</v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>x</v>
      </c>
      <c r="AA424" s="853"/>
      <c r="AB424" s="211"/>
      <c r="AC424" s="198"/>
      <c r="AD424" s="198"/>
    </row>
    <row r="425" spans="1:30" s="594" customFormat="1" ht="15.75" customHeight="1">
      <c r="A425" s="204" t="str">
        <f>IF(B425&lt;&gt;"",IF(AND(B425&gt;=_TM1,B425&lt;=_TM2,OR(TH!L425="1111",TH!M425="1111")),TH!D425,""),"")</f>
        <v/>
      </c>
      <c r="B425" s="36">
        <f t="shared" si="47"/>
        <v>8</v>
      </c>
      <c r="C425" s="191">
        <f t="shared" si="58"/>
        <v>41505</v>
      </c>
      <c r="D425" s="184" t="s">
        <v>409</v>
      </c>
      <c r="E425" s="184">
        <v>41505</v>
      </c>
      <c r="F425" s="192" t="s">
        <v>681</v>
      </c>
      <c r="G425" s="664" t="s">
        <v>682</v>
      </c>
      <c r="H425" s="193" t="s">
        <v>678</v>
      </c>
      <c r="I425" s="256">
        <v>700</v>
      </c>
      <c r="J425" s="256">
        <v>18709</v>
      </c>
      <c r="K425" s="38">
        <f>ROUND(I425*J425,0)</f>
        <v>13096300</v>
      </c>
      <c r="L425" s="194" t="s">
        <v>159</v>
      </c>
      <c r="M425" s="194" t="s">
        <v>8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>x</v>
      </c>
      <c r="AA425" s="853"/>
      <c r="AC425" s="198"/>
      <c r="AD425" s="198"/>
    </row>
    <row r="426" spans="1:30" s="594" customFormat="1" ht="15.75" customHeight="1">
      <c r="A426" s="204" t="str">
        <f>IF(B426&lt;&gt;"",IF(AND(B426&gt;=_TM1,B426&lt;=_TM2,OR(TH!L426="1111",TH!M426="1111")),TH!D426,""),"")</f>
        <v/>
      </c>
      <c r="B426" s="36">
        <f t="shared" si="47"/>
        <v>8</v>
      </c>
      <c r="C426" s="191">
        <f t="shared" si="58"/>
        <v>41505</v>
      </c>
      <c r="D426" s="184" t="s">
        <v>409</v>
      </c>
      <c r="E426" s="184">
        <v>41505</v>
      </c>
      <c r="F426" s="192" t="s">
        <v>590</v>
      </c>
      <c r="G426" s="664" t="s">
        <v>682</v>
      </c>
      <c r="H426" s="193" t="s">
        <v>678</v>
      </c>
      <c r="I426" s="256"/>
      <c r="J426" s="256"/>
      <c r="K426" s="38">
        <v>1309630</v>
      </c>
      <c r="L426" s="194" t="s">
        <v>9</v>
      </c>
      <c r="M426" s="194" t="s">
        <v>8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>x</v>
      </c>
      <c r="AA426" s="853"/>
      <c r="AB426" s="594">
        <v>9</v>
      </c>
      <c r="AC426" s="198"/>
      <c r="AD426" s="198"/>
    </row>
    <row r="427" spans="1:30" s="594" customFormat="1" ht="15.75" customHeight="1">
      <c r="A427" s="204" t="str">
        <f>IF(B427&lt;&gt;"",IF(AND(B427&gt;=_TM1,B427&lt;=_TM2,OR(TH!L427="1111",TH!M427="1111")),TH!D427,""),"")</f>
        <v/>
      </c>
      <c r="B427" s="36">
        <f t="shared" si="47"/>
        <v>8</v>
      </c>
      <c r="C427" s="191">
        <f t="shared" ref="C427" si="64">E427</f>
        <v>41505</v>
      </c>
      <c r="D427" s="184" t="s">
        <v>409</v>
      </c>
      <c r="E427" s="184">
        <v>41505</v>
      </c>
      <c r="F427" s="192" t="s">
        <v>371</v>
      </c>
      <c r="G427" s="664" t="s">
        <v>682</v>
      </c>
      <c r="H427" s="193" t="s">
        <v>678</v>
      </c>
      <c r="I427" s="256"/>
      <c r="J427" s="256"/>
      <c r="K427" s="38">
        <v>14405930</v>
      </c>
      <c r="L427" s="194" t="s">
        <v>8</v>
      </c>
      <c r="M427" s="194" t="s">
        <v>47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>x</v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>x</v>
      </c>
      <c r="AA427" s="853"/>
      <c r="AB427" s="211"/>
      <c r="AC427" s="198"/>
      <c r="AD427" s="198"/>
    </row>
    <row r="428" spans="1:30" s="594" customFormat="1" ht="15.75" customHeight="1">
      <c r="A428" s="204" t="str">
        <f>IF(B428&lt;&gt;"",IF(AND(B428&gt;=_TM1,B428&lt;=_TM2,OR(TH!L428="1111",TH!M428="1111")),TH!D428,""),"")</f>
        <v/>
      </c>
      <c r="B428" s="36">
        <f t="shared" si="47"/>
        <v>8</v>
      </c>
      <c r="C428" s="191">
        <f t="shared" si="58"/>
        <v>41506</v>
      </c>
      <c r="D428" s="184" t="s">
        <v>410</v>
      </c>
      <c r="E428" s="184">
        <v>41506</v>
      </c>
      <c r="F428" s="192" t="s">
        <v>683</v>
      </c>
      <c r="G428" s="664" t="s">
        <v>684</v>
      </c>
      <c r="H428" s="193" t="s">
        <v>678</v>
      </c>
      <c r="I428" s="256">
        <v>1000</v>
      </c>
      <c r="J428" s="256">
        <v>11197</v>
      </c>
      <c r="K428" s="38">
        <f>ROUND(I428*J428,0)</f>
        <v>11197000</v>
      </c>
      <c r="L428" s="194" t="s">
        <v>159</v>
      </c>
      <c r="M428" s="194" t="s">
        <v>8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>x</v>
      </c>
      <c r="AA428" s="853"/>
      <c r="AC428" s="198"/>
      <c r="AD428" s="198"/>
    </row>
    <row r="429" spans="1:30" s="594" customFormat="1" ht="15.75" customHeight="1">
      <c r="A429" s="204" t="str">
        <f>IF(B429&lt;&gt;"",IF(AND(B429&gt;=_TM1,B429&lt;=_TM2,OR(TH!L429="1111",TH!M429="1111")),TH!D429,""),"")</f>
        <v/>
      </c>
      <c r="B429" s="36">
        <f t="shared" si="47"/>
        <v>8</v>
      </c>
      <c r="C429" s="191">
        <f t="shared" si="58"/>
        <v>41506</v>
      </c>
      <c r="D429" s="184" t="s">
        <v>410</v>
      </c>
      <c r="E429" s="184">
        <v>41506</v>
      </c>
      <c r="F429" s="192" t="s">
        <v>590</v>
      </c>
      <c r="G429" s="664" t="s">
        <v>684</v>
      </c>
      <c r="H429" s="193" t="s">
        <v>678</v>
      </c>
      <c r="I429" s="256"/>
      <c r="J429" s="256"/>
      <c r="K429" s="38">
        <v>1119700</v>
      </c>
      <c r="L429" s="194" t="s">
        <v>9</v>
      </c>
      <c r="M429" s="194" t="s">
        <v>8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>x</v>
      </c>
      <c r="AA429" s="853"/>
      <c r="AB429" s="594">
        <v>9</v>
      </c>
      <c r="AC429" s="198"/>
      <c r="AD429" s="198"/>
    </row>
    <row r="430" spans="1:30" s="594" customFormat="1" ht="15.75" customHeight="1">
      <c r="A430" s="204" t="str">
        <f>IF(B430&lt;&gt;"",IF(AND(B430&gt;=_TM1,B430&lt;=_TM2,OR(TH!L430="1111",TH!M430="1111")),TH!D430,""),"")</f>
        <v/>
      </c>
      <c r="B430" s="36">
        <f t="shared" ref="B430:B437" si="65">IF(C430&lt;&gt;"",MONTH(C430),"")</f>
        <v>8</v>
      </c>
      <c r="C430" s="191">
        <f t="shared" ref="C430" si="66">E430</f>
        <v>41506</v>
      </c>
      <c r="D430" s="184" t="s">
        <v>410</v>
      </c>
      <c r="E430" s="184">
        <v>41506</v>
      </c>
      <c r="F430" s="192" t="s">
        <v>371</v>
      </c>
      <c r="G430" s="664" t="s">
        <v>684</v>
      </c>
      <c r="H430" s="193" t="s">
        <v>678</v>
      </c>
      <c r="I430" s="256"/>
      <c r="J430" s="256"/>
      <c r="K430" s="38">
        <v>12316700</v>
      </c>
      <c r="L430" s="194" t="s">
        <v>8</v>
      </c>
      <c r="M430" s="194" t="s">
        <v>47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>x</v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>x</v>
      </c>
      <c r="AA430" s="853"/>
      <c r="AB430" s="211"/>
      <c r="AC430" s="198"/>
      <c r="AD430" s="198"/>
    </row>
    <row r="431" spans="1:30" s="594" customFormat="1" ht="15.75" customHeight="1">
      <c r="A431" s="204" t="str">
        <f>IF(B431&lt;&gt;"",IF(AND(B431&gt;=_TM1,B431&lt;=_TM2,OR(TH!L431="1111",TH!M431="1111")),TH!D431,""),"")</f>
        <v/>
      </c>
      <c r="B431" s="36">
        <f t="shared" si="65"/>
        <v>8</v>
      </c>
      <c r="C431" s="191">
        <f t="shared" si="58"/>
        <v>41508</v>
      </c>
      <c r="D431" s="184" t="s">
        <v>411</v>
      </c>
      <c r="E431" s="184">
        <v>41508</v>
      </c>
      <c r="F431" s="192" t="s">
        <v>685</v>
      </c>
      <c r="G431" s="664" t="s">
        <v>686</v>
      </c>
      <c r="H431" s="193" t="s">
        <v>678</v>
      </c>
      <c r="I431" s="256">
        <v>300</v>
      </c>
      <c r="J431" s="256">
        <v>13621</v>
      </c>
      <c r="K431" s="38">
        <f>ROUND(I431*J431,0)</f>
        <v>4086300</v>
      </c>
      <c r="L431" s="194" t="s">
        <v>159</v>
      </c>
      <c r="M431" s="194" t="s">
        <v>8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>x</v>
      </c>
      <c r="AA431" s="853"/>
      <c r="AC431" s="198"/>
      <c r="AD431" s="198"/>
    </row>
    <row r="432" spans="1:30" s="594" customFormat="1" ht="15.75" customHeight="1">
      <c r="A432" s="204" t="str">
        <f>IF(B432&lt;&gt;"",IF(AND(B432&gt;=_TM1,B432&lt;=_TM2,OR(TH!L432="1111",TH!M432="1111")),TH!D432,""),"")</f>
        <v/>
      </c>
      <c r="B432" s="36">
        <f t="shared" si="65"/>
        <v>8</v>
      </c>
      <c r="C432" s="191">
        <f t="shared" si="58"/>
        <v>41508</v>
      </c>
      <c r="D432" s="184" t="s">
        <v>411</v>
      </c>
      <c r="E432" s="184">
        <v>41508</v>
      </c>
      <c r="F432" s="192" t="s">
        <v>590</v>
      </c>
      <c r="G432" s="664" t="s">
        <v>686</v>
      </c>
      <c r="H432" s="193" t="s">
        <v>678</v>
      </c>
      <c r="I432" s="256"/>
      <c r="J432" s="256"/>
      <c r="K432" s="38">
        <v>408630</v>
      </c>
      <c r="L432" s="194" t="s">
        <v>9</v>
      </c>
      <c r="M432" s="194" t="s">
        <v>8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>x</v>
      </c>
      <c r="AA432" s="853"/>
      <c r="AB432" s="594">
        <v>9</v>
      </c>
      <c r="AC432" s="198"/>
      <c r="AD432" s="198"/>
    </row>
    <row r="433" spans="1:30" s="594" customFormat="1" ht="15.75" customHeight="1">
      <c r="A433" s="204" t="str">
        <f>IF(B433&lt;&gt;"",IF(AND(B433&gt;=_TM1,B433&lt;=_TM2,OR(TH!L433="1111",TH!M433="1111")),TH!D433,""),"")</f>
        <v/>
      </c>
      <c r="B433" s="36">
        <f t="shared" si="65"/>
        <v>8</v>
      </c>
      <c r="C433" s="191">
        <f t="shared" ref="C433" si="67">E433</f>
        <v>41508</v>
      </c>
      <c r="D433" s="184" t="s">
        <v>411</v>
      </c>
      <c r="E433" s="184">
        <v>41508</v>
      </c>
      <c r="F433" s="192" t="s">
        <v>371</v>
      </c>
      <c r="G433" s="664" t="s">
        <v>686</v>
      </c>
      <c r="H433" s="193" t="s">
        <v>678</v>
      </c>
      <c r="I433" s="256"/>
      <c r="J433" s="256"/>
      <c r="K433" s="38">
        <v>4494930</v>
      </c>
      <c r="L433" s="194" t="s">
        <v>8</v>
      </c>
      <c r="M433" s="194" t="s">
        <v>47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>x</v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>x</v>
      </c>
      <c r="AA433" s="853"/>
      <c r="AB433" s="211"/>
      <c r="AC433" s="198"/>
      <c r="AD433" s="198"/>
    </row>
    <row r="434" spans="1:30" s="594" customFormat="1" ht="15.75" customHeight="1">
      <c r="A434" s="204" t="str">
        <f>IF(B434&lt;&gt;"",IF(AND(B434&gt;=_TM1,B434&lt;=_TM2,OR(TH!L434="1111",TH!M434="1111")),TH!D434,""),"")</f>
        <v/>
      </c>
      <c r="B434" s="36">
        <f t="shared" si="65"/>
        <v>8</v>
      </c>
      <c r="C434" s="191">
        <f t="shared" ref="C434" si="68">E434</f>
        <v>41508</v>
      </c>
      <c r="D434" s="184" t="s">
        <v>411</v>
      </c>
      <c r="E434" s="184">
        <v>41508</v>
      </c>
      <c r="F434" s="192" t="s">
        <v>371</v>
      </c>
      <c r="G434" s="664"/>
      <c r="H434" s="193" t="s">
        <v>1114</v>
      </c>
      <c r="I434" s="256"/>
      <c r="J434" s="256"/>
      <c r="K434" s="38">
        <v>7470386</v>
      </c>
      <c r="L434" s="194" t="s">
        <v>8</v>
      </c>
      <c r="M434" s="194" t="s">
        <v>47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>x</v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>x</v>
      </c>
      <c r="AA434" s="853"/>
      <c r="AB434" s="211"/>
      <c r="AC434" s="198"/>
      <c r="AD434" s="198"/>
    </row>
    <row r="435" spans="1:30" s="594" customFormat="1" ht="15.75" customHeight="1">
      <c r="A435" s="204" t="str">
        <f>IF(B435&lt;&gt;"",IF(AND(B435&gt;=_TM1,B435&lt;=_TM2,OR(TH!L435="1111",TH!M435="1111")),TH!D435,""),"")</f>
        <v/>
      </c>
      <c r="B435" s="36">
        <f t="shared" si="65"/>
        <v>10</v>
      </c>
      <c r="C435" s="191">
        <f t="shared" si="58"/>
        <v>41559</v>
      </c>
      <c r="D435" s="184" t="s">
        <v>408</v>
      </c>
      <c r="E435" s="191">
        <v>41559</v>
      </c>
      <c r="F435" s="192" t="s">
        <v>687</v>
      </c>
      <c r="G435" s="487" t="s">
        <v>688</v>
      </c>
      <c r="H435" s="193" t="s">
        <v>689</v>
      </c>
      <c r="I435" s="256">
        <v>1800</v>
      </c>
      <c r="J435" s="256">
        <v>8500</v>
      </c>
      <c r="K435" s="38">
        <f>ROUND(I435*J435,0)</f>
        <v>15300000</v>
      </c>
      <c r="L435" s="194" t="s">
        <v>159</v>
      </c>
      <c r="M435" s="194" t="s">
        <v>8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853"/>
      <c r="AB435" s="211"/>
      <c r="AC435" s="198"/>
      <c r="AD435" s="198"/>
    </row>
    <row r="436" spans="1:30" s="594" customFormat="1" ht="15.75" customHeight="1">
      <c r="A436" s="204" t="str">
        <f>IF(B436&lt;&gt;"",IF(AND(B436&gt;=_TM1,B436&lt;=_TM2,OR(TH!L436="1111",TH!M436="1111")),TH!D436,""),"")</f>
        <v/>
      </c>
      <c r="B436" s="36">
        <f t="shared" si="65"/>
        <v>10</v>
      </c>
      <c r="C436" s="191">
        <f t="shared" si="58"/>
        <v>41559</v>
      </c>
      <c r="D436" s="184" t="s">
        <v>408</v>
      </c>
      <c r="E436" s="191">
        <v>41559</v>
      </c>
      <c r="F436" s="192" t="s">
        <v>590</v>
      </c>
      <c r="G436" s="487" t="s">
        <v>688</v>
      </c>
      <c r="H436" s="193" t="s">
        <v>689</v>
      </c>
      <c r="I436" s="256"/>
      <c r="J436" s="256"/>
      <c r="K436" s="38">
        <v>1530000</v>
      </c>
      <c r="L436" s="194" t="s">
        <v>9</v>
      </c>
      <c r="M436" s="194" t="s">
        <v>8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853"/>
      <c r="AB436" s="211">
        <v>12</v>
      </c>
      <c r="AC436" s="198"/>
      <c r="AD436" s="198"/>
    </row>
    <row r="437" spans="1:30" s="594" customFormat="1" ht="15.75" customHeight="1">
      <c r="A437" s="204" t="str">
        <f>IF(B437&lt;&gt;"",IF(AND(B437&gt;=_TM1,B437&lt;=_TM2,OR(TH!L437="1111",TH!M437="1111")),TH!D437,""),"")</f>
        <v>NL/N01</v>
      </c>
      <c r="B437" s="36">
        <f t="shared" si="65"/>
        <v>10</v>
      </c>
      <c r="C437" s="191">
        <f t="shared" ref="C437" si="69">E437</f>
        <v>41559</v>
      </c>
      <c r="D437" s="184" t="s">
        <v>408</v>
      </c>
      <c r="E437" s="191">
        <v>41559</v>
      </c>
      <c r="F437" s="192" t="s">
        <v>371</v>
      </c>
      <c r="G437" s="487" t="s">
        <v>688</v>
      </c>
      <c r="H437" s="193" t="s">
        <v>689</v>
      </c>
      <c r="I437" s="256"/>
      <c r="J437" s="256"/>
      <c r="K437" s="38">
        <v>16830000</v>
      </c>
      <c r="L437" s="194" t="s">
        <v>8</v>
      </c>
      <c r="M437" s="194" t="s">
        <v>47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853"/>
      <c r="AB437" s="211"/>
      <c r="AC437" s="198"/>
      <c r="AD437" s="198"/>
    </row>
    <row r="438" spans="1:30" s="211" customFormat="1" ht="15.75" customHeight="1">
      <c r="A438" s="204" t="str">
        <f>IF(B438&lt;&gt;"",IF(AND(B438&gt;=_TM1,B438&lt;=_TM2,OR(TH!L438="1111",TH!M438="1111")),TH!D438,""),"")</f>
        <v/>
      </c>
      <c r="B438" s="36">
        <f t="shared" ref="B438:B495" si="70">IF(C438&lt;&gt;"",MONTH(C438),"")</f>
        <v>10</v>
      </c>
      <c r="C438" s="191">
        <f t="shared" si="58"/>
        <v>41571</v>
      </c>
      <c r="D438" s="184" t="s">
        <v>409</v>
      </c>
      <c r="E438" s="191">
        <v>41571</v>
      </c>
      <c r="F438" s="192" t="s">
        <v>690</v>
      </c>
      <c r="G438" s="487" t="s">
        <v>691</v>
      </c>
      <c r="H438" s="193" t="s">
        <v>689</v>
      </c>
      <c r="I438" s="256">
        <v>1100</v>
      </c>
      <c r="J438" s="256">
        <v>16000</v>
      </c>
      <c r="K438" s="38">
        <f>ROUND(I438*J438,0)</f>
        <v>17600000</v>
      </c>
      <c r="L438" s="194" t="s">
        <v>159</v>
      </c>
      <c r="M438" s="194" t="s">
        <v>8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853"/>
      <c r="AC438" s="198"/>
      <c r="AD438" s="198"/>
    </row>
    <row r="439" spans="1:30" s="211" customFormat="1" ht="15.75" customHeight="1">
      <c r="A439" s="204" t="str">
        <f>IF(B439&lt;&gt;"",IF(AND(B439&gt;=_TM1,B439&lt;=_TM2,OR(TH!L439="1111",TH!M439="1111")),TH!D439,""),"")</f>
        <v/>
      </c>
      <c r="B439" s="36">
        <f t="shared" si="70"/>
        <v>10</v>
      </c>
      <c r="C439" s="191">
        <f t="shared" si="58"/>
        <v>41571</v>
      </c>
      <c r="D439" s="184" t="s">
        <v>409</v>
      </c>
      <c r="E439" s="191">
        <v>41571</v>
      </c>
      <c r="F439" s="192" t="s">
        <v>590</v>
      </c>
      <c r="G439" s="487" t="s">
        <v>691</v>
      </c>
      <c r="H439" s="193" t="s">
        <v>689</v>
      </c>
      <c r="I439" s="256"/>
      <c r="J439" s="256"/>
      <c r="K439" s="38">
        <v>1760000</v>
      </c>
      <c r="L439" s="194" t="s">
        <v>9</v>
      </c>
      <c r="M439" s="194" t="s">
        <v>8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853"/>
      <c r="AB439" s="211">
        <v>12</v>
      </c>
      <c r="AC439" s="198"/>
      <c r="AD439" s="198"/>
    </row>
    <row r="440" spans="1:30" s="211" customFormat="1" ht="15.75" customHeight="1">
      <c r="A440" s="204" t="str">
        <f>IF(B440&lt;&gt;"",IF(AND(B440&gt;=_TM1,B440&lt;=_TM2,OR(TH!L440="1111",TH!M440="1111")),TH!D440,""),"")</f>
        <v>NL/N02</v>
      </c>
      <c r="B440" s="36">
        <f t="shared" ref="B440" si="71">IF(C440&lt;&gt;"",MONTH(C440),"")</f>
        <v>10</v>
      </c>
      <c r="C440" s="191">
        <f t="shared" ref="C440" si="72">E440</f>
        <v>41571</v>
      </c>
      <c r="D440" s="184" t="s">
        <v>409</v>
      </c>
      <c r="E440" s="191">
        <v>41571</v>
      </c>
      <c r="F440" s="192" t="s">
        <v>371</v>
      </c>
      <c r="G440" s="487" t="s">
        <v>691</v>
      </c>
      <c r="H440" s="193" t="s">
        <v>689</v>
      </c>
      <c r="I440" s="256"/>
      <c r="J440" s="256"/>
      <c r="K440" s="38">
        <f>K438+K439</f>
        <v>19360000</v>
      </c>
      <c r="L440" s="194" t="s">
        <v>8</v>
      </c>
      <c r="M440" s="194" t="s">
        <v>47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853"/>
      <c r="AC440" s="198"/>
      <c r="AD440" s="198"/>
    </row>
    <row r="441" spans="1:30" s="594" customFormat="1" ht="15.75" customHeight="1">
      <c r="A441" s="204" t="str">
        <f>IF(B441&lt;&gt;"",IF(AND(B441&gt;=_TM1,B441&lt;=_TM2,OR(TH!L441="1111",TH!M441="1111")),TH!D441,""),"")</f>
        <v/>
      </c>
      <c r="B441" s="36">
        <f t="shared" si="70"/>
        <v>10</v>
      </c>
      <c r="C441" s="191">
        <f t="shared" si="58"/>
        <v>41572</v>
      </c>
      <c r="D441" s="184" t="s">
        <v>410</v>
      </c>
      <c r="E441" s="191">
        <v>41572</v>
      </c>
      <c r="F441" s="192" t="s">
        <v>690</v>
      </c>
      <c r="G441" s="487" t="s">
        <v>692</v>
      </c>
      <c r="H441" s="193" t="s">
        <v>689</v>
      </c>
      <c r="I441" s="256">
        <v>1120</v>
      </c>
      <c r="J441" s="256">
        <v>16000</v>
      </c>
      <c r="K441" s="38">
        <f>ROUND(I441*J441,0)</f>
        <v>17920000</v>
      </c>
      <c r="L441" s="194" t="s">
        <v>159</v>
      </c>
      <c r="M441" s="194" t="s">
        <v>8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853"/>
      <c r="AB441" s="211"/>
      <c r="AC441" s="198"/>
      <c r="AD441" s="198"/>
    </row>
    <row r="442" spans="1:30" s="594" customFormat="1" ht="15.75" customHeight="1">
      <c r="A442" s="204" t="str">
        <f>IF(B442&lt;&gt;"",IF(AND(B442&gt;=_TM1,B442&lt;=_TM2,OR(TH!L442="1111",TH!M442="1111")),TH!D442,""),"")</f>
        <v/>
      </c>
      <c r="B442" s="36">
        <f t="shared" si="70"/>
        <v>10</v>
      </c>
      <c r="C442" s="191">
        <f t="shared" si="58"/>
        <v>41572</v>
      </c>
      <c r="D442" s="184" t="s">
        <v>410</v>
      </c>
      <c r="E442" s="191">
        <v>41572</v>
      </c>
      <c r="F442" s="192" t="s">
        <v>590</v>
      </c>
      <c r="G442" s="487" t="s">
        <v>692</v>
      </c>
      <c r="H442" s="193" t="s">
        <v>689</v>
      </c>
      <c r="I442" s="257"/>
      <c r="J442" s="257"/>
      <c r="K442" s="38">
        <v>1792000</v>
      </c>
      <c r="L442" s="194" t="s">
        <v>9</v>
      </c>
      <c r="M442" s="194" t="s">
        <v>8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853"/>
      <c r="AB442" s="211">
        <v>12</v>
      </c>
      <c r="AC442" s="198"/>
      <c r="AD442" s="198"/>
    </row>
    <row r="443" spans="1:30" s="594" customFormat="1" ht="15.75" customHeight="1">
      <c r="A443" s="204" t="str">
        <f>IF(B443&lt;&gt;"",IF(AND(B443&gt;=_TM1,B443&lt;=_TM2,OR(TH!L443="1111",TH!M443="1111")),TH!D443,""),"")</f>
        <v>NL/N03</v>
      </c>
      <c r="B443" s="36">
        <f t="shared" ref="B443" si="73">IF(C443&lt;&gt;"",MONTH(C443),"")</f>
        <v>10</v>
      </c>
      <c r="C443" s="191">
        <f t="shared" ref="C443" si="74">E443</f>
        <v>41572</v>
      </c>
      <c r="D443" s="184" t="s">
        <v>410</v>
      </c>
      <c r="E443" s="191">
        <v>41572</v>
      </c>
      <c r="F443" s="192" t="s">
        <v>371</v>
      </c>
      <c r="G443" s="487" t="s">
        <v>692</v>
      </c>
      <c r="H443" s="193" t="s">
        <v>689</v>
      </c>
      <c r="I443" s="257"/>
      <c r="J443" s="257"/>
      <c r="K443" s="38">
        <v>19712000</v>
      </c>
      <c r="L443" s="194" t="s">
        <v>8</v>
      </c>
      <c r="M443" s="194" t="s">
        <v>47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853"/>
      <c r="AB443" s="211"/>
      <c r="AC443" s="198"/>
      <c r="AD443" s="198"/>
    </row>
    <row r="444" spans="1:30" s="594" customFormat="1" ht="15.75" customHeight="1">
      <c r="A444" s="204" t="str">
        <f>IF(B444&lt;&gt;"",IF(AND(B444&gt;=_TM1,B444&lt;=_TM2,OR(TH!L444="1111",TH!M444="1111")),TH!D444,""),"")</f>
        <v/>
      </c>
      <c r="B444" s="36">
        <f t="shared" si="70"/>
        <v>10</v>
      </c>
      <c r="C444" s="191">
        <f t="shared" si="58"/>
        <v>41573</v>
      </c>
      <c r="D444" s="184" t="s">
        <v>411</v>
      </c>
      <c r="E444" s="191">
        <v>41573</v>
      </c>
      <c r="F444" s="192" t="s">
        <v>690</v>
      </c>
      <c r="G444" s="487" t="s">
        <v>693</v>
      </c>
      <c r="H444" s="193" t="s">
        <v>689</v>
      </c>
      <c r="I444" s="257">
        <v>1100</v>
      </c>
      <c r="J444" s="257">
        <v>16000</v>
      </c>
      <c r="K444" s="38">
        <f>ROUND(I444*J444,0)</f>
        <v>17600000</v>
      </c>
      <c r="L444" s="194" t="s">
        <v>159</v>
      </c>
      <c r="M444" s="194" t="s">
        <v>8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853"/>
      <c r="AB444" s="211"/>
      <c r="AC444" s="198"/>
      <c r="AD444" s="198"/>
    </row>
    <row r="445" spans="1:30" s="594" customFormat="1" ht="15.75" customHeight="1">
      <c r="A445" s="204" t="str">
        <f>IF(B445&lt;&gt;"",IF(AND(B445&gt;=_TM1,B445&lt;=_TM2,OR(TH!L445="1111",TH!M445="1111")),TH!D445,""),"")</f>
        <v/>
      </c>
      <c r="B445" s="36">
        <f t="shared" si="70"/>
        <v>10</v>
      </c>
      <c r="C445" s="191">
        <f t="shared" si="58"/>
        <v>41573</v>
      </c>
      <c r="D445" s="184" t="s">
        <v>411</v>
      </c>
      <c r="E445" s="191">
        <v>41573</v>
      </c>
      <c r="F445" s="192" t="s">
        <v>590</v>
      </c>
      <c r="G445" s="487" t="s">
        <v>693</v>
      </c>
      <c r="H445" s="193" t="s">
        <v>689</v>
      </c>
      <c r="I445" s="256"/>
      <c r="J445" s="256"/>
      <c r="K445" s="38">
        <v>1760000</v>
      </c>
      <c r="L445" s="194" t="s">
        <v>9</v>
      </c>
      <c r="M445" s="194" t="s">
        <v>8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853"/>
      <c r="AB445" s="594">
        <v>12</v>
      </c>
      <c r="AC445" s="198"/>
      <c r="AD445" s="198"/>
    </row>
    <row r="446" spans="1:30" s="594" customFormat="1" ht="15.75" customHeight="1">
      <c r="A446" s="204" t="str">
        <f>IF(B446&lt;&gt;"",IF(AND(B446&gt;=_TM1,B446&lt;=_TM2,OR(TH!L446="1111",TH!M446="1111")),TH!D446,""),"")</f>
        <v>NL/N04</v>
      </c>
      <c r="B446" s="36">
        <f t="shared" ref="B446" si="75">IF(C446&lt;&gt;"",MONTH(C446),"")</f>
        <v>10</v>
      </c>
      <c r="C446" s="191">
        <f t="shared" ref="C446" si="76">E446</f>
        <v>41573</v>
      </c>
      <c r="D446" s="184" t="s">
        <v>411</v>
      </c>
      <c r="E446" s="191">
        <v>41573</v>
      </c>
      <c r="F446" s="192" t="s">
        <v>371</v>
      </c>
      <c r="G446" s="487" t="s">
        <v>693</v>
      </c>
      <c r="H446" s="193" t="s">
        <v>689</v>
      </c>
      <c r="I446" s="256"/>
      <c r="J446" s="256"/>
      <c r="K446" s="38">
        <v>19360000</v>
      </c>
      <c r="L446" s="194" t="s">
        <v>8</v>
      </c>
      <c r="M446" s="194" t="s">
        <v>47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853"/>
      <c r="AB446" s="211"/>
      <c r="AC446" s="198"/>
      <c r="AD446" s="198"/>
    </row>
    <row r="447" spans="1:30" s="594" customFormat="1" ht="15.75" customHeight="1">
      <c r="A447" s="204" t="str">
        <f>IF(B447&lt;&gt;"",IF(AND(B447&gt;=_TM1,B447&lt;=_TM2,OR(TH!L447="1111",TH!M447="1111")),TH!D447,""),"")</f>
        <v/>
      </c>
      <c r="B447" s="36">
        <f t="shared" si="70"/>
        <v>10</v>
      </c>
      <c r="C447" s="191">
        <f t="shared" si="58"/>
        <v>41574</v>
      </c>
      <c r="D447" s="184" t="s">
        <v>412</v>
      </c>
      <c r="E447" s="191">
        <v>41574</v>
      </c>
      <c r="F447" s="192" t="s">
        <v>690</v>
      </c>
      <c r="G447" s="487" t="s">
        <v>694</v>
      </c>
      <c r="H447" s="193" t="s">
        <v>689</v>
      </c>
      <c r="I447" s="257">
        <v>1120</v>
      </c>
      <c r="J447" s="257">
        <v>16000</v>
      </c>
      <c r="K447" s="38">
        <f>ROUND(I447*J447,0)</f>
        <v>17920000</v>
      </c>
      <c r="L447" s="194" t="s">
        <v>159</v>
      </c>
      <c r="M447" s="194" t="s">
        <v>8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853"/>
      <c r="AB447" s="211"/>
      <c r="AC447" s="198"/>
      <c r="AD447" s="198"/>
    </row>
    <row r="448" spans="1:30" s="211" customFormat="1" ht="15.75" customHeight="1">
      <c r="A448" s="204" t="str">
        <f>IF(B448&lt;&gt;"",IF(AND(B448&gt;=_TM1,B448&lt;=_TM2,OR(TH!L448="1111",TH!M448="1111")),TH!D448,""),"")</f>
        <v/>
      </c>
      <c r="B448" s="36">
        <f t="shared" si="70"/>
        <v>10</v>
      </c>
      <c r="C448" s="191">
        <f t="shared" si="58"/>
        <v>41574</v>
      </c>
      <c r="D448" s="184" t="s">
        <v>412</v>
      </c>
      <c r="E448" s="191">
        <v>41574</v>
      </c>
      <c r="F448" s="192" t="s">
        <v>590</v>
      </c>
      <c r="G448" s="487" t="s">
        <v>694</v>
      </c>
      <c r="H448" s="193" t="s">
        <v>689</v>
      </c>
      <c r="I448" s="256"/>
      <c r="J448" s="256"/>
      <c r="K448" s="38">
        <v>1792000</v>
      </c>
      <c r="L448" s="194" t="s">
        <v>9</v>
      </c>
      <c r="M448" s="194" t="s">
        <v>8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853"/>
      <c r="AB448" s="594">
        <v>12</v>
      </c>
      <c r="AC448" s="198"/>
      <c r="AD448" s="198"/>
    </row>
    <row r="449" spans="1:30" s="211" customFormat="1" ht="15.75" customHeight="1">
      <c r="A449" s="204" t="str">
        <f>IF(B449&lt;&gt;"",IF(AND(B449&gt;=_TM1,B449&lt;=_TM2,OR(TH!L449="1111",TH!M449="1111")),TH!D449,""),"")</f>
        <v>NL/N05</v>
      </c>
      <c r="B449" s="36">
        <f t="shared" ref="B449" si="77">IF(C449&lt;&gt;"",MONTH(C449),"")</f>
        <v>10</v>
      </c>
      <c r="C449" s="191">
        <f t="shared" ref="C449" si="78">E449</f>
        <v>41574</v>
      </c>
      <c r="D449" s="184" t="s">
        <v>412</v>
      </c>
      <c r="E449" s="191">
        <v>41574</v>
      </c>
      <c r="F449" s="192" t="s">
        <v>371</v>
      </c>
      <c r="G449" s="487" t="s">
        <v>694</v>
      </c>
      <c r="H449" s="193" t="s">
        <v>689</v>
      </c>
      <c r="I449" s="256"/>
      <c r="J449" s="256"/>
      <c r="K449" s="38">
        <v>19712000</v>
      </c>
      <c r="L449" s="194" t="s">
        <v>8</v>
      </c>
      <c r="M449" s="194" t="s">
        <v>47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853"/>
      <c r="AC449" s="198"/>
      <c r="AD449" s="198"/>
    </row>
    <row r="450" spans="1:30" s="211" customFormat="1" ht="15.75" customHeight="1">
      <c r="A450" s="204" t="str">
        <f>IF(B450&lt;&gt;"",IF(AND(B450&gt;=_TM1,B450&lt;=_TM2,OR(TH!L450="1111",TH!M450="1111")),TH!D450,""),"")</f>
        <v/>
      </c>
      <c r="B450" s="36">
        <f t="shared" si="70"/>
        <v>10</v>
      </c>
      <c r="C450" s="191">
        <f t="shared" si="58"/>
        <v>41575</v>
      </c>
      <c r="D450" s="184" t="s">
        <v>413</v>
      </c>
      <c r="E450" s="191">
        <v>41575</v>
      </c>
      <c r="F450" s="192" t="s">
        <v>690</v>
      </c>
      <c r="G450" s="487" t="s">
        <v>695</v>
      </c>
      <c r="H450" s="193" t="s">
        <v>689</v>
      </c>
      <c r="I450" s="257">
        <v>560</v>
      </c>
      <c r="J450" s="257">
        <v>16000</v>
      </c>
      <c r="K450" s="38">
        <f>ROUND(I450*J450,0)</f>
        <v>8960000</v>
      </c>
      <c r="L450" s="194" t="s">
        <v>159</v>
      </c>
      <c r="M450" s="194" t="s">
        <v>8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853"/>
      <c r="AC450" s="198"/>
      <c r="AD450" s="198"/>
    </row>
    <row r="451" spans="1:30" s="211" customFormat="1" ht="15.75" customHeight="1">
      <c r="A451" s="204" t="str">
        <f>IF(B451&lt;&gt;"",IF(AND(B451&gt;=_TM1,B451&lt;=_TM2,OR(TH!L451="1111",TH!M451="1111")),TH!D451,""),"")</f>
        <v/>
      </c>
      <c r="B451" s="36">
        <f t="shared" si="70"/>
        <v>10</v>
      </c>
      <c r="C451" s="191">
        <f t="shared" si="58"/>
        <v>41575</v>
      </c>
      <c r="D451" s="184" t="s">
        <v>413</v>
      </c>
      <c r="E451" s="191">
        <v>41575</v>
      </c>
      <c r="F451" s="192" t="s">
        <v>687</v>
      </c>
      <c r="G451" s="487" t="s">
        <v>695</v>
      </c>
      <c r="H451" s="193" t="s">
        <v>689</v>
      </c>
      <c r="I451" s="256">
        <v>500</v>
      </c>
      <c r="J451" s="256">
        <v>8500</v>
      </c>
      <c r="K451" s="38">
        <f>ROUND(I451*J451,0)</f>
        <v>4250000</v>
      </c>
      <c r="L451" s="194" t="s">
        <v>159</v>
      </c>
      <c r="M451" s="194" t="s">
        <v>8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853"/>
      <c r="AC451" s="198"/>
      <c r="AD451" s="198"/>
    </row>
    <row r="452" spans="1:30" s="211" customFormat="1" ht="15.75" customHeight="1">
      <c r="A452" s="204" t="str">
        <f>IF(B452&lt;&gt;"",IF(AND(B452&gt;=_TM1,B452&lt;=_TM2,OR(TH!L452="1111",TH!M452="1111")),TH!D452,""),"")</f>
        <v/>
      </c>
      <c r="B452" s="36">
        <f t="shared" si="70"/>
        <v>10</v>
      </c>
      <c r="C452" s="191">
        <f t="shared" si="58"/>
        <v>41575</v>
      </c>
      <c r="D452" s="184" t="s">
        <v>413</v>
      </c>
      <c r="E452" s="191">
        <v>41575</v>
      </c>
      <c r="F452" s="192" t="s">
        <v>590</v>
      </c>
      <c r="G452" s="487" t="s">
        <v>695</v>
      </c>
      <c r="H452" s="193" t="s">
        <v>689</v>
      </c>
      <c r="I452" s="257"/>
      <c r="J452" s="257"/>
      <c r="K452" s="38">
        <v>1321000</v>
      </c>
      <c r="L452" s="194" t="s">
        <v>9</v>
      </c>
      <c r="M452" s="194" t="s">
        <v>8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853"/>
      <c r="AB452" s="594">
        <v>12</v>
      </c>
      <c r="AC452" s="198"/>
      <c r="AD452" s="198"/>
    </row>
    <row r="453" spans="1:30" s="211" customFormat="1" ht="15.75" customHeight="1">
      <c r="A453" s="204" t="str">
        <f>IF(B453&lt;&gt;"",IF(AND(B453&gt;=_TM1,B453&lt;=_TM2,OR(TH!L453="1111",TH!M453="1111")),TH!D453,""),"")</f>
        <v>NL/N06</v>
      </c>
      <c r="B453" s="36">
        <f t="shared" ref="B453" si="79">IF(C453&lt;&gt;"",MONTH(C453),"")</f>
        <v>10</v>
      </c>
      <c r="C453" s="191">
        <f t="shared" ref="C453" si="80">E453</f>
        <v>41575</v>
      </c>
      <c r="D453" s="184" t="s">
        <v>413</v>
      </c>
      <c r="E453" s="191">
        <v>41575</v>
      </c>
      <c r="F453" s="192" t="s">
        <v>371</v>
      </c>
      <c r="G453" s="487" t="s">
        <v>695</v>
      </c>
      <c r="H453" s="193" t="s">
        <v>689</v>
      </c>
      <c r="I453" s="257"/>
      <c r="J453" s="257"/>
      <c r="K453" s="38">
        <v>14531000</v>
      </c>
      <c r="L453" s="194" t="s">
        <v>8</v>
      </c>
      <c r="M453" s="194" t="s">
        <v>47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853"/>
      <c r="AC453" s="198"/>
      <c r="AD453" s="198"/>
    </row>
    <row r="454" spans="1:30" s="594" customFormat="1" ht="15.75" customHeight="1">
      <c r="A454" s="204" t="str">
        <f>IF(B454&lt;&gt;"",IF(AND(B454&gt;=_TM1,B454&lt;=_TM2,OR(TH!L454="1111",TH!M454="1111")),TH!D454,""),"")</f>
        <v/>
      </c>
      <c r="B454" s="36">
        <f t="shared" si="70"/>
        <v>10</v>
      </c>
      <c r="C454" s="191">
        <f t="shared" si="58"/>
        <v>41576</v>
      </c>
      <c r="D454" s="184" t="s">
        <v>414</v>
      </c>
      <c r="E454" s="191">
        <v>41576</v>
      </c>
      <c r="F454" s="192" t="s">
        <v>696</v>
      </c>
      <c r="G454" s="487" t="s">
        <v>697</v>
      </c>
      <c r="H454" s="193" t="s">
        <v>698</v>
      </c>
      <c r="I454" s="256">
        <v>334</v>
      </c>
      <c r="J454" s="256">
        <v>6656</v>
      </c>
      <c r="K454" s="38">
        <f>ROUND(I454*J454,0)</f>
        <v>2223104</v>
      </c>
      <c r="L454" s="194" t="s">
        <v>159</v>
      </c>
      <c r="M454" s="194" t="s">
        <v>8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853"/>
      <c r="AB454" s="211"/>
      <c r="AC454" s="198"/>
      <c r="AD454" s="198"/>
    </row>
    <row r="455" spans="1:30" s="594" customFormat="1" ht="15.75" customHeight="1">
      <c r="A455" s="204" t="str">
        <f>IF(B455&lt;&gt;"",IF(AND(B455&gt;=_TM1,B455&lt;=_TM2,OR(TH!L455="1111",TH!M455="1111")),TH!D455,""),"")</f>
        <v/>
      </c>
      <c r="B455" s="36">
        <f t="shared" si="70"/>
        <v>10</v>
      </c>
      <c r="C455" s="191">
        <f t="shared" si="58"/>
        <v>41576</v>
      </c>
      <c r="D455" s="184" t="s">
        <v>414</v>
      </c>
      <c r="E455" s="191">
        <v>41576</v>
      </c>
      <c r="F455" s="192" t="s">
        <v>699</v>
      </c>
      <c r="G455" s="487" t="s">
        <v>697</v>
      </c>
      <c r="H455" s="193" t="s">
        <v>698</v>
      </c>
      <c r="I455" s="257">
        <v>300</v>
      </c>
      <c r="J455" s="257">
        <v>9425</v>
      </c>
      <c r="K455" s="38">
        <f>ROUND(I455*J455,0)</f>
        <v>2827500</v>
      </c>
      <c r="L455" s="194" t="s">
        <v>159</v>
      </c>
      <c r="M455" s="194" t="s">
        <v>8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853"/>
      <c r="AC455" s="198"/>
      <c r="AD455" s="198"/>
    </row>
    <row r="456" spans="1:30" s="594" customFormat="1" ht="15.75" customHeight="1">
      <c r="A456" s="204" t="str">
        <f>IF(B456&lt;&gt;"",IF(AND(B456&gt;=_TM1,B456&lt;=_TM2,OR(TH!L456="1111",TH!M456="1111")),TH!D456,""),"")</f>
        <v/>
      </c>
      <c r="B456" s="36">
        <f t="shared" si="70"/>
        <v>10</v>
      </c>
      <c r="C456" s="191">
        <f t="shared" si="58"/>
        <v>41576</v>
      </c>
      <c r="D456" s="184" t="s">
        <v>414</v>
      </c>
      <c r="E456" s="191">
        <v>41576</v>
      </c>
      <c r="F456" s="192" t="s">
        <v>700</v>
      </c>
      <c r="G456" s="487" t="s">
        <v>697</v>
      </c>
      <c r="H456" s="193" t="s">
        <v>698</v>
      </c>
      <c r="I456" s="256">
        <v>334</v>
      </c>
      <c r="J456" s="256">
        <v>16963</v>
      </c>
      <c r="K456" s="38">
        <f>ROUND(I456*J456,0)</f>
        <v>5665642</v>
      </c>
      <c r="L456" s="194" t="s">
        <v>159</v>
      </c>
      <c r="M456" s="194" t="s">
        <v>8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853"/>
      <c r="AB456" s="211"/>
      <c r="AC456" s="198"/>
      <c r="AD456" s="198"/>
    </row>
    <row r="457" spans="1:30" s="594" customFormat="1" ht="15.75" customHeight="1">
      <c r="A457" s="204" t="str">
        <f>IF(B457&lt;&gt;"",IF(AND(B457&gt;=_TM1,B457&lt;=_TM2,OR(TH!L457="1111",TH!M457="1111")),TH!D457,""),"")</f>
        <v/>
      </c>
      <c r="B457" s="36">
        <f t="shared" si="70"/>
        <v>10</v>
      </c>
      <c r="C457" s="191">
        <f t="shared" si="58"/>
        <v>41576</v>
      </c>
      <c r="D457" s="184" t="s">
        <v>414</v>
      </c>
      <c r="E457" s="191">
        <v>41576</v>
      </c>
      <c r="F457" s="192" t="s">
        <v>701</v>
      </c>
      <c r="G457" s="487" t="s">
        <v>697</v>
      </c>
      <c r="H457" s="193" t="s">
        <v>698</v>
      </c>
      <c r="I457" s="256"/>
      <c r="J457" s="256"/>
      <c r="K457" s="38">
        <v>1071625</v>
      </c>
      <c r="L457" s="194" t="s">
        <v>9</v>
      </c>
      <c r="M457" s="194" t="s">
        <v>8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853"/>
      <c r="AB457" s="594">
        <v>12</v>
      </c>
      <c r="AC457" s="198"/>
      <c r="AD457" s="198"/>
    </row>
    <row r="458" spans="1:30" s="594" customFormat="1" ht="15.75" customHeight="1">
      <c r="A458" s="204" t="str">
        <f>IF(B458&lt;&gt;"",IF(AND(B458&gt;=_TM1,B458&lt;=_TM2,OR(TH!L458="1111",TH!M458="1111")),TH!D458,""),"")</f>
        <v>NL/N07</v>
      </c>
      <c r="B458" s="36">
        <f t="shared" ref="B458" si="81">IF(C458&lt;&gt;"",MONTH(C458),"")</f>
        <v>10</v>
      </c>
      <c r="C458" s="191">
        <f t="shared" ref="C458" si="82">E458</f>
        <v>41576</v>
      </c>
      <c r="D458" s="184" t="s">
        <v>414</v>
      </c>
      <c r="E458" s="191">
        <v>41576</v>
      </c>
      <c r="F458" s="192" t="s">
        <v>371</v>
      </c>
      <c r="G458" s="487" t="s">
        <v>697</v>
      </c>
      <c r="H458" s="193" t="s">
        <v>698</v>
      </c>
      <c r="I458" s="256"/>
      <c r="J458" s="256"/>
      <c r="K458" s="38">
        <v>11787871</v>
      </c>
      <c r="L458" s="194" t="s">
        <v>8</v>
      </c>
      <c r="M458" s="194" t="s">
        <v>47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853"/>
      <c r="AB458" s="211"/>
      <c r="AC458" s="198"/>
      <c r="AD458" s="198"/>
    </row>
    <row r="459" spans="1:30" s="594" customFormat="1" ht="15.75" customHeight="1">
      <c r="A459" s="204" t="str">
        <f>IF(B459&lt;&gt;"",IF(AND(B459&gt;=_TM1,B459&lt;=_TM2,OR(TH!L459="1111",TH!M459="1111")),TH!D459,""),"")</f>
        <v/>
      </c>
      <c r="B459" s="36">
        <f t="shared" si="70"/>
        <v>10</v>
      </c>
      <c r="C459" s="191">
        <f t="shared" si="58"/>
        <v>41577</v>
      </c>
      <c r="D459" s="184" t="s">
        <v>415</v>
      </c>
      <c r="E459" s="191">
        <v>41577</v>
      </c>
      <c r="F459" s="192" t="s">
        <v>702</v>
      </c>
      <c r="G459" s="487" t="s">
        <v>703</v>
      </c>
      <c r="H459" s="193" t="s">
        <v>698</v>
      </c>
      <c r="I459" s="256">
        <v>100</v>
      </c>
      <c r="J459" s="256">
        <v>15724</v>
      </c>
      <c r="K459" s="38">
        <f>ROUND(I459*J459,0)</f>
        <v>1572400</v>
      </c>
      <c r="L459" s="194" t="s">
        <v>159</v>
      </c>
      <c r="M459" s="194" t="s">
        <v>8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853"/>
      <c r="AB459" s="211"/>
      <c r="AC459" s="198"/>
      <c r="AD459" s="198"/>
    </row>
    <row r="460" spans="1:30" s="594" customFormat="1" ht="15.75" customHeight="1">
      <c r="A460" s="204" t="str">
        <f>IF(B460&lt;&gt;"",IF(AND(B460&gt;=_TM1,B460&lt;=_TM2,OR(TH!L460="1111",TH!M460="1111")),TH!D460,""),"")</f>
        <v/>
      </c>
      <c r="B460" s="36">
        <f t="shared" si="70"/>
        <v>10</v>
      </c>
      <c r="C460" s="191">
        <f t="shared" si="58"/>
        <v>41577</v>
      </c>
      <c r="D460" s="184" t="s">
        <v>415</v>
      </c>
      <c r="E460" s="191">
        <v>41577</v>
      </c>
      <c r="F460" s="192" t="s">
        <v>704</v>
      </c>
      <c r="G460" s="487" t="s">
        <v>703</v>
      </c>
      <c r="H460" s="193" t="s">
        <v>698</v>
      </c>
      <c r="I460" s="256">
        <v>250</v>
      </c>
      <c r="J460" s="256">
        <v>14112</v>
      </c>
      <c r="K460" s="38">
        <f>ROUND(I460*J460,0)</f>
        <v>3528000</v>
      </c>
      <c r="L460" s="194" t="s">
        <v>159</v>
      </c>
      <c r="M460" s="194" t="s">
        <v>8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853"/>
      <c r="AC460" s="198"/>
      <c r="AD460" s="198"/>
    </row>
    <row r="461" spans="1:30" s="594" customFormat="1" ht="15.75" customHeight="1">
      <c r="A461" s="204" t="str">
        <f>IF(B461&lt;&gt;"",IF(AND(B461&gt;=_TM1,B461&lt;=_TM2,OR(TH!L461="1111",TH!M461="1111")),TH!D461,""),"")</f>
        <v/>
      </c>
      <c r="B461" s="36">
        <f t="shared" si="70"/>
        <v>10</v>
      </c>
      <c r="C461" s="191">
        <f t="shared" si="58"/>
        <v>41577</v>
      </c>
      <c r="D461" s="184" t="s">
        <v>415</v>
      </c>
      <c r="E461" s="191">
        <v>41577</v>
      </c>
      <c r="F461" s="192" t="s">
        <v>485</v>
      </c>
      <c r="G461" s="487" t="s">
        <v>703</v>
      </c>
      <c r="H461" s="193" t="s">
        <v>698</v>
      </c>
      <c r="I461" s="256"/>
      <c r="J461" s="256"/>
      <c r="K461" s="38">
        <v>510040</v>
      </c>
      <c r="L461" s="194" t="s">
        <v>9</v>
      </c>
      <c r="M461" s="194" t="s">
        <v>8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853"/>
      <c r="AB461" s="594">
        <v>12</v>
      </c>
      <c r="AC461" s="198"/>
      <c r="AD461" s="198"/>
    </row>
    <row r="462" spans="1:30" s="594" customFormat="1" ht="15.75" customHeight="1">
      <c r="A462" s="204" t="str">
        <f>IF(B462&lt;&gt;"",IF(AND(B462&gt;=_TM1,B462&lt;=_TM2,OR(TH!L462="1111",TH!M462="1111")),TH!D462,""),"")</f>
        <v>NL/N08</v>
      </c>
      <c r="B462" s="36">
        <f t="shared" ref="B462" si="83">IF(C462&lt;&gt;"",MONTH(C462),"")</f>
        <v>10</v>
      </c>
      <c r="C462" s="191">
        <f t="shared" ref="C462" si="84">E462</f>
        <v>41577</v>
      </c>
      <c r="D462" s="184" t="s">
        <v>415</v>
      </c>
      <c r="E462" s="191">
        <v>41577</v>
      </c>
      <c r="F462" s="192" t="s">
        <v>371</v>
      </c>
      <c r="G462" s="487" t="s">
        <v>703</v>
      </c>
      <c r="H462" s="193" t="s">
        <v>698</v>
      </c>
      <c r="I462" s="256"/>
      <c r="J462" s="256"/>
      <c r="K462" s="38">
        <v>5610440</v>
      </c>
      <c r="L462" s="194" t="s">
        <v>8</v>
      </c>
      <c r="M462" s="194" t="s">
        <v>47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853"/>
      <c r="AB462" s="211"/>
      <c r="AC462" s="198"/>
      <c r="AD462" s="198"/>
    </row>
    <row r="463" spans="1:30" s="594" customFormat="1" ht="15.75" customHeight="1">
      <c r="A463" s="204" t="str">
        <f>IF(B463&lt;&gt;"",IF(AND(B463&gt;=_TM1,B463&lt;=_TM2,OR(TH!L463="1111",TH!M463="1111")),TH!D463,""),"")</f>
        <v/>
      </c>
      <c r="B463" s="36">
        <f t="shared" si="70"/>
        <v>11</v>
      </c>
      <c r="C463" s="191">
        <f t="shared" si="58"/>
        <v>41580</v>
      </c>
      <c r="D463" s="184" t="s">
        <v>416</v>
      </c>
      <c r="E463" s="184">
        <v>41580</v>
      </c>
      <c r="F463" s="192" t="s">
        <v>705</v>
      </c>
      <c r="G463" s="664" t="s">
        <v>706</v>
      </c>
      <c r="H463" s="193" t="s">
        <v>707</v>
      </c>
      <c r="I463" s="256">
        <v>1000</v>
      </c>
      <c r="J463" s="256">
        <v>16800</v>
      </c>
      <c r="K463" s="38">
        <f>ROUND(I463*J463,0)</f>
        <v>16800000</v>
      </c>
      <c r="L463" s="194" t="s">
        <v>159</v>
      </c>
      <c r="M463" s="194" t="s">
        <v>8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853"/>
      <c r="AB463" s="211"/>
      <c r="AC463" s="198"/>
      <c r="AD463" s="198"/>
    </row>
    <row r="464" spans="1:30" s="594" customFormat="1" ht="15.75" customHeight="1">
      <c r="A464" s="204" t="str">
        <f>IF(B464&lt;&gt;"",IF(AND(B464&gt;=_TM1,B464&lt;=_TM2,OR(TH!L464="1111",TH!M464="1111")),TH!D464,""),"")</f>
        <v/>
      </c>
      <c r="B464" s="36">
        <f t="shared" si="70"/>
        <v>11</v>
      </c>
      <c r="C464" s="191">
        <f t="shared" si="58"/>
        <v>41580</v>
      </c>
      <c r="D464" s="184" t="s">
        <v>416</v>
      </c>
      <c r="E464" s="184">
        <v>41580</v>
      </c>
      <c r="F464" s="192" t="s">
        <v>590</v>
      </c>
      <c r="G464" s="664" t="s">
        <v>706</v>
      </c>
      <c r="H464" s="193" t="s">
        <v>707</v>
      </c>
      <c r="I464" s="256"/>
      <c r="J464" s="256"/>
      <c r="K464" s="38">
        <v>1680000</v>
      </c>
      <c r="L464" s="194" t="s">
        <v>9</v>
      </c>
      <c r="M464" s="194" t="s">
        <v>8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853"/>
      <c r="AB464" s="594">
        <v>12</v>
      </c>
      <c r="AC464" s="198"/>
      <c r="AD464" s="198"/>
    </row>
    <row r="465" spans="1:30" s="594" customFormat="1" ht="15.75" customHeight="1">
      <c r="A465" s="204" t="str">
        <f>IF(B465&lt;&gt;"",IF(AND(B465&gt;=_TM1,B465&lt;=_TM2,OR(TH!L465="1111",TH!M465="1111")),TH!D465,""),"")</f>
        <v>NL/N09</v>
      </c>
      <c r="B465" s="36">
        <f t="shared" ref="B465" si="85">IF(C465&lt;&gt;"",MONTH(C465),"")</f>
        <v>11</v>
      </c>
      <c r="C465" s="191">
        <f t="shared" ref="C465" si="86">E465</f>
        <v>41580</v>
      </c>
      <c r="D465" s="184" t="s">
        <v>416</v>
      </c>
      <c r="E465" s="184">
        <v>41580</v>
      </c>
      <c r="F465" s="192" t="s">
        <v>371</v>
      </c>
      <c r="G465" s="664" t="s">
        <v>706</v>
      </c>
      <c r="H465" s="193" t="s">
        <v>707</v>
      </c>
      <c r="I465" s="256"/>
      <c r="J465" s="256"/>
      <c r="K465" s="38">
        <v>18480000</v>
      </c>
      <c r="L465" s="194" t="s">
        <v>8</v>
      </c>
      <c r="M465" s="194" t="s">
        <v>47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853"/>
      <c r="AB465" s="211"/>
      <c r="AC465" s="198"/>
      <c r="AD465" s="198"/>
    </row>
    <row r="466" spans="1:30" s="594" customFormat="1" ht="15.75" customHeight="1">
      <c r="A466" s="204" t="str">
        <f>IF(B466&lt;&gt;"",IF(AND(B466&gt;=_TM1,B466&lt;=_TM2,OR(TH!L466="1111",TH!M466="1111")),TH!D466,""),"")</f>
        <v/>
      </c>
      <c r="B466" s="36">
        <f t="shared" si="70"/>
        <v>11</v>
      </c>
      <c r="C466" s="191">
        <f t="shared" si="58"/>
        <v>41582</v>
      </c>
      <c r="D466" s="184" t="s">
        <v>417</v>
      </c>
      <c r="E466" s="184">
        <v>41582</v>
      </c>
      <c r="F466" s="192" t="s">
        <v>708</v>
      </c>
      <c r="G466" s="664" t="s">
        <v>709</v>
      </c>
      <c r="H466" s="193" t="s">
        <v>707</v>
      </c>
      <c r="I466" s="256">
        <v>1000</v>
      </c>
      <c r="J466" s="256">
        <v>9500</v>
      </c>
      <c r="K466" s="38">
        <f>ROUND(I466*J466,0)</f>
        <v>9500000</v>
      </c>
      <c r="L466" s="194" t="s">
        <v>159</v>
      </c>
      <c r="M466" s="194" t="s">
        <v>8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853"/>
      <c r="AB466" s="211"/>
      <c r="AC466" s="198"/>
      <c r="AD466" s="198"/>
    </row>
    <row r="467" spans="1:30" s="594" customFormat="1" ht="15.75" customHeight="1">
      <c r="A467" s="204" t="str">
        <f>IF(B467&lt;&gt;"",IF(AND(B467&gt;=_TM1,B467&lt;=_TM2,OR(TH!L467="1111",TH!M467="1111")),TH!D467,""),"")</f>
        <v/>
      </c>
      <c r="B467" s="36">
        <f t="shared" si="70"/>
        <v>11</v>
      </c>
      <c r="C467" s="191">
        <f t="shared" si="58"/>
        <v>41582</v>
      </c>
      <c r="D467" s="184" t="s">
        <v>417</v>
      </c>
      <c r="E467" s="184">
        <v>41582</v>
      </c>
      <c r="F467" s="192" t="s">
        <v>710</v>
      </c>
      <c r="G467" s="664" t="s">
        <v>709</v>
      </c>
      <c r="H467" s="193" t="s">
        <v>707</v>
      </c>
      <c r="I467" s="256">
        <v>800</v>
      </c>
      <c r="J467" s="256">
        <v>9000</v>
      </c>
      <c r="K467" s="38">
        <f>ROUND(I467*J467,0)</f>
        <v>7200000</v>
      </c>
      <c r="L467" s="194" t="s">
        <v>159</v>
      </c>
      <c r="M467" s="194" t="s">
        <v>8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853"/>
      <c r="AB467" s="211"/>
      <c r="AC467" s="198"/>
      <c r="AD467" s="198"/>
    </row>
    <row r="468" spans="1:30" s="594" customFormat="1" ht="15.75" customHeight="1">
      <c r="A468" s="204" t="str">
        <f>IF(B468&lt;&gt;"",IF(AND(B468&gt;=_TM1,B468&lt;=_TM2,OR(TH!L468="1111",TH!M468="1111")),TH!D468,""),"")</f>
        <v/>
      </c>
      <c r="B468" s="36">
        <f t="shared" si="70"/>
        <v>11</v>
      </c>
      <c r="C468" s="191">
        <f t="shared" si="58"/>
        <v>41582</v>
      </c>
      <c r="D468" s="184" t="s">
        <v>417</v>
      </c>
      <c r="E468" s="184">
        <v>41582</v>
      </c>
      <c r="F468" s="192" t="s">
        <v>590</v>
      </c>
      <c r="G468" s="664" t="s">
        <v>709</v>
      </c>
      <c r="H468" s="193" t="s">
        <v>707</v>
      </c>
      <c r="I468" s="256"/>
      <c r="J468" s="256"/>
      <c r="K468" s="38">
        <v>1670000</v>
      </c>
      <c r="L468" s="194" t="s">
        <v>9</v>
      </c>
      <c r="M468" s="194" t="s">
        <v>8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853"/>
      <c r="AB468" s="594">
        <v>12</v>
      </c>
      <c r="AC468" s="198"/>
      <c r="AD468" s="198"/>
    </row>
    <row r="469" spans="1:30" s="594" customFormat="1" ht="15.75" customHeight="1">
      <c r="A469" s="204" t="str">
        <f>IF(B469&lt;&gt;"",IF(AND(B469&gt;=_TM1,B469&lt;=_TM2,OR(TH!L469="1111",TH!M469="1111")),TH!D469,""),"")</f>
        <v>NL/N10</v>
      </c>
      <c r="B469" s="36">
        <f t="shared" ref="B469" si="87">IF(C469&lt;&gt;"",MONTH(C469),"")</f>
        <v>11</v>
      </c>
      <c r="C469" s="191">
        <f t="shared" ref="C469" si="88">E469</f>
        <v>41582</v>
      </c>
      <c r="D469" s="184" t="s">
        <v>417</v>
      </c>
      <c r="E469" s="184">
        <v>41582</v>
      </c>
      <c r="F469" s="192" t="s">
        <v>371</v>
      </c>
      <c r="G469" s="664" t="s">
        <v>709</v>
      </c>
      <c r="H469" s="193" t="s">
        <v>707</v>
      </c>
      <c r="I469" s="256"/>
      <c r="J469" s="256"/>
      <c r="K469" s="38">
        <v>18370000</v>
      </c>
      <c r="L469" s="194" t="s">
        <v>8</v>
      </c>
      <c r="M469" s="194" t="s">
        <v>47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853"/>
      <c r="AB469" s="211"/>
      <c r="AC469" s="198"/>
      <c r="AD469" s="198"/>
    </row>
    <row r="470" spans="1:30" s="594" customFormat="1" ht="15.75" customHeight="1">
      <c r="A470" s="204" t="str">
        <f>IF(B470&lt;&gt;"",IF(AND(B470&gt;=_TM1,B470&lt;=_TM2,OR(TH!L470="1111",TH!M470="1111")),TH!D470,""),"")</f>
        <v/>
      </c>
      <c r="B470" s="36">
        <f t="shared" si="70"/>
        <v>11</v>
      </c>
      <c r="C470" s="191">
        <f t="shared" si="58"/>
        <v>41586</v>
      </c>
      <c r="D470" s="184" t="s">
        <v>418</v>
      </c>
      <c r="E470" s="191">
        <v>41586</v>
      </c>
      <c r="F470" s="192" t="s">
        <v>711</v>
      </c>
      <c r="G470" s="485" t="s">
        <v>712</v>
      </c>
      <c r="H470" s="193" t="s">
        <v>707</v>
      </c>
      <c r="I470" s="256">
        <v>1100</v>
      </c>
      <c r="J470" s="256">
        <v>15000</v>
      </c>
      <c r="K470" s="38">
        <f>ROUND(I470*J470,0)</f>
        <v>16500000</v>
      </c>
      <c r="L470" s="194" t="s">
        <v>159</v>
      </c>
      <c r="M470" s="194" t="s">
        <v>8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853"/>
      <c r="AB470" s="211"/>
      <c r="AC470" s="198"/>
      <c r="AD470" s="198"/>
    </row>
    <row r="471" spans="1:30" s="594" customFormat="1" ht="15.75" customHeight="1">
      <c r="A471" s="204" t="str">
        <f>IF(B471&lt;&gt;"",IF(AND(B471&gt;=_TM1,B471&lt;=_TM2,OR(TH!L471="1111",TH!M471="1111")),TH!D471,""),"")</f>
        <v/>
      </c>
      <c r="B471" s="36">
        <f t="shared" si="70"/>
        <v>11</v>
      </c>
      <c r="C471" s="191">
        <f t="shared" si="58"/>
        <v>41586</v>
      </c>
      <c r="D471" s="184" t="s">
        <v>418</v>
      </c>
      <c r="E471" s="191">
        <v>41586</v>
      </c>
      <c r="F471" s="192" t="s">
        <v>590</v>
      </c>
      <c r="G471" s="485" t="s">
        <v>712</v>
      </c>
      <c r="H471" s="193" t="s">
        <v>707</v>
      </c>
      <c r="I471" s="256"/>
      <c r="J471" s="256"/>
      <c r="K471" s="38">
        <v>1650000</v>
      </c>
      <c r="L471" s="194" t="s">
        <v>9</v>
      </c>
      <c r="M471" s="194" t="s">
        <v>8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/>
      </c>
      <c r="AA471" s="853"/>
      <c r="AB471" s="594">
        <v>12</v>
      </c>
      <c r="AC471" s="198"/>
      <c r="AD471" s="198"/>
    </row>
    <row r="472" spans="1:30" s="594" customFormat="1" ht="15.75" customHeight="1">
      <c r="A472" s="204" t="str">
        <f>IF(B472&lt;&gt;"",IF(AND(B472&gt;=_TM1,B472&lt;=_TM2,OR(TH!L472="1111",TH!M472="1111")),TH!D472,""),"")</f>
        <v>NL/N11</v>
      </c>
      <c r="B472" s="36">
        <f t="shared" ref="B472" si="89">IF(C472&lt;&gt;"",MONTH(C472),"")</f>
        <v>11</v>
      </c>
      <c r="C472" s="191">
        <f t="shared" ref="C472" si="90">E472</f>
        <v>41586</v>
      </c>
      <c r="D472" s="184" t="s">
        <v>418</v>
      </c>
      <c r="E472" s="191">
        <v>41586</v>
      </c>
      <c r="F472" s="192" t="s">
        <v>371</v>
      </c>
      <c r="G472" s="485" t="s">
        <v>712</v>
      </c>
      <c r="H472" s="193" t="s">
        <v>707</v>
      </c>
      <c r="I472" s="256"/>
      <c r="J472" s="256"/>
      <c r="K472" s="38">
        <v>18150000</v>
      </c>
      <c r="L472" s="194" t="s">
        <v>8</v>
      </c>
      <c r="M472" s="194" t="s">
        <v>47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/>
      </c>
      <c r="AA472" s="853"/>
      <c r="AB472" s="211"/>
      <c r="AC472" s="198"/>
      <c r="AD472" s="198"/>
    </row>
    <row r="473" spans="1:30" s="594" customFormat="1" ht="15.75" customHeight="1">
      <c r="A473" s="204" t="str">
        <f>IF(B473&lt;&gt;"",IF(AND(B473&gt;=_TM1,B473&lt;=_TM2,OR(TH!L473="1111",TH!M473="1111")),TH!D473,""),"")</f>
        <v/>
      </c>
      <c r="B473" s="36">
        <f t="shared" si="70"/>
        <v>12</v>
      </c>
      <c r="C473" s="191">
        <f t="shared" si="58"/>
        <v>41617</v>
      </c>
      <c r="D473" s="184" t="s">
        <v>419</v>
      </c>
      <c r="E473" s="191">
        <v>41617</v>
      </c>
      <c r="F473" s="192" t="s">
        <v>713</v>
      </c>
      <c r="G473" s="487" t="s">
        <v>714</v>
      </c>
      <c r="H473" s="193" t="s">
        <v>698</v>
      </c>
      <c r="I473" s="256">
        <v>2650</v>
      </c>
      <c r="J473" s="256">
        <v>6760</v>
      </c>
      <c r="K473" s="38">
        <f>ROUND(I473*J473,0)</f>
        <v>17914000</v>
      </c>
      <c r="L473" s="194" t="s">
        <v>159</v>
      </c>
      <c r="M473" s="194" t="s">
        <v>8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/>
      </c>
      <c r="AA473" s="853"/>
      <c r="AC473" s="198"/>
      <c r="AD473" s="198"/>
    </row>
    <row r="474" spans="1:30" s="594" customFormat="1" ht="15.75" customHeight="1">
      <c r="A474" s="204" t="str">
        <f>IF(B474&lt;&gt;"",IF(AND(B474&gt;=_TM1,B474&lt;=_TM2,OR(TH!L474="1111",TH!M474="1111")),TH!D474,""),"")</f>
        <v/>
      </c>
      <c r="B474" s="36">
        <f t="shared" si="70"/>
        <v>12</v>
      </c>
      <c r="C474" s="191">
        <f t="shared" si="58"/>
        <v>41617</v>
      </c>
      <c r="D474" s="184" t="s">
        <v>419</v>
      </c>
      <c r="E474" s="191">
        <v>41617</v>
      </c>
      <c r="F474" s="192" t="s">
        <v>701</v>
      </c>
      <c r="G474" s="487" t="s">
        <v>714</v>
      </c>
      <c r="H474" s="193" t="s">
        <v>698</v>
      </c>
      <c r="I474" s="256"/>
      <c r="J474" s="256"/>
      <c r="K474" s="38">
        <v>1791400</v>
      </c>
      <c r="L474" s="194" t="s">
        <v>9</v>
      </c>
      <c r="M474" s="194" t="s">
        <v>8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/>
      </c>
      <c r="AA474" s="853"/>
      <c r="AB474" s="594">
        <v>12</v>
      </c>
      <c r="AC474" s="198"/>
      <c r="AD474" s="198"/>
    </row>
    <row r="475" spans="1:30" s="594" customFormat="1" ht="15.75" customHeight="1">
      <c r="A475" s="204" t="str">
        <f>IF(B475&lt;&gt;"",IF(AND(B475&gt;=_TM1,B475&lt;=_TM2,OR(TH!L475="1111",TH!M475="1111")),TH!D475,""),"")</f>
        <v>NL/N12</v>
      </c>
      <c r="B475" s="36">
        <f t="shared" ref="B475" si="91">IF(C475&lt;&gt;"",MONTH(C475),"")</f>
        <v>12</v>
      </c>
      <c r="C475" s="191">
        <f t="shared" ref="C475" si="92">E475</f>
        <v>41617</v>
      </c>
      <c r="D475" s="184" t="s">
        <v>419</v>
      </c>
      <c r="E475" s="191">
        <v>41617</v>
      </c>
      <c r="F475" s="192" t="s">
        <v>371</v>
      </c>
      <c r="G475" s="487" t="s">
        <v>714</v>
      </c>
      <c r="H475" s="193" t="s">
        <v>698</v>
      </c>
      <c r="I475" s="256"/>
      <c r="J475" s="256"/>
      <c r="K475" s="38">
        <v>19705400</v>
      </c>
      <c r="L475" s="194" t="s">
        <v>8</v>
      </c>
      <c r="M475" s="194" t="s">
        <v>47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853"/>
      <c r="AB475" s="211"/>
      <c r="AC475" s="198"/>
      <c r="AD475" s="198"/>
    </row>
    <row r="476" spans="1:30" s="594" customFormat="1" ht="15.75" customHeight="1">
      <c r="A476" s="204" t="str">
        <f>IF(B476&lt;&gt;"",IF(AND(B476&gt;=_TM1,B476&lt;=_TM2,OR(TH!L476="1111",TH!M476="1111")),TH!D476,""),"")</f>
        <v/>
      </c>
      <c r="B476" s="36">
        <f t="shared" si="70"/>
        <v>12</v>
      </c>
      <c r="C476" s="191">
        <f t="shared" si="58"/>
        <v>41621</v>
      </c>
      <c r="D476" s="184" t="s">
        <v>420</v>
      </c>
      <c r="E476" s="191">
        <v>41621</v>
      </c>
      <c r="F476" s="192" t="s">
        <v>715</v>
      </c>
      <c r="G476" s="487" t="s">
        <v>716</v>
      </c>
      <c r="H476" s="193" t="s">
        <v>698</v>
      </c>
      <c r="I476" s="256">
        <v>930</v>
      </c>
      <c r="J476" s="256">
        <v>19492</v>
      </c>
      <c r="K476" s="38">
        <f>ROUND(I476*J476,0)</f>
        <v>18127560</v>
      </c>
      <c r="L476" s="194" t="s">
        <v>159</v>
      </c>
      <c r="M476" s="194" t="s">
        <v>8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/>
      </c>
      <c r="AA476" s="853"/>
      <c r="AC476" s="198"/>
      <c r="AD476" s="198"/>
    </row>
    <row r="477" spans="1:30" s="594" customFormat="1" ht="15.75" customHeight="1">
      <c r="A477" s="204" t="str">
        <f>IF(B477&lt;&gt;"",IF(AND(B477&gt;=_TM1,B477&lt;=_TM2,OR(TH!L477="1111",TH!M477="1111")),TH!D477,""),"")</f>
        <v/>
      </c>
      <c r="B477" s="36">
        <f t="shared" si="70"/>
        <v>12</v>
      </c>
      <c r="C477" s="191">
        <f t="shared" si="58"/>
        <v>41621</v>
      </c>
      <c r="D477" s="184" t="s">
        <v>420</v>
      </c>
      <c r="E477" s="191">
        <v>41621</v>
      </c>
      <c r="F477" s="192" t="s">
        <v>485</v>
      </c>
      <c r="G477" s="487" t="s">
        <v>716</v>
      </c>
      <c r="H477" s="193" t="s">
        <v>698</v>
      </c>
      <c r="I477" s="256"/>
      <c r="J477" s="256"/>
      <c r="K477" s="38">
        <v>1812756</v>
      </c>
      <c r="L477" s="194" t="s">
        <v>9</v>
      </c>
      <c r="M477" s="194" t="s">
        <v>8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/>
      </c>
      <c r="AA477" s="853"/>
      <c r="AB477" s="594">
        <v>12</v>
      </c>
      <c r="AC477" s="198"/>
      <c r="AD477" s="198"/>
    </row>
    <row r="478" spans="1:30" s="594" customFormat="1" ht="15.75" customHeight="1">
      <c r="A478" s="204" t="str">
        <f>IF(B478&lt;&gt;"",IF(AND(B478&gt;=_TM1,B478&lt;=_TM2,OR(TH!L478="1111",TH!M478="1111")),TH!D478,""),"")</f>
        <v>NL/N13</v>
      </c>
      <c r="B478" s="36">
        <f t="shared" ref="B478" si="93">IF(C478&lt;&gt;"",MONTH(C478),"")</f>
        <v>12</v>
      </c>
      <c r="C478" s="191">
        <f t="shared" ref="C478" si="94">E478</f>
        <v>41621</v>
      </c>
      <c r="D478" s="184" t="s">
        <v>420</v>
      </c>
      <c r="E478" s="191">
        <v>41621</v>
      </c>
      <c r="F478" s="192" t="s">
        <v>371</v>
      </c>
      <c r="G478" s="487" t="s">
        <v>716</v>
      </c>
      <c r="H478" s="193" t="s">
        <v>698</v>
      </c>
      <c r="I478" s="256"/>
      <c r="J478" s="256"/>
      <c r="K478" s="38">
        <v>19940316</v>
      </c>
      <c r="L478" s="194" t="s">
        <v>8</v>
      </c>
      <c r="M478" s="194" t="s">
        <v>47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/>
      </c>
      <c r="AA478" s="853"/>
      <c r="AB478" s="211"/>
      <c r="AC478" s="198"/>
      <c r="AD478" s="198"/>
    </row>
    <row r="479" spans="1:30" s="594" customFormat="1" ht="15.75" customHeight="1">
      <c r="A479" s="204" t="str">
        <f>IF(B479&lt;&gt;"",IF(AND(B479&gt;=_TM1,B479&lt;=_TM2,OR(TH!L479="1111",TH!M479="1111")),TH!D479,""),"")</f>
        <v/>
      </c>
      <c r="B479" s="36">
        <f t="shared" si="70"/>
        <v>12</v>
      </c>
      <c r="C479" s="191">
        <f t="shared" si="58"/>
        <v>41624</v>
      </c>
      <c r="D479" s="184" t="s">
        <v>421</v>
      </c>
      <c r="E479" s="191">
        <v>41624</v>
      </c>
      <c r="F479" s="192" t="s">
        <v>715</v>
      </c>
      <c r="G479" s="487" t="s">
        <v>717</v>
      </c>
      <c r="H479" s="193" t="s">
        <v>698</v>
      </c>
      <c r="I479" s="256">
        <v>825</v>
      </c>
      <c r="J479" s="256">
        <v>21924</v>
      </c>
      <c r="K479" s="38">
        <f>ROUND(I479*J479,0)</f>
        <v>18087300</v>
      </c>
      <c r="L479" s="194" t="s">
        <v>159</v>
      </c>
      <c r="M479" s="194" t="s">
        <v>8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/>
      </c>
      <c r="AA479" s="853"/>
      <c r="AC479" s="198"/>
      <c r="AD479" s="198"/>
    </row>
    <row r="480" spans="1:30" s="594" customFormat="1" ht="15.75" customHeight="1">
      <c r="A480" s="204" t="str">
        <f>IF(B480&lt;&gt;"",IF(AND(B480&gt;=_TM1,B480&lt;=_TM2,OR(TH!L480="1111",TH!M480="1111")),TH!D480,""),"")</f>
        <v/>
      </c>
      <c r="B480" s="36">
        <f t="shared" si="70"/>
        <v>12</v>
      </c>
      <c r="C480" s="191">
        <f t="shared" si="58"/>
        <v>41624</v>
      </c>
      <c r="D480" s="184" t="s">
        <v>421</v>
      </c>
      <c r="E480" s="191">
        <v>41624</v>
      </c>
      <c r="F480" s="192" t="s">
        <v>485</v>
      </c>
      <c r="G480" s="487" t="s">
        <v>717</v>
      </c>
      <c r="H480" s="193" t="s">
        <v>698</v>
      </c>
      <c r="I480" s="256"/>
      <c r="J480" s="256"/>
      <c r="K480" s="38">
        <v>1808730</v>
      </c>
      <c r="L480" s="194" t="s">
        <v>9</v>
      </c>
      <c r="M480" s="194" t="s">
        <v>8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/>
      </c>
      <c r="AA480" s="853"/>
      <c r="AB480" s="594">
        <v>12</v>
      </c>
      <c r="AC480" s="198"/>
      <c r="AD480" s="198"/>
    </row>
    <row r="481" spans="1:30" s="594" customFormat="1" ht="15.75" customHeight="1">
      <c r="A481" s="204" t="str">
        <f>IF(B481&lt;&gt;"",IF(AND(B481&gt;=_TM1,B481&lt;=_TM2,OR(TH!L481="1111",TH!M481="1111")),TH!D481,""),"")</f>
        <v>NL/N14</v>
      </c>
      <c r="B481" s="36">
        <f t="shared" ref="B481" si="95">IF(C481&lt;&gt;"",MONTH(C481),"")</f>
        <v>12</v>
      </c>
      <c r="C481" s="191">
        <f t="shared" ref="C481" si="96">E481</f>
        <v>41624</v>
      </c>
      <c r="D481" s="184" t="s">
        <v>421</v>
      </c>
      <c r="E481" s="191">
        <v>41624</v>
      </c>
      <c r="F481" s="192" t="s">
        <v>371</v>
      </c>
      <c r="G481" s="487" t="s">
        <v>717</v>
      </c>
      <c r="H481" s="193" t="s">
        <v>698</v>
      </c>
      <c r="I481" s="256"/>
      <c r="J481" s="256"/>
      <c r="K481" s="38">
        <v>19896030</v>
      </c>
      <c r="L481" s="194" t="s">
        <v>8</v>
      </c>
      <c r="M481" s="194" t="s">
        <v>47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/>
      </c>
      <c r="AA481" s="853"/>
      <c r="AB481" s="211"/>
      <c r="AC481" s="198"/>
      <c r="AD481" s="198"/>
    </row>
    <row r="482" spans="1:30" s="594" customFormat="1" ht="15.75" customHeight="1">
      <c r="A482" s="204" t="str">
        <f>IF(B482&lt;&gt;"",IF(AND(B482&gt;=_TM1,B482&lt;=_TM2,OR(TH!L482="1111",TH!M482="1111")),TH!D482,""),"")</f>
        <v/>
      </c>
      <c r="B482" s="36">
        <f t="shared" si="70"/>
        <v>12</v>
      </c>
      <c r="C482" s="191">
        <f t="shared" si="58"/>
        <v>41628</v>
      </c>
      <c r="D482" s="184" t="s">
        <v>422</v>
      </c>
      <c r="E482" s="191">
        <v>41628</v>
      </c>
      <c r="F482" s="192" t="s">
        <v>718</v>
      </c>
      <c r="G482" s="487" t="s">
        <v>719</v>
      </c>
      <c r="H482" s="193" t="s">
        <v>698</v>
      </c>
      <c r="I482" s="256">
        <v>830</v>
      </c>
      <c r="J482" s="256">
        <v>21672</v>
      </c>
      <c r="K482" s="38">
        <f>ROUND(I482*J482,0)</f>
        <v>17987760</v>
      </c>
      <c r="L482" s="194" t="s">
        <v>159</v>
      </c>
      <c r="M482" s="194" t="s">
        <v>8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/>
      </c>
      <c r="AA482" s="853"/>
      <c r="AC482" s="198"/>
      <c r="AD482" s="198"/>
    </row>
    <row r="483" spans="1:30" s="594" customFormat="1" ht="15.75" customHeight="1">
      <c r="A483" s="204" t="str">
        <f>IF(B483&lt;&gt;"",IF(AND(B483&gt;=_TM1,B483&lt;=_TM2,OR(TH!L483="1111",TH!M483="1111")),TH!D483,""),"")</f>
        <v/>
      </c>
      <c r="B483" s="36">
        <f t="shared" si="70"/>
        <v>12</v>
      </c>
      <c r="C483" s="191">
        <f t="shared" si="58"/>
        <v>41628</v>
      </c>
      <c r="D483" s="184" t="s">
        <v>422</v>
      </c>
      <c r="E483" s="191">
        <v>41628</v>
      </c>
      <c r="F483" s="192" t="s">
        <v>485</v>
      </c>
      <c r="G483" s="487" t="s">
        <v>719</v>
      </c>
      <c r="H483" s="193" t="s">
        <v>698</v>
      </c>
      <c r="I483" s="256"/>
      <c r="J483" s="256"/>
      <c r="K483" s="38">
        <v>1798776</v>
      </c>
      <c r="L483" s="194" t="s">
        <v>9</v>
      </c>
      <c r="M483" s="194" t="s">
        <v>8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/>
      </c>
      <c r="AA483" s="853"/>
      <c r="AB483" s="594">
        <v>12</v>
      </c>
      <c r="AC483" s="198"/>
      <c r="AD483" s="198"/>
    </row>
    <row r="484" spans="1:30" s="594" customFormat="1" ht="15.75" customHeight="1">
      <c r="A484" s="204" t="str">
        <f>IF(B484&lt;&gt;"",IF(AND(B484&gt;=_TM1,B484&lt;=_TM2,OR(TH!L484="1111",TH!M484="1111")),TH!D484,""),"")</f>
        <v>NL/N15</v>
      </c>
      <c r="B484" s="36">
        <f t="shared" ref="B484" si="97">IF(C484&lt;&gt;"",MONTH(C484),"")</f>
        <v>12</v>
      </c>
      <c r="C484" s="191">
        <f t="shared" ref="C484" si="98">E484</f>
        <v>41628</v>
      </c>
      <c r="D484" s="184" t="s">
        <v>422</v>
      </c>
      <c r="E484" s="191">
        <v>41628</v>
      </c>
      <c r="F484" s="192" t="s">
        <v>371</v>
      </c>
      <c r="G484" s="487" t="s">
        <v>719</v>
      </c>
      <c r="H484" s="193" t="s">
        <v>698</v>
      </c>
      <c r="I484" s="256"/>
      <c r="J484" s="256"/>
      <c r="K484" s="38">
        <v>19786536</v>
      </c>
      <c r="L484" s="194" t="s">
        <v>8</v>
      </c>
      <c r="M484" s="194" t="s">
        <v>47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/>
      </c>
      <c r="AA484" s="853"/>
      <c r="AB484" s="211"/>
      <c r="AC484" s="198"/>
      <c r="AD484" s="198"/>
    </row>
    <row r="485" spans="1:30" s="594" customFormat="1" ht="15.75" customHeight="1">
      <c r="A485" s="204" t="str">
        <f>IF(B485&lt;&gt;"",IF(AND(B485&gt;=_TM1,B485&lt;=_TM2,OR(TH!L485="1111",TH!M485="1111")),TH!D485,""),"")</f>
        <v/>
      </c>
      <c r="B485" s="36">
        <f t="shared" si="70"/>
        <v>12</v>
      </c>
      <c r="C485" s="191">
        <f t="shared" si="58"/>
        <v>41629</v>
      </c>
      <c r="D485" s="184" t="s">
        <v>423</v>
      </c>
      <c r="E485" s="191">
        <v>41629</v>
      </c>
      <c r="F485" s="192" t="s">
        <v>718</v>
      </c>
      <c r="G485" s="487" t="s">
        <v>720</v>
      </c>
      <c r="H485" s="193" t="s">
        <v>698</v>
      </c>
      <c r="I485" s="256">
        <v>750</v>
      </c>
      <c r="J485" s="256">
        <v>22168</v>
      </c>
      <c r="K485" s="38">
        <f>ROUND(I485*J485,0)</f>
        <v>16626000</v>
      </c>
      <c r="L485" s="194" t="s">
        <v>159</v>
      </c>
      <c r="M485" s="194" t="s">
        <v>8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/>
      </c>
      <c r="AA485" s="853"/>
      <c r="AB485" s="211"/>
      <c r="AC485" s="198"/>
      <c r="AD485" s="198"/>
    </row>
    <row r="486" spans="1:30" s="594" customFormat="1" ht="15.75" customHeight="1">
      <c r="A486" s="204" t="str">
        <f>IF(B486&lt;&gt;"",IF(AND(B486&gt;=_TM1,B486&lt;=_TM2,OR(TH!L486="1111",TH!M486="1111")),TH!D486,""),"")</f>
        <v/>
      </c>
      <c r="B486" s="36">
        <f t="shared" si="70"/>
        <v>12</v>
      </c>
      <c r="C486" s="191">
        <f t="shared" si="58"/>
        <v>41629</v>
      </c>
      <c r="D486" s="184" t="s">
        <v>423</v>
      </c>
      <c r="E486" s="191">
        <v>41629</v>
      </c>
      <c r="F486" s="192" t="s">
        <v>485</v>
      </c>
      <c r="G486" s="487" t="s">
        <v>720</v>
      </c>
      <c r="H486" s="193" t="s">
        <v>698</v>
      </c>
      <c r="I486" s="256"/>
      <c r="J486" s="256"/>
      <c r="K486" s="38">
        <v>1662600</v>
      </c>
      <c r="L486" s="194" t="s">
        <v>9</v>
      </c>
      <c r="M486" s="194" t="s">
        <v>8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/>
      </c>
      <c r="AA486" s="853"/>
      <c r="AB486" s="594">
        <v>12</v>
      </c>
      <c r="AC486" s="198"/>
      <c r="AD486" s="198"/>
    </row>
    <row r="487" spans="1:30" s="594" customFormat="1" ht="15.75" customHeight="1">
      <c r="A487" s="204" t="str">
        <f>IF(B487&lt;&gt;"",IF(AND(B487&gt;=_TM1,B487&lt;=_TM2,OR(TH!L487="1111",TH!M487="1111")),TH!D487,""),"")</f>
        <v>NL/N16</v>
      </c>
      <c r="B487" s="36">
        <f t="shared" ref="B487" si="99">IF(C487&lt;&gt;"",MONTH(C487),"")</f>
        <v>12</v>
      </c>
      <c r="C487" s="191">
        <f t="shared" ref="C487" si="100">E487</f>
        <v>41629</v>
      </c>
      <c r="D487" s="184" t="s">
        <v>423</v>
      </c>
      <c r="E487" s="191">
        <v>41629</v>
      </c>
      <c r="F487" s="192" t="s">
        <v>371</v>
      </c>
      <c r="G487" s="487" t="s">
        <v>720</v>
      </c>
      <c r="H487" s="193" t="s">
        <v>698</v>
      </c>
      <c r="I487" s="256"/>
      <c r="J487" s="256"/>
      <c r="K487" s="38">
        <v>18288600</v>
      </c>
      <c r="L487" s="194" t="s">
        <v>8</v>
      </c>
      <c r="M487" s="194" t="s">
        <v>47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/>
      </c>
      <c r="AA487" s="853"/>
      <c r="AB487" s="211"/>
      <c r="AC487" s="198"/>
      <c r="AD487" s="198"/>
    </row>
    <row r="488" spans="1:30" s="594" customFormat="1" ht="15.75" customHeight="1">
      <c r="A488" s="204" t="str">
        <f>IF(B488&lt;&gt;"",IF(AND(B488&gt;=_TM1,B488&lt;=_TM2,OR(TH!L488="1111",TH!M488="1111")),TH!D488,""),"")</f>
        <v/>
      </c>
      <c r="B488" s="36">
        <f t="shared" si="70"/>
        <v>12</v>
      </c>
      <c r="C488" s="191">
        <f t="shared" si="58"/>
        <v>41635</v>
      </c>
      <c r="D488" s="184" t="s">
        <v>424</v>
      </c>
      <c r="E488" s="191">
        <v>41635</v>
      </c>
      <c r="F488" s="192" t="s">
        <v>721</v>
      </c>
      <c r="G488" s="487" t="s">
        <v>722</v>
      </c>
      <c r="H488" s="193" t="s">
        <v>698</v>
      </c>
      <c r="I488" s="256">
        <v>1620</v>
      </c>
      <c r="J488" s="256">
        <v>11149</v>
      </c>
      <c r="K488" s="38">
        <f>ROUND(I488*J488,0)</f>
        <v>18061380</v>
      </c>
      <c r="L488" s="194" t="s">
        <v>159</v>
      </c>
      <c r="M488" s="194" t="s">
        <v>8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/>
      </c>
      <c r="AA488" s="853"/>
      <c r="AB488" s="211"/>
      <c r="AC488" s="198"/>
      <c r="AD488" s="198"/>
    </row>
    <row r="489" spans="1:30" s="594" customFormat="1" ht="15.75" customHeight="1">
      <c r="A489" s="204" t="str">
        <f>IF(B489&lt;&gt;"",IF(AND(B489&gt;=_TM1,B489&lt;=_TM2,OR(TH!L489="1111",TH!M489="1111")),TH!D489,""),"")</f>
        <v/>
      </c>
      <c r="B489" s="36">
        <f t="shared" si="70"/>
        <v>12</v>
      </c>
      <c r="C489" s="191">
        <f t="shared" si="58"/>
        <v>41635</v>
      </c>
      <c r="D489" s="184" t="s">
        <v>424</v>
      </c>
      <c r="E489" s="191">
        <v>41635</v>
      </c>
      <c r="F489" s="192" t="s">
        <v>701</v>
      </c>
      <c r="G489" s="487" t="s">
        <v>722</v>
      </c>
      <c r="H489" s="193" t="s">
        <v>698</v>
      </c>
      <c r="I489" s="256"/>
      <c r="J489" s="256"/>
      <c r="K489" s="38">
        <v>1806138</v>
      </c>
      <c r="L489" s="194" t="s">
        <v>9</v>
      </c>
      <c r="M489" s="194" t="s">
        <v>8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/>
      </c>
      <c r="AA489" s="853"/>
      <c r="AB489" s="594">
        <v>12</v>
      </c>
      <c r="AC489" s="198"/>
      <c r="AD489" s="198"/>
    </row>
    <row r="490" spans="1:30" s="594" customFormat="1" ht="15.75" customHeight="1">
      <c r="A490" s="204" t="str">
        <f>IF(B490&lt;&gt;"",IF(AND(B490&gt;=_TM1,B490&lt;=_TM2,OR(TH!L490="1111",TH!M490="1111")),TH!D490,""),"")</f>
        <v>NL/N17</v>
      </c>
      <c r="B490" s="36">
        <f t="shared" ref="B490" si="101">IF(C490&lt;&gt;"",MONTH(C490),"")</f>
        <v>12</v>
      </c>
      <c r="C490" s="191">
        <f t="shared" ref="C490" si="102">E490</f>
        <v>41635</v>
      </c>
      <c r="D490" s="184" t="s">
        <v>424</v>
      </c>
      <c r="E490" s="191">
        <v>41635</v>
      </c>
      <c r="F490" s="192" t="s">
        <v>371</v>
      </c>
      <c r="G490" s="487" t="s">
        <v>722</v>
      </c>
      <c r="H490" s="193" t="s">
        <v>698</v>
      </c>
      <c r="I490" s="256"/>
      <c r="J490" s="256"/>
      <c r="K490" s="38">
        <v>19867518</v>
      </c>
      <c r="L490" s="194" t="s">
        <v>8</v>
      </c>
      <c r="M490" s="194" t="s">
        <v>47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/>
      </c>
      <c r="AA490" s="853"/>
      <c r="AB490" s="211"/>
      <c r="AC490" s="198"/>
      <c r="AD490" s="198"/>
    </row>
    <row r="491" spans="1:30" s="594" customFormat="1" ht="15.75" customHeight="1">
      <c r="A491" s="204" t="str">
        <f>IF(B491&lt;&gt;"",IF(AND(B491&gt;=_TM1,B491&lt;=_TM2,OR(TH!L491="1111",TH!M491="1111")),TH!D491,""),"")</f>
        <v/>
      </c>
      <c r="B491" s="36">
        <f t="shared" si="70"/>
        <v>1</v>
      </c>
      <c r="C491" s="191">
        <f t="shared" si="58"/>
        <v>41276</v>
      </c>
      <c r="D491" s="184" t="s">
        <v>1047</v>
      </c>
      <c r="E491" s="184">
        <v>41276</v>
      </c>
      <c r="F491" s="192" t="s">
        <v>723</v>
      </c>
      <c r="G491" s="604" t="s">
        <v>724</v>
      </c>
      <c r="H491" s="193" t="s">
        <v>501</v>
      </c>
      <c r="I491" s="256">
        <v>905</v>
      </c>
      <c r="J491" s="256">
        <v>6000</v>
      </c>
      <c r="K491" s="38">
        <f>ROUND(I491*J491,0)</f>
        <v>5430000</v>
      </c>
      <c r="L491" s="194" t="s">
        <v>265</v>
      </c>
      <c r="M491" s="194" t="s">
        <v>175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/>
      </c>
      <c r="AA491" s="853"/>
      <c r="AB491" s="211"/>
      <c r="AD491" s="198"/>
    </row>
    <row r="492" spans="1:30" s="594" customFormat="1" ht="15.75" customHeight="1">
      <c r="A492" s="204" t="str">
        <f>IF(B492&lt;&gt;"",IF(AND(B492&gt;=_TM1,B492&lt;=_TM2,OR(TH!L492="1111",TH!M492="1111")),TH!D492,""),"")</f>
        <v/>
      </c>
      <c r="B492" s="36">
        <f t="shared" si="70"/>
        <v>1</v>
      </c>
      <c r="C492" s="191">
        <f t="shared" si="58"/>
        <v>41276</v>
      </c>
      <c r="D492" s="184" t="s">
        <v>1047</v>
      </c>
      <c r="E492" s="191">
        <v>41276</v>
      </c>
      <c r="F492" s="192" t="s">
        <v>725</v>
      </c>
      <c r="G492" s="487" t="s">
        <v>724</v>
      </c>
      <c r="H492" s="193" t="s">
        <v>501</v>
      </c>
      <c r="I492" s="257">
        <v>305</v>
      </c>
      <c r="J492" s="257">
        <v>5500</v>
      </c>
      <c r="K492" s="38">
        <f>ROUND(I492*J492,0)</f>
        <v>1677500</v>
      </c>
      <c r="L492" s="194" t="s">
        <v>265</v>
      </c>
      <c r="M492" s="194" t="s">
        <v>175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/>
      </c>
      <c r="AA492" s="853"/>
      <c r="AB492" s="211"/>
      <c r="AD492" s="198"/>
    </row>
    <row r="493" spans="1:30" s="594" customFormat="1" ht="15.75" customHeight="1">
      <c r="A493" s="204" t="str">
        <f>IF(B493&lt;&gt;"",IF(AND(B493&gt;=_TM1,B493&lt;=_TM2,OR(TH!L493="1111",TH!M493="1111")),TH!D493,""),"")</f>
        <v/>
      </c>
      <c r="B493" s="36">
        <f t="shared" si="70"/>
        <v>1</v>
      </c>
      <c r="C493" s="191">
        <f t="shared" si="58"/>
        <v>41276</v>
      </c>
      <c r="D493" s="184" t="s">
        <v>1047</v>
      </c>
      <c r="E493" s="184">
        <v>41276</v>
      </c>
      <c r="F493" s="192" t="s">
        <v>726</v>
      </c>
      <c r="G493" s="604" t="s">
        <v>724</v>
      </c>
      <c r="H493" s="193" t="s">
        <v>501</v>
      </c>
      <c r="I493" s="256"/>
      <c r="J493" s="256"/>
      <c r="K493" s="38">
        <v>710750</v>
      </c>
      <c r="L493" s="194" t="s">
        <v>265</v>
      </c>
      <c r="M493" s="194" t="s">
        <v>430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/>
      </c>
      <c r="AA493" s="853"/>
      <c r="AB493" s="211"/>
      <c r="AC493" s="594" t="str">
        <f t="shared" ref="AC493:AC552" si="103">IF(VLOOKUP(H493,DS_131,1,0)&lt;&gt;"","","x")</f>
        <v/>
      </c>
      <c r="AD493" s="198"/>
    </row>
    <row r="494" spans="1:30" s="594" customFormat="1" ht="15.75" customHeight="1">
      <c r="A494" s="204" t="str">
        <f>IF(B494&lt;&gt;"",IF(AND(B494&gt;=_TM1,B494&lt;=_TM2,OR(TH!L494="1111",TH!M494="1111")),TH!D494,""),"")</f>
        <v/>
      </c>
      <c r="B494" s="36">
        <f t="shared" si="70"/>
        <v>1</v>
      </c>
      <c r="C494" s="191">
        <f t="shared" si="58"/>
        <v>41282</v>
      </c>
      <c r="D494" s="184" t="s">
        <v>1048</v>
      </c>
      <c r="E494" s="191">
        <v>41282</v>
      </c>
      <c r="F494" s="192" t="s">
        <v>727</v>
      </c>
      <c r="G494" s="487" t="s">
        <v>728</v>
      </c>
      <c r="H494" s="193" t="s">
        <v>729</v>
      </c>
      <c r="I494" s="257">
        <v>480</v>
      </c>
      <c r="J494" s="257">
        <v>11020</v>
      </c>
      <c r="K494" s="38">
        <f t="shared" ref="K494:K495" si="104">ROUND(I494*J494,0)</f>
        <v>5289600</v>
      </c>
      <c r="L494" s="194" t="s">
        <v>265</v>
      </c>
      <c r="M494" s="194" t="s">
        <v>175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/>
      </c>
      <c r="AA494" s="853"/>
      <c r="AB494" s="211"/>
      <c r="AD494" s="198"/>
    </row>
    <row r="495" spans="1:30" s="594" customFormat="1" ht="15.75" customHeight="1">
      <c r="A495" s="204" t="str">
        <f>IF(B495&lt;&gt;"",IF(AND(B495&gt;=_TM1,B495&lt;=_TM2,OR(TH!L495="1111",TH!M495="1111")),TH!D495,""),"")</f>
        <v/>
      </c>
      <c r="B495" s="36">
        <f t="shared" si="70"/>
        <v>1</v>
      </c>
      <c r="C495" s="191">
        <f t="shared" si="58"/>
        <v>41282</v>
      </c>
      <c r="D495" s="184" t="s">
        <v>1048</v>
      </c>
      <c r="E495" s="184">
        <v>41282</v>
      </c>
      <c r="F495" s="192" t="s">
        <v>730</v>
      </c>
      <c r="G495" s="604" t="s">
        <v>728</v>
      </c>
      <c r="H495" s="193" t="s">
        <v>729</v>
      </c>
      <c r="I495" s="256">
        <v>199</v>
      </c>
      <c r="J495" s="256">
        <v>7235</v>
      </c>
      <c r="K495" s="38">
        <f t="shared" si="104"/>
        <v>1439765</v>
      </c>
      <c r="L495" s="194" t="s">
        <v>265</v>
      </c>
      <c r="M495" s="194" t="s">
        <v>175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/>
      </c>
      <c r="AA495" s="853"/>
      <c r="AB495" s="884"/>
      <c r="AD495" s="198"/>
    </row>
    <row r="496" spans="1:30" s="594" customFormat="1" ht="15.75" customHeight="1">
      <c r="A496" s="204" t="str">
        <f>IF(B496&lt;&gt;"",IF(AND(B496&gt;=_TM1,B496&lt;=_TM2,OR(TH!L496="1111",TH!M496="1111")),TH!D496,""),"")</f>
        <v/>
      </c>
      <c r="B496" s="36">
        <f t="shared" ref="B496:B559" si="105">IF(C496&lt;&gt;"",MONTH(C496),"")</f>
        <v>1</v>
      </c>
      <c r="C496" s="191">
        <f t="shared" si="58"/>
        <v>41282</v>
      </c>
      <c r="D496" s="184" t="s">
        <v>1048</v>
      </c>
      <c r="E496" s="191">
        <v>41282</v>
      </c>
      <c r="F496" s="192" t="s">
        <v>726</v>
      </c>
      <c r="G496" s="487" t="s">
        <v>728</v>
      </c>
      <c r="H496" s="193" t="s">
        <v>729</v>
      </c>
      <c r="I496" s="257"/>
      <c r="J496" s="257"/>
      <c r="K496" s="38">
        <v>672937</v>
      </c>
      <c r="L496" s="194" t="s">
        <v>265</v>
      </c>
      <c r="M496" s="194" t="s">
        <v>430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/>
      </c>
      <c r="AA496" s="853"/>
      <c r="AB496" s="211"/>
      <c r="AC496" s="594" t="str">
        <f t="shared" si="103"/>
        <v/>
      </c>
      <c r="AD496" s="198"/>
    </row>
    <row r="497" spans="1:30" s="594" customFormat="1" ht="15.75" customHeight="1">
      <c r="A497" s="204" t="str">
        <f>IF(B497&lt;&gt;"",IF(AND(B497&gt;=_TM1,B497&lt;=_TM2,OR(TH!L497="1111",TH!M497="1111")),TH!D497,""),"")</f>
        <v/>
      </c>
      <c r="B497" s="36">
        <f t="shared" si="105"/>
        <v>1</v>
      </c>
      <c r="C497" s="191">
        <f t="shared" si="58"/>
        <v>41284</v>
      </c>
      <c r="D497" s="184" t="s">
        <v>1049</v>
      </c>
      <c r="E497" s="184">
        <v>41284</v>
      </c>
      <c r="F497" s="192" t="s">
        <v>731</v>
      </c>
      <c r="G497" s="604" t="s">
        <v>732</v>
      </c>
      <c r="H497" s="193" t="s">
        <v>503</v>
      </c>
      <c r="I497" s="256">
        <v>992</v>
      </c>
      <c r="J497" s="256">
        <v>8740</v>
      </c>
      <c r="K497" s="38">
        <f>ROUND(I497*J497,0)</f>
        <v>8670080</v>
      </c>
      <c r="L497" s="194" t="s">
        <v>265</v>
      </c>
      <c r="M497" s="194" t="s">
        <v>175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/>
      </c>
      <c r="AA497" s="853"/>
      <c r="AB497" s="211"/>
      <c r="AD497" s="198"/>
    </row>
    <row r="498" spans="1:30" s="211" customFormat="1" ht="15.75" customHeight="1">
      <c r="A498" s="204" t="str">
        <f>IF(B498&lt;&gt;"",IF(AND(B498&gt;=_TM1,B498&lt;=_TM2,OR(TH!L498="1111",TH!M498="1111")),TH!D498,""),"")</f>
        <v/>
      </c>
      <c r="B498" s="36">
        <f t="shared" si="105"/>
        <v>1</v>
      </c>
      <c r="C498" s="191">
        <f t="shared" si="58"/>
        <v>41284</v>
      </c>
      <c r="D498" s="184" t="s">
        <v>1049</v>
      </c>
      <c r="E498" s="191">
        <v>41284</v>
      </c>
      <c r="F498" s="192" t="s">
        <v>726</v>
      </c>
      <c r="G498" s="487" t="s">
        <v>732</v>
      </c>
      <c r="H498" s="193" t="s">
        <v>503</v>
      </c>
      <c r="I498" s="257"/>
      <c r="J498" s="257"/>
      <c r="K498" s="38">
        <v>867008</v>
      </c>
      <c r="L498" s="194" t="s">
        <v>265</v>
      </c>
      <c r="M498" s="194" t="s">
        <v>430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/>
      </c>
      <c r="AA498" s="853"/>
      <c r="AC498" s="594" t="str">
        <f t="shared" si="103"/>
        <v/>
      </c>
      <c r="AD498" s="198"/>
    </row>
    <row r="499" spans="1:30" s="211" customFormat="1" ht="15.75" customHeight="1">
      <c r="A499" s="204" t="str">
        <f>IF(B499&lt;&gt;"",IF(AND(B499&gt;=_TM1,B499&lt;=_TM2,OR(TH!L499="1111",TH!M499="1111")),TH!D499,""),"")</f>
        <v/>
      </c>
      <c r="B499" s="36">
        <f t="shared" si="105"/>
        <v>1</v>
      </c>
      <c r="C499" s="191">
        <f t="shared" ref="C499:C562" si="106">E499</f>
        <v>41285</v>
      </c>
      <c r="D499" s="184" t="s">
        <v>1050</v>
      </c>
      <c r="E499" s="184">
        <v>41285</v>
      </c>
      <c r="F499" s="192" t="s">
        <v>733</v>
      </c>
      <c r="G499" s="604" t="s">
        <v>734</v>
      </c>
      <c r="H499" s="193" t="s">
        <v>1112</v>
      </c>
      <c r="I499" s="256">
        <v>202</v>
      </c>
      <c r="J499" s="256">
        <v>7268</v>
      </c>
      <c r="K499" s="38">
        <f t="shared" ref="K499:K505" si="107">ROUND(I499*J499,0)</f>
        <v>1468136</v>
      </c>
      <c r="L499" s="194" t="s">
        <v>265</v>
      </c>
      <c r="M499" s="194" t="s">
        <v>175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/>
      </c>
      <c r="AA499" s="853"/>
      <c r="AC499" s="594"/>
      <c r="AD499" s="198"/>
    </row>
    <row r="500" spans="1:30" s="594" customFormat="1" ht="15.75" customHeight="1">
      <c r="A500" s="204" t="str">
        <f>IF(B500&lt;&gt;"",IF(AND(B500&gt;=_TM1,B500&lt;=_TM2,OR(TH!L500="1111",TH!M500="1111")),TH!D500,""),"")</f>
        <v/>
      </c>
      <c r="B500" s="36">
        <f t="shared" si="105"/>
        <v>1</v>
      </c>
      <c r="C500" s="191">
        <f t="shared" si="106"/>
        <v>41285</v>
      </c>
      <c r="D500" s="184" t="s">
        <v>1050</v>
      </c>
      <c r="E500" s="191">
        <v>41285</v>
      </c>
      <c r="F500" s="192" t="s">
        <v>735</v>
      </c>
      <c r="G500" s="487" t="s">
        <v>734</v>
      </c>
      <c r="H500" s="193" t="s">
        <v>1112</v>
      </c>
      <c r="I500" s="257">
        <v>204</v>
      </c>
      <c r="J500" s="257">
        <v>8500</v>
      </c>
      <c r="K500" s="38">
        <f t="shared" si="107"/>
        <v>1734000</v>
      </c>
      <c r="L500" s="194" t="s">
        <v>265</v>
      </c>
      <c r="M500" s="194" t="s">
        <v>175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/>
      </c>
      <c r="AA500" s="853"/>
      <c r="AB500" s="211"/>
      <c r="AD500" s="198"/>
    </row>
    <row r="501" spans="1:30" s="594" customFormat="1" ht="15.75" customHeight="1">
      <c r="A501" s="204" t="str">
        <f>IF(B501&lt;&gt;"",IF(AND(B501&gt;=_TM1,B501&lt;=_TM2,OR(TH!L501="1111",TH!M501="1111")),TH!D501,""),"")</f>
        <v/>
      </c>
      <c r="B501" s="36">
        <f t="shared" si="105"/>
        <v>1</v>
      </c>
      <c r="C501" s="191">
        <f t="shared" si="106"/>
        <v>41285</v>
      </c>
      <c r="D501" s="184" t="s">
        <v>1050</v>
      </c>
      <c r="E501" s="184">
        <v>41285</v>
      </c>
      <c r="F501" s="192" t="s">
        <v>736</v>
      </c>
      <c r="G501" s="604" t="s">
        <v>734</v>
      </c>
      <c r="H501" s="193" t="s">
        <v>1112</v>
      </c>
      <c r="I501" s="256">
        <v>510</v>
      </c>
      <c r="J501" s="256">
        <v>550</v>
      </c>
      <c r="K501" s="38">
        <f t="shared" si="107"/>
        <v>280500</v>
      </c>
      <c r="L501" s="194" t="s">
        <v>265</v>
      </c>
      <c r="M501" s="194" t="s">
        <v>175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/>
      </c>
      <c r="AA501" s="853"/>
      <c r="AB501" s="211"/>
      <c r="AD501" s="198"/>
    </row>
    <row r="502" spans="1:30" s="594" customFormat="1" ht="15.75" customHeight="1">
      <c r="A502" s="204" t="str">
        <f>IF(B502&lt;&gt;"",IF(AND(B502&gt;=_TM1,B502&lt;=_TM2,OR(TH!L502="1111",TH!M502="1111")),TH!D502,""),"")</f>
        <v/>
      </c>
      <c r="B502" s="36">
        <f t="shared" si="105"/>
        <v>1</v>
      </c>
      <c r="C502" s="191">
        <f t="shared" si="106"/>
        <v>41285</v>
      </c>
      <c r="D502" s="184" t="s">
        <v>1050</v>
      </c>
      <c r="E502" s="191">
        <v>41285</v>
      </c>
      <c r="F502" s="192" t="s">
        <v>737</v>
      </c>
      <c r="G502" s="487" t="s">
        <v>734</v>
      </c>
      <c r="H502" s="193" t="s">
        <v>1112</v>
      </c>
      <c r="I502" s="257">
        <v>420</v>
      </c>
      <c r="J502" s="257">
        <v>500</v>
      </c>
      <c r="K502" s="38">
        <f t="shared" si="107"/>
        <v>210000</v>
      </c>
      <c r="L502" s="194" t="s">
        <v>265</v>
      </c>
      <c r="M502" s="194" t="s">
        <v>175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/>
      </c>
      <c r="AA502" s="853"/>
      <c r="AB502" s="211"/>
      <c r="AD502" s="198"/>
    </row>
    <row r="503" spans="1:30" s="594" customFormat="1" ht="15.75" customHeight="1">
      <c r="A503" s="204" t="str">
        <f>IF(B503&lt;&gt;"",IF(AND(B503&gt;=_TM1,B503&lt;=_TM2,OR(TH!L503="1111",TH!M503="1111")),TH!D503,""),"")</f>
        <v/>
      </c>
      <c r="B503" s="36">
        <f t="shared" si="105"/>
        <v>1</v>
      </c>
      <c r="C503" s="191">
        <f t="shared" si="106"/>
        <v>41285</v>
      </c>
      <c r="D503" s="184" t="s">
        <v>1050</v>
      </c>
      <c r="E503" s="184">
        <v>41285</v>
      </c>
      <c r="F503" s="192" t="s">
        <v>738</v>
      </c>
      <c r="G503" s="604" t="s">
        <v>734</v>
      </c>
      <c r="H503" s="193" t="s">
        <v>1112</v>
      </c>
      <c r="I503" s="256">
        <v>200</v>
      </c>
      <c r="J503" s="256">
        <v>900</v>
      </c>
      <c r="K503" s="38">
        <f t="shared" si="107"/>
        <v>180000</v>
      </c>
      <c r="L503" s="194" t="s">
        <v>265</v>
      </c>
      <c r="M503" s="194" t="s">
        <v>175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/>
      </c>
      <c r="AA503" s="853"/>
      <c r="AB503" s="211"/>
      <c r="AD503" s="198"/>
    </row>
    <row r="504" spans="1:30" s="594" customFormat="1" ht="15.75" customHeight="1">
      <c r="A504" s="204" t="str">
        <f>IF(B504&lt;&gt;"",IF(AND(B504&gt;=_TM1,B504&lt;=_TM2,OR(TH!L504="1111",TH!M504="1111")),TH!D504,""),"")</f>
        <v/>
      </c>
      <c r="B504" s="36">
        <f t="shared" si="105"/>
        <v>1</v>
      </c>
      <c r="C504" s="191">
        <f t="shared" si="106"/>
        <v>41285</v>
      </c>
      <c r="D504" s="184" t="s">
        <v>1050</v>
      </c>
      <c r="E504" s="191">
        <v>41285</v>
      </c>
      <c r="F504" s="192" t="s">
        <v>739</v>
      </c>
      <c r="G504" s="487" t="s">
        <v>734</v>
      </c>
      <c r="H504" s="193" t="s">
        <v>1112</v>
      </c>
      <c r="I504" s="256">
        <v>420</v>
      </c>
      <c r="J504" s="256">
        <v>700</v>
      </c>
      <c r="K504" s="38">
        <f t="shared" si="107"/>
        <v>294000</v>
      </c>
      <c r="L504" s="194" t="s">
        <v>265</v>
      </c>
      <c r="M504" s="194" t="s">
        <v>175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/>
      </c>
      <c r="AA504" s="853"/>
      <c r="AB504" s="211"/>
      <c r="AD504" s="198"/>
    </row>
    <row r="505" spans="1:30" s="211" customFormat="1" ht="15.75" customHeight="1">
      <c r="A505" s="204" t="str">
        <f>IF(B505&lt;&gt;"",IF(AND(B505&gt;=_TM1,B505&lt;=_TM2,OR(TH!L505="1111",TH!M505="1111")),TH!D505,""),"")</f>
        <v/>
      </c>
      <c r="B505" s="36">
        <f t="shared" si="105"/>
        <v>1</v>
      </c>
      <c r="C505" s="191">
        <f t="shared" si="106"/>
        <v>41285</v>
      </c>
      <c r="D505" s="184" t="s">
        <v>1050</v>
      </c>
      <c r="E505" s="191">
        <v>41285</v>
      </c>
      <c r="F505" s="192" t="s">
        <v>740</v>
      </c>
      <c r="G505" s="487" t="s">
        <v>734</v>
      </c>
      <c r="H505" s="193" t="s">
        <v>1112</v>
      </c>
      <c r="I505" s="256">
        <v>52</v>
      </c>
      <c r="J505" s="256">
        <v>9512</v>
      </c>
      <c r="K505" s="38">
        <f t="shared" si="107"/>
        <v>494624</v>
      </c>
      <c r="L505" s="194" t="s">
        <v>265</v>
      </c>
      <c r="M505" s="194" t="s">
        <v>175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/>
      </c>
      <c r="AA505" s="853"/>
      <c r="AC505" s="594"/>
      <c r="AD505" s="198"/>
    </row>
    <row r="506" spans="1:30" s="211" customFormat="1" ht="15.75" customHeight="1">
      <c r="A506" s="204" t="str">
        <f>IF(B506&lt;&gt;"",IF(AND(B506&gt;=_TM1,B506&lt;=_TM2,OR(TH!L506="1111",TH!M506="1111")),TH!D506,""),"")</f>
        <v/>
      </c>
      <c r="B506" s="36">
        <f t="shared" si="105"/>
        <v>1</v>
      </c>
      <c r="C506" s="191">
        <f t="shared" si="106"/>
        <v>41285</v>
      </c>
      <c r="D506" s="184" t="s">
        <v>1050</v>
      </c>
      <c r="E506" s="191">
        <v>41285</v>
      </c>
      <c r="F506" s="192" t="s">
        <v>726</v>
      </c>
      <c r="G506" s="487" t="s">
        <v>734</v>
      </c>
      <c r="H506" s="193" t="s">
        <v>1112</v>
      </c>
      <c r="I506" s="256"/>
      <c r="J506" s="256"/>
      <c r="K506" s="602">
        <v>466126</v>
      </c>
      <c r="L506" s="194" t="s">
        <v>265</v>
      </c>
      <c r="M506" s="194" t="s">
        <v>430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/>
      </c>
      <c r="AA506" s="853"/>
      <c r="AC506" s="594" t="str">
        <f t="shared" si="103"/>
        <v/>
      </c>
      <c r="AD506" s="198"/>
    </row>
    <row r="507" spans="1:30" s="211" customFormat="1" ht="15.75" customHeight="1">
      <c r="A507" s="204" t="str">
        <f>IF(B507&lt;&gt;"",IF(AND(B507&gt;=_TM1,B507&lt;=_TM2,OR(TH!L507="1111",TH!M507="1111")),TH!D507,""),"")</f>
        <v/>
      </c>
      <c r="B507" s="36">
        <f t="shared" si="105"/>
        <v>1</v>
      </c>
      <c r="C507" s="191">
        <f t="shared" si="106"/>
        <v>41288</v>
      </c>
      <c r="D507" s="184" t="s">
        <v>1051</v>
      </c>
      <c r="E507" s="191">
        <v>41288</v>
      </c>
      <c r="F507" s="192" t="s">
        <v>741</v>
      </c>
      <c r="G507" s="487" t="s">
        <v>742</v>
      </c>
      <c r="H507" s="7" t="s">
        <v>743</v>
      </c>
      <c r="I507" s="256">
        <v>820</v>
      </c>
      <c r="J507" s="256">
        <v>8000</v>
      </c>
      <c r="K507" s="38">
        <f>ROUND(I507*J507,0)</f>
        <v>6560000</v>
      </c>
      <c r="L507" s="194" t="s">
        <v>265</v>
      </c>
      <c r="M507" s="194" t="s">
        <v>175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/>
      </c>
      <c r="AA507" s="853"/>
      <c r="AC507" s="594"/>
      <c r="AD507" s="198"/>
    </row>
    <row r="508" spans="1:30" s="211" customFormat="1" ht="15.75" customHeight="1">
      <c r="A508" s="204" t="str">
        <f>IF(B508&lt;&gt;"",IF(AND(B508&gt;=_TM1,B508&lt;=_TM2,OR(TH!L508="1111",TH!M508="1111")),TH!D508,""),"")</f>
        <v/>
      </c>
      <c r="B508" s="36">
        <f t="shared" si="105"/>
        <v>1</v>
      </c>
      <c r="C508" s="191">
        <f t="shared" si="106"/>
        <v>41288</v>
      </c>
      <c r="D508" s="184" t="s">
        <v>1051</v>
      </c>
      <c r="E508" s="184">
        <v>41288</v>
      </c>
      <c r="F508" s="189" t="s">
        <v>726</v>
      </c>
      <c r="G508" s="604" t="s">
        <v>742</v>
      </c>
      <c r="H508" s="7" t="s">
        <v>743</v>
      </c>
      <c r="I508" s="256"/>
      <c r="J508" s="256"/>
      <c r="K508" s="602">
        <v>656000</v>
      </c>
      <c r="L508" s="603" t="s">
        <v>265</v>
      </c>
      <c r="M508" s="194" t="s">
        <v>430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/>
      </c>
      <c r="AA508" s="853"/>
      <c r="AB508" s="594"/>
      <c r="AC508" s="594" t="str">
        <f t="shared" si="103"/>
        <v/>
      </c>
      <c r="AD508" s="198"/>
    </row>
    <row r="509" spans="1:30" s="594" customFormat="1" ht="15.75" customHeight="1">
      <c r="A509" s="204" t="str">
        <f>IF(B509&lt;&gt;"",IF(AND(B509&gt;=_TM1,B509&lt;=_TM2,OR(TH!L509="1111",TH!M509="1111")),TH!D509,""),"")</f>
        <v/>
      </c>
      <c r="B509" s="36">
        <f t="shared" si="105"/>
        <v>1</v>
      </c>
      <c r="C509" s="191">
        <f t="shared" si="106"/>
        <v>41290</v>
      </c>
      <c r="D509" s="184" t="s">
        <v>1052</v>
      </c>
      <c r="E509" s="184">
        <v>41290</v>
      </c>
      <c r="F509" s="189" t="s">
        <v>744</v>
      </c>
      <c r="G509" s="604" t="s">
        <v>745</v>
      </c>
      <c r="H509" s="7" t="s">
        <v>746</v>
      </c>
      <c r="I509" s="256">
        <v>274</v>
      </c>
      <c r="J509" s="256">
        <v>25700</v>
      </c>
      <c r="K509" s="38">
        <f>ROUND(I509*J509,0)</f>
        <v>7041800</v>
      </c>
      <c r="L509" s="603" t="s">
        <v>265</v>
      </c>
      <c r="M509" s="194" t="s">
        <v>175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/>
      </c>
      <c r="AA509" s="853"/>
      <c r="AD509" s="198"/>
    </row>
    <row r="510" spans="1:30" s="594" customFormat="1" ht="15.75" customHeight="1">
      <c r="A510" s="204" t="str">
        <f>IF(B510&lt;&gt;"",IF(AND(B510&gt;=_TM1,B510&lt;=_TM2,OR(TH!L510="1111",TH!M510="1111")),TH!D510,""),"")</f>
        <v/>
      </c>
      <c r="B510" s="36">
        <f t="shared" si="105"/>
        <v>1</v>
      </c>
      <c r="C510" s="191">
        <f t="shared" si="106"/>
        <v>41290</v>
      </c>
      <c r="D510" s="184" t="s">
        <v>1052</v>
      </c>
      <c r="E510" s="184">
        <v>41290</v>
      </c>
      <c r="F510" s="189" t="s">
        <v>726</v>
      </c>
      <c r="G510" s="604" t="s">
        <v>745</v>
      </c>
      <c r="H510" s="7" t="s">
        <v>746</v>
      </c>
      <c r="I510" s="256"/>
      <c r="J510" s="256"/>
      <c r="K510" s="602">
        <v>704180</v>
      </c>
      <c r="L510" s="603" t="s">
        <v>265</v>
      </c>
      <c r="M510" s="194" t="s">
        <v>430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/>
      </c>
      <c r="AA510" s="853"/>
      <c r="AC510" s="594" t="str">
        <f t="shared" si="103"/>
        <v/>
      </c>
      <c r="AD510" s="198"/>
    </row>
    <row r="511" spans="1:30" s="594" customFormat="1" ht="15.75" customHeight="1">
      <c r="A511" s="204" t="str">
        <f>IF(B511&lt;&gt;"",IF(AND(B511&gt;=_TM1,B511&lt;=_TM2,OR(TH!L511="1111",TH!M511="1111")),TH!D511,""),"")</f>
        <v/>
      </c>
      <c r="B511" s="36">
        <f t="shared" si="105"/>
        <v>1</v>
      </c>
      <c r="C511" s="191">
        <f t="shared" si="106"/>
        <v>41292</v>
      </c>
      <c r="D511" s="184" t="s">
        <v>1053</v>
      </c>
      <c r="E511" s="184">
        <v>41292</v>
      </c>
      <c r="F511" s="189" t="s">
        <v>747</v>
      </c>
      <c r="G511" s="604" t="s">
        <v>748</v>
      </c>
      <c r="H511" s="7" t="s">
        <v>582</v>
      </c>
      <c r="I511" s="256">
        <v>113</v>
      </c>
      <c r="J511" s="256">
        <v>29950</v>
      </c>
      <c r="K511" s="38">
        <f>ROUND(I511*J511,0)</f>
        <v>3384350</v>
      </c>
      <c r="L511" s="603" t="s">
        <v>265</v>
      </c>
      <c r="M511" s="194" t="s">
        <v>175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/>
      </c>
      <c r="AA511" s="853"/>
      <c r="AD511" s="198"/>
    </row>
    <row r="512" spans="1:30" s="594" customFormat="1" ht="15.75" customHeight="1">
      <c r="A512" s="204" t="str">
        <f>IF(B512&lt;&gt;"",IF(AND(B512&gt;=_TM1,B512&lt;=_TM2,OR(TH!L512="1111",TH!M512="1111")),TH!D512,""),"")</f>
        <v/>
      </c>
      <c r="B512" s="36">
        <f t="shared" si="105"/>
        <v>1</v>
      </c>
      <c r="C512" s="191">
        <f t="shared" si="106"/>
        <v>41292</v>
      </c>
      <c r="D512" s="184" t="s">
        <v>1053</v>
      </c>
      <c r="E512" s="191">
        <v>41292</v>
      </c>
      <c r="F512" s="192" t="s">
        <v>726</v>
      </c>
      <c r="G512" s="487" t="s">
        <v>748</v>
      </c>
      <c r="H512" s="7" t="s">
        <v>582</v>
      </c>
      <c r="I512" s="257"/>
      <c r="J512" s="257"/>
      <c r="K512" s="602">
        <v>338435</v>
      </c>
      <c r="L512" s="194" t="s">
        <v>265</v>
      </c>
      <c r="M512" s="194" t="s">
        <v>430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/>
      </c>
      <c r="AA512" s="853"/>
      <c r="AB512" s="211"/>
      <c r="AC512" s="594" t="str">
        <f t="shared" si="103"/>
        <v/>
      </c>
      <c r="AD512" s="198"/>
    </row>
    <row r="513" spans="1:30" s="594" customFormat="1" ht="15.75" customHeight="1">
      <c r="A513" s="204" t="str">
        <f>IF(B513&lt;&gt;"",IF(AND(B513&gt;=_TM1,B513&lt;=_TM2,OR(TH!L513="1111",TH!M513="1111")),TH!D513,""),"")</f>
        <v/>
      </c>
      <c r="B513" s="36">
        <f t="shared" si="105"/>
        <v>1</v>
      </c>
      <c r="C513" s="191">
        <f t="shared" si="106"/>
        <v>41292</v>
      </c>
      <c r="D513" s="184" t="s">
        <v>1054</v>
      </c>
      <c r="E513" s="191">
        <v>41292</v>
      </c>
      <c r="F513" s="192" t="s">
        <v>749</v>
      </c>
      <c r="G513" s="487" t="s">
        <v>750</v>
      </c>
      <c r="H513" s="7" t="s">
        <v>501</v>
      </c>
      <c r="I513" s="257">
        <v>1319</v>
      </c>
      <c r="J513" s="257">
        <v>5400</v>
      </c>
      <c r="K513" s="38">
        <f t="shared" ref="K513:K514" si="108">ROUND(I513*J513,0)</f>
        <v>7122600</v>
      </c>
      <c r="L513" s="194" t="s">
        <v>265</v>
      </c>
      <c r="M513" s="194" t="s">
        <v>175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/>
      </c>
      <c r="AA513" s="853"/>
      <c r="AB513" s="211"/>
      <c r="AD513" s="198"/>
    </row>
    <row r="514" spans="1:30" s="594" customFormat="1" ht="15.75" customHeight="1">
      <c r="A514" s="204" t="str">
        <f>IF(B514&lt;&gt;"",IF(AND(B514&gt;=_TM1,B514&lt;=_TM2,OR(TH!L514="1111",TH!M514="1111")),TH!D514,""),"")</f>
        <v/>
      </c>
      <c r="B514" s="36">
        <f t="shared" si="105"/>
        <v>1</v>
      </c>
      <c r="C514" s="191">
        <f t="shared" si="106"/>
        <v>41292</v>
      </c>
      <c r="D514" s="184" t="s">
        <v>1054</v>
      </c>
      <c r="E514" s="184">
        <v>41292</v>
      </c>
      <c r="F514" s="189" t="s">
        <v>751</v>
      </c>
      <c r="G514" s="604" t="s">
        <v>750</v>
      </c>
      <c r="H514" s="7" t="s">
        <v>501</v>
      </c>
      <c r="I514" s="256">
        <v>306</v>
      </c>
      <c r="J514" s="256">
        <v>6600</v>
      </c>
      <c r="K514" s="38">
        <f t="shared" si="108"/>
        <v>2019600</v>
      </c>
      <c r="L514" s="603" t="s">
        <v>265</v>
      </c>
      <c r="M514" s="194" t="s">
        <v>175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/>
      </c>
      <c r="AA514" s="853"/>
      <c r="AD514" s="198"/>
    </row>
    <row r="515" spans="1:30" s="594" customFormat="1" ht="15.75" customHeight="1">
      <c r="A515" s="204" t="str">
        <f>IF(B515&lt;&gt;"",IF(AND(B515&gt;=_TM1,B515&lt;=_TM2,OR(TH!L515="1111",TH!M515="1111")),TH!D515,""),"")</f>
        <v/>
      </c>
      <c r="B515" s="36">
        <f t="shared" si="105"/>
        <v>1</v>
      </c>
      <c r="C515" s="191">
        <f t="shared" si="106"/>
        <v>41292</v>
      </c>
      <c r="D515" s="184" t="s">
        <v>1054</v>
      </c>
      <c r="E515" s="191">
        <v>41292</v>
      </c>
      <c r="F515" s="192" t="s">
        <v>726</v>
      </c>
      <c r="G515" s="487" t="s">
        <v>750</v>
      </c>
      <c r="H515" s="45" t="s">
        <v>501</v>
      </c>
      <c r="I515" s="256"/>
      <c r="J515" s="256"/>
      <c r="K515" s="38">
        <v>914220</v>
      </c>
      <c r="L515" s="194" t="s">
        <v>265</v>
      </c>
      <c r="M515" s="194" t="s">
        <v>430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/>
      </c>
      <c r="AA515" s="853"/>
      <c r="AB515" s="211"/>
      <c r="AC515" s="594" t="str">
        <f t="shared" si="103"/>
        <v/>
      </c>
      <c r="AD515" s="198"/>
    </row>
    <row r="516" spans="1:30" s="594" customFormat="1" ht="15.75" customHeight="1">
      <c r="A516" s="204" t="str">
        <f>IF(B516&lt;&gt;"",IF(AND(B516&gt;=_TM1,B516&lt;=_TM2,OR(TH!L516="1111",TH!M516="1111")),TH!D516,""),"")</f>
        <v/>
      </c>
      <c r="B516" s="36">
        <f t="shared" si="105"/>
        <v>1</v>
      </c>
      <c r="C516" s="191">
        <f t="shared" si="106"/>
        <v>41293</v>
      </c>
      <c r="D516" s="184" t="s">
        <v>1055</v>
      </c>
      <c r="E516" s="191">
        <v>41293</v>
      </c>
      <c r="F516" s="192" t="s">
        <v>752</v>
      </c>
      <c r="G516" s="487" t="s">
        <v>753</v>
      </c>
      <c r="H516" s="45" t="s">
        <v>505</v>
      </c>
      <c r="I516" s="256">
        <v>294</v>
      </c>
      <c r="J516" s="256">
        <v>14130</v>
      </c>
      <c r="K516" s="38">
        <f t="shared" ref="K516:K519" si="109">ROUND(I516*J516,0)</f>
        <v>4154220</v>
      </c>
      <c r="L516" s="194" t="s">
        <v>265</v>
      </c>
      <c r="M516" s="194" t="s">
        <v>175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/>
      </c>
      <c r="AA516" s="853"/>
      <c r="AB516" s="211"/>
      <c r="AD516" s="198"/>
    </row>
    <row r="517" spans="1:30" s="594" customFormat="1" ht="15.75" customHeight="1">
      <c r="A517" s="204" t="str">
        <f>IF(B517&lt;&gt;"",IF(AND(B517&gt;=_TM1,B517&lt;=_TM2,OR(TH!L517="1111",TH!M517="1111")),TH!D517,""),"")</f>
        <v/>
      </c>
      <c r="B517" s="36">
        <f t="shared" si="105"/>
        <v>1</v>
      </c>
      <c r="C517" s="191">
        <f t="shared" si="106"/>
        <v>41293</v>
      </c>
      <c r="D517" s="184" t="s">
        <v>1055</v>
      </c>
      <c r="E517" s="184">
        <v>41293</v>
      </c>
      <c r="F517" s="189" t="s">
        <v>754</v>
      </c>
      <c r="G517" s="604" t="s">
        <v>753</v>
      </c>
      <c r="H517" s="616" t="s">
        <v>505</v>
      </c>
      <c r="I517" s="256">
        <v>100</v>
      </c>
      <c r="J517" s="256">
        <v>10650</v>
      </c>
      <c r="K517" s="38">
        <f t="shared" si="109"/>
        <v>1065000</v>
      </c>
      <c r="L517" s="603" t="s">
        <v>265</v>
      </c>
      <c r="M517" s="194" t="s">
        <v>175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/>
      </c>
      <c r="AA517" s="853"/>
      <c r="AD517" s="198"/>
    </row>
    <row r="518" spans="1:30" s="594" customFormat="1" ht="15.75" customHeight="1">
      <c r="A518" s="204" t="str">
        <f>IF(B518&lt;&gt;"",IF(AND(B518&gt;=_TM1,B518&lt;=_TM2,OR(TH!L518="1111",TH!M518="1111")),TH!D518,""),"")</f>
        <v/>
      </c>
      <c r="B518" s="36">
        <f t="shared" si="105"/>
        <v>1</v>
      </c>
      <c r="C518" s="191">
        <f t="shared" si="106"/>
        <v>41293</v>
      </c>
      <c r="D518" s="184" t="s">
        <v>1055</v>
      </c>
      <c r="E518" s="191">
        <v>41293</v>
      </c>
      <c r="F518" s="192" t="s">
        <v>755</v>
      </c>
      <c r="G518" s="487" t="s">
        <v>753</v>
      </c>
      <c r="H518" s="193" t="s">
        <v>505</v>
      </c>
      <c r="I518" s="256">
        <v>494</v>
      </c>
      <c r="J518" s="256">
        <v>13700</v>
      </c>
      <c r="K518" s="38">
        <f t="shared" si="109"/>
        <v>6767800</v>
      </c>
      <c r="L518" s="194" t="s">
        <v>265</v>
      </c>
      <c r="M518" s="194" t="s">
        <v>175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/>
      </c>
      <c r="AA518" s="853"/>
      <c r="AB518" s="211"/>
      <c r="AD518" s="198"/>
    </row>
    <row r="519" spans="1:30" s="594" customFormat="1" ht="15.75" customHeight="1">
      <c r="A519" s="204" t="str">
        <f>IF(B519&lt;&gt;"",IF(AND(B519&gt;=_TM1,B519&lt;=_TM2,OR(TH!L519="1111",TH!M519="1111")),TH!D519,""),"")</f>
        <v/>
      </c>
      <c r="B519" s="36">
        <f t="shared" si="105"/>
        <v>1</v>
      </c>
      <c r="C519" s="191">
        <f t="shared" si="106"/>
        <v>41293</v>
      </c>
      <c r="D519" s="184" t="s">
        <v>1055</v>
      </c>
      <c r="E519" s="191">
        <v>41293</v>
      </c>
      <c r="F519" s="192" t="s">
        <v>756</v>
      </c>
      <c r="G519" s="487" t="s">
        <v>753</v>
      </c>
      <c r="H519" s="193" t="s">
        <v>505</v>
      </c>
      <c r="I519" s="256">
        <v>284</v>
      </c>
      <c r="J519" s="256">
        <v>11900</v>
      </c>
      <c r="K519" s="38">
        <f t="shared" si="109"/>
        <v>3379600</v>
      </c>
      <c r="L519" s="194" t="s">
        <v>265</v>
      </c>
      <c r="M519" s="194" t="s">
        <v>175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/>
      </c>
      <c r="AA519" s="853"/>
      <c r="AB519" s="211"/>
      <c r="AD519" s="198"/>
    </row>
    <row r="520" spans="1:30" s="594" customFormat="1" ht="15.75" customHeight="1">
      <c r="A520" s="204" t="str">
        <f>IF(B520&lt;&gt;"",IF(AND(B520&gt;=_TM1,B520&lt;=_TM2,OR(TH!L520="1111",TH!M520="1111")),TH!D520,""),"")</f>
        <v/>
      </c>
      <c r="B520" s="36">
        <f t="shared" si="105"/>
        <v>1</v>
      </c>
      <c r="C520" s="191">
        <f t="shared" si="106"/>
        <v>41293</v>
      </c>
      <c r="D520" s="184" t="s">
        <v>1055</v>
      </c>
      <c r="E520" s="191">
        <v>41293</v>
      </c>
      <c r="F520" s="192" t="s">
        <v>726</v>
      </c>
      <c r="G520" s="487" t="s">
        <v>753</v>
      </c>
      <c r="H520" s="193" t="s">
        <v>505</v>
      </c>
      <c r="I520" s="256"/>
      <c r="J520" s="256"/>
      <c r="K520" s="38">
        <v>1536662</v>
      </c>
      <c r="L520" s="194" t="s">
        <v>265</v>
      </c>
      <c r="M520" s="194" t="s">
        <v>430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/>
      </c>
      <c r="AA520" s="853"/>
      <c r="AB520" s="211"/>
      <c r="AC520" s="594" t="str">
        <f t="shared" si="103"/>
        <v/>
      </c>
      <c r="AD520" s="198"/>
    </row>
    <row r="521" spans="1:30" s="594" customFormat="1" ht="15.75" customHeight="1">
      <c r="A521" s="204" t="str">
        <f>IF(B521&lt;&gt;"",IF(AND(B521&gt;=_TM1,B521&lt;=_TM2,OR(TH!L521="1111",TH!M521="1111")),TH!D521,""),"")</f>
        <v/>
      </c>
      <c r="B521" s="36">
        <f t="shared" si="105"/>
        <v>1</v>
      </c>
      <c r="C521" s="191">
        <f t="shared" si="106"/>
        <v>41297</v>
      </c>
      <c r="D521" s="184" t="s">
        <v>1056</v>
      </c>
      <c r="E521" s="191">
        <v>41297</v>
      </c>
      <c r="F521" s="192" t="s">
        <v>757</v>
      </c>
      <c r="G521" s="192" t="s">
        <v>758</v>
      </c>
      <c r="H521" s="193" t="s">
        <v>1112</v>
      </c>
      <c r="I521" s="256">
        <v>707</v>
      </c>
      <c r="J521" s="256">
        <v>7500</v>
      </c>
      <c r="K521" s="38">
        <f>ROUND(I521*J521,0)</f>
        <v>5302500</v>
      </c>
      <c r="L521" s="194" t="s">
        <v>265</v>
      </c>
      <c r="M521" s="194" t="s">
        <v>175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/>
      </c>
      <c r="AA521" s="853"/>
      <c r="AB521" s="211"/>
      <c r="AD521" s="198"/>
    </row>
    <row r="522" spans="1:30" s="594" customFormat="1" ht="15.75" customHeight="1">
      <c r="A522" s="204" t="str">
        <f>IF(B522&lt;&gt;"",IF(AND(B522&gt;=_TM1,B522&lt;=_TM2,OR(TH!L522="1111",TH!M522="1111")),TH!D522,""),"")</f>
        <v/>
      </c>
      <c r="B522" s="36">
        <f t="shared" si="105"/>
        <v>1</v>
      </c>
      <c r="C522" s="191">
        <f t="shared" si="106"/>
        <v>41297</v>
      </c>
      <c r="D522" s="184" t="s">
        <v>1056</v>
      </c>
      <c r="E522" s="191">
        <v>41297</v>
      </c>
      <c r="F522" s="192" t="s">
        <v>726</v>
      </c>
      <c r="G522" s="192" t="s">
        <v>758</v>
      </c>
      <c r="H522" s="193" t="s">
        <v>1112</v>
      </c>
      <c r="I522" s="256"/>
      <c r="J522" s="256"/>
      <c r="K522" s="38">
        <v>530250</v>
      </c>
      <c r="L522" s="194" t="s">
        <v>265</v>
      </c>
      <c r="M522" s="194" t="s">
        <v>430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/>
      </c>
      <c r="AA522" s="853"/>
      <c r="AB522" s="211"/>
      <c r="AC522" s="594" t="str">
        <f t="shared" si="103"/>
        <v/>
      </c>
      <c r="AD522" s="198"/>
    </row>
    <row r="523" spans="1:30" s="594" customFormat="1" ht="15.75" customHeight="1">
      <c r="A523" s="204" t="str">
        <f>IF(B523&lt;&gt;"",IF(AND(B523&gt;=_TM1,B523&lt;=_TM2,OR(TH!L523="1111",TH!M523="1111")),TH!D523,""),"")</f>
        <v/>
      </c>
      <c r="B523" s="36">
        <f t="shared" si="105"/>
        <v>1</v>
      </c>
      <c r="C523" s="191">
        <f t="shared" si="106"/>
        <v>41303</v>
      </c>
      <c r="D523" s="184" t="s">
        <v>1057</v>
      </c>
      <c r="E523" s="191">
        <v>41303</v>
      </c>
      <c r="F523" s="192" t="s">
        <v>741</v>
      </c>
      <c r="G523" s="192" t="s">
        <v>759</v>
      </c>
      <c r="H523" s="193" t="s">
        <v>743</v>
      </c>
      <c r="I523" s="256">
        <v>593</v>
      </c>
      <c r="J523" s="256">
        <v>8000</v>
      </c>
      <c r="K523" s="38">
        <f t="shared" ref="K523:K524" si="110">ROUND(I523*J523,0)</f>
        <v>4744000</v>
      </c>
      <c r="L523" s="194" t="s">
        <v>265</v>
      </c>
      <c r="M523" s="194" t="s">
        <v>175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/>
      </c>
      <c r="AA523" s="853"/>
      <c r="AB523" s="211"/>
      <c r="AD523" s="198"/>
    </row>
    <row r="524" spans="1:30" s="594" customFormat="1" ht="15.75" customHeight="1">
      <c r="A524" s="204" t="str">
        <f>IF(B524&lt;&gt;"",IF(AND(B524&gt;=_TM1,B524&lt;=_TM2,OR(TH!L524="1111",TH!M524="1111")),TH!D524,""),"")</f>
        <v/>
      </c>
      <c r="B524" s="36">
        <f t="shared" si="105"/>
        <v>1</v>
      </c>
      <c r="C524" s="191">
        <f t="shared" si="106"/>
        <v>41303</v>
      </c>
      <c r="D524" s="184" t="s">
        <v>1057</v>
      </c>
      <c r="E524" s="191">
        <v>41303</v>
      </c>
      <c r="F524" s="192" t="s">
        <v>760</v>
      </c>
      <c r="G524" s="192" t="s">
        <v>759</v>
      </c>
      <c r="H524" s="193" t="s">
        <v>743</v>
      </c>
      <c r="I524" s="256">
        <v>398</v>
      </c>
      <c r="J524" s="256">
        <v>8360</v>
      </c>
      <c r="K524" s="38">
        <f t="shared" si="110"/>
        <v>3327280</v>
      </c>
      <c r="L524" s="194" t="s">
        <v>265</v>
      </c>
      <c r="M524" s="194" t="s">
        <v>175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/>
      </c>
      <c r="AA524" s="853"/>
      <c r="AB524" s="211"/>
      <c r="AD524" s="198"/>
    </row>
    <row r="525" spans="1:30" s="594" customFormat="1" ht="15.75" customHeight="1">
      <c r="A525" s="204" t="str">
        <f>IF(B525&lt;&gt;"",IF(AND(B525&gt;=_TM1,B525&lt;=_TM2,OR(TH!L525="1111",TH!M525="1111")),TH!D525,""),"")</f>
        <v/>
      </c>
      <c r="B525" s="36">
        <f t="shared" si="105"/>
        <v>1</v>
      </c>
      <c r="C525" s="191">
        <f t="shared" si="106"/>
        <v>41303</v>
      </c>
      <c r="D525" s="184" t="s">
        <v>1057</v>
      </c>
      <c r="E525" s="191">
        <v>41303</v>
      </c>
      <c r="F525" s="192" t="s">
        <v>726</v>
      </c>
      <c r="G525" s="192" t="s">
        <v>759</v>
      </c>
      <c r="H525" s="193" t="s">
        <v>743</v>
      </c>
      <c r="I525" s="256"/>
      <c r="J525" s="256"/>
      <c r="K525" s="38">
        <v>807128</v>
      </c>
      <c r="L525" s="194" t="s">
        <v>265</v>
      </c>
      <c r="M525" s="194" t="s">
        <v>430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/>
      </c>
      <c r="AA525" s="853"/>
      <c r="AB525" s="211"/>
      <c r="AC525" s="594" t="str">
        <f t="shared" si="103"/>
        <v/>
      </c>
      <c r="AD525" s="198"/>
    </row>
    <row r="526" spans="1:30" s="594" customFormat="1" ht="15.75" customHeight="1">
      <c r="A526" s="204" t="str">
        <f>IF(B526&lt;&gt;"",IF(AND(B526&gt;=_TM1,B526&lt;=_TM2,OR(TH!L526="1111",TH!M526="1111")),TH!D526,""),"")</f>
        <v/>
      </c>
      <c r="B526" s="36">
        <f t="shared" si="105"/>
        <v>1</v>
      </c>
      <c r="C526" s="191">
        <f t="shared" si="106"/>
        <v>41303</v>
      </c>
      <c r="D526" s="184" t="s">
        <v>1058</v>
      </c>
      <c r="E526" s="191">
        <v>41303</v>
      </c>
      <c r="F526" s="192" t="s">
        <v>752</v>
      </c>
      <c r="G526" s="192" t="s">
        <v>761</v>
      </c>
      <c r="H526" s="193" t="s">
        <v>505</v>
      </c>
      <c r="I526" s="256">
        <v>410</v>
      </c>
      <c r="J526" s="256">
        <v>13698</v>
      </c>
      <c r="K526" s="38">
        <f>ROUND(I526*J526,0)</f>
        <v>5616180</v>
      </c>
      <c r="L526" s="194" t="s">
        <v>265</v>
      </c>
      <c r="M526" s="194" t="s">
        <v>175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/>
      </c>
      <c r="AA526" s="853"/>
      <c r="AB526" s="211"/>
      <c r="AD526" s="198"/>
    </row>
    <row r="527" spans="1:30" s="594" customFormat="1" ht="15.75" customHeight="1">
      <c r="A527" s="204" t="str">
        <f>IF(B527&lt;&gt;"",IF(AND(B527&gt;=_TM1,B527&lt;=_TM2,OR(TH!L527="1111",TH!M527="1111")),TH!D527,""),"")</f>
        <v/>
      </c>
      <c r="B527" s="36">
        <f t="shared" si="105"/>
        <v>1</v>
      </c>
      <c r="C527" s="191">
        <f t="shared" si="106"/>
        <v>41303</v>
      </c>
      <c r="D527" s="184" t="s">
        <v>1058</v>
      </c>
      <c r="E527" s="191">
        <v>41303</v>
      </c>
      <c r="F527" s="192" t="s">
        <v>726</v>
      </c>
      <c r="G527" s="192" t="s">
        <v>761</v>
      </c>
      <c r="H527" s="193" t="s">
        <v>505</v>
      </c>
      <c r="I527" s="256"/>
      <c r="J527" s="256"/>
      <c r="K527" s="38">
        <v>561618</v>
      </c>
      <c r="L527" s="194" t="s">
        <v>265</v>
      </c>
      <c r="M527" s="194" t="s">
        <v>430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/>
      </c>
      <c r="AA527" s="853"/>
      <c r="AB527" s="211"/>
      <c r="AC527" s="594" t="str">
        <f t="shared" si="103"/>
        <v/>
      </c>
      <c r="AD527" s="198"/>
    </row>
    <row r="528" spans="1:30" s="594" customFormat="1" ht="15.75" customHeight="1">
      <c r="A528" s="204" t="str">
        <f>IF(B528&lt;&gt;"",IF(AND(B528&gt;=_TM1,B528&lt;=_TM2,OR(TH!L528="1111",TH!M528="1111")),TH!D528,""),"")</f>
        <v/>
      </c>
      <c r="B528" s="36">
        <f t="shared" si="105"/>
        <v>1</v>
      </c>
      <c r="C528" s="191">
        <f t="shared" si="106"/>
        <v>41303</v>
      </c>
      <c r="D528" s="184" t="s">
        <v>1059</v>
      </c>
      <c r="E528" s="191">
        <v>41303</v>
      </c>
      <c r="F528" s="192" t="s">
        <v>757</v>
      </c>
      <c r="G528" s="192" t="s">
        <v>762</v>
      </c>
      <c r="H528" s="193" t="s">
        <v>1112</v>
      </c>
      <c r="I528" s="259">
        <v>1106</v>
      </c>
      <c r="J528" s="259">
        <v>7500</v>
      </c>
      <c r="K528" s="38">
        <f>ROUND(I528*J528,0)</f>
        <v>8295000</v>
      </c>
      <c r="L528" s="194" t="s">
        <v>265</v>
      </c>
      <c r="M528" s="194" t="s">
        <v>175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/>
      </c>
      <c r="AA528" s="853"/>
      <c r="AB528" s="884"/>
      <c r="AD528" s="198"/>
    </row>
    <row r="529" spans="1:30" s="594" customFormat="1" ht="15.75" customHeight="1">
      <c r="A529" s="204" t="str">
        <f>IF(B529&lt;&gt;"",IF(AND(B529&gt;=_TM1,B529&lt;=_TM2,OR(TH!L529="1111",TH!M529="1111")),TH!D529,""),"")</f>
        <v/>
      </c>
      <c r="B529" s="36">
        <f t="shared" si="105"/>
        <v>1</v>
      </c>
      <c r="C529" s="191">
        <f t="shared" si="106"/>
        <v>41303</v>
      </c>
      <c r="D529" s="184" t="s">
        <v>1059</v>
      </c>
      <c r="E529" s="191">
        <v>41303</v>
      </c>
      <c r="F529" s="192" t="s">
        <v>726</v>
      </c>
      <c r="G529" s="192" t="s">
        <v>762</v>
      </c>
      <c r="H529" s="193" t="s">
        <v>1112</v>
      </c>
      <c r="I529" s="259"/>
      <c r="J529" s="259"/>
      <c r="K529" s="38">
        <v>829500</v>
      </c>
      <c r="L529" s="194" t="s">
        <v>265</v>
      </c>
      <c r="M529" s="194" t="s">
        <v>430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/>
      </c>
      <c r="AA529" s="853"/>
      <c r="AB529" s="884"/>
      <c r="AC529" s="594" t="str">
        <f t="shared" si="103"/>
        <v/>
      </c>
      <c r="AD529" s="198"/>
    </row>
    <row r="530" spans="1:30" s="594" customFormat="1" ht="15.75" customHeight="1">
      <c r="A530" s="204" t="str">
        <f>IF(B530&lt;&gt;"",IF(AND(B530&gt;=_TM1,B530&lt;=_TM2,OR(TH!L530="1111",TH!M530="1111")),TH!D530,""),"")</f>
        <v/>
      </c>
      <c r="B530" s="36">
        <f t="shared" si="105"/>
        <v>1</v>
      </c>
      <c r="C530" s="191">
        <f t="shared" si="106"/>
        <v>41305</v>
      </c>
      <c r="D530" s="184" t="s">
        <v>1060</v>
      </c>
      <c r="E530" s="191">
        <v>41305</v>
      </c>
      <c r="F530" s="192" t="s">
        <v>731</v>
      </c>
      <c r="G530" s="192" t="s">
        <v>763</v>
      </c>
      <c r="H530" s="7" t="s">
        <v>503</v>
      </c>
      <c r="I530" s="256">
        <v>1693</v>
      </c>
      <c r="J530" s="256">
        <v>8740</v>
      </c>
      <c r="K530" s="38">
        <f>ROUND(I530*J530,0)</f>
        <v>14796820</v>
      </c>
      <c r="L530" s="194" t="s">
        <v>265</v>
      </c>
      <c r="M530" s="194" t="s">
        <v>175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/>
      </c>
      <c r="AA530" s="853"/>
      <c r="AB530" s="884"/>
      <c r="AD530" s="198"/>
    </row>
    <row r="531" spans="1:30" s="594" customFormat="1" ht="15.75" customHeight="1">
      <c r="A531" s="204" t="str">
        <f>IF(B531&lt;&gt;"",IF(AND(B531&gt;=_TM1,B531&lt;=_TM2,OR(TH!L531="1111",TH!M531="1111")),TH!D531,""),"")</f>
        <v/>
      </c>
      <c r="B531" s="36">
        <f t="shared" si="105"/>
        <v>1</v>
      </c>
      <c r="C531" s="191">
        <f t="shared" si="106"/>
        <v>41305</v>
      </c>
      <c r="D531" s="184" t="s">
        <v>1060</v>
      </c>
      <c r="E531" s="191">
        <v>41305</v>
      </c>
      <c r="F531" s="192" t="s">
        <v>726</v>
      </c>
      <c r="G531" s="192" t="s">
        <v>763</v>
      </c>
      <c r="H531" s="7" t="s">
        <v>503</v>
      </c>
      <c r="I531" s="257"/>
      <c r="J531" s="257"/>
      <c r="K531" s="38">
        <v>1479682</v>
      </c>
      <c r="L531" s="194" t="s">
        <v>265</v>
      </c>
      <c r="M531" s="194" t="s">
        <v>430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/>
      </c>
      <c r="AA531" s="853"/>
      <c r="AB531" s="211"/>
      <c r="AC531" s="594" t="str">
        <f t="shared" si="103"/>
        <v/>
      </c>
      <c r="AD531" s="198"/>
    </row>
    <row r="532" spans="1:30" s="594" customFormat="1" ht="15.75" customHeight="1">
      <c r="A532" s="204" t="str">
        <f>IF(B532&lt;&gt;"",IF(AND(B532&gt;=_TM1,B532&lt;=_TM2,OR(TH!L532="1111",TH!M532="1111")),TH!D532,""),"")</f>
        <v/>
      </c>
      <c r="B532" s="36">
        <f t="shared" si="105"/>
        <v>1</v>
      </c>
      <c r="C532" s="191">
        <f t="shared" si="106"/>
        <v>41305</v>
      </c>
      <c r="D532" s="184" t="s">
        <v>1061</v>
      </c>
      <c r="E532" s="191">
        <v>41305</v>
      </c>
      <c r="F532" s="192" t="s">
        <v>764</v>
      </c>
      <c r="G532" s="192" t="s">
        <v>765</v>
      </c>
      <c r="H532" s="7" t="s">
        <v>582</v>
      </c>
      <c r="I532" s="256">
        <v>466</v>
      </c>
      <c r="J532" s="256">
        <v>22000</v>
      </c>
      <c r="K532" s="38">
        <f>ROUND(I532*J532,0)</f>
        <v>10252000</v>
      </c>
      <c r="L532" s="194" t="s">
        <v>265</v>
      </c>
      <c r="M532" s="194" t="s">
        <v>175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/>
      </c>
      <c r="AA532" s="853"/>
      <c r="AB532" s="211"/>
      <c r="AD532" s="198"/>
    </row>
    <row r="533" spans="1:30" s="594" customFormat="1" ht="15.75" customHeight="1">
      <c r="A533" s="204" t="str">
        <f>IF(B533&lt;&gt;"",IF(AND(B533&gt;=_TM1,B533&lt;=_TM2,OR(TH!L533="1111",TH!M533="1111")),TH!D533,""),"")</f>
        <v/>
      </c>
      <c r="B533" s="36">
        <f t="shared" si="105"/>
        <v>1</v>
      </c>
      <c r="C533" s="191">
        <f t="shared" si="106"/>
        <v>41305</v>
      </c>
      <c r="D533" s="184" t="s">
        <v>1061</v>
      </c>
      <c r="E533" s="191">
        <v>41305</v>
      </c>
      <c r="F533" s="192" t="s">
        <v>726</v>
      </c>
      <c r="G533" s="192" t="s">
        <v>765</v>
      </c>
      <c r="H533" s="7" t="s">
        <v>582</v>
      </c>
      <c r="I533" s="256"/>
      <c r="J533" s="256"/>
      <c r="K533" s="38">
        <v>1025200</v>
      </c>
      <c r="L533" s="194" t="s">
        <v>265</v>
      </c>
      <c r="M533" s="194" t="s">
        <v>430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/>
      </c>
      <c r="AA533" s="853"/>
      <c r="AB533" s="211"/>
      <c r="AC533" s="594" t="str">
        <f t="shared" si="103"/>
        <v/>
      </c>
      <c r="AD533" s="198"/>
    </row>
    <row r="534" spans="1:30" s="594" customFormat="1" ht="15.75" customHeight="1">
      <c r="A534" s="204" t="str">
        <f>IF(B534&lt;&gt;"",IF(AND(B534&gt;=_TM1,B534&lt;=_TM2,OR(TH!L534="1111",TH!M534="1111")),TH!D534,""),"")</f>
        <v/>
      </c>
      <c r="B534" s="36">
        <f t="shared" si="105"/>
        <v>2</v>
      </c>
      <c r="C534" s="191">
        <f t="shared" si="106"/>
        <v>41328</v>
      </c>
      <c r="D534" s="184" t="s">
        <v>1062</v>
      </c>
      <c r="E534" s="191">
        <v>41328</v>
      </c>
      <c r="F534" s="192" t="s">
        <v>766</v>
      </c>
      <c r="G534" s="192" t="s">
        <v>767</v>
      </c>
      <c r="H534" s="193" t="s">
        <v>1112</v>
      </c>
      <c r="I534" s="256">
        <v>610</v>
      </c>
      <c r="J534" s="256">
        <v>6990</v>
      </c>
      <c r="K534" s="38">
        <f>ROUND(I534*J534,0)</f>
        <v>4263900</v>
      </c>
      <c r="L534" s="194" t="s">
        <v>265</v>
      </c>
      <c r="M534" s="194" t="s">
        <v>175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/>
      </c>
      <c r="AA534" s="853"/>
      <c r="AB534" s="211"/>
      <c r="AD534" s="198"/>
    </row>
    <row r="535" spans="1:30" s="594" customFormat="1" ht="15.75" customHeight="1">
      <c r="A535" s="204" t="str">
        <f>IF(B535&lt;&gt;"",IF(AND(B535&gt;=_TM1,B535&lt;=_TM2,OR(TH!L535="1111",TH!M535="1111")),TH!D535,""),"")</f>
        <v/>
      </c>
      <c r="B535" s="36">
        <f t="shared" si="105"/>
        <v>2</v>
      </c>
      <c r="C535" s="191">
        <f t="shared" si="106"/>
        <v>41328</v>
      </c>
      <c r="D535" s="184" t="s">
        <v>1062</v>
      </c>
      <c r="E535" s="191">
        <v>41328</v>
      </c>
      <c r="F535" s="192" t="s">
        <v>726</v>
      </c>
      <c r="G535" s="192" t="s">
        <v>767</v>
      </c>
      <c r="H535" s="193" t="s">
        <v>1112</v>
      </c>
      <c r="I535" s="256"/>
      <c r="J535" s="256"/>
      <c r="K535" s="38">
        <v>426390</v>
      </c>
      <c r="L535" s="194" t="s">
        <v>265</v>
      </c>
      <c r="M535" s="194" t="s">
        <v>430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/>
      </c>
      <c r="AA535" s="853"/>
      <c r="AB535" s="211"/>
      <c r="AC535" s="594" t="str">
        <f t="shared" si="103"/>
        <v/>
      </c>
      <c r="AD535" s="198"/>
    </row>
    <row r="536" spans="1:30" s="594" customFormat="1" ht="15.75" customHeight="1">
      <c r="A536" s="204" t="str">
        <f>IF(B536&lt;&gt;"",IF(AND(B536&gt;=_TM1,B536&lt;=_TM2,OR(TH!L536="1111",TH!M536="1111")),TH!D536,""),"")</f>
        <v/>
      </c>
      <c r="B536" s="36">
        <f t="shared" si="105"/>
        <v>3</v>
      </c>
      <c r="C536" s="191">
        <f t="shared" si="106"/>
        <v>41337</v>
      </c>
      <c r="D536" s="184" t="s">
        <v>1063</v>
      </c>
      <c r="E536" s="191">
        <v>41337</v>
      </c>
      <c r="F536" s="192" t="s">
        <v>768</v>
      </c>
      <c r="G536" s="192" t="s">
        <v>769</v>
      </c>
      <c r="H536" s="210" t="s">
        <v>743</v>
      </c>
      <c r="I536" s="256">
        <v>620</v>
      </c>
      <c r="J536" s="256">
        <v>11000</v>
      </c>
      <c r="K536" s="38">
        <f>ROUND(I536*J536,0)</f>
        <v>6820000</v>
      </c>
      <c r="L536" s="194" t="s">
        <v>265</v>
      </c>
      <c r="M536" s="194" t="s">
        <v>175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/>
      </c>
      <c r="AA536" s="853"/>
      <c r="AB536" s="211"/>
      <c r="AD536" s="198"/>
    </row>
    <row r="537" spans="1:30" s="594" customFormat="1" ht="15.75" customHeight="1">
      <c r="A537" s="204" t="str">
        <f>IF(B537&lt;&gt;"",IF(AND(B537&gt;=_TM1,B537&lt;=_TM2,OR(TH!L537="1111",TH!M537="1111")),TH!D537,""),"")</f>
        <v/>
      </c>
      <c r="B537" s="36">
        <f t="shared" si="105"/>
        <v>3</v>
      </c>
      <c r="C537" s="191">
        <f t="shared" si="106"/>
        <v>41337</v>
      </c>
      <c r="D537" s="184" t="s">
        <v>1063</v>
      </c>
      <c r="E537" s="191">
        <v>41337</v>
      </c>
      <c r="F537" s="192" t="s">
        <v>726</v>
      </c>
      <c r="G537" s="192" t="s">
        <v>769</v>
      </c>
      <c r="H537" s="193" t="s">
        <v>743</v>
      </c>
      <c r="I537" s="256"/>
      <c r="J537" s="256"/>
      <c r="K537" s="38">
        <v>682000</v>
      </c>
      <c r="L537" s="194" t="s">
        <v>265</v>
      </c>
      <c r="M537" s="194" t="s">
        <v>430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/>
      </c>
      <c r="AA537" s="853"/>
      <c r="AB537" s="211"/>
      <c r="AC537" s="594" t="str">
        <f t="shared" si="103"/>
        <v/>
      </c>
      <c r="AD537" s="198"/>
    </row>
    <row r="538" spans="1:30" s="594" customFormat="1" ht="15.75" customHeight="1">
      <c r="A538" s="204" t="str">
        <f>IF(B538&lt;&gt;"",IF(AND(B538&gt;=_TM1,B538&lt;=_TM2,OR(TH!L538="1111",TH!M538="1111")),TH!D538,""),"")</f>
        <v/>
      </c>
      <c r="B538" s="36">
        <f t="shared" si="105"/>
        <v>3</v>
      </c>
      <c r="C538" s="191">
        <f t="shared" si="106"/>
        <v>41337</v>
      </c>
      <c r="D538" s="184" t="s">
        <v>1064</v>
      </c>
      <c r="E538" s="191">
        <v>41337</v>
      </c>
      <c r="F538" s="192" t="s">
        <v>749</v>
      </c>
      <c r="G538" s="192" t="s">
        <v>770</v>
      </c>
      <c r="H538" s="210" t="s">
        <v>501</v>
      </c>
      <c r="I538" s="257">
        <v>1963</v>
      </c>
      <c r="J538" s="257">
        <v>5400</v>
      </c>
      <c r="K538" s="38">
        <f t="shared" ref="K538:K540" si="111">ROUND(I538*J538,0)</f>
        <v>10600200</v>
      </c>
      <c r="L538" s="194" t="s">
        <v>265</v>
      </c>
      <c r="M538" s="194" t="s">
        <v>175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/>
      </c>
      <c r="AA538" s="853"/>
      <c r="AB538" s="211"/>
      <c r="AD538" s="198"/>
    </row>
    <row r="539" spans="1:30" s="594" customFormat="1" ht="15.75" customHeight="1">
      <c r="A539" s="204" t="str">
        <f>IF(B539&lt;&gt;"",IF(AND(B539&gt;=_TM1,B539&lt;=_TM2,OR(TH!L539="1111",TH!M539="1111")),TH!D539,""),"")</f>
        <v/>
      </c>
      <c r="B539" s="36">
        <f t="shared" si="105"/>
        <v>3</v>
      </c>
      <c r="C539" s="191">
        <f t="shared" si="106"/>
        <v>41337</v>
      </c>
      <c r="D539" s="184" t="s">
        <v>1064</v>
      </c>
      <c r="E539" s="191">
        <v>41337</v>
      </c>
      <c r="F539" s="192" t="s">
        <v>725</v>
      </c>
      <c r="G539" s="192" t="s">
        <v>770</v>
      </c>
      <c r="H539" s="193" t="s">
        <v>501</v>
      </c>
      <c r="I539" s="256">
        <v>559</v>
      </c>
      <c r="J539" s="256">
        <v>4800</v>
      </c>
      <c r="K539" s="38">
        <f t="shared" si="111"/>
        <v>2683200</v>
      </c>
      <c r="L539" s="194" t="s">
        <v>265</v>
      </c>
      <c r="M539" s="194" t="s">
        <v>175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/>
      </c>
      <c r="AA539" s="853"/>
      <c r="AB539" s="211"/>
      <c r="AD539" s="198"/>
    </row>
    <row r="540" spans="1:30" s="594" customFormat="1" ht="15.75" customHeight="1">
      <c r="A540" s="204" t="str">
        <f>IF(B540&lt;&gt;"",IF(AND(B540&gt;=_TM1,B540&lt;=_TM2,OR(TH!L540="1111",TH!M540="1111")),TH!D540,""),"")</f>
        <v/>
      </c>
      <c r="B540" s="36">
        <f t="shared" si="105"/>
        <v>3</v>
      </c>
      <c r="C540" s="191">
        <f t="shared" si="106"/>
        <v>41337</v>
      </c>
      <c r="D540" s="184" t="s">
        <v>1064</v>
      </c>
      <c r="E540" s="191">
        <v>41337</v>
      </c>
      <c r="F540" s="192" t="s">
        <v>771</v>
      </c>
      <c r="G540" s="192" t="s">
        <v>770</v>
      </c>
      <c r="H540" s="193" t="s">
        <v>501</v>
      </c>
      <c r="I540" s="256">
        <v>617</v>
      </c>
      <c r="J540" s="256">
        <v>10300</v>
      </c>
      <c r="K540" s="38">
        <f t="shared" si="111"/>
        <v>6355100</v>
      </c>
      <c r="L540" s="194" t="s">
        <v>265</v>
      </c>
      <c r="M540" s="194" t="s">
        <v>175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/>
      </c>
      <c r="AA540" s="853"/>
      <c r="AB540" s="211"/>
      <c r="AD540" s="198"/>
    </row>
    <row r="541" spans="1:30" s="594" customFormat="1" ht="15.75" customHeight="1">
      <c r="A541" s="204" t="str">
        <f>IF(B541&lt;&gt;"",IF(AND(B541&gt;=_TM1,B541&lt;=_TM2,OR(TH!L541="1111",TH!M541="1111")),TH!D541,""),"")</f>
        <v/>
      </c>
      <c r="B541" s="36">
        <f t="shared" si="105"/>
        <v>3</v>
      </c>
      <c r="C541" s="191">
        <f t="shared" si="106"/>
        <v>41337</v>
      </c>
      <c r="D541" s="184" t="s">
        <v>1064</v>
      </c>
      <c r="E541" s="191">
        <v>41337</v>
      </c>
      <c r="F541" s="192" t="s">
        <v>726</v>
      </c>
      <c r="G541" s="192" t="s">
        <v>770</v>
      </c>
      <c r="H541" s="193" t="s">
        <v>501</v>
      </c>
      <c r="I541" s="256"/>
      <c r="J541" s="256"/>
      <c r="K541" s="38">
        <v>1963850</v>
      </c>
      <c r="L541" s="194" t="s">
        <v>265</v>
      </c>
      <c r="M541" s="194" t="s">
        <v>430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/>
      </c>
      <c r="AA541" s="853"/>
      <c r="AB541" s="211"/>
      <c r="AC541" s="594" t="str">
        <f t="shared" si="103"/>
        <v/>
      </c>
      <c r="AD541" s="198"/>
    </row>
    <row r="542" spans="1:30" s="211" customFormat="1" ht="15.75" customHeight="1">
      <c r="A542" s="204" t="str">
        <f>IF(B542&lt;&gt;"",IF(AND(B542&gt;=_TM1,B542&lt;=_TM2,OR(TH!L542="1111",TH!M542="1111")),TH!D542,""),"")</f>
        <v/>
      </c>
      <c r="B542" s="36">
        <f t="shared" si="105"/>
        <v>3</v>
      </c>
      <c r="C542" s="191">
        <f t="shared" si="106"/>
        <v>41345</v>
      </c>
      <c r="D542" s="184" t="s">
        <v>1065</v>
      </c>
      <c r="E542" s="191">
        <v>41345</v>
      </c>
      <c r="F542" s="192" t="s">
        <v>1127</v>
      </c>
      <c r="G542" s="192" t="s">
        <v>772</v>
      </c>
      <c r="H542" s="193" t="s">
        <v>773</v>
      </c>
      <c r="I542" s="256">
        <v>310</v>
      </c>
      <c r="J542" s="256">
        <v>12300</v>
      </c>
      <c r="K542" s="38">
        <f>ROUND(I542*J542,0)</f>
        <v>3813000</v>
      </c>
      <c r="L542" s="194" t="s">
        <v>265</v>
      </c>
      <c r="M542" s="194" t="s">
        <v>175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/>
      </c>
      <c r="AA542" s="853"/>
      <c r="AC542" s="594"/>
      <c r="AD542" s="198"/>
    </row>
    <row r="543" spans="1:30" s="211" customFormat="1" ht="15.75" customHeight="1">
      <c r="A543" s="204" t="str">
        <f>IF(B543&lt;&gt;"",IF(AND(B543&gt;=_TM1,B543&lt;=_TM2,OR(TH!L543="1111",TH!M543="1111")),TH!D543,""),"")</f>
        <v/>
      </c>
      <c r="B543" s="36">
        <f t="shared" si="105"/>
        <v>3</v>
      </c>
      <c r="C543" s="191">
        <f t="shared" si="106"/>
        <v>41345</v>
      </c>
      <c r="D543" s="184" t="s">
        <v>1065</v>
      </c>
      <c r="E543" s="191">
        <v>41345</v>
      </c>
      <c r="F543" s="192" t="s">
        <v>726</v>
      </c>
      <c r="G543" s="192" t="s">
        <v>772</v>
      </c>
      <c r="H543" s="193" t="s">
        <v>773</v>
      </c>
      <c r="I543" s="256"/>
      <c r="J543" s="256"/>
      <c r="K543" s="38">
        <v>381300</v>
      </c>
      <c r="L543" s="194" t="s">
        <v>265</v>
      </c>
      <c r="M543" s="194" t="s">
        <v>430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/>
      </c>
      <c r="AA543" s="853"/>
      <c r="AC543" s="594" t="str">
        <f t="shared" si="103"/>
        <v/>
      </c>
      <c r="AD543" s="198"/>
    </row>
    <row r="544" spans="1:30" s="594" customFormat="1" ht="15.75" customHeight="1">
      <c r="A544" s="204" t="str">
        <f>IF(B544&lt;&gt;"",IF(AND(B544&gt;=_TM1,B544&lt;=_TM2,OR(TH!L544="1111",TH!M544="1111")),TH!D544,""),"")</f>
        <v/>
      </c>
      <c r="B544" s="36">
        <f t="shared" si="105"/>
        <v>3</v>
      </c>
      <c r="C544" s="191">
        <f t="shared" si="106"/>
        <v>41345</v>
      </c>
      <c r="D544" s="184" t="s">
        <v>1066</v>
      </c>
      <c r="E544" s="191">
        <v>41345</v>
      </c>
      <c r="F544" s="192" t="s">
        <v>741</v>
      </c>
      <c r="G544" s="192" t="s">
        <v>774</v>
      </c>
      <c r="H544" s="193" t="s">
        <v>743</v>
      </c>
      <c r="I544" s="256">
        <v>500</v>
      </c>
      <c r="J544" s="256">
        <v>8000</v>
      </c>
      <c r="K544" s="38">
        <f t="shared" ref="K544:K545" si="112">ROUND(I544*J544,0)</f>
        <v>4000000</v>
      </c>
      <c r="L544" s="194" t="s">
        <v>265</v>
      </c>
      <c r="M544" s="194" t="s">
        <v>175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/>
      </c>
      <c r="AA544" s="853"/>
      <c r="AB544" s="211"/>
      <c r="AD544" s="198"/>
    </row>
    <row r="545" spans="1:30" s="594" customFormat="1" ht="15.75" customHeight="1">
      <c r="A545" s="204" t="str">
        <f>IF(B545&lt;&gt;"",IF(AND(B545&gt;=_TM1,B545&lt;=_TM2,OR(TH!L545="1111",TH!M545="1111")),TH!D545,""),"")</f>
        <v/>
      </c>
      <c r="B545" s="36">
        <f t="shared" si="105"/>
        <v>3</v>
      </c>
      <c r="C545" s="191">
        <f t="shared" si="106"/>
        <v>41345</v>
      </c>
      <c r="D545" s="184" t="s">
        <v>1066</v>
      </c>
      <c r="E545" s="191">
        <v>41345</v>
      </c>
      <c r="F545" s="192" t="s">
        <v>760</v>
      </c>
      <c r="G545" s="192" t="s">
        <v>774</v>
      </c>
      <c r="H545" s="7" t="s">
        <v>743</v>
      </c>
      <c r="I545" s="256">
        <v>300</v>
      </c>
      <c r="J545" s="256">
        <v>9450</v>
      </c>
      <c r="K545" s="38">
        <f t="shared" si="112"/>
        <v>2835000</v>
      </c>
      <c r="L545" s="194" t="s">
        <v>265</v>
      </c>
      <c r="M545" s="194" t="s">
        <v>175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/>
      </c>
      <c r="AA545" s="853"/>
      <c r="AB545" s="211"/>
      <c r="AD545" s="198"/>
    </row>
    <row r="546" spans="1:30" s="594" customFormat="1" ht="15.75" customHeight="1">
      <c r="A546" s="204" t="str">
        <f>IF(B546&lt;&gt;"",IF(AND(B546&gt;=_TM1,B546&lt;=_TM2,OR(TH!L546="1111",TH!M546="1111")),TH!D546,""),"")</f>
        <v/>
      </c>
      <c r="B546" s="36">
        <f t="shared" si="105"/>
        <v>3</v>
      </c>
      <c r="C546" s="191">
        <f t="shared" si="106"/>
        <v>41345</v>
      </c>
      <c r="D546" s="184" t="s">
        <v>1066</v>
      </c>
      <c r="E546" s="191">
        <v>41345</v>
      </c>
      <c r="F546" s="192" t="s">
        <v>726</v>
      </c>
      <c r="G546" s="192" t="s">
        <v>774</v>
      </c>
      <c r="H546" s="7" t="s">
        <v>743</v>
      </c>
      <c r="I546" s="256"/>
      <c r="J546" s="256"/>
      <c r="K546" s="38">
        <v>683500</v>
      </c>
      <c r="L546" s="194" t="s">
        <v>265</v>
      </c>
      <c r="M546" s="194" t="s">
        <v>430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/>
      </c>
      <c r="AA546" s="853"/>
      <c r="AB546" s="211"/>
      <c r="AC546" s="594" t="str">
        <f t="shared" si="103"/>
        <v/>
      </c>
      <c r="AD546" s="198"/>
    </row>
    <row r="547" spans="1:30" s="594" customFormat="1" ht="15.75" customHeight="1">
      <c r="A547" s="204" t="str">
        <f>IF(B547&lt;&gt;"",IF(AND(B547&gt;=_TM1,B547&lt;=_TM2,OR(TH!L547="1111",TH!M547="1111")),TH!D547,""),"")</f>
        <v/>
      </c>
      <c r="B547" s="36">
        <f t="shared" si="105"/>
        <v>3</v>
      </c>
      <c r="C547" s="191">
        <f t="shared" si="106"/>
        <v>41346</v>
      </c>
      <c r="D547" s="184" t="s">
        <v>1067</v>
      </c>
      <c r="E547" s="191">
        <v>41346</v>
      </c>
      <c r="F547" s="192" t="s">
        <v>775</v>
      </c>
      <c r="G547" s="192" t="s">
        <v>496</v>
      </c>
      <c r="H547" s="7" t="s">
        <v>582</v>
      </c>
      <c r="I547" s="256">
        <v>512</v>
      </c>
      <c r="J547" s="256">
        <v>22950</v>
      </c>
      <c r="K547" s="38">
        <f>ROUND(I547*J547,0)</f>
        <v>11750400</v>
      </c>
      <c r="L547" s="194" t="s">
        <v>265</v>
      </c>
      <c r="M547" s="194" t="s">
        <v>175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/>
      </c>
      <c r="AA547" s="853"/>
      <c r="AB547" s="211"/>
      <c r="AD547" s="198"/>
    </row>
    <row r="548" spans="1:30" s="594" customFormat="1" ht="15.75" customHeight="1">
      <c r="A548" s="204" t="str">
        <f>IF(B548&lt;&gt;"",IF(AND(B548&gt;=_TM1,B548&lt;=_TM2,OR(TH!L548="1111",TH!M548="1111")),TH!D548,""),"")</f>
        <v/>
      </c>
      <c r="B548" s="36">
        <f t="shared" si="105"/>
        <v>3</v>
      </c>
      <c r="C548" s="191">
        <f t="shared" si="106"/>
        <v>41346</v>
      </c>
      <c r="D548" s="184" t="s">
        <v>1067</v>
      </c>
      <c r="E548" s="191">
        <v>41346</v>
      </c>
      <c r="F548" s="192" t="s">
        <v>726</v>
      </c>
      <c r="G548" s="487" t="s">
        <v>496</v>
      </c>
      <c r="H548" s="7" t="s">
        <v>582</v>
      </c>
      <c r="I548" s="256"/>
      <c r="J548" s="256"/>
      <c r="K548" s="38">
        <v>1175040</v>
      </c>
      <c r="L548" s="194" t="s">
        <v>265</v>
      </c>
      <c r="M548" s="194" t="s">
        <v>430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/>
      </c>
      <c r="AA548" s="853"/>
      <c r="AB548" s="211"/>
      <c r="AC548" s="594" t="str">
        <f t="shared" si="103"/>
        <v/>
      </c>
      <c r="AD548" s="198"/>
    </row>
    <row r="549" spans="1:30" s="211" customFormat="1" ht="15.75" customHeight="1">
      <c r="A549" s="204" t="str">
        <f>IF(B549&lt;&gt;"",IF(AND(B549&gt;=_TM1,B549&lt;=_TM2,OR(TH!L549="1111",TH!M549="1111")),TH!D549,""),"")</f>
        <v/>
      </c>
      <c r="B549" s="36">
        <f t="shared" si="105"/>
        <v>3</v>
      </c>
      <c r="C549" s="191">
        <f t="shared" si="106"/>
        <v>41346</v>
      </c>
      <c r="D549" s="184" t="s">
        <v>1068</v>
      </c>
      <c r="E549" s="191">
        <v>41346</v>
      </c>
      <c r="F549" s="192" t="s">
        <v>1128</v>
      </c>
      <c r="G549" s="487" t="s">
        <v>776</v>
      </c>
      <c r="H549" s="193" t="s">
        <v>777</v>
      </c>
      <c r="I549" s="256">
        <v>500</v>
      </c>
      <c r="J549" s="256">
        <v>12000</v>
      </c>
      <c r="K549" s="38">
        <f>ROUND(I549*J549,0)</f>
        <v>6000000</v>
      </c>
      <c r="L549" s="194" t="s">
        <v>265</v>
      </c>
      <c r="M549" s="194" t="s">
        <v>175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/>
      </c>
      <c r="AA549" s="853"/>
      <c r="AC549" s="594"/>
      <c r="AD549" s="198"/>
    </row>
    <row r="550" spans="1:30" s="211" customFormat="1" ht="15.75" customHeight="1">
      <c r="A550" s="204" t="str">
        <f>IF(B550&lt;&gt;"",IF(AND(B550&gt;=_TM1,B550&lt;=_TM2,OR(TH!L550="1111",TH!M550="1111")),TH!D550,""),"")</f>
        <v/>
      </c>
      <c r="B550" s="36">
        <f t="shared" si="105"/>
        <v>3</v>
      </c>
      <c r="C550" s="191">
        <f t="shared" si="106"/>
        <v>41346</v>
      </c>
      <c r="D550" s="184" t="s">
        <v>1068</v>
      </c>
      <c r="E550" s="191">
        <v>41346</v>
      </c>
      <c r="F550" s="192" t="s">
        <v>726</v>
      </c>
      <c r="G550" s="192" t="s">
        <v>776</v>
      </c>
      <c r="H550" s="192" t="s">
        <v>777</v>
      </c>
      <c r="I550" s="256"/>
      <c r="J550" s="256"/>
      <c r="K550" s="38">
        <v>600000</v>
      </c>
      <c r="L550" s="194" t="s">
        <v>265</v>
      </c>
      <c r="M550" s="194" t="s">
        <v>430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/>
      </c>
      <c r="AA550" s="853"/>
      <c r="AC550" s="594" t="str">
        <f t="shared" si="103"/>
        <v/>
      </c>
      <c r="AD550" s="198"/>
    </row>
    <row r="551" spans="1:30" s="211" customFormat="1" ht="15.75" customHeight="1">
      <c r="A551" s="204" t="str">
        <f>IF(B551&lt;&gt;"",IF(AND(B551&gt;=_TM1,B551&lt;=_TM2,OR(TH!L551="1111",TH!M551="1111")),TH!D551,""),"")</f>
        <v/>
      </c>
      <c r="B551" s="36">
        <f t="shared" si="105"/>
        <v>3</v>
      </c>
      <c r="C551" s="191">
        <f t="shared" si="106"/>
        <v>41351</v>
      </c>
      <c r="D551" s="184" t="s">
        <v>1069</v>
      </c>
      <c r="E551" s="191">
        <v>41351</v>
      </c>
      <c r="F551" s="192" t="s">
        <v>778</v>
      </c>
      <c r="G551" s="192" t="s">
        <v>779</v>
      </c>
      <c r="H551" s="7" t="s">
        <v>582</v>
      </c>
      <c r="I551" s="256">
        <v>105</v>
      </c>
      <c r="J551" s="256">
        <v>26000</v>
      </c>
      <c r="K551" s="38">
        <f>ROUND(I551*J551,0)</f>
        <v>2730000</v>
      </c>
      <c r="L551" s="194" t="s">
        <v>265</v>
      </c>
      <c r="M551" s="194" t="s">
        <v>175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/>
      </c>
      <c r="AA551" s="853"/>
      <c r="AC551" s="594"/>
      <c r="AD551" s="198"/>
    </row>
    <row r="552" spans="1:30" s="211" customFormat="1" ht="15.75" customHeight="1">
      <c r="A552" s="204" t="str">
        <f>IF(B552&lt;&gt;"",IF(AND(B552&gt;=_TM1,B552&lt;=_TM2,OR(TH!L552="1111",TH!M552="1111")),TH!D552,""),"")</f>
        <v/>
      </c>
      <c r="B552" s="36">
        <f t="shared" si="105"/>
        <v>3</v>
      </c>
      <c r="C552" s="191">
        <f t="shared" si="106"/>
        <v>41351</v>
      </c>
      <c r="D552" s="184" t="s">
        <v>1069</v>
      </c>
      <c r="E552" s="191">
        <v>41351</v>
      </c>
      <c r="F552" s="192" t="s">
        <v>726</v>
      </c>
      <c r="G552" s="192" t="s">
        <v>779</v>
      </c>
      <c r="H552" s="7" t="s">
        <v>582</v>
      </c>
      <c r="I552" s="256"/>
      <c r="J552" s="256"/>
      <c r="K552" s="38">
        <v>273000</v>
      </c>
      <c r="L552" s="194" t="s">
        <v>265</v>
      </c>
      <c r="M552" s="194" t="s">
        <v>430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/>
      </c>
      <c r="AA552" s="853"/>
      <c r="AC552" s="594" t="str">
        <f t="shared" si="103"/>
        <v/>
      </c>
      <c r="AD552" s="198"/>
    </row>
    <row r="553" spans="1:30" s="594" customFormat="1" ht="15.75" customHeight="1">
      <c r="A553" s="204" t="str">
        <f>IF(B553&lt;&gt;"",IF(AND(B553&gt;=_TM1,B553&lt;=_TM2,OR(TH!L553="1111",TH!M553="1111")),TH!D553,""),"")</f>
        <v/>
      </c>
      <c r="B553" s="36">
        <f t="shared" si="105"/>
        <v>3</v>
      </c>
      <c r="C553" s="191">
        <f t="shared" si="106"/>
        <v>41359</v>
      </c>
      <c r="D553" s="184" t="s">
        <v>1070</v>
      </c>
      <c r="E553" s="191">
        <v>41359</v>
      </c>
      <c r="F553" s="192" t="s">
        <v>780</v>
      </c>
      <c r="G553" s="192" t="s">
        <v>781</v>
      </c>
      <c r="H553" s="7" t="s">
        <v>1113</v>
      </c>
      <c r="I553" s="256">
        <v>513</v>
      </c>
      <c r="J553" s="256">
        <v>18300</v>
      </c>
      <c r="K553" s="38">
        <f t="shared" ref="K553:K554" si="113">ROUND(I553*J553,0)</f>
        <v>9387900</v>
      </c>
      <c r="L553" s="194" t="s">
        <v>265</v>
      </c>
      <c r="M553" s="194" t="s">
        <v>175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/>
      </c>
      <c r="AA553" s="853"/>
      <c r="AB553" s="211"/>
      <c r="AD553" s="198"/>
    </row>
    <row r="554" spans="1:30" s="594" customFormat="1" ht="15.75" customHeight="1">
      <c r="A554" s="204" t="str">
        <f>IF(B554&lt;&gt;"",IF(AND(B554&gt;=_TM1,B554&lt;=_TM2,OR(TH!L554="1111",TH!M554="1111")),TH!D554,""),"")</f>
        <v/>
      </c>
      <c r="B554" s="36">
        <f t="shared" si="105"/>
        <v>3</v>
      </c>
      <c r="C554" s="191">
        <f t="shared" si="106"/>
        <v>41359</v>
      </c>
      <c r="D554" s="184" t="s">
        <v>1070</v>
      </c>
      <c r="E554" s="191">
        <v>41359</v>
      </c>
      <c r="F554" s="192" t="s">
        <v>819</v>
      </c>
      <c r="G554" s="192" t="s">
        <v>781</v>
      </c>
      <c r="H554" s="7" t="s">
        <v>1113</v>
      </c>
      <c r="I554" s="256">
        <v>1100</v>
      </c>
      <c r="J554" s="256">
        <v>1500</v>
      </c>
      <c r="K554" s="38">
        <f t="shared" si="113"/>
        <v>1650000</v>
      </c>
      <c r="L554" s="194" t="s">
        <v>265</v>
      </c>
      <c r="M554" s="194" t="s">
        <v>175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/>
      </c>
      <c r="AA554" s="853"/>
      <c r="AB554" s="211"/>
      <c r="AD554" s="198"/>
    </row>
    <row r="555" spans="1:30" s="594" customFormat="1" ht="15.75" customHeight="1">
      <c r="A555" s="204" t="str">
        <f>IF(B555&lt;&gt;"",IF(AND(B555&gt;=_TM1,B555&lt;=_TM2,OR(TH!L555="1111",TH!M555="1111")),TH!D555,""),"")</f>
        <v/>
      </c>
      <c r="B555" s="36">
        <f t="shared" si="105"/>
        <v>3</v>
      </c>
      <c r="C555" s="191">
        <f t="shared" si="106"/>
        <v>41359</v>
      </c>
      <c r="D555" s="184" t="s">
        <v>1070</v>
      </c>
      <c r="E555" s="191">
        <v>41359</v>
      </c>
      <c r="F555" s="192" t="s">
        <v>726</v>
      </c>
      <c r="G555" s="192" t="s">
        <v>781</v>
      </c>
      <c r="H555" s="7" t="s">
        <v>1113</v>
      </c>
      <c r="I555" s="256"/>
      <c r="J555" s="256"/>
      <c r="K555" s="38">
        <v>1103790</v>
      </c>
      <c r="L555" s="194" t="s">
        <v>265</v>
      </c>
      <c r="M555" s="194" t="s">
        <v>430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/>
      </c>
      <c r="AA555" s="853"/>
      <c r="AB555" s="211"/>
      <c r="AC555" s="594" t="str">
        <f t="shared" ref="AC555:AC615" si="114">IF(VLOOKUP(H555,DS_131,1,0)&lt;&gt;"","","x")</f>
        <v/>
      </c>
      <c r="AD555" s="198"/>
    </row>
    <row r="556" spans="1:30" s="594" customFormat="1" ht="15.75" customHeight="1">
      <c r="A556" s="204" t="str">
        <f>IF(B556&lt;&gt;"",IF(AND(B556&gt;=_TM1,B556&lt;=_TM2,OR(TH!L556="1111",TH!M556="1111")),TH!D556,""),"")</f>
        <v/>
      </c>
      <c r="B556" s="36">
        <f t="shared" si="105"/>
        <v>3</v>
      </c>
      <c r="C556" s="191">
        <f t="shared" si="106"/>
        <v>41361</v>
      </c>
      <c r="D556" s="184" t="s">
        <v>1071</v>
      </c>
      <c r="E556" s="191">
        <v>41361</v>
      </c>
      <c r="F556" s="192" t="s">
        <v>778</v>
      </c>
      <c r="G556" s="192" t="s">
        <v>782</v>
      </c>
      <c r="H556" s="7" t="s">
        <v>582</v>
      </c>
      <c r="I556" s="256">
        <v>60</v>
      </c>
      <c r="J556" s="256">
        <v>26000</v>
      </c>
      <c r="K556" s="38">
        <f>ROUND(I556*J556,0)</f>
        <v>1560000</v>
      </c>
      <c r="L556" s="194" t="s">
        <v>265</v>
      </c>
      <c r="M556" s="194" t="s">
        <v>175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/>
      </c>
      <c r="AA556" s="853"/>
      <c r="AB556" s="211"/>
      <c r="AD556" s="198"/>
    </row>
    <row r="557" spans="1:30" s="594" customFormat="1" ht="15.75" customHeight="1">
      <c r="A557" s="204" t="str">
        <f>IF(B557&lt;&gt;"",IF(AND(B557&gt;=_TM1,B557&lt;=_TM2,OR(TH!L557="1111",TH!M557="1111")),TH!D557,""),"")</f>
        <v/>
      </c>
      <c r="B557" s="36">
        <f t="shared" si="105"/>
        <v>3</v>
      </c>
      <c r="C557" s="191">
        <f t="shared" si="106"/>
        <v>41361</v>
      </c>
      <c r="D557" s="184" t="s">
        <v>1071</v>
      </c>
      <c r="E557" s="191">
        <v>41361</v>
      </c>
      <c r="F557" s="192" t="s">
        <v>726</v>
      </c>
      <c r="G557" s="487" t="s">
        <v>782</v>
      </c>
      <c r="H557" s="7" t="s">
        <v>582</v>
      </c>
      <c r="I557" s="256"/>
      <c r="J557" s="256"/>
      <c r="K557" s="38">
        <v>156000</v>
      </c>
      <c r="L557" s="194" t="s">
        <v>265</v>
      </c>
      <c r="M557" s="194" t="s">
        <v>430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/>
      </c>
      <c r="AA557" s="853"/>
      <c r="AB557" s="211"/>
      <c r="AC557" s="594" t="str">
        <f t="shared" si="114"/>
        <v/>
      </c>
      <c r="AD557" s="198"/>
    </row>
    <row r="558" spans="1:30" s="594" customFormat="1" ht="15.75" customHeight="1">
      <c r="A558" s="204" t="str">
        <f>IF(B558&lt;&gt;"",IF(AND(B558&gt;=_TM1,B558&lt;=_TM2,OR(TH!L558="1111",TH!M558="1111")),TH!D558,""),"")</f>
        <v/>
      </c>
      <c r="B558" s="36">
        <f t="shared" si="105"/>
        <v>3</v>
      </c>
      <c r="C558" s="191">
        <f t="shared" si="106"/>
        <v>41361</v>
      </c>
      <c r="D558" s="184" t="s">
        <v>1072</v>
      </c>
      <c r="E558" s="191">
        <v>41361</v>
      </c>
      <c r="F558" s="192" t="s">
        <v>756</v>
      </c>
      <c r="G558" s="192" t="s">
        <v>783</v>
      </c>
      <c r="H558" s="193" t="s">
        <v>505</v>
      </c>
      <c r="I558" s="256">
        <v>505</v>
      </c>
      <c r="J558" s="256">
        <v>12000</v>
      </c>
      <c r="K558" s="38">
        <f t="shared" ref="K558:K562" si="115">ROUND(I558*J558,0)</f>
        <v>6060000</v>
      </c>
      <c r="L558" s="194" t="s">
        <v>265</v>
      </c>
      <c r="M558" s="194" t="s">
        <v>175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/>
      </c>
      <c r="AA558" s="853"/>
      <c r="AB558" s="211"/>
      <c r="AD558" s="198"/>
    </row>
    <row r="559" spans="1:30" s="594" customFormat="1" ht="15.75" customHeight="1">
      <c r="A559" s="204" t="str">
        <f>IF(B559&lt;&gt;"",IF(AND(B559&gt;=_TM1,B559&lt;=_TM2,OR(TH!L559="1111",TH!M559="1111")),TH!D559,""),"")</f>
        <v/>
      </c>
      <c r="B559" s="36">
        <f t="shared" si="105"/>
        <v>3</v>
      </c>
      <c r="C559" s="191">
        <f t="shared" si="106"/>
        <v>41361</v>
      </c>
      <c r="D559" s="184" t="s">
        <v>1072</v>
      </c>
      <c r="E559" s="191">
        <v>41361</v>
      </c>
      <c r="F559" s="192" t="s">
        <v>784</v>
      </c>
      <c r="G559" s="192" t="s">
        <v>783</v>
      </c>
      <c r="H559" s="193" t="s">
        <v>505</v>
      </c>
      <c r="I559" s="256">
        <v>1990</v>
      </c>
      <c r="J559" s="256">
        <v>7500</v>
      </c>
      <c r="K559" s="38">
        <f t="shared" si="115"/>
        <v>14925000</v>
      </c>
      <c r="L559" s="194" t="s">
        <v>265</v>
      </c>
      <c r="M559" s="194" t="s">
        <v>175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/>
      </c>
      <c r="AA559" s="853"/>
      <c r="AB559" s="211"/>
      <c r="AD559" s="198"/>
    </row>
    <row r="560" spans="1:30" s="594" customFormat="1" ht="15.75" customHeight="1">
      <c r="A560" s="204" t="str">
        <f>IF(B560&lt;&gt;"",IF(AND(B560&gt;=_TM1,B560&lt;=_TM2,OR(TH!L560="1111",TH!M560="1111")),TH!D560,""),"")</f>
        <v/>
      </c>
      <c r="B560" s="36">
        <f t="shared" ref="B560:B623" si="116">IF(C560&lt;&gt;"",MONTH(C560),"")</f>
        <v>3</v>
      </c>
      <c r="C560" s="191">
        <f t="shared" si="106"/>
        <v>41361</v>
      </c>
      <c r="D560" s="184" t="s">
        <v>1072</v>
      </c>
      <c r="E560" s="191">
        <v>41361</v>
      </c>
      <c r="F560" s="192" t="s">
        <v>785</v>
      </c>
      <c r="G560" s="192" t="s">
        <v>783</v>
      </c>
      <c r="H560" s="193" t="s">
        <v>505</v>
      </c>
      <c r="I560" s="256">
        <v>310</v>
      </c>
      <c r="J560" s="256">
        <v>5200</v>
      </c>
      <c r="K560" s="38">
        <f t="shared" si="115"/>
        <v>1612000</v>
      </c>
      <c r="L560" s="194" t="s">
        <v>265</v>
      </c>
      <c r="M560" s="194" t="s">
        <v>175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/>
      </c>
      <c r="AA560" s="853"/>
      <c r="AB560" s="211"/>
      <c r="AD560" s="198"/>
    </row>
    <row r="561" spans="1:30" s="594" customFormat="1" ht="15.75" customHeight="1">
      <c r="A561" s="204" t="str">
        <f>IF(B561&lt;&gt;"",IF(AND(B561&gt;=_TM1,B561&lt;=_TM2,OR(TH!L561="1111",TH!M561="1111")),TH!D561,""),"")</f>
        <v/>
      </c>
      <c r="B561" s="36">
        <f t="shared" si="116"/>
        <v>3</v>
      </c>
      <c r="C561" s="191">
        <f t="shared" si="106"/>
        <v>41361</v>
      </c>
      <c r="D561" s="184" t="s">
        <v>1072</v>
      </c>
      <c r="E561" s="191">
        <v>41361</v>
      </c>
      <c r="F561" s="192" t="s">
        <v>786</v>
      </c>
      <c r="G561" s="192" t="s">
        <v>783</v>
      </c>
      <c r="H561" s="7" t="s">
        <v>505</v>
      </c>
      <c r="I561" s="256">
        <v>305</v>
      </c>
      <c r="J561" s="256">
        <v>4600</v>
      </c>
      <c r="K561" s="38">
        <f t="shared" si="115"/>
        <v>1403000</v>
      </c>
      <c r="L561" s="194" t="s">
        <v>265</v>
      </c>
      <c r="M561" s="194" t="s">
        <v>175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/>
      </c>
      <c r="AA561" s="853"/>
      <c r="AB561" s="211"/>
      <c r="AD561" s="198"/>
    </row>
    <row r="562" spans="1:30" s="594" customFormat="1" ht="15.75" customHeight="1">
      <c r="A562" s="204" t="str">
        <f>IF(B562&lt;&gt;"",IF(AND(B562&gt;=_TM1,B562&lt;=_TM2,OR(TH!L562="1111",TH!M562="1111")),TH!D562,""),"")</f>
        <v/>
      </c>
      <c r="B562" s="36">
        <f t="shared" si="116"/>
        <v>3</v>
      </c>
      <c r="C562" s="191">
        <f t="shared" si="106"/>
        <v>41361</v>
      </c>
      <c r="D562" s="184" t="s">
        <v>1072</v>
      </c>
      <c r="E562" s="191">
        <v>41361</v>
      </c>
      <c r="F562" s="192" t="s">
        <v>754</v>
      </c>
      <c r="G562" s="192" t="s">
        <v>783</v>
      </c>
      <c r="H562" s="7" t="s">
        <v>505</v>
      </c>
      <c r="I562" s="256">
        <v>500</v>
      </c>
      <c r="J562" s="256">
        <v>10600</v>
      </c>
      <c r="K562" s="38">
        <f t="shared" si="115"/>
        <v>5300000</v>
      </c>
      <c r="L562" s="194" t="s">
        <v>265</v>
      </c>
      <c r="M562" s="194" t="s">
        <v>175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/>
      </c>
      <c r="AA562" s="853"/>
      <c r="AB562" s="211"/>
      <c r="AD562" s="198"/>
    </row>
    <row r="563" spans="1:30" s="594" customFormat="1" ht="15.75" customHeight="1">
      <c r="A563" s="204" t="str">
        <f>IF(B563&lt;&gt;"",IF(AND(B563&gt;=_TM1,B563&lt;=_TM2,OR(TH!L563="1111",TH!M563="1111")),TH!D563,""),"")</f>
        <v/>
      </c>
      <c r="B563" s="36">
        <f t="shared" si="116"/>
        <v>3</v>
      </c>
      <c r="C563" s="191">
        <f t="shared" ref="C563:C626" si="117">E563</f>
        <v>41361</v>
      </c>
      <c r="D563" s="184" t="s">
        <v>1072</v>
      </c>
      <c r="E563" s="191">
        <v>41361</v>
      </c>
      <c r="F563" s="192" t="s">
        <v>726</v>
      </c>
      <c r="G563" s="192" t="s">
        <v>783</v>
      </c>
      <c r="H563" s="7" t="s">
        <v>505</v>
      </c>
      <c r="I563" s="256"/>
      <c r="J563" s="256"/>
      <c r="K563" s="38">
        <v>2930000</v>
      </c>
      <c r="L563" s="194" t="s">
        <v>265</v>
      </c>
      <c r="M563" s="194" t="s">
        <v>430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/>
      </c>
      <c r="AA563" s="853"/>
      <c r="AB563" s="211"/>
      <c r="AC563" s="594" t="str">
        <f t="shared" si="114"/>
        <v/>
      </c>
      <c r="AD563" s="198"/>
    </row>
    <row r="564" spans="1:30" s="594" customFormat="1" ht="15.75" customHeight="1">
      <c r="A564" s="204" t="str">
        <f>IF(B564&lt;&gt;"",IF(AND(B564&gt;=_TM1,B564&lt;=_TM2,OR(TH!L564="1111",TH!M564="1111")),TH!D564,""),"")</f>
        <v/>
      </c>
      <c r="B564" s="36">
        <f t="shared" si="116"/>
        <v>3</v>
      </c>
      <c r="C564" s="191">
        <f t="shared" si="117"/>
        <v>41363</v>
      </c>
      <c r="D564" s="184" t="s">
        <v>1073</v>
      </c>
      <c r="E564" s="191">
        <v>41363</v>
      </c>
      <c r="F564" s="192" t="s">
        <v>723</v>
      </c>
      <c r="G564" s="192" t="s">
        <v>787</v>
      </c>
      <c r="H564" s="7" t="s">
        <v>501</v>
      </c>
      <c r="I564" s="256">
        <v>1280</v>
      </c>
      <c r="J564" s="256">
        <v>6000</v>
      </c>
      <c r="K564" s="38">
        <f>ROUND(I564*J564,0)</f>
        <v>7680000</v>
      </c>
      <c r="L564" s="194" t="s">
        <v>265</v>
      </c>
      <c r="M564" s="194" t="s">
        <v>175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/>
      </c>
      <c r="AA564" s="853"/>
      <c r="AB564" s="211"/>
      <c r="AD564" s="198"/>
    </row>
    <row r="565" spans="1:30" s="594" customFormat="1" ht="15.75" customHeight="1">
      <c r="A565" s="204" t="str">
        <f>IF(B565&lt;&gt;"",IF(AND(B565&gt;=_TM1,B565&lt;=_TM2,OR(TH!L565="1111",TH!M565="1111")),TH!D565,""),"")</f>
        <v/>
      </c>
      <c r="B565" s="36">
        <f t="shared" si="116"/>
        <v>3</v>
      </c>
      <c r="C565" s="191">
        <f t="shared" si="117"/>
        <v>41363</v>
      </c>
      <c r="D565" s="184" t="s">
        <v>1073</v>
      </c>
      <c r="E565" s="191">
        <v>41363</v>
      </c>
      <c r="F565" s="192" t="s">
        <v>726</v>
      </c>
      <c r="G565" s="192" t="s">
        <v>787</v>
      </c>
      <c r="H565" s="7" t="s">
        <v>501</v>
      </c>
      <c r="I565" s="256"/>
      <c r="J565" s="256"/>
      <c r="K565" s="38">
        <v>768000</v>
      </c>
      <c r="L565" s="194" t="s">
        <v>265</v>
      </c>
      <c r="M565" s="194" t="s">
        <v>430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/>
      </c>
      <c r="AA565" s="853"/>
      <c r="AB565" s="211"/>
      <c r="AC565" s="594" t="str">
        <f t="shared" si="114"/>
        <v/>
      </c>
      <c r="AD565" s="198"/>
    </row>
    <row r="566" spans="1:30" s="594" customFormat="1" ht="15.75" customHeight="1">
      <c r="A566" s="204" t="str">
        <f>IF(B566&lt;&gt;"",IF(AND(B566&gt;=_TM1,B566&lt;=_TM2,OR(TH!L566="1111",TH!M566="1111")),TH!D566,""),"")</f>
        <v/>
      </c>
      <c r="B566" s="36">
        <f t="shared" si="116"/>
        <v>3</v>
      </c>
      <c r="C566" s="191">
        <f t="shared" si="117"/>
        <v>41363</v>
      </c>
      <c r="D566" s="184" t="s">
        <v>1074</v>
      </c>
      <c r="E566" s="191">
        <v>41363</v>
      </c>
      <c r="F566" s="192" t="s">
        <v>1137</v>
      </c>
      <c r="G566" s="192" t="s">
        <v>788</v>
      </c>
      <c r="H566" s="7" t="s">
        <v>433</v>
      </c>
      <c r="I566" s="256">
        <v>1200</v>
      </c>
      <c r="J566" s="256">
        <v>6350</v>
      </c>
      <c r="K566" s="38">
        <f>ROUND(I566*J566,0)</f>
        <v>7620000</v>
      </c>
      <c r="L566" s="194" t="s">
        <v>265</v>
      </c>
      <c r="M566" s="194" t="s">
        <v>175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/>
      </c>
      <c r="AA566" s="853"/>
      <c r="AB566" s="211"/>
      <c r="AD566" s="198"/>
    </row>
    <row r="567" spans="1:30" s="594" customFormat="1" ht="15.75" customHeight="1">
      <c r="A567" s="204" t="str">
        <f>IF(B567&lt;&gt;"",IF(AND(B567&gt;=_TM1,B567&lt;=_TM2,OR(TH!L567="1111",TH!M567="1111")),TH!D567,""),"")</f>
        <v/>
      </c>
      <c r="B567" s="36">
        <f t="shared" si="116"/>
        <v>3</v>
      </c>
      <c r="C567" s="191">
        <f t="shared" si="117"/>
        <v>41363</v>
      </c>
      <c r="D567" s="184" t="s">
        <v>1074</v>
      </c>
      <c r="E567" s="191">
        <v>41363</v>
      </c>
      <c r="F567" s="192" t="s">
        <v>726</v>
      </c>
      <c r="G567" s="192" t="s">
        <v>788</v>
      </c>
      <c r="H567" s="7" t="s">
        <v>433</v>
      </c>
      <c r="I567" s="256"/>
      <c r="J567" s="256"/>
      <c r="K567" s="38">
        <v>762000</v>
      </c>
      <c r="L567" s="194" t="s">
        <v>265</v>
      </c>
      <c r="M567" s="194" t="s">
        <v>430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/>
      </c>
      <c r="AA567" s="853"/>
      <c r="AB567" s="211"/>
      <c r="AC567" s="594" t="str">
        <f t="shared" si="114"/>
        <v/>
      </c>
      <c r="AD567" s="198"/>
    </row>
    <row r="568" spans="1:30" s="594" customFormat="1" ht="15.75" customHeight="1">
      <c r="A568" s="204" t="str">
        <f>IF(B568&lt;&gt;"",IF(AND(B568&gt;=_TM1,B568&lt;=_TM2,OR(TH!L568="1111",TH!M568="1111")),TH!D568,""),"")</f>
        <v/>
      </c>
      <c r="B568" s="36">
        <f t="shared" si="116"/>
        <v>4</v>
      </c>
      <c r="C568" s="191">
        <f t="shared" si="117"/>
        <v>41367</v>
      </c>
      <c r="D568" s="184" t="s">
        <v>1047</v>
      </c>
      <c r="E568" s="191">
        <v>41367</v>
      </c>
      <c r="F568" s="192" t="s">
        <v>1129</v>
      </c>
      <c r="G568" s="192" t="s">
        <v>789</v>
      </c>
      <c r="H568" s="7" t="s">
        <v>790</v>
      </c>
      <c r="I568" s="256">
        <v>515</v>
      </c>
      <c r="J568" s="256">
        <v>16380</v>
      </c>
      <c r="K568" s="38">
        <f>ROUND(I568*J568,0)</f>
        <v>8435700</v>
      </c>
      <c r="L568" s="194" t="s">
        <v>265</v>
      </c>
      <c r="M568" s="194" t="s">
        <v>175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/>
      </c>
      <c r="AA568" s="853"/>
      <c r="AB568" s="211"/>
      <c r="AD568" s="198"/>
    </row>
    <row r="569" spans="1:30" s="594" customFormat="1" ht="15.75" customHeight="1">
      <c r="A569" s="204" t="str">
        <f>IF(B569&lt;&gt;"",IF(AND(B569&gt;=_TM1,B569&lt;=_TM2,OR(TH!L569="1111",TH!M569="1111")),TH!D569,""),"")</f>
        <v/>
      </c>
      <c r="B569" s="36">
        <f t="shared" si="116"/>
        <v>4</v>
      </c>
      <c r="C569" s="191">
        <f t="shared" si="117"/>
        <v>41367</v>
      </c>
      <c r="D569" s="184" t="s">
        <v>1047</v>
      </c>
      <c r="E569" s="191">
        <v>41367</v>
      </c>
      <c r="F569" s="192" t="s">
        <v>726</v>
      </c>
      <c r="G569" s="192" t="s">
        <v>789</v>
      </c>
      <c r="H569" s="7" t="s">
        <v>790</v>
      </c>
      <c r="I569" s="257"/>
      <c r="J569" s="257"/>
      <c r="K569" s="38">
        <v>843570</v>
      </c>
      <c r="L569" s="194" t="s">
        <v>265</v>
      </c>
      <c r="M569" s="194" t="s">
        <v>430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/>
      </c>
      <c r="AA569" s="853"/>
      <c r="AB569" s="211"/>
      <c r="AC569" s="594" t="str">
        <f t="shared" si="114"/>
        <v/>
      </c>
      <c r="AD569" s="198"/>
    </row>
    <row r="570" spans="1:30" s="594" customFormat="1" ht="15.75" customHeight="1">
      <c r="A570" s="204" t="str">
        <f>IF(B570&lt;&gt;"",IF(AND(B570&gt;=_TM1,B570&lt;=_TM2,OR(TH!L570="1111",TH!M570="1111")),TH!D570,""),"")</f>
        <v/>
      </c>
      <c r="B570" s="36">
        <f t="shared" si="116"/>
        <v>4</v>
      </c>
      <c r="C570" s="191">
        <f t="shared" si="117"/>
        <v>41368</v>
      </c>
      <c r="D570" s="184" t="s">
        <v>1048</v>
      </c>
      <c r="E570" s="191">
        <v>41368</v>
      </c>
      <c r="F570" s="192" t="s">
        <v>741</v>
      </c>
      <c r="G570" s="487" t="s">
        <v>791</v>
      </c>
      <c r="H570" s="193" t="s">
        <v>743</v>
      </c>
      <c r="I570" s="256">
        <v>500</v>
      </c>
      <c r="J570" s="256">
        <v>8000</v>
      </c>
      <c r="K570" s="38">
        <f>ROUND(I570*J570,0)</f>
        <v>4000000</v>
      </c>
      <c r="L570" s="194" t="s">
        <v>265</v>
      </c>
      <c r="M570" s="194" t="s">
        <v>175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/>
      </c>
      <c r="AA570" s="853"/>
      <c r="AB570" s="211"/>
      <c r="AD570" s="198"/>
    </row>
    <row r="571" spans="1:30" s="594" customFormat="1" ht="15.75" customHeight="1">
      <c r="A571" s="204" t="str">
        <f>IF(B571&lt;&gt;"",IF(AND(B571&gt;=_TM1,B571&lt;=_TM2,OR(TH!L571="1111",TH!M571="1111")),TH!D571,""),"")</f>
        <v/>
      </c>
      <c r="B571" s="36">
        <f t="shared" si="116"/>
        <v>4</v>
      </c>
      <c r="C571" s="191">
        <f t="shared" si="117"/>
        <v>41368</v>
      </c>
      <c r="D571" s="184" t="s">
        <v>1048</v>
      </c>
      <c r="E571" s="191">
        <v>41368</v>
      </c>
      <c r="F571" s="192" t="s">
        <v>726</v>
      </c>
      <c r="G571" s="487" t="s">
        <v>791</v>
      </c>
      <c r="H571" s="193" t="s">
        <v>743</v>
      </c>
      <c r="I571" s="256"/>
      <c r="J571" s="256"/>
      <c r="K571" s="38">
        <v>400000</v>
      </c>
      <c r="L571" s="194" t="s">
        <v>265</v>
      </c>
      <c r="M571" s="194" t="s">
        <v>430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/>
      </c>
      <c r="AA571" s="853"/>
      <c r="AB571" s="211"/>
      <c r="AC571" s="594" t="str">
        <f t="shared" si="114"/>
        <v/>
      </c>
      <c r="AD571" s="198"/>
    </row>
    <row r="572" spans="1:30" s="594" customFormat="1" ht="15.75" customHeight="1">
      <c r="A572" s="204" t="str">
        <f>IF(B572&lt;&gt;"",IF(AND(B572&gt;=_TM1,B572&lt;=_TM2,OR(TH!L572="1111",TH!M572="1111")),TH!D572,""),"")</f>
        <v/>
      </c>
      <c r="B572" s="36">
        <f t="shared" si="116"/>
        <v>4</v>
      </c>
      <c r="C572" s="191">
        <f t="shared" si="117"/>
        <v>41368</v>
      </c>
      <c r="D572" s="184" t="s">
        <v>1049</v>
      </c>
      <c r="E572" s="191">
        <v>41368</v>
      </c>
      <c r="F572" s="192" t="s">
        <v>483</v>
      </c>
      <c r="G572" s="487" t="s">
        <v>792</v>
      </c>
      <c r="H572" s="7" t="s">
        <v>793</v>
      </c>
      <c r="I572" s="256">
        <v>400</v>
      </c>
      <c r="J572" s="256">
        <v>12000</v>
      </c>
      <c r="K572" s="38">
        <f>ROUND(I572*J572,0)</f>
        <v>4800000</v>
      </c>
      <c r="L572" s="194" t="s">
        <v>265</v>
      </c>
      <c r="M572" s="194" t="s">
        <v>175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/>
      </c>
      <c r="AA572" s="853"/>
      <c r="AB572" s="211"/>
      <c r="AD572" s="198"/>
    </row>
    <row r="573" spans="1:30" s="594" customFormat="1" ht="15.75" customHeight="1">
      <c r="A573" s="204" t="str">
        <f>IF(B573&lt;&gt;"",IF(AND(B573&gt;=_TM1,B573&lt;=_TM2,OR(TH!L573="1111",TH!M573="1111")),TH!D573,""),"")</f>
        <v/>
      </c>
      <c r="B573" s="36">
        <f t="shared" si="116"/>
        <v>4</v>
      </c>
      <c r="C573" s="191">
        <f t="shared" si="117"/>
        <v>41368</v>
      </c>
      <c r="D573" s="184" t="s">
        <v>1049</v>
      </c>
      <c r="E573" s="191">
        <v>41368</v>
      </c>
      <c r="F573" s="192" t="s">
        <v>726</v>
      </c>
      <c r="G573" s="487" t="s">
        <v>792</v>
      </c>
      <c r="H573" s="7" t="s">
        <v>793</v>
      </c>
      <c r="I573" s="256"/>
      <c r="J573" s="256"/>
      <c r="K573" s="38">
        <v>480000</v>
      </c>
      <c r="L573" s="194" t="s">
        <v>265</v>
      </c>
      <c r="M573" s="194" t="s">
        <v>430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/>
      </c>
      <c r="AA573" s="853"/>
      <c r="AB573" s="211"/>
      <c r="AC573" s="594" t="str">
        <f t="shared" si="114"/>
        <v/>
      </c>
      <c r="AD573" s="198"/>
    </row>
    <row r="574" spans="1:30" s="594" customFormat="1" ht="15.75" customHeight="1">
      <c r="A574" s="204" t="str">
        <f>IF(B574&lt;&gt;"",IF(AND(B574&gt;=_TM1,B574&lt;=_TM2,OR(TH!L574="1111",TH!M574="1111")),TH!D574,""),"")</f>
        <v/>
      </c>
      <c r="B574" s="36">
        <f t="shared" si="116"/>
        <v>4</v>
      </c>
      <c r="C574" s="191">
        <f t="shared" si="117"/>
        <v>41369</v>
      </c>
      <c r="D574" s="184" t="s">
        <v>1050</v>
      </c>
      <c r="E574" s="191">
        <v>41369</v>
      </c>
      <c r="F574" s="192" t="s">
        <v>483</v>
      </c>
      <c r="G574" s="192" t="s">
        <v>579</v>
      </c>
      <c r="H574" s="7" t="s">
        <v>794</v>
      </c>
      <c r="I574" s="256">
        <v>500</v>
      </c>
      <c r="J574" s="256">
        <v>12000</v>
      </c>
      <c r="K574" s="38">
        <f>ROUND(I574*J574,0)</f>
        <v>6000000</v>
      </c>
      <c r="L574" s="194" t="s">
        <v>265</v>
      </c>
      <c r="M574" s="194" t="s">
        <v>175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/>
      </c>
      <c r="AA574" s="853"/>
      <c r="AB574" s="211"/>
      <c r="AD574" s="198"/>
    </row>
    <row r="575" spans="1:30" s="594" customFormat="1" ht="15.75" customHeight="1">
      <c r="A575" s="204" t="str">
        <f>IF(B575&lt;&gt;"",IF(AND(B575&gt;=_TM1,B575&lt;=_TM2,OR(TH!L575="1111",TH!M575="1111")),TH!D575,""),"")</f>
        <v/>
      </c>
      <c r="B575" s="36">
        <f t="shared" si="116"/>
        <v>4</v>
      </c>
      <c r="C575" s="191">
        <f t="shared" si="117"/>
        <v>41369</v>
      </c>
      <c r="D575" s="184" t="s">
        <v>1050</v>
      </c>
      <c r="E575" s="191">
        <v>41369</v>
      </c>
      <c r="F575" s="192" t="s">
        <v>726</v>
      </c>
      <c r="G575" s="192" t="s">
        <v>579</v>
      </c>
      <c r="H575" s="7" t="s">
        <v>794</v>
      </c>
      <c r="I575" s="256"/>
      <c r="J575" s="256"/>
      <c r="K575" s="38">
        <v>600000</v>
      </c>
      <c r="L575" s="194" t="s">
        <v>265</v>
      </c>
      <c r="M575" s="194" t="s">
        <v>430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/>
      </c>
      <c r="AA575" s="853"/>
      <c r="AB575" s="211"/>
      <c r="AC575" s="594" t="str">
        <f t="shared" si="114"/>
        <v/>
      </c>
      <c r="AD575" s="198"/>
    </row>
    <row r="576" spans="1:30" s="594" customFormat="1" ht="15.75" customHeight="1">
      <c r="A576" s="204" t="str">
        <f>IF(B576&lt;&gt;"",IF(AND(B576&gt;=_TM1,B576&lt;=_TM2,OR(TH!L576="1111",TH!M576="1111")),TH!D576,""),"")</f>
        <v/>
      </c>
      <c r="B576" s="36">
        <f t="shared" si="116"/>
        <v>4</v>
      </c>
      <c r="C576" s="191">
        <f t="shared" si="117"/>
        <v>41369</v>
      </c>
      <c r="D576" s="184" t="s">
        <v>1051</v>
      </c>
      <c r="E576" s="191">
        <v>41369</v>
      </c>
      <c r="F576" s="192" t="s">
        <v>795</v>
      </c>
      <c r="G576" s="487" t="s">
        <v>796</v>
      </c>
      <c r="H576" s="7" t="s">
        <v>510</v>
      </c>
      <c r="I576" s="256">
        <v>1000</v>
      </c>
      <c r="J576" s="256">
        <v>12800</v>
      </c>
      <c r="K576" s="38">
        <f>ROUND(I576*J576,0)</f>
        <v>12800000</v>
      </c>
      <c r="L576" s="194" t="s">
        <v>265</v>
      </c>
      <c r="M576" s="194" t="s">
        <v>175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/>
      </c>
      <c r="AA576" s="853"/>
      <c r="AB576" s="211"/>
      <c r="AD576" s="198"/>
    </row>
    <row r="577" spans="1:30" s="594" customFormat="1" ht="15.75" customHeight="1">
      <c r="A577" s="204" t="str">
        <f>IF(B577&lt;&gt;"",IF(AND(B577&gt;=_TM1,B577&lt;=_TM2,OR(TH!L577="1111",TH!M577="1111")),TH!D577,""),"")</f>
        <v/>
      </c>
      <c r="B577" s="36">
        <f t="shared" si="116"/>
        <v>4</v>
      </c>
      <c r="C577" s="191">
        <f t="shared" si="117"/>
        <v>41369</v>
      </c>
      <c r="D577" s="184" t="s">
        <v>1051</v>
      </c>
      <c r="E577" s="191">
        <v>41369</v>
      </c>
      <c r="F577" s="192" t="s">
        <v>726</v>
      </c>
      <c r="G577" s="487" t="s">
        <v>796</v>
      </c>
      <c r="H577" s="7" t="s">
        <v>510</v>
      </c>
      <c r="I577" s="256"/>
      <c r="J577" s="256"/>
      <c r="K577" s="38">
        <v>1280000</v>
      </c>
      <c r="L577" s="194" t="s">
        <v>265</v>
      </c>
      <c r="M577" s="194" t="s">
        <v>430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/>
      </c>
      <c r="AA577" s="853"/>
      <c r="AB577" s="211"/>
      <c r="AC577" s="594" t="str">
        <f t="shared" si="114"/>
        <v/>
      </c>
      <c r="AD577" s="198"/>
    </row>
    <row r="578" spans="1:30" s="594" customFormat="1" ht="15.75" customHeight="1">
      <c r="A578" s="204" t="str">
        <f>IF(B578&lt;&gt;"",IF(AND(B578&gt;=_TM1,B578&lt;=_TM2,OR(TH!L578="1111",TH!M578="1111")),TH!D578,""),"")</f>
        <v/>
      </c>
      <c r="B578" s="36">
        <f t="shared" si="116"/>
        <v>4</v>
      </c>
      <c r="C578" s="191">
        <f t="shared" si="117"/>
        <v>41370</v>
      </c>
      <c r="D578" s="184" t="s">
        <v>1052</v>
      </c>
      <c r="E578" s="191">
        <v>41370</v>
      </c>
      <c r="F578" s="192" t="s">
        <v>797</v>
      </c>
      <c r="G578" s="487" t="s">
        <v>798</v>
      </c>
      <c r="H578" s="7" t="s">
        <v>510</v>
      </c>
      <c r="I578" s="256">
        <v>500</v>
      </c>
      <c r="J578" s="256">
        <v>12800</v>
      </c>
      <c r="K578" s="38">
        <f t="shared" ref="K578:K579" si="118">ROUND(I578*J578,0)</f>
        <v>6400000</v>
      </c>
      <c r="L578" s="194" t="s">
        <v>265</v>
      </c>
      <c r="M578" s="194" t="s">
        <v>175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/>
      </c>
      <c r="AA578" s="853"/>
      <c r="AB578" s="211"/>
      <c r="AD578" s="198"/>
    </row>
    <row r="579" spans="1:30" s="594" customFormat="1" ht="15.75" customHeight="1">
      <c r="A579" s="204" t="str">
        <f>IF(B579&lt;&gt;"",IF(AND(B579&gt;=_TM1,B579&lt;=_TM2,OR(TH!L579="1111",TH!M579="1111")),TH!D579,""),"")</f>
        <v/>
      </c>
      <c r="B579" s="36">
        <f t="shared" si="116"/>
        <v>4</v>
      </c>
      <c r="C579" s="191">
        <f t="shared" si="117"/>
        <v>41370</v>
      </c>
      <c r="D579" s="184" t="s">
        <v>1052</v>
      </c>
      <c r="E579" s="191">
        <v>41370</v>
      </c>
      <c r="F579" s="192" t="s">
        <v>797</v>
      </c>
      <c r="G579" s="487" t="s">
        <v>798</v>
      </c>
      <c r="H579" s="7" t="s">
        <v>510</v>
      </c>
      <c r="I579" s="256">
        <v>100</v>
      </c>
      <c r="J579" s="256">
        <v>12800</v>
      </c>
      <c r="K579" s="38">
        <f t="shared" si="118"/>
        <v>1280000</v>
      </c>
      <c r="L579" s="194" t="s">
        <v>265</v>
      </c>
      <c r="M579" s="194" t="s">
        <v>175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853"/>
      <c r="AB579" s="211"/>
      <c r="AD579" s="198"/>
    </row>
    <row r="580" spans="1:30" s="594" customFormat="1" ht="15.75" customHeight="1">
      <c r="A580" s="204" t="str">
        <f>IF(B580&lt;&gt;"",IF(AND(B580&gt;=_TM1,B580&lt;=_TM2,OR(TH!L580="1111",TH!M580="1111")),TH!D580,""),"")</f>
        <v/>
      </c>
      <c r="B580" s="36">
        <f t="shared" si="116"/>
        <v>4</v>
      </c>
      <c r="C580" s="191">
        <f t="shared" si="117"/>
        <v>41370</v>
      </c>
      <c r="D580" s="184" t="s">
        <v>1052</v>
      </c>
      <c r="E580" s="191">
        <v>41370</v>
      </c>
      <c r="F580" s="192" t="s">
        <v>726</v>
      </c>
      <c r="G580" s="487" t="s">
        <v>798</v>
      </c>
      <c r="H580" s="7" t="s">
        <v>510</v>
      </c>
      <c r="I580" s="256"/>
      <c r="J580" s="256"/>
      <c r="K580" s="38">
        <v>768000</v>
      </c>
      <c r="L580" s="194" t="s">
        <v>265</v>
      </c>
      <c r="M580" s="194" t="s">
        <v>430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853"/>
      <c r="AB580" s="211"/>
      <c r="AC580" s="594" t="str">
        <f t="shared" si="114"/>
        <v/>
      </c>
      <c r="AD580" s="198"/>
    </row>
    <row r="581" spans="1:30" s="594" customFormat="1" ht="15.75" customHeight="1">
      <c r="A581" s="204" t="str">
        <f>IF(B581&lt;&gt;"",IF(AND(B581&gt;=_TM1,B581&lt;=_TM2,OR(TH!L581="1111",TH!M581="1111")),TH!D581,""),"")</f>
        <v/>
      </c>
      <c r="B581" s="36">
        <f t="shared" si="116"/>
        <v>4</v>
      </c>
      <c r="C581" s="191">
        <f t="shared" si="117"/>
        <v>41375</v>
      </c>
      <c r="D581" s="184" t="s">
        <v>1053</v>
      </c>
      <c r="E581" s="191">
        <v>41375</v>
      </c>
      <c r="F581" s="192" t="s">
        <v>1163</v>
      </c>
      <c r="G581" s="487" t="s">
        <v>799</v>
      </c>
      <c r="H581" s="7" t="s">
        <v>433</v>
      </c>
      <c r="I581" s="256">
        <v>3990</v>
      </c>
      <c r="J581" s="256">
        <v>5200</v>
      </c>
      <c r="K581" s="38">
        <f t="shared" ref="K581:K582" si="119">ROUND(I581*J581,0)</f>
        <v>20748000</v>
      </c>
      <c r="L581" s="194" t="s">
        <v>265</v>
      </c>
      <c r="M581" s="194" t="s">
        <v>175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853"/>
      <c r="AB581" s="211"/>
      <c r="AD581" s="198"/>
    </row>
    <row r="582" spans="1:30" s="594" customFormat="1" ht="15.75" customHeight="1">
      <c r="A582" s="204" t="str">
        <f>IF(B582&lt;&gt;"",IF(AND(B582&gt;=_TM1,B582&lt;=_TM2,OR(TH!L582="1111",TH!M582="1111")),TH!D582,""),"")</f>
        <v/>
      </c>
      <c r="B582" s="36">
        <f t="shared" si="116"/>
        <v>4</v>
      </c>
      <c r="C582" s="191">
        <f t="shared" si="117"/>
        <v>41375</v>
      </c>
      <c r="D582" s="184" t="s">
        <v>1053</v>
      </c>
      <c r="E582" s="191">
        <v>41375</v>
      </c>
      <c r="F582" s="192" t="s">
        <v>1137</v>
      </c>
      <c r="G582" s="192" t="s">
        <v>799</v>
      </c>
      <c r="H582" s="7" t="s">
        <v>433</v>
      </c>
      <c r="I582" s="256">
        <v>2763</v>
      </c>
      <c r="J582" s="256">
        <v>6350</v>
      </c>
      <c r="K582" s="38">
        <f t="shared" si="119"/>
        <v>17545050</v>
      </c>
      <c r="L582" s="194" t="s">
        <v>265</v>
      </c>
      <c r="M582" s="194" t="s">
        <v>175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853"/>
      <c r="AB582" s="211"/>
      <c r="AD582" s="198"/>
    </row>
    <row r="583" spans="1:30" s="594" customFormat="1" ht="15.75" customHeight="1">
      <c r="A583" s="204" t="str">
        <f>IF(B583&lt;&gt;"",IF(AND(B583&gt;=_TM1,B583&lt;=_TM2,OR(TH!L583="1111",TH!M583="1111")),TH!D583,""),"")</f>
        <v/>
      </c>
      <c r="B583" s="36">
        <f t="shared" si="116"/>
        <v>4</v>
      </c>
      <c r="C583" s="191">
        <f t="shared" si="117"/>
        <v>41375</v>
      </c>
      <c r="D583" s="184" t="s">
        <v>1053</v>
      </c>
      <c r="E583" s="191">
        <v>41375</v>
      </c>
      <c r="F583" s="192" t="s">
        <v>726</v>
      </c>
      <c r="G583" s="487" t="s">
        <v>799</v>
      </c>
      <c r="H583" s="7" t="s">
        <v>433</v>
      </c>
      <c r="I583" s="256"/>
      <c r="J583" s="256"/>
      <c r="K583" s="38">
        <v>3829305</v>
      </c>
      <c r="L583" s="194" t="s">
        <v>265</v>
      </c>
      <c r="M583" s="194" t="s">
        <v>430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853"/>
      <c r="AB583" s="211"/>
      <c r="AC583" s="594" t="str">
        <f t="shared" si="114"/>
        <v/>
      </c>
      <c r="AD583" s="198"/>
    </row>
    <row r="584" spans="1:30" s="594" customFormat="1" ht="15.75" customHeight="1">
      <c r="A584" s="204" t="str">
        <f>IF(B584&lt;&gt;"",IF(AND(B584&gt;=_TM1,B584&lt;=_TM2,OR(TH!L584="1111",TH!M584="1111")),TH!D584,""),"")</f>
        <v/>
      </c>
      <c r="B584" s="36">
        <f t="shared" si="116"/>
        <v>4</v>
      </c>
      <c r="C584" s="191">
        <f t="shared" si="117"/>
        <v>41375</v>
      </c>
      <c r="D584" s="184" t="s">
        <v>1054</v>
      </c>
      <c r="E584" s="191">
        <v>41375</v>
      </c>
      <c r="F584" s="192" t="s">
        <v>1144</v>
      </c>
      <c r="G584" s="487" t="s">
        <v>800</v>
      </c>
      <c r="H584" s="193" t="s">
        <v>790</v>
      </c>
      <c r="I584" s="256">
        <v>103</v>
      </c>
      <c r="J584" s="256">
        <v>17820</v>
      </c>
      <c r="K584" s="38">
        <f t="shared" ref="K584:K586" si="120">ROUND(I584*J584,0)</f>
        <v>1835460</v>
      </c>
      <c r="L584" s="194" t="s">
        <v>265</v>
      </c>
      <c r="M584" s="194" t="s">
        <v>175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853"/>
      <c r="AB584" s="211"/>
      <c r="AD584" s="198"/>
    </row>
    <row r="585" spans="1:30" s="594" customFormat="1" ht="15.75" customHeight="1">
      <c r="A585" s="204" t="str">
        <f>IF(B585&lt;&gt;"",IF(AND(B585&gt;=_TM1,B585&lt;=_TM2,OR(TH!L585="1111",TH!M585="1111")),TH!D585,""),"")</f>
        <v/>
      </c>
      <c r="B585" s="36">
        <f t="shared" si="116"/>
        <v>4</v>
      </c>
      <c r="C585" s="191">
        <f t="shared" si="117"/>
        <v>41375</v>
      </c>
      <c r="D585" s="184" t="s">
        <v>1054</v>
      </c>
      <c r="E585" s="191">
        <v>41375</v>
      </c>
      <c r="F585" s="192" t="s">
        <v>801</v>
      </c>
      <c r="G585" s="487" t="s">
        <v>800</v>
      </c>
      <c r="H585" s="193" t="s">
        <v>790</v>
      </c>
      <c r="I585" s="256">
        <v>200</v>
      </c>
      <c r="J585" s="256">
        <v>1540</v>
      </c>
      <c r="K585" s="38">
        <f t="shared" si="120"/>
        <v>308000</v>
      </c>
      <c r="L585" s="194" t="s">
        <v>265</v>
      </c>
      <c r="M585" s="194" t="s">
        <v>175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853"/>
      <c r="AB585" s="211"/>
      <c r="AD585" s="198"/>
    </row>
    <row r="586" spans="1:30" s="810" customFormat="1" ht="15.75" customHeight="1">
      <c r="A586" s="204" t="str">
        <f>IF(B586&lt;&gt;"",IF(AND(B586&gt;=_TM1,B586&lt;=_TM2,OR(TH!L586="1111",TH!M586="1111")),TH!D586,""),"")</f>
        <v/>
      </c>
      <c r="B586" s="36">
        <f t="shared" si="116"/>
        <v>4</v>
      </c>
      <c r="C586" s="191">
        <f t="shared" si="117"/>
        <v>41375</v>
      </c>
      <c r="D586" s="184" t="s">
        <v>1054</v>
      </c>
      <c r="E586" s="191">
        <v>41375</v>
      </c>
      <c r="F586" s="189" t="s">
        <v>1142</v>
      </c>
      <c r="G586" s="487" t="s">
        <v>800</v>
      </c>
      <c r="H586" s="193" t="s">
        <v>790</v>
      </c>
      <c r="I586" s="256">
        <v>990</v>
      </c>
      <c r="J586" s="256">
        <v>5455</v>
      </c>
      <c r="K586" s="38">
        <f t="shared" si="120"/>
        <v>5400450</v>
      </c>
      <c r="L586" s="194" t="s">
        <v>265</v>
      </c>
      <c r="M586" s="194" t="s">
        <v>175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/>
      </c>
      <c r="AA586" s="853"/>
      <c r="AB586" s="211"/>
      <c r="AC586" s="594"/>
      <c r="AD586" s="198"/>
    </row>
    <row r="587" spans="1:30" s="810" customFormat="1" ht="15.75" customHeight="1">
      <c r="A587" s="204" t="str">
        <f>IF(B587&lt;&gt;"",IF(AND(B587&gt;=_TM1,B587&lt;=_TM2,OR(TH!L587="1111",TH!M587="1111")),TH!D587,""),"")</f>
        <v/>
      </c>
      <c r="B587" s="36">
        <f t="shared" si="116"/>
        <v>4</v>
      </c>
      <c r="C587" s="191">
        <f t="shared" si="117"/>
        <v>41375</v>
      </c>
      <c r="D587" s="184" t="s">
        <v>1054</v>
      </c>
      <c r="E587" s="191">
        <v>41375</v>
      </c>
      <c r="F587" s="192" t="s">
        <v>726</v>
      </c>
      <c r="G587" s="192" t="s">
        <v>800</v>
      </c>
      <c r="H587" s="210" t="s">
        <v>790</v>
      </c>
      <c r="I587" s="256"/>
      <c r="J587" s="256"/>
      <c r="K587" s="38">
        <v>754391</v>
      </c>
      <c r="L587" s="194" t="s">
        <v>265</v>
      </c>
      <c r="M587" s="194" t="s">
        <v>430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853"/>
      <c r="AB587" s="211"/>
      <c r="AC587" s="594" t="str">
        <f t="shared" si="114"/>
        <v/>
      </c>
      <c r="AD587" s="198"/>
    </row>
    <row r="588" spans="1:30" s="810" customFormat="1" ht="15.75" customHeight="1">
      <c r="A588" s="204" t="str">
        <f>IF(B588&lt;&gt;"",IF(AND(B588&gt;=_TM1,B588&lt;=_TM2,OR(TH!L588="1111",TH!M588="1111")),TH!D588,""),"")</f>
        <v/>
      </c>
      <c r="B588" s="36">
        <f t="shared" si="116"/>
        <v>4</v>
      </c>
      <c r="C588" s="191">
        <f t="shared" si="117"/>
        <v>41376</v>
      </c>
      <c r="D588" s="184" t="s">
        <v>1055</v>
      </c>
      <c r="E588" s="191">
        <v>41376</v>
      </c>
      <c r="F588" s="192" t="s">
        <v>755</v>
      </c>
      <c r="G588" s="192" t="s">
        <v>802</v>
      </c>
      <c r="H588" s="7" t="s">
        <v>505</v>
      </c>
      <c r="I588" s="256">
        <v>1095</v>
      </c>
      <c r="J588" s="256">
        <v>13700</v>
      </c>
      <c r="K588" s="38">
        <f t="shared" ref="K588:K589" si="121">ROUND(I588*J588,0)</f>
        <v>15001500</v>
      </c>
      <c r="L588" s="194" t="s">
        <v>265</v>
      </c>
      <c r="M588" s="194" t="s">
        <v>175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/>
      </c>
      <c r="AA588" s="853"/>
      <c r="AB588" s="211"/>
      <c r="AC588" s="594"/>
      <c r="AD588" s="198"/>
    </row>
    <row r="589" spans="1:30" s="810" customFormat="1" ht="15.75" customHeight="1">
      <c r="A589" s="204" t="str">
        <f>IF(B589&lt;&gt;"",IF(AND(B589&gt;=_TM1,B589&lt;=_TM2,OR(TH!L589="1111",TH!M589="1111")),TH!D589,""),"")</f>
        <v/>
      </c>
      <c r="B589" s="36">
        <f t="shared" si="116"/>
        <v>4</v>
      </c>
      <c r="C589" s="191">
        <f t="shared" si="117"/>
        <v>41376</v>
      </c>
      <c r="D589" s="184" t="s">
        <v>1055</v>
      </c>
      <c r="E589" s="191">
        <v>41376</v>
      </c>
      <c r="F589" s="192" t="s">
        <v>752</v>
      </c>
      <c r="G589" s="192" t="s">
        <v>802</v>
      </c>
      <c r="H589" s="7" t="s">
        <v>505</v>
      </c>
      <c r="I589" s="256">
        <v>360</v>
      </c>
      <c r="J589" s="256">
        <v>12600</v>
      </c>
      <c r="K589" s="38">
        <f t="shared" si="121"/>
        <v>4536000</v>
      </c>
      <c r="L589" s="194" t="s">
        <v>265</v>
      </c>
      <c r="M589" s="194" t="s">
        <v>175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  <c r="AA589" s="853"/>
      <c r="AB589" s="211"/>
      <c r="AC589" s="594"/>
      <c r="AD589" s="198"/>
    </row>
    <row r="590" spans="1:30" s="810" customFormat="1" ht="15.75" customHeight="1">
      <c r="A590" s="204" t="str">
        <f>IF(B590&lt;&gt;"",IF(AND(B590&gt;=_TM1,B590&lt;=_TM2,OR(TH!L590="1111",TH!M590="1111")),TH!D590,""),"")</f>
        <v/>
      </c>
      <c r="B590" s="36">
        <f t="shared" si="116"/>
        <v>4</v>
      </c>
      <c r="C590" s="191">
        <f t="shared" si="117"/>
        <v>41376</v>
      </c>
      <c r="D590" s="184" t="s">
        <v>1055</v>
      </c>
      <c r="E590" s="191">
        <v>41376</v>
      </c>
      <c r="F590" s="192" t="s">
        <v>726</v>
      </c>
      <c r="G590" s="487" t="s">
        <v>802</v>
      </c>
      <c r="H590" s="7" t="s">
        <v>505</v>
      </c>
      <c r="I590" s="256"/>
      <c r="J590" s="256"/>
      <c r="K590" s="885">
        <v>1953750</v>
      </c>
      <c r="L590" s="194" t="s">
        <v>265</v>
      </c>
      <c r="M590" s="194" t="s">
        <v>430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853"/>
      <c r="AB590" s="211"/>
      <c r="AC590" s="594" t="str">
        <f t="shared" si="114"/>
        <v/>
      </c>
      <c r="AD590" s="198"/>
    </row>
    <row r="591" spans="1:30" s="810" customFormat="1" ht="15.75" customHeight="1">
      <c r="A591" s="204" t="str">
        <f>IF(B591&lt;&gt;"",IF(AND(B591&gt;=_TM1,B591&lt;=_TM2,OR(TH!L591="1111",TH!M591="1111")),TH!D591,""),"")</f>
        <v/>
      </c>
      <c r="B591" s="36">
        <f t="shared" si="116"/>
        <v>4</v>
      </c>
      <c r="C591" s="191">
        <f t="shared" si="117"/>
        <v>41380</v>
      </c>
      <c r="D591" s="184" t="s">
        <v>1056</v>
      </c>
      <c r="E591" s="191">
        <v>41380</v>
      </c>
      <c r="F591" s="192" t="s">
        <v>1137</v>
      </c>
      <c r="G591" s="487" t="s">
        <v>803</v>
      </c>
      <c r="H591" s="7" t="s">
        <v>433</v>
      </c>
      <c r="I591" s="256">
        <v>3930</v>
      </c>
      <c r="J591" s="256">
        <v>6350</v>
      </c>
      <c r="K591" s="38">
        <f>ROUND(I591*J591,0)</f>
        <v>24955500</v>
      </c>
      <c r="L591" s="194" t="s">
        <v>265</v>
      </c>
      <c r="M591" s="194" t="s">
        <v>175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  <c r="AA591" s="853"/>
      <c r="AB591" s="211"/>
      <c r="AC591" s="594"/>
      <c r="AD591" s="198"/>
    </row>
    <row r="592" spans="1:30" s="810" customFormat="1" ht="15.75" customHeight="1">
      <c r="A592" s="204" t="str">
        <f>IF(B592&lt;&gt;"",IF(AND(B592&gt;=_TM1,B592&lt;=_TM2,OR(TH!L592="1111",TH!M592="1111")),TH!D592,""),"")</f>
        <v/>
      </c>
      <c r="B592" s="36">
        <f t="shared" si="116"/>
        <v>4</v>
      </c>
      <c r="C592" s="191">
        <f t="shared" si="117"/>
        <v>41380</v>
      </c>
      <c r="D592" s="184" t="s">
        <v>1056</v>
      </c>
      <c r="E592" s="191">
        <v>41380</v>
      </c>
      <c r="F592" s="192" t="s">
        <v>726</v>
      </c>
      <c r="G592" s="487" t="s">
        <v>803</v>
      </c>
      <c r="H592" s="7" t="s">
        <v>433</v>
      </c>
      <c r="I592" s="256"/>
      <c r="J592" s="256"/>
      <c r="K592" s="38">
        <v>2495550</v>
      </c>
      <c r="L592" s="194" t="s">
        <v>265</v>
      </c>
      <c r="M592" s="194" t="s">
        <v>430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853"/>
      <c r="AB592" s="211"/>
      <c r="AC592" s="594" t="str">
        <f t="shared" si="114"/>
        <v/>
      </c>
      <c r="AD592" s="594"/>
    </row>
    <row r="593" spans="1:30" s="810" customFormat="1" ht="15.75" customHeight="1">
      <c r="A593" s="204" t="str">
        <f>IF(B593&lt;&gt;"",IF(AND(B593&gt;=_TM1,B593&lt;=_TM2,OR(TH!L593="1111",TH!M593="1111")),TH!D593,""),"")</f>
        <v/>
      </c>
      <c r="B593" s="36">
        <f t="shared" si="116"/>
        <v>4</v>
      </c>
      <c r="C593" s="191">
        <f t="shared" si="117"/>
        <v>41380</v>
      </c>
      <c r="D593" s="184" t="s">
        <v>1057</v>
      </c>
      <c r="E593" s="191">
        <v>41380</v>
      </c>
      <c r="F593" s="192" t="s">
        <v>840</v>
      </c>
      <c r="G593" s="487" t="s">
        <v>804</v>
      </c>
      <c r="H593" s="7" t="s">
        <v>522</v>
      </c>
      <c r="I593" s="256">
        <v>1040</v>
      </c>
      <c r="J593" s="256">
        <v>6580</v>
      </c>
      <c r="K593" s="38">
        <f>ROUND(I593*J593,0)</f>
        <v>6843200</v>
      </c>
      <c r="L593" s="194" t="s">
        <v>265</v>
      </c>
      <c r="M593" s="194" t="s">
        <v>175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853"/>
      <c r="AB593" s="211"/>
      <c r="AC593" s="594"/>
      <c r="AD593" s="594"/>
    </row>
    <row r="594" spans="1:30" s="810" customFormat="1" ht="15.75" customHeight="1">
      <c r="A594" s="204" t="str">
        <f>IF(B594&lt;&gt;"",IF(AND(B594&gt;=_TM1,B594&lt;=_TM2,OR(TH!L594="1111",TH!M594="1111")),TH!D594,""),"")</f>
        <v/>
      </c>
      <c r="B594" s="36">
        <f t="shared" si="116"/>
        <v>4</v>
      </c>
      <c r="C594" s="191">
        <f t="shared" si="117"/>
        <v>41380</v>
      </c>
      <c r="D594" s="184" t="s">
        <v>1057</v>
      </c>
      <c r="E594" s="191">
        <v>41380</v>
      </c>
      <c r="F594" s="192" t="s">
        <v>726</v>
      </c>
      <c r="G594" s="487" t="s">
        <v>804</v>
      </c>
      <c r="H594" s="193" t="s">
        <v>522</v>
      </c>
      <c r="I594" s="256"/>
      <c r="J594" s="256"/>
      <c r="K594" s="38">
        <v>684320</v>
      </c>
      <c r="L594" s="194" t="s">
        <v>265</v>
      </c>
      <c r="M594" s="194" t="s">
        <v>430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853"/>
      <c r="AB594" s="211"/>
      <c r="AC594" s="594" t="str">
        <f t="shared" si="114"/>
        <v/>
      </c>
      <c r="AD594" s="594"/>
    </row>
    <row r="595" spans="1:30" s="810" customFormat="1" ht="15.75" customHeight="1">
      <c r="A595" s="204" t="str">
        <f>IF(B595&lt;&gt;"",IF(AND(B595&gt;=_TM1,B595&lt;=_TM2,OR(TH!L595="1111",TH!M595="1111")),TH!D595,""),"")</f>
        <v/>
      </c>
      <c r="B595" s="36">
        <f t="shared" si="116"/>
        <v>4</v>
      </c>
      <c r="C595" s="191">
        <f t="shared" si="117"/>
        <v>41381</v>
      </c>
      <c r="D595" s="184" t="s">
        <v>1058</v>
      </c>
      <c r="E595" s="191">
        <v>41381</v>
      </c>
      <c r="F595" s="192" t="s">
        <v>741</v>
      </c>
      <c r="G595" s="487" t="s">
        <v>484</v>
      </c>
      <c r="H595" s="193" t="s">
        <v>743</v>
      </c>
      <c r="I595" s="256">
        <v>670</v>
      </c>
      <c r="J595" s="256">
        <v>8000</v>
      </c>
      <c r="K595" s="38">
        <f>ROUND(I595*J595,0)</f>
        <v>5360000</v>
      </c>
      <c r="L595" s="194" t="s">
        <v>265</v>
      </c>
      <c r="M595" s="194" t="s">
        <v>175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853"/>
      <c r="AB595" s="211"/>
      <c r="AC595" s="594"/>
      <c r="AD595" s="198"/>
    </row>
    <row r="596" spans="1:30" s="810" customFormat="1" ht="15.75" customHeight="1">
      <c r="A596" s="204" t="str">
        <f>IF(B596&lt;&gt;"",IF(AND(B596&gt;=_TM1,B596&lt;=_TM2,OR(TH!L596="1111",TH!M596="1111")),TH!D596,""),"")</f>
        <v/>
      </c>
      <c r="B596" s="36">
        <f t="shared" si="116"/>
        <v>4</v>
      </c>
      <c r="C596" s="191">
        <f t="shared" si="117"/>
        <v>41381</v>
      </c>
      <c r="D596" s="184" t="s">
        <v>1058</v>
      </c>
      <c r="E596" s="191">
        <v>41381</v>
      </c>
      <c r="F596" s="192" t="s">
        <v>726</v>
      </c>
      <c r="G596" s="487" t="s">
        <v>484</v>
      </c>
      <c r="H596" s="193" t="s">
        <v>743</v>
      </c>
      <c r="I596" s="256"/>
      <c r="J596" s="256"/>
      <c r="K596" s="38">
        <v>536000</v>
      </c>
      <c r="L596" s="194" t="s">
        <v>265</v>
      </c>
      <c r="M596" s="194" t="s">
        <v>430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853"/>
      <c r="AB596" s="211"/>
      <c r="AC596" s="594" t="str">
        <f t="shared" si="114"/>
        <v/>
      </c>
      <c r="AD596" s="198"/>
    </row>
    <row r="597" spans="1:30" s="810" customFormat="1" ht="15.75" customHeight="1">
      <c r="A597" s="204" t="str">
        <f>IF(B597&lt;&gt;"",IF(AND(B597&gt;=_TM1,B597&lt;=_TM2,OR(TH!L597="1111",TH!M597="1111")),TH!D597,""),"")</f>
        <v/>
      </c>
      <c r="B597" s="36">
        <f t="shared" si="116"/>
        <v>4</v>
      </c>
      <c r="C597" s="191">
        <f t="shared" si="117"/>
        <v>41387</v>
      </c>
      <c r="D597" s="184" t="s">
        <v>1059</v>
      </c>
      <c r="E597" s="191">
        <v>41387</v>
      </c>
      <c r="F597" s="192" t="s">
        <v>805</v>
      </c>
      <c r="G597" s="487" t="s">
        <v>806</v>
      </c>
      <c r="H597" s="193" t="s">
        <v>807</v>
      </c>
      <c r="I597" s="256">
        <v>514</v>
      </c>
      <c r="J597" s="256">
        <v>8700</v>
      </c>
      <c r="K597" s="38">
        <f t="shared" ref="K597:K598" si="122">ROUND(I597*J597,0)</f>
        <v>4471800</v>
      </c>
      <c r="L597" s="194" t="s">
        <v>265</v>
      </c>
      <c r="M597" s="194" t="s">
        <v>175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853"/>
      <c r="AB597" s="211"/>
      <c r="AC597" s="594"/>
      <c r="AD597" s="198"/>
    </row>
    <row r="598" spans="1:30" s="810" customFormat="1" ht="15.75" customHeight="1">
      <c r="A598" s="204" t="str">
        <f>IF(B598&lt;&gt;"",IF(AND(B598&gt;=_TM1,B598&lt;=_TM2,OR(TH!L598="1111",TH!M598="1111")),TH!D598,""),"")</f>
        <v/>
      </c>
      <c r="B598" s="36">
        <f t="shared" si="116"/>
        <v>4</v>
      </c>
      <c r="C598" s="191">
        <f t="shared" si="117"/>
        <v>41387</v>
      </c>
      <c r="D598" s="184" t="s">
        <v>1059</v>
      </c>
      <c r="E598" s="191">
        <v>41387</v>
      </c>
      <c r="F598" s="192" t="s">
        <v>808</v>
      </c>
      <c r="G598" s="487" t="s">
        <v>806</v>
      </c>
      <c r="H598" s="193" t="s">
        <v>807</v>
      </c>
      <c r="I598" s="257">
        <v>520</v>
      </c>
      <c r="J598" s="257">
        <v>9100</v>
      </c>
      <c r="K598" s="38">
        <f t="shared" si="122"/>
        <v>4732000</v>
      </c>
      <c r="L598" s="194" t="s">
        <v>265</v>
      </c>
      <c r="M598" s="194" t="s">
        <v>175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853"/>
      <c r="AB598" s="211"/>
      <c r="AC598" s="594"/>
      <c r="AD598" s="198"/>
    </row>
    <row r="599" spans="1:30" s="810" customFormat="1" ht="15.75" customHeight="1">
      <c r="A599" s="204" t="str">
        <f>IF(B599&lt;&gt;"",IF(AND(B599&gt;=_TM1,B599&lt;=_TM2,OR(TH!L599="1111",TH!M599="1111")),TH!D599,""),"")</f>
        <v/>
      </c>
      <c r="B599" s="36">
        <f t="shared" si="116"/>
        <v>4</v>
      </c>
      <c r="C599" s="191">
        <f t="shared" si="117"/>
        <v>41387</v>
      </c>
      <c r="D599" s="184" t="s">
        <v>1059</v>
      </c>
      <c r="E599" s="191">
        <v>41387</v>
      </c>
      <c r="F599" s="192" t="s">
        <v>726</v>
      </c>
      <c r="G599" s="487" t="s">
        <v>806</v>
      </c>
      <c r="H599" s="193" t="s">
        <v>807</v>
      </c>
      <c r="I599" s="256"/>
      <c r="J599" s="256"/>
      <c r="K599" s="38">
        <v>920380</v>
      </c>
      <c r="L599" s="194" t="s">
        <v>265</v>
      </c>
      <c r="M599" s="194" t="s">
        <v>430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853"/>
      <c r="AB599" s="211"/>
      <c r="AC599" s="594" t="str">
        <f t="shared" si="114"/>
        <v/>
      </c>
      <c r="AD599" s="198"/>
    </row>
    <row r="600" spans="1:30" s="810" customFormat="1" ht="15.75" customHeight="1">
      <c r="A600" s="204" t="str">
        <f>IF(B600&lt;&gt;"",IF(AND(B600&gt;=_TM1,B600&lt;=_TM2,OR(TH!L600="1111",TH!M600="1111")),TH!D600,""),"")</f>
        <v/>
      </c>
      <c r="B600" s="36">
        <f t="shared" si="116"/>
        <v>4</v>
      </c>
      <c r="C600" s="191">
        <f t="shared" si="117"/>
        <v>41388</v>
      </c>
      <c r="D600" s="184" t="s">
        <v>1060</v>
      </c>
      <c r="E600" s="191">
        <v>41388</v>
      </c>
      <c r="F600" s="192" t="s">
        <v>1141</v>
      </c>
      <c r="G600" s="487" t="s">
        <v>809</v>
      </c>
      <c r="H600" s="7" t="s">
        <v>790</v>
      </c>
      <c r="I600" s="256">
        <v>100</v>
      </c>
      <c r="J600" s="256">
        <v>16610</v>
      </c>
      <c r="K600" s="38">
        <f t="shared" ref="K600:K601" si="123">ROUND(I600*J600,0)</f>
        <v>1661000</v>
      </c>
      <c r="L600" s="194" t="s">
        <v>265</v>
      </c>
      <c r="M600" s="194" t="s">
        <v>175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853"/>
      <c r="AB600" s="211"/>
      <c r="AC600" s="594"/>
      <c r="AD600" s="198"/>
    </row>
    <row r="601" spans="1:30" s="810" customFormat="1" ht="15.75" customHeight="1">
      <c r="A601" s="204" t="str">
        <f>IF(B601&lt;&gt;"",IF(AND(B601&gt;=_TM1,B601&lt;=_TM2,OR(TH!L601="1111",TH!M601="1111")),TH!D601,""),"")</f>
        <v/>
      </c>
      <c r="B601" s="36">
        <f t="shared" si="116"/>
        <v>4</v>
      </c>
      <c r="C601" s="191">
        <f t="shared" si="117"/>
        <v>41388</v>
      </c>
      <c r="D601" s="184" t="s">
        <v>1060</v>
      </c>
      <c r="E601" s="191">
        <v>41388</v>
      </c>
      <c r="F601" s="192" t="s">
        <v>1147</v>
      </c>
      <c r="G601" s="487" t="s">
        <v>809</v>
      </c>
      <c r="H601" s="7" t="s">
        <v>790</v>
      </c>
      <c r="I601" s="256">
        <v>99</v>
      </c>
      <c r="J601" s="256">
        <v>15180</v>
      </c>
      <c r="K601" s="38">
        <f t="shared" si="123"/>
        <v>1502820</v>
      </c>
      <c r="L601" s="194" t="s">
        <v>265</v>
      </c>
      <c r="M601" s="194" t="s">
        <v>175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853"/>
      <c r="AB601" s="211"/>
      <c r="AC601" s="594"/>
      <c r="AD601" s="198"/>
    </row>
    <row r="602" spans="1:30" s="810" customFormat="1" ht="15.75" customHeight="1">
      <c r="A602" s="204" t="str">
        <f>IF(B602&lt;&gt;"",IF(AND(B602&gt;=_TM1,B602&lt;=_TM2,OR(TH!L602="1111",TH!M602="1111")),TH!D602,""),"")</f>
        <v/>
      </c>
      <c r="B602" s="36">
        <f t="shared" si="116"/>
        <v>4</v>
      </c>
      <c r="C602" s="191">
        <f t="shared" si="117"/>
        <v>41388</v>
      </c>
      <c r="D602" s="184" t="s">
        <v>1060</v>
      </c>
      <c r="E602" s="191">
        <v>41388</v>
      </c>
      <c r="F602" s="192" t="s">
        <v>726</v>
      </c>
      <c r="G602" s="487" t="s">
        <v>809</v>
      </c>
      <c r="H602" s="7" t="s">
        <v>790</v>
      </c>
      <c r="I602" s="256"/>
      <c r="J602" s="256"/>
      <c r="K602" s="885">
        <v>316382</v>
      </c>
      <c r="L602" s="194" t="s">
        <v>265</v>
      </c>
      <c r="M602" s="194" t="s">
        <v>430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853"/>
      <c r="AB602" s="211"/>
      <c r="AC602" s="594" t="str">
        <f t="shared" si="114"/>
        <v/>
      </c>
      <c r="AD602" s="198"/>
    </row>
    <row r="603" spans="1:30" s="810" customFormat="1" ht="15.75" customHeight="1">
      <c r="A603" s="204" t="str">
        <f>IF(B603&lt;&gt;"",IF(AND(B603&gt;=_TM1,B603&lt;=_TM2,OR(TH!L603="1111",TH!M603="1111")),TH!D603,""),"")</f>
        <v/>
      </c>
      <c r="B603" s="36">
        <f t="shared" si="116"/>
        <v>4</v>
      </c>
      <c r="C603" s="191">
        <f t="shared" si="117"/>
        <v>41388</v>
      </c>
      <c r="D603" s="184" t="s">
        <v>1061</v>
      </c>
      <c r="E603" s="191">
        <v>41388</v>
      </c>
      <c r="F603" s="192" t="s">
        <v>810</v>
      </c>
      <c r="G603" s="487" t="s">
        <v>811</v>
      </c>
      <c r="H603" s="7" t="s">
        <v>532</v>
      </c>
      <c r="I603" s="256">
        <v>200</v>
      </c>
      <c r="J603" s="256">
        <v>6665</v>
      </c>
      <c r="K603" s="38">
        <f t="shared" ref="K603:K604" si="124">ROUND(I603*J603,0)</f>
        <v>1333000</v>
      </c>
      <c r="L603" s="194" t="s">
        <v>265</v>
      </c>
      <c r="M603" s="194" t="s">
        <v>175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853"/>
      <c r="AB603" s="211"/>
      <c r="AC603" s="594"/>
      <c r="AD603" s="198"/>
    </row>
    <row r="604" spans="1:30" s="810" customFormat="1" ht="15.75" customHeight="1">
      <c r="A604" s="204" t="str">
        <f>IF(B604&lt;&gt;"",IF(AND(B604&gt;=_TM1,B604&lt;=_TM2,OR(TH!L604="1111",TH!M604="1111")),TH!D604,""),"")</f>
        <v/>
      </c>
      <c r="B604" s="36">
        <f t="shared" si="116"/>
        <v>4</v>
      </c>
      <c r="C604" s="191">
        <f t="shared" si="117"/>
        <v>41388</v>
      </c>
      <c r="D604" s="184" t="s">
        <v>1061</v>
      </c>
      <c r="E604" s="191">
        <v>41388</v>
      </c>
      <c r="F604" s="192" t="s">
        <v>812</v>
      </c>
      <c r="G604" s="487" t="s">
        <v>811</v>
      </c>
      <c r="H604" s="7" t="s">
        <v>532</v>
      </c>
      <c r="I604" s="257">
        <v>204</v>
      </c>
      <c r="J604" s="257">
        <v>5685</v>
      </c>
      <c r="K604" s="38">
        <f t="shared" si="124"/>
        <v>1159740</v>
      </c>
      <c r="L604" s="194" t="s">
        <v>265</v>
      </c>
      <c r="M604" s="194" t="s">
        <v>175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853"/>
      <c r="AB604" s="211"/>
      <c r="AC604" s="594"/>
      <c r="AD604" s="198"/>
    </row>
    <row r="605" spans="1:30" s="810" customFormat="1" ht="15.75" customHeight="1">
      <c r="A605" s="204" t="str">
        <f>IF(B605&lt;&gt;"",IF(AND(B605&gt;=_TM1,B605&lt;=_TM2,OR(TH!L605="1111",TH!M605="1111")),TH!D605,""),"")</f>
        <v/>
      </c>
      <c r="B605" s="36">
        <f t="shared" si="116"/>
        <v>4</v>
      </c>
      <c r="C605" s="191">
        <f t="shared" si="117"/>
        <v>41388</v>
      </c>
      <c r="D605" s="184" t="s">
        <v>1061</v>
      </c>
      <c r="E605" s="191">
        <v>41388</v>
      </c>
      <c r="F605" s="192" t="s">
        <v>726</v>
      </c>
      <c r="G605" s="487" t="s">
        <v>811</v>
      </c>
      <c r="H605" s="7" t="s">
        <v>532</v>
      </c>
      <c r="I605" s="256"/>
      <c r="J605" s="256"/>
      <c r="K605" s="38">
        <v>249274</v>
      </c>
      <c r="L605" s="194" t="s">
        <v>265</v>
      </c>
      <c r="M605" s="194" t="s">
        <v>430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853"/>
      <c r="AB605" s="211"/>
      <c r="AC605" s="594" t="str">
        <f t="shared" si="114"/>
        <v/>
      </c>
      <c r="AD605" s="198"/>
    </row>
    <row r="606" spans="1:30" s="810" customFormat="1" ht="15.75" customHeight="1">
      <c r="A606" s="204" t="str">
        <f>IF(B606&lt;&gt;"",IF(AND(B606&gt;=_TM1,B606&lt;=_TM2,OR(TH!L606="1111",TH!M606="1111")),TH!D606,""),"")</f>
        <v/>
      </c>
      <c r="B606" s="36">
        <f t="shared" si="116"/>
        <v>4</v>
      </c>
      <c r="C606" s="191">
        <f t="shared" si="117"/>
        <v>41389</v>
      </c>
      <c r="D606" s="184" t="s">
        <v>1062</v>
      </c>
      <c r="E606" s="191">
        <v>41389</v>
      </c>
      <c r="F606" s="192" t="s">
        <v>1137</v>
      </c>
      <c r="G606" s="192" t="s">
        <v>813</v>
      </c>
      <c r="H606" s="7" t="s">
        <v>433</v>
      </c>
      <c r="I606" s="256">
        <v>4080</v>
      </c>
      <c r="J606" s="256">
        <v>6350</v>
      </c>
      <c r="K606" s="38">
        <f>ROUND(I606*J606,0)</f>
        <v>25908000</v>
      </c>
      <c r="L606" s="194" t="s">
        <v>265</v>
      </c>
      <c r="M606" s="194" t="s">
        <v>175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853"/>
      <c r="AB606" s="211"/>
      <c r="AC606" s="594"/>
      <c r="AD606" s="198"/>
    </row>
    <row r="607" spans="1:30" s="810" customFormat="1" ht="15.75" customHeight="1">
      <c r="A607" s="204" t="str">
        <f>IF(B607&lt;&gt;"",IF(AND(B607&gt;=_TM1,B607&lt;=_TM2,OR(TH!L607="1111",TH!M607="1111")),TH!D607,""),"")</f>
        <v/>
      </c>
      <c r="B607" s="36">
        <f t="shared" si="116"/>
        <v>4</v>
      </c>
      <c r="C607" s="191">
        <f t="shared" si="117"/>
        <v>41389</v>
      </c>
      <c r="D607" s="184" t="s">
        <v>1062</v>
      </c>
      <c r="E607" s="191">
        <v>41389</v>
      </c>
      <c r="F607" s="192" t="s">
        <v>726</v>
      </c>
      <c r="G607" s="192" t="s">
        <v>813</v>
      </c>
      <c r="H607" s="7" t="s">
        <v>433</v>
      </c>
      <c r="I607" s="256"/>
      <c r="J607" s="256"/>
      <c r="K607" s="38">
        <v>2590800</v>
      </c>
      <c r="L607" s="194" t="s">
        <v>265</v>
      </c>
      <c r="M607" s="194" t="s">
        <v>430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853"/>
      <c r="AB607" s="211"/>
      <c r="AC607" s="594" t="str">
        <f t="shared" si="114"/>
        <v/>
      </c>
      <c r="AD607" s="198"/>
    </row>
    <row r="608" spans="1:30" s="810" customFormat="1" ht="15.75" customHeight="1">
      <c r="A608" s="204" t="str">
        <f>IF(B608&lt;&gt;"",IF(AND(B608&gt;=_TM1,B608&lt;=_TM2,OR(TH!L608="1111",TH!M608="1111")),TH!D608,""),"")</f>
        <v/>
      </c>
      <c r="B608" s="36">
        <f t="shared" si="116"/>
        <v>4</v>
      </c>
      <c r="C608" s="191">
        <f t="shared" si="117"/>
        <v>41391</v>
      </c>
      <c r="D608" s="184" t="s">
        <v>1063</v>
      </c>
      <c r="E608" s="191">
        <v>41391</v>
      </c>
      <c r="F608" s="192" t="s">
        <v>814</v>
      </c>
      <c r="G608" s="192" t="s">
        <v>815</v>
      </c>
      <c r="H608" s="7" t="s">
        <v>543</v>
      </c>
      <c r="I608" s="256">
        <v>310</v>
      </c>
      <c r="J608" s="256">
        <v>10300</v>
      </c>
      <c r="K608" s="38">
        <f t="shared" ref="K608:K609" si="125">ROUND(I608*J608,0)</f>
        <v>3193000</v>
      </c>
      <c r="L608" s="194" t="s">
        <v>265</v>
      </c>
      <c r="M608" s="194" t="s">
        <v>175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853"/>
      <c r="AB608" s="211"/>
      <c r="AC608" s="594"/>
      <c r="AD608" s="198"/>
    </row>
    <row r="609" spans="1:30" s="810" customFormat="1" ht="15.75" customHeight="1">
      <c r="A609" s="204" t="str">
        <f>IF(B609&lt;&gt;"",IF(AND(B609&gt;=_TM1,B609&lt;=_TM2,OR(TH!L609="1111",TH!M609="1111")),TH!D609,""),"")</f>
        <v/>
      </c>
      <c r="B609" s="36">
        <f t="shared" si="116"/>
        <v>4</v>
      </c>
      <c r="C609" s="191">
        <f t="shared" si="117"/>
        <v>41391</v>
      </c>
      <c r="D609" s="184" t="s">
        <v>1063</v>
      </c>
      <c r="E609" s="191">
        <v>41391</v>
      </c>
      <c r="F609" s="192" t="s">
        <v>816</v>
      </c>
      <c r="G609" s="192" t="s">
        <v>815</v>
      </c>
      <c r="H609" s="7" t="s">
        <v>543</v>
      </c>
      <c r="I609" s="256">
        <v>225</v>
      </c>
      <c r="J609" s="256">
        <v>8800</v>
      </c>
      <c r="K609" s="38">
        <f t="shared" si="125"/>
        <v>1980000</v>
      </c>
      <c r="L609" s="194" t="s">
        <v>265</v>
      </c>
      <c r="M609" s="194" t="s">
        <v>175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853"/>
      <c r="AB609" s="211"/>
      <c r="AC609" s="594"/>
      <c r="AD609" s="198"/>
    </row>
    <row r="610" spans="1:30" s="810" customFormat="1" ht="15.75" customHeight="1">
      <c r="A610" s="204" t="str">
        <f>IF(B610&lt;&gt;"",IF(AND(B610&gt;=_TM1,B610&lt;=_TM2,OR(TH!L610="1111",TH!M610="1111")),TH!D610,""),"")</f>
        <v/>
      </c>
      <c r="B610" s="36">
        <f t="shared" si="116"/>
        <v>4</v>
      </c>
      <c r="C610" s="191">
        <f t="shared" si="117"/>
        <v>41391</v>
      </c>
      <c r="D610" s="184" t="s">
        <v>1063</v>
      </c>
      <c r="E610" s="191">
        <v>41391</v>
      </c>
      <c r="F610" s="192" t="s">
        <v>726</v>
      </c>
      <c r="G610" s="192" t="s">
        <v>815</v>
      </c>
      <c r="H610" s="7" t="s">
        <v>543</v>
      </c>
      <c r="I610" s="256"/>
      <c r="J610" s="256"/>
      <c r="K610" s="38">
        <v>517300</v>
      </c>
      <c r="L610" s="194" t="s">
        <v>265</v>
      </c>
      <c r="M610" s="194" t="s">
        <v>430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853"/>
      <c r="AB610" s="211"/>
      <c r="AC610" s="594" t="str">
        <f t="shared" si="114"/>
        <v/>
      </c>
      <c r="AD610" s="198"/>
    </row>
    <row r="611" spans="1:30" s="810" customFormat="1" ht="15.75" customHeight="1">
      <c r="A611" s="204" t="str">
        <f>IF(B611&lt;&gt;"",IF(AND(B611&gt;=_TM1,B611&lt;=_TM2,OR(TH!L611="1111",TH!M611="1111")),TH!D611,""),"")</f>
        <v/>
      </c>
      <c r="B611" s="36">
        <f t="shared" si="116"/>
        <v>5</v>
      </c>
      <c r="C611" s="191">
        <f t="shared" si="117"/>
        <v>41400</v>
      </c>
      <c r="D611" s="184" t="s">
        <v>1063</v>
      </c>
      <c r="E611" s="191">
        <v>41400</v>
      </c>
      <c r="F611" s="192" t="s">
        <v>817</v>
      </c>
      <c r="G611" s="192" t="s">
        <v>818</v>
      </c>
      <c r="H611" s="7" t="s">
        <v>1113</v>
      </c>
      <c r="I611" s="256">
        <v>514</v>
      </c>
      <c r="J611" s="256">
        <v>17300</v>
      </c>
      <c r="K611" s="38">
        <f t="shared" ref="K611:K612" si="126">ROUND(I611*J611,0)</f>
        <v>8892200</v>
      </c>
      <c r="L611" s="194" t="s">
        <v>265</v>
      </c>
      <c r="M611" s="194" t="s">
        <v>175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853"/>
      <c r="AB611" s="211"/>
      <c r="AC611" s="594"/>
      <c r="AD611" s="198"/>
    </row>
    <row r="612" spans="1:30" s="810" customFormat="1" ht="15.75" customHeight="1">
      <c r="A612" s="204" t="str">
        <f>IF(B612&lt;&gt;"",IF(AND(B612&gt;=_TM1,B612&lt;=_TM2,OR(TH!L612="1111",TH!M612="1111")),TH!D612,""),"")</f>
        <v/>
      </c>
      <c r="B612" s="811">
        <f t="shared" si="116"/>
        <v>5</v>
      </c>
      <c r="C612" s="191">
        <f t="shared" si="117"/>
        <v>41400</v>
      </c>
      <c r="D612" s="184" t="s">
        <v>1063</v>
      </c>
      <c r="E612" s="191">
        <v>41400</v>
      </c>
      <c r="F612" s="192" t="s">
        <v>819</v>
      </c>
      <c r="G612" s="192" t="s">
        <v>818</v>
      </c>
      <c r="H612" s="7" t="s">
        <v>1113</v>
      </c>
      <c r="I612" s="256">
        <v>1000</v>
      </c>
      <c r="J612" s="256">
        <v>1500</v>
      </c>
      <c r="K612" s="38">
        <f t="shared" si="126"/>
        <v>1500000</v>
      </c>
      <c r="L612" s="194" t="s">
        <v>265</v>
      </c>
      <c r="M612" s="194" t="s">
        <v>175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853"/>
      <c r="AB612" s="211"/>
      <c r="AC612" s="594"/>
      <c r="AD612" s="812"/>
    </row>
    <row r="613" spans="1:30" s="810" customFormat="1" ht="15.75" customHeight="1">
      <c r="A613" s="204" t="str">
        <f>IF(B613&lt;&gt;"",IF(AND(B613&gt;=_TM1,B613&lt;=_TM2,OR(TH!L613="1111",TH!M613="1111")),TH!D613,""),"")</f>
        <v/>
      </c>
      <c r="B613" s="36">
        <f t="shared" si="116"/>
        <v>5</v>
      </c>
      <c r="C613" s="191">
        <f t="shared" si="117"/>
        <v>41400</v>
      </c>
      <c r="D613" s="184" t="s">
        <v>1063</v>
      </c>
      <c r="E613" s="191">
        <v>41400</v>
      </c>
      <c r="F613" s="192" t="s">
        <v>726</v>
      </c>
      <c r="G613" s="192" t="s">
        <v>818</v>
      </c>
      <c r="H613" s="7" t="s">
        <v>1113</v>
      </c>
      <c r="I613" s="256"/>
      <c r="J613" s="256"/>
      <c r="K613" s="38">
        <v>1039220</v>
      </c>
      <c r="L613" s="194" t="s">
        <v>265</v>
      </c>
      <c r="M613" s="194" t="s">
        <v>430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853"/>
      <c r="AB613" s="211"/>
      <c r="AC613" s="594" t="str">
        <f t="shared" si="114"/>
        <v/>
      </c>
      <c r="AD613" s="198"/>
    </row>
    <row r="614" spans="1:30" s="810" customFormat="1" ht="15.75" customHeight="1">
      <c r="A614" s="204" t="str">
        <f>IF(B614&lt;&gt;"",IF(AND(B614&gt;=_TM1,B614&lt;=_TM2,OR(TH!L614="1111",TH!M614="1111")),TH!D614,""),"")</f>
        <v/>
      </c>
      <c r="B614" s="36">
        <f t="shared" si="116"/>
        <v>5</v>
      </c>
      <c r="C614" s="191">
        <f t="shared" si="117"/>
        <v>41401</v>
      </c>
      <c r="D614" s="184" t="s">
        <v>1064</v>
      </c>
      <c r="E614" s="191">
        <v>41401</v>
      </c>
      <c r="F614" s="192" t="s">
        <v>820</v>
      </c>
      <c r="G614" s="192" t="s">
        <v>821</v>
      </c>
      <c r="H614" s="7" t="s">
        <v>532</v>
      </c>
      <c r="I614" s="256">
        <v>500</v>
      </c>
      <c r="J614" s="256">
        <v>9260</v>
      </c>
      <c r="K614" s="38">
        <f>ROUND(I614*J614,0)</f>
        <v>4630000</v>
      </c>
      <c r="L614" s="194" t="s">
        <v>265</v>
      </c>
      <c r="M614" s="194" t="s">
        <v>175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853"/>
      <c r="AB614" s="211"/>
      <c r="AC614" s="594"/>
      <c r="AD614" s="198"/>
    </row>
    <row r="615" spans="1:30" s="810" customFormat="1" ht="15.75" customHeight="1">
      <c r="A615" s="204" t="str">
        <f>IF(B615&lt;&gt;"",IF(AND(B615&gt;=_TM1,B615&lt;=_TM2,OR(TH!L615="1111",TH!M615="1111")),TH!D615,""),"")</f>
        <v/>
      </c>
      <c r="B615" s="36">
        <f t="shared" si="116"/>
        <v>5</v>
      </c>
      <c r="C615" s="191">
        <f t="shared" si="117"/>
        <v>41401</v>
      </c>
      <c r="D615" s="184" t="s">
        <v>1064</v>
      </c>
      <c r="E615" s="191">
        <v>41401</v>
      </c>
      <c r="F615" s="192" t="s">
        <v>726</v>
      </c>
      <c r="G615" s="192" t="s">
        <v>821</v>
      </c>
      <c r="H615" s="7" t="s">
        <v>532</v>
      </c>
      <c r="I615" s="256"/>
      <c r="J615" s="256"/>
      <c r="K615" s="38">
        <v>460300</v>
      </c>
      <c r="L615" s="194" t="s">
        <v>265</v>
      </c>
      <c r="M615" s="194" t="s">
        <v>430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853"/>
      <c r="AB615" s="211"/>
      <c r="AC615" s="594" t="str">
        <f t="shared" si="114"/>
        <v/>
      </c>
      <c r="AD615" s="198"/>
    </row>
    <row r="616" spans="1:30" s="810" customFormat="1" ht="15.75" customHeight="1">
      <c r="A616" s="204" t="str">
        <f>IF(B616&lt;&gt;"",IF(AND(B616&gt;=_TM1,B616&lt;=_TM2,OR(TH!L616="1111",TH!M616="1111")),TH!D616,""),"")</f>
        <v/>
      </c>
      <c r="B616" s="36">
        <f t="shared" si="116"/>
        <v>5</v>
      </c>
      <c r="C616" s="191">
        <f t="shared" si="117"/>
        <v>41409</v>
      </c>
      <c r="D616" s="184" t="s">
        <v>1065</v>
      </c>
      <c r="E616" s="191">
        <v>41409</v>
      </c>
      <c r="F616" s="192" t="s">
        <v>814</v>
      </c>
      <c r="G616" s="192" t="s">
        <v>822</v>
      </c>
      <c r="H616" s="7" t="s">
        <v>543</v>
      </c>
      <c r="I616" s="256">
        <v>113</v>
      </c>
      <c r="J616" s="256">
        <v>10300</v>
      </c>
      <c r="K616" s="38">
        <f t="shared" ref="K616:K619" si="127">ROUND(I616*J616,0)</f>
        <v>1163900</v>
      </c>
      <c r="L616" s="194" t="s">
        <v>265</v>
      </c>
      <c r="M616" s="194" t="s">
        <v>175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853"/>
      <c r="AB616" s="211"/>
      <c r="AC616" s="594"/>
      <c r="AD616" s="594"/>
    </row>
    <row r="617" spans="1:30" s="810" customFormat="1" ht="15.75" customHeight="1">
      <c r="A617" s="204" t="str">
        <f>IF(B617&lt;&gt;"",IF(AND(B617&gt;=_TM1,B617&lt;=_TM2,OR(TH!L617="1111",TH!M617="1111")),TH!D617,""),"")</f>
        <v/>
      </c>
      <c r="B617" s="36">
        <f t="shared" si="116"/>
        <v>5</v>
      </c>
      <c r="C617" s="191">
        <f t="shared" si="117"/>
        <v>41409</v>
      </c>
      <c r="D617" s="184" t="s">
        <v>1065</v>
      </c>
      <c r="E617" s="191">
        <v>41409</v>
      </c>
      <c r="F617" s="192" t="s">
        <v>1131</v>
      </c>
      <c r="G617" s="192" t="s">
        <v>822</v>
      </c>
      <c r="H617" s="7" t="s">
        <v>543</v>
      </c>
      <c r="I617" s="256">
        <v>198</v>
      </c>
      <c r="J617" s="256">
        <v>6850</v>
      </c>
      <c r="K617" s="38">
        <f t="shared" si="127"/>
        <v>1356300</v>
      </c>
      <c r="L617" s="194" t="s">
        <v>265</v>
      </c>
      <c r="M617" s="194" t="s">
        <v>175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  <c r="AA617" s="853"/>
      <c r="AB617" s="211"/>
      <c r="AC617" s="594"/>
      <c r="AD617" s="594"/>
    </row>
    <row r="618" spans="1:30" s="810" customFormat="1" ht="15.75" customHeight="1">
      <c r="A618" s="204" t="str">
        <f>IF(B618&lt;&gt;"",IF(AND(B618&gt;=_TM1,B618&lt;=_TM2,OR(TH!L618="1111",TH!M618="1111")),TH!D618,""),"")</f>
        <v/>
      </c>
      <c r="B618" s="36">
        <f t="shared" si="116"/>
        <v>5</v>
      </c>
      <c r="C618" s="191">
        <f t="shared" si="117"/>
        <v>41409</v>
      </c>
      <c r="D618" s="184" t="s">
        <v>1065</v>
      </c>
      <c r="E618" s="191">
        <v>41409</v>
      </c>
      <c r="F618" s="192" t="s">
        <v>1130</v>
      </c>
      <c r="G618" s="192" t="s">
        <v>822</v>
      </c>
      <c r="H618" s="7" t="s">
        <v>543</v>
      </c>
      <c r="I618" s="256">
        <v>104</v>
      </c>
      <c r="J618" s="256">
        <v>14100</v>
      </c>
      <c r="K618" s="38">
        <f t="shared" si="127"/>
        <v>1466400</v>
      </c>
      <c r="L618" s="194" t="s">
        <v>265</v>
      </c>
      <c r="M618" s="194" t="s">
        <v>175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853"/>
      <c r="AB618" s="211"/>
      <c r="AC618" s="594"/>
      <c r="AD618" s="198"/>
    </row>
    <row r="619" spans="1:30" s="810" customFormat="1" ht="15.75" customHeight="1">
      <c r="A619" s="204" t="str">
        <f>IF(B619&lt;&gt;"",IF(AND(B619&gt;=_TM1,B619&lt;=_TM2,OR(TH!L619="1111",TH!M619="1111")),TH!D619,""),"")</f>
        <v/>
      </c>
      <c r="B619" s="36">
        <f t="shared" si="116"/>
        <v>5</v>
      </c>
      <c r="C619" s="191">
        <f t="shared" si="117"/>
        <v>41409</v>
      </c>
      <c r="D619" s="184" t="s">
        <v>1065</v>
      </c>
      <c r="E619" s="191">
        <v>41409</v>
      </c>
      <c r="F619" s="192" t="s">
        <v>816</v>
      </c>
      <c r="G619" s="192" t="s">
        <v>822</v>
      </c>
      <c r="H619" s="7" t="s">
        <v>543</v>
      </c>
      <c r="I619" s="256">
        <v>211</v>
      </c>
      <c r="J619" s="256">
        <v>8800</v>
      </c>
      <c r="K619" s="38">
        <f t="shared" si="127"/>
        <v>1856800</v>
      </c>
      <c r="L619" s="194" t="s">
        <v>265</v>
      </c>
      <c r="M619" s="194" t="s">
        <v>175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853"/>
      <c r="AB619" s="211"/>
      <c r="AC619" s="594"/>
      <c r="AD619" s="198"/>
    </row>
    <row r="620" spans="1:30" s="810" customFormat="1" ht="15.75" customHeight="1">
      <c r="A620" s="204" t="str">
        <f>IF(B620&lt;&gt;"",IF(AND(B620&gt;=_TM1,B620&lt;=_TM2,OR(TH!L620="1111",TH!M620="1111")),TH!D620,""),"")</f>
        <v/>
      </c>
      <c r="B620" s="36">
        <f t="shared" si="116"/>
        <v>5</v>
      </c>
      <c r="C620" s="191">
        <f t="shared" si="117"/>
        <v>41409</v>
      </c>
      <c r="D620" s="184" t="s">
        <v>1065</v>
      </c>
      <c r="E620" s="191">
        <v>41409</v>
      </c>
      <c r="F620" s="192" t="s">
        <v>726</v>
      </c>
      <c r="G620" s="192" t="s">
        <v>822</v>
      </c>
      <c r="H620" s="7" t="s">
        <v>543</v>
      </c>
      <c r="I620" s="256"/>
      <c r="J620" s="256"/>
      <c r="K620" s="38">
        <v>584340</v>
      </c>
      <c r="L620" s="194" t="s">
        <v>265</v>
      </c>
      <c r="M620" s="194" t="s">
        <v>430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853"/>
      <c r="AB620" s="211"/>
      <c r="AC620" s="594" t="str">
        <f t="shared" ref="AC620:AC681" si="128">IF(VLOOKUP(H620,DS_131,1,0)&lt;&gt;"","","x")</f>
        <v/>
      </c>
      <c r="AD620" s="198"/>
    </row>
    <row r="621" spans="1:30" s="810" customFormat="1" ht="15.75" customHeight="1">
      <c r="A621" s="204" t="str">
        <f>IF(B621&lt;&gt;"",IF(AND(B621&gt;=_TM1,B621&lt;=_TM2,OR(TH!L621="1111",TH!M621="1111")),TH!D621,""),"")</f>
        <v/>
      </c>
      <c r="B621" s="36">
        <f t="shared" si="116"/>
        <v>5</v>
      </c>
      <c r="C621" s="191">
        <f t="shared" si="117"/>
        <v>41409</v>
      </c>
      <c r="D621" s="184" t="s">
        <v>1066</v>
      </c>
      <c r="E621" s="191">
        <v>41409</v>
      </c>
      <c r="F621" s="192" t="s">
        <v>483</v>
      </c>
      <c r="G621" s="487" t="s">
        <v>823</v>
      </c>
      <c r="H621" s="7" t="s">
        <v>824</v>
      </c>
      <c r="I621" s="256">
        <v>2000</v>
      </c>
      <c r="J621" s="256">
        <v>9000</v>
      </c>
      <c r="K621" s="38">
        <f>ROUND(I621*J621,0)</f>
        <v>18000000</v>
      </c>
      <c r="L621" s="194" t="s">
        <v>265</v>
      </c>
      <c r="M621" s="194" t="s">
        <v>175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853"/>
      <c r="AB621" s="211"/>
      <c r="AC621" s="594"/>
      <c r="AD621" s="198"/>
    </row>
    <row r="622" spans="1:30" s="810" customFormat="1" ht="15.75" customHeight="1">
      <c r="A622" s="204" t="str">
        <f>IF(B622&lt;&gt;"",IF(AND(B622&gt;=_TM1,B622&lt;=_TM2,OR(TH!L622="1111",TH!M622="1111")),TH!D622,""),"")</f>
        <v/>
      </c>
      <c r="B622" s="36">
        <f t="shared" si="116"/>
        <v>5</v>
      </c>
      <c r="C622" s="191">
        <f t="shared" si="117"/>
        <v>41409</v>
      </c>
      <c r="D622" s="184" t="s">
        <v>1066</v>
      </c>
      <c r="E622" s="191">
        <v>41409</v>
      </c>
      <c r="F622" s="192" t="s">
        <v>726</v>
      </c>
      <c r="G622" s="487" t="s">
        <v>823</v>
      </c>
      <c r="H622" s="7" t="s">
        <v>824</v>
      </c>
      <c r="I622" s="256"/>
      <c r="J622" s="256"/>
      <c r="K622" s="38">
        <v>1800000</v>
      </c>
      <c r="L622" s="194" t="s">
        <v>265</v>
      </c>
      <c r="M622" s="194" t="s">
        <v>430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853"/>
      <c r="AB622" s="211"/>
      <c r="AC622" s="594" t="str">
        <f t="shared" si="128"/>
        <v/>
      </c>
      <c r="AD622" s="198"/>
    </row>
    <row r="623" spans="1:30" s="810" customFormat="1" ht="15.75" customHeight="1">
      <c r="A623" s="204" t="str">
        <f>IF(B623&lt;&gt;"",IF(AND(B623&gt;=_TM1,B623&lt;=_TM2,OR(TH!L623="1111",TH!M623="1111")),TH!D623,""),"")</f>
        <v/>
      </c>
      <c r="B623" s="36">
        <f t="shared" si="116"/>
        <v>5</v>
      </c>
      <c r="C623" s="191">
        <f t="shared" si="117"/>
        <v>41410</v>
      </c>
      <c r="D623" s="184" t="s">
        <v>1067</v>
      </c>
      <c r="E623" s="191">
        <v>41410</v>
      </c>
      <c r="F623" s="192" t="s">
        <v>483</v>
      </c>
      <c r="G623" s="192" t="s">
        <v>825</v>
      </c>
      <c r="H623" s="7" t="s">
        <v>824</v>
      </c>
      <c r="I623" s="256">
        <v>2500</v>
      </c>
      <c r="J623" s="256">
        <v>7000</v>
      </c>
      <c r="K623" s="38">
        <f>ROUND(I623*J623,0)</f>
        <v>17500000</v>
      </c>
      <c r="L623" s="194" t="s">
        <v>265</v>
      </c>
      <c r="M623" s="194" t="s">
        <v>175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853"/>
      <c r="AB623" s="211"/>
      <c r="AC623" s="594"/>
      <c r="AD623" s="198"/>
    </row>
    <row r="624" spans="1:30" s="810" customFormat="1" ht="15.75" customHeight="1">
      <c r="A624" s="204" t="str">
        <f>IF(B624&lt;&gt;"",IF(AND(B624&gt;=_TM1,B624&lt;=_TM2,OR(TH!L624="1111",TH!M624="1111")),TH!D624,""),"")</f>
        <v/>
      </c>
      <c r="B624" s="36">
        <f t="shared" ref="B624:B687" si="129">IF(C624&lt;&gt;"",MONTH(C624),"")</f>
        <v>5</v>
      </c>
      <c r="C624" s="191">
        <f t="shared" si="117"/>
        <v>41410</v>
      </c>
      <c r="D624" s="184" t="s">
        <v>1067</v>
      </c>
      <c r="E624" s="191">
        <v>41410</v>
      </c>
      <c r="F624" s="192" t="s">
        <v>726</v>
      </c>
      <c r="G624" s="192" t="s">
        <v>825</v>
      </c>
      <c r="H624" s="7" t="s">
        <v>824</v>
      </c>
      <c r="I624" s="256"/>
      <c r="J624" s="256"/>
      <c r="K624" s="38">
        <v>1750000</v>
      </c>
      <c r="L624" s="194" t="s">
        <v>265</v>
      </c>
      <c r="M624" s="194" t="s">
        <v>430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853"/>
      <c r="AB624" s="211"/>
      <c r="AC624" s="594" t="str">
        <f t="shared" si="128"/>
        <v/>
      </c>
      <c r="AD624" s="198"/>
    </row>
    <row r="625" spans="1:30" s="810" customFormat="1" ht="15.75" customHeight="1">
      <c r="A625" s="204" t="str">
        <f>IF(B625&lt;&gt;"",IF(AND(B625&gt;=_TM1,B625&lt;=_TM2,OR(TH!L625="1111",TH!M625="1111")),TH!D625,""),"")</f>
        <v/>
      </c>
      <c r="B625" s="36">
        <f t="shared" si="129"/>
        <v>5</v>
      </c>
      <c r="C625" s="191">
        <f t="shared" si="117"/>
        <v>41410</v>
      </c>
      <c r="D625" s="184" t="s">
        <v>1068</v>
      </c>
      <c r="E625" s="191">
        <v>41410</v>
      </c>
      <c r="F625" s="192" t="s">
        <v>731</v>
      </c>
      <c r="G625" s="192" t="s">
        <v>826</v>
      </c>
      <c r="H625" s="7" t="s">
        <v>503</v>
      </c>
      <c r="I625" s="256">
        <v>1035</v>
      </c>
      <c r="J625" s="256">
        <v>8740</v>
      </c>
      <c r="K625" s="38">
        <f>ROUND(I625*J625,0)</f>
        <v>9045900</v>
      </c>
      <c r="L625" s="194" t="s">
        <v>265</v>
      </c>
      <c r="M625" s="194" t="s">
        <v>175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853"/>
      <c r="AB625" s="211"/>
      <c r="AC625" s="594"/>
      <c r="AD625" s="198"/>
    </row>
    <row r="626" spans="1:30" s="810" customFormat="1" ht="15.75" customHeight="1">
      <c r="A626" s="204" t="str">
        <f>IF(B626&lt;&gt;"",IF(AND(B626&gt;=_TM1,B626&lt;=_TM2,OR(TH!L626="1111",TH!M626="1111")),TH!D626,""),"")</f>
        <v/>
      </c>
      <c r="B626" s="36">
        <f t="shared" si="129"/>
        <v>5</v>
      </c>
      <c r="C626" s="191">
        <f t="shared" si="117"/>
        <v>41410</v>
      </c>
      <c r="D626" s="184" t="s">
        <v>1068</v>
      </c>
      <c r="E626" s="191">
        <v>41410</v>
      </c>
      <c r="F626" s="192" t="s">
        <v>726</v>
      </c>
      <c r="G626" s="192" t="s">
        <v>826</v>
      </c>
      <c r="H626" s="7" t="s">
        <v>503</v>
      </c>
      <c r="I626" s="256"/>
      <c r="J626" s="256"/>
      <c r="K626" s="38">
        <v>904590</v>
      </c>
      <c r="L626" s="194" t="s">
        <v>265</v>
      </c>
      <c r="M626" s="194" t="s">
        <v>430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853"/>
      <c r="AB626" s="211"/>
      <c r="AC626" s="594" t="str">
        <f t="shared" si="128"/>
        <v/>
      </c>
      <c r="AD626" s="198"/>
    </row>
    <row r="627" spans="1:30" s="810" customFormat="1" ht="15.75" customHeight="1">
      <c r="A627" s="204" t="str">
        <f>IF(B627&lt;&gt;"",IF(AND(B627&gt;=_TM1,B627&lt;=_TM2,OR(TH!L627="1111",TH!M627="1111")),TH!D627,""),"")</f>
        <v/>
      </c>
      <c r="B627" s="36">
        <f t="shared" si="129"/>
        <v>5</v>
      </c>
      <c r="C627" s="191">
        <f t="shared" ref="C627:C690" si="130">E627</f>
        <v>41410</v>
      </c>
      <c r="D627" s="184" t="s">
        <v>1069</v>
      </c>
      <c r="E627" s="191">
        <v>41410</v>
      </c>
      <c r="F627" s="192" t="s">
        <v>827</v>
      </c>
      <c r="G627" s="192" t="s">
        <v>828</v>
      </c>
      <c r="H627" s="7" t="s">
        <v>829</v>
      </c>
      <c r="I627" s="256">
        <v>553</v>
      </c>
      <c r="J627" s="256">
        <v>9170</v>
      </c>
      <c r="K627" s="38">
        <f>ROUND(I627*J627,0)</f>
        <v>5071010</v>
      </c>
      <c r="L627" s="194" t="s">
        <v>265</v>
      </c>
      <c r="M627" s="194" t="s">
        <v>175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853"/>
      <c r="AB627" s="211"/>
      <c r="AC627" s="594"/>
      <c r="AD627" s="594"/>
    </row>
    <row r="628" spans="1:30" s="810" customFormat="1" ht="15.75" customHeight="1">
      <c r="A628" s="204" t="str">
        <f>IF(B628&lt;&gt;"",IF(AND(B628&gt;=_TM1,B628&lt;=_TM2,OR(TH!L628="1111",TH!M628="1111")),TH!D628,""),"")</f>
        <v/>
      </c>
      <c r="B628" s="36">
        <f t="shared" si="129"/>
        <v>5</v>
      </c>
      <c r="C628" s="191">
        <f t="shared" si="130"/>
        <v>41410</v>
      </c>
      <c r="D628" s="184" t="s">
        <v>1069</v>
      </c>
      <c r="E628" s="191">
        <v>41410</v>
      </c>
      <c r="F628" s="192" t="s">
        <v>726</v>
      </c>
      <c r="G628" s="192" t="s">
        <v>828</v>
      </c>
      <c r="H628" s="7" t="s">
        <v>829</v>
      </c>
      <c r="I628" s="256"/>
      <c r="J628" s="256"/>
      <c r="K628" s="38">
        <v>507101</v>
      </c>
      <c r="L628" s="194" t="s">
        <v>265</v>
      </c>
      <c r="M628" s="194" t="s">
        <v>430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853"/>
      <c r="AB628" s="211"/>
      <c r="AC628" s="594" t="str">
        <f t="shared" si="128"/>
        <v/>
      </c>
      <c r="AD628" s="594"/>
    </row>
    <row r="629" spans="1:30" s="810" customFormat="1" ht="15.75" customHeight="1">
      <c r="A629" s="204" t="str">
        <f>IF(B629&lt;&gt;"",IF(AND(B629&gt;=_TM1,B629&lt;=_TM2,OR(TH!L629="1111",TH!M629="1111")),TH!D629,""),"")</f>
        <v/>
      </c>
      <c r="B629" s="36">
        <f t="shared" si="129"/>
        <v>5</v>
      </c>
      <c r="C629" s="191">
        <f t="shared" si="130"/>
        <v>41411</v>
      </c>
      <c r="D629" s="184" t="s">
        <v>1070</v>
      </c>
      <c r="E629" s="191">
        <v>41411</v>
      </c>
      <c r="F629" s="192" t="s">
        <v>814</v>
      </c>
      <c r="G629" s="192" t="s">
        <v>830</v>
      </c>
      <c r="H629" s="7" t="s">
        <v>543</v>
      </c>
      <c r="I629" s="256">
        <v>297</v>
      </c>
      <c r="J629" s="256">
        <v>9350</v>
      </c>
      <c r="K629" s="38">
        <f>ROUND(I629*J629,0)</f>
        <v>2776950</v>
      </c>
      <c r="L629" s="194" t="s">
        <v>265</v>
      </c>
      <c r="M629" s="194" t="s">
        <v>175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853"/>
      <c r="AB629" s="211"/>
      <c r="AC629" s="594"/>
      <c r="AD629" s="594"/>
    </row>
    <row r="630" spans="1:30" s="810" customFormat="1" ht="15.75" customHeight="1">
      <c r="A630" s="204" t="str">
        <f>IF(B630&lt;&gt;"",IF(AND(B630&gt;=_TM1,B630&lt;=_TM2,OR(TH!L630="1111",TH!M630="1111")),TH!D630,""),"")</f>
        <v/>
      </c>
      <c r="B630" s="36">
        <f t="shared" si="129"/>
        <v>5</v>
      </c>
      <c r="C630" s="191">
        <f t="shared" si="130"/>
        <v>41411</v>
      </c>
      <c r="D630" s="184" t="s">
        <v>1070</v>
      </c>
      <c r="E630" s="191">
        <v>41411</v>
      </c>
      <c r="F630" s="192" t="s">
        <v>726</v>
      </c>
      <c r="G630" s="192" t="s">
        <v>830</v>
      </c>
      <c r="H630" s="7" t="s">
        <v>543</v>
      </c>
      <c r="I630" s="256"/>
      <c r="J630" s="256"/>
      <c r="K630" s="38">
        <v>277695</v>
      </c>
      <c r="L630" s="194" t="s">
        <v>265</v>
      </c>
      <c r="M630" s="194" t="s">
        <v>430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853"/>
      <c r="AB630" s="211"/>
      <c r="AC630" s="594" t="str">
        <f t="shared" si="128"/>
        <v/>
      </c>
      <c r="AD630" s="594"/>
    </row>
    <row r="631" spans="1:30" s="810" customFormat="1" ht="15.75" customHeight="1">
      <c r="A631" s="204" t="str">
        <f>IF(B631&lt;&gt;"",IF(AND(B631&gt;=_TM1,B631&lt;=_TM2,OR(TH!L631="1111",TH!M631="1111")),TH!D631,""),"")</f>
        <v/>
      </c>
      <c r="B631" s="36">
        <f t="shared" si="129"/>
        <v>5</v>
      </c>
      <c r="C631" s="191">
        <f t="shared" si="130"/>
        <v>41415</v>
      </c>
      <c r="D631" s="184" t="s">
        <v>1071</v>
      </c>
      <c r="E631" s="191">
        <v>41415</v>
      </c>
      <c r="F631" s="192" t="s">
        <v>831</v>
      </c>
      <c r="G631" s="192" t="s">
        <v>832</v>
      </c>
      <c r="H631" s="7" t="s">
        <v>532</v>
      </c>
      <c r="I631" s="256">
        <v>303</v>
      </c>
      <c r="J631" s="256">
        <v>5210</v>
      </c>
      <c r="K631" s="38">
        <f t="shared" ref="K631:K635" si="131">ROUND(I631*J631,0)</f>
        <v>1578630</v>
      </c>
      <c r="L631" s="194" t="s">
        <v>265</v>
      </c>
      <c r="M631" s="194" t="s">
        <v>175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853"/>
      <c r="AB631" s="211"/>
      <c r="AC631" s="594"/>
      <c r="AD631" s="594"/>
    </row>
    <row r="632" spans="1:30" s="810" customFormat="1" ht="15.75" customHeight="1">
      <c r="A632" s="204" t="str">
        <f>IF(B632&lt;&gt;"",IF(AND(B632&gt;=_TM1,B632&lt;=_TM2,OR(TH!L632="1111",TH!M632="1111")),TH!D632,""),"")</f>
        <v/>
      </c>
      <c r="B632" s="36">
        <f t="shared" si="129"/>
        <v>5</v>
      </c>
      <c r="C632" s="191">
        <f t="shared" si="130"/>
        <v>41415</v>
      </c>
      <c r="D632" s="184" t="s">
        <v>1071</v>
      </c>
      <c r="E632" s="191">
        <v>41415</v>
      </c>
      <c r="F632" s="192" t="s">
        <v>833</v>
      </c>
      <c r="G632" s="192" t="s">
        <v>832</v>
      </c>
      <c r="H632" s="7" t="s">
        <v>532</v>
      </c>
      <c r="I632" s="256">
        <v>209</v>
      </c>
      <c r="J632" s="256">
        <v>2117</v>
      </c>
      <c r="K632" s="38">
        <f t="shared" si="131"/>
        <v>442453</v>
      </c>
      <c r="L632" s="194" t="s">
        <v>265</v>
      </c>
      <c r="M632" s="194" t="s">
        <v>175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853"/>
      <c r="AB632" s="211"/>
      <c r="AC632" s="594"/>
      <c r="AD632" s="594"/>
    </row>
    <row r="633" spans="1:30" s="810" customFormat="1" ht="15.75" customHeight="1">
      <c r="A633" s="204" t="str">
        <f>IF(B633&lt;&gt;"",IF(AND(B633&gt;=_TM1,B633&lt;=_TM2,OR(TH!L633="1111",TH!M633="1111")),TH!D633,""),"")</f>
        <v/>
      </c>
      <c r="B633" s="36">
        <f t="shared" si="129"/>
        <v>5</v>
      </c>
      <c r="C633" s="191">
        <f t="shared" si="130"/>
        <v>41415</v>
      </c>
      <c r="D633" s="184" t="s">
        <v>1071</v>
      </c>
      <c r="E633" s="191">
        <v>41415</v>
      </c>
      <c r="F633" s="192" t="s">
        <v>834</v>
      </c>
      <c r="G633" s="192" t="s">
        <v>832</v>
      </c>
      <c r="H633" s="7" t="s">
        <v>532</v>
      </c>
      <c r="I633" s="256">
        <v>305</v>
      </c>
      <c r="J633" s="256">
        <v>2191</v>
      </c>
      <c r="K633" s="38">
        <f t="shared" si="131"/>
        <v>668255</v>
      </c>
      <c r="L633" s="194" t="s">
        <v>265</v>
      </c>
      <c r="M633" s="194" t="s">
        <v>175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853"/>
      <c r="AB633" s="211"/>
      <c r="AC633" s="594"/>
      <c r="AD633" s="594"/>
    </row>
    <row r="634" spans="1:30" s="810" customFormat="1" ht="15.75" customHeight="1">
      <c r="A634" s="204" t="str">
        <f>IF(B634&lt;&gt;"",IF(AND(B634&gt;=_TM1,B634&lt;=_TM2,OR(TH!L634="1111",TH!M634="1111")),TH!D634,""),"")</f>
        <v/>
      </c>
      <c r="B634" s="36">
        <f t="shared" si="129"/>
        <v>5</v>
      </c>
      <c r="C634" s="191">
        <f t="shared" si="130"/>
        <v>41415</v>
      </c>
      <c r="D634" s="184" t="s">
        <v>1071</v>
      </c>
      <c r="E634" s="191">
        <v>41415</v>
      </c>
      <c r="F634" s="192" t="s">
        <v>835</v>
      </c>
      <c r="G634" s="487" t="s">
        <v>832</v>
      </c>
      <c r="H634" s="7" t="s">
        <v>532</v>
      </c>
      <c r="I634" s="256">
        <v>303</v>
      </c>
      <c r="J634" s="256">
        <v>4865</v>
      </c>
      <c r="K634" s="38">
        <f t="shared" si="131"/>
        <v>1474095</v>
      </c>
      <c r="L634" s="194" t="s">
        <v>265</v>
      </c>
      <c r="M634" s="194" t="s">
        <v>175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853"/>
      <c r="AB634" s="211"/>
      <c r="AC634" s="594"/>
      <c r="AD634" s="594"/>
    </row>
    <row r="635" spans="1:30" s="810" customFormat="1" ht="15.75" customHeight="1">
      <c r="A635" s="204" t="str">
        <f>IF(B635&lt;&gt;"",IF(AND(B635&gt;=_TM1,B635&lt;=_TM2,OR(TH!L635="1111",TH!M635="1111")),TH!D635,""),"")</f>
        <v/>
      </c>
      <c r="B635" s="36">
        <f t="shared" si="129"/>
        <v>5</v>
      </c>
      <c r="C635" s="191">
        <f t="shared" si="130"/>
        <v>41415</v>
      </c>
      <c r="D635" s="184" t="s">
        <v>1071</v>
      </c>
      <c r="E635" s="191">
        <v>41415</v>
      </c>
      <c r="F635" s="192" t="s">
        <v>1157</v>
      </c>
      <c r="G635" s="487" t="s">
        <v>832</v>
      </c>
      <c r="H635" s="7" t="s">
        <v>532</v>
      </c>
      <c r="I635" s="256">
        <v>270</v>
      </c>
      <c r="J635" s="256">
        <v>7337</v>
      </c>
      <c r="K635" s="38">
        <f t="shared" si="131"/>
        <v>1980990</v>
      </c>
      <c r="L635" s="194" t="s">
        <v>265</v>
      </c>
      <c r="M635" s="194" t="s">
        <v>175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853"/>
      <c r="AB635" s="211"/>
      <c r="AC635" s="594"/>
      <c r="AD635" s="594"/>
    </row>
    <row r="636" spans="1:30" s="810" customFormat="1" ht="15.75" customHeight="1">
      <c r="A636" s="204" t="str">
        <f>IF(B636&lt;&gt;"",IF(AND(B636&gt;=_TM1,B636&lt;=_TM2,OR(TH!L636="1111",TH!M636="1111")),TH!D636,""),"")</f>
        <v/>
      </c>
      <c r="B636" s="36">
        <f t="shared" si="129"/>
        <v>5</v>
      </c>
      <c r="C636" s="191">
        <f t="shared" si="130"/>
        <v>41415</v>
      </c>
      <c r="D636" s="184" t="s">
        <v>1071</v>
      </c>
      <c r="E636" s="191">
        <v>41415</v>
      </c>
      <c r="F636" s="192" t="s">
        <v>726</v>
      </c>
      <c r="G636" s="487" t="s">
        <v>832</v>
      </c>
      <c r="H636" s="7" t="s">
        <v>532</v>
      </c>
      <c r="I636" s="256"/>
      <c r="J636" s="256"/>
      <c r="K636" s="38">
        <v>768369</v>
      </c>
      <c r="L636" s="194" t="s">
        <v>265</v>
      </c>
      <c r="M636" s="194" t="s">
        <v>430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853"/>
      <c r="AB636" s="211"/>
      <c r="AC636" s="594" t="str">
        <f t="shared" si="128"/>
        <v/>
      </c>
      <c r="AD636" s="594"/>
    </row>
    <row r="637" spans="1:30" s="810" customFormat="1" ht="15.75" customHeight="1">
      <c r="A637" s="204" t="str">
        <f>IF(B637&lt;&gt;"",IF(AND(B637&gt;=_TM1,B637&lt;=_TM2,OR(TH!L637="1111",TH!M637="1111")),TH!D637,""),"")</f>
        <v/>
      </c>
      <c r="B637" s="36">
        <f t="shared" si="129"/>
        <v>5</v>
      </c>
      <c r="C637" s="191">
        <f t="shared" si="130"/>
        <v>41418</v>
      </c>
      <c r="D637" s="184" t="s">
        <v>1072</v>
      </c>
      <c r="E637" s="191">
        <v>41418</v>
      </c>
      <c r="F637" s="192" t="s">
        <v>1143</v>
      </c>
      <c r="G637" s="487" t="s">
        <v>836</v>
      </c>
      <c r="H637" s="7" t="s">
        <v>790</v>
      </c>
      <c r="I637" s="256">
        <v>1034</v>
      </c>
      <c r="J637" s="256">
        <v>6000</v>
      </c>
      <c r="K637" s="38">
        <f>ROUND(I637*J637,0)</f>
        <v>6204000</v>
      </c>
      <c r="L637" s="194" t="s">
        <v>265</v>
      </c>
      <c r="M637" s="194" t="s">
        <v>175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853"/>
      <c r="AB637" s="211"/>
      <c r="AC637" s="594"/>
      <c r="AD637" s="594"/>
    </row>
    <row r="638" spans="1:30" s="810" customFormat="1" ht="15.75" customHeight="1">
      <c r="A638" s="204" t="str">
        <f>IF(B638&lt;&gt;"",IF(AND(B638&gt;=_TM1,B638&lt;=_TM2,OR(TH!L638="1111",TH!M638="1111")),TH!D638,""),"")</f>
        <v/>
      </c>
      <c r="B638" s="36">
        <f t="shared" si="129"/>
        <v>5</v>
      </c>
      <c r="C638" s="191">
        <f t="shared" si="130"/>
        <v>41418</v>
      </c>
      <c r="D638" s="184" t="s">
        <v>1072</v>
      </c>
      <c r="E638" s="191">
        <v>41418</v>
      </c>
      <c r="F638" s="192" t="s">
        <v>726</v>
      </c>
      <c r="G638" s="487" t="s">
        <v>836</v>
      </c>
      <c r="H638" s="7" t="s">
        <v>790</v>
      </c>
      <c r="I638" s="256"/>
      <c r="J638" s="256"/>
      <c r="K638" s="38">
        <v>620400</v>
      </c>
      <c r="L638" s="194" t="s">
        <v>265</v>
      </c>
      <c r="M638" s="194" t="s">
        <v>430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853"/>
      <c r="AB638" s="211"/>
      <c r="AC638" s="594" t="str">
        <f t="shared" si="128"/>
        <v/>
      </c>
      <c r="AD638" s="594"/>
    </row>
    <row r="639" spans="1:30" s="810" customFormat="1" ht="15.75" customHeight="1">
      <c r="A639" s="204" t="str">
        <f>IF(B639&lt;&gt;"",IF(AND(B639&gt;=_TM1,B639&lt;=_TM2,OR(TH!L639="1111",TH!M639="1111")),TH!D639,""),"")</f>
        <v/>
      </c>
      <c r="B639" s="36">
        <f t="shared" si="129"/>
        <v>6</v>
      </c>
      <c r="C639" s="191">
        <f t="shared" si="130"/>
        <v>41429</v>
      </c>
      <c r="D639" s="184" t="s">
        <v>1073</v>
      </c>
      <c r="E639" s="191">
        <v>41429</v>
      </c>
      <c r="F639" s="192" t="s">
        <v>1141</v>
      </c>
      <c r="G639" s="487" t="s">
        <v>837</v>
      </c>
      <c r="H639" s="7" t="s">
        <v>790</v>
      </c>
      <c r="I639" s="256">
        <v>296</v>
      </c>
      <c r="J639" s="256">
        <v>15100</v>
      </c>
      <c r="K639" s="38">
        <f>ROUND(I639*J639,0)</f>
        <v>4469600</v>
      </c>
      <c r="L639" s="194" t="s">
        <v>265</v>
      </c>
      <c r="M639" s="194" t="s">
        <v>175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853"/>
      <c r="AB639" s="211"/>
      <c r="AC639" s="594"/>
      <c r="AD639" s="594"/>
    </row>
    <row r="640" spans="1:30" s="810" customFormat="1" ht="15.75" customHeight="1">
      <c r="A640" s="204" t="str">
        <f>IF(B640&lt;&gt;"",IF(AND(B640&gt;=_TM1,B640&lt;=_TM2,OR(TH!L640="1111",TH!M640="1111")),TH!D640,""),"")</f>
        <v/>
      </c>
      <c r="B640" s="36">
        <f t="shared" si="129"/>
        <v>6</v>
      </c>
      <c r="C640" s="191">
        <f t="shared" si="130"/>
        <v>41429</v>
      </c>
      <c r="D640" s="184" t="s">
        <v>1073</v>
      </c>
      <c r="E640" s="191">
        <v>41429</v>
      </c>
      <c r="F640" s="192" t="s">
        <v>726</v>
      </c>
      <c r="G640" s="487" t="s">
        <v>837</v>
      </c>
      <c r="H640" s="7" t="s">
        <v>790</v>
      </c>
      <c r="I640" s="256"/>
      <c r="J640" s="256"/>
      <c r="K640" s="38">
        <v>446960</v>
      </c>
      <c r="L640" s="194" t="s">
        <v>265</v>
      </c>
      <c r="M640" s="194" t="s">
        <v>430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853"/>
      <c r="AB640" s="211"/>
      <c r="AC640" s="594" t="str">
        <f t="shared" si="128"/>
        <v/>
      </c>
      <c r="AD640" s="594"/>
    </row>
    <row r="641" spans="1:30" s="810" customFormat="1" ht="15.75" customHeight="1">
      <c r="A641" s="204" t="str">
        <f>IF(B641&lt;&gt;"",IF(AND(B641&gt;=_TM1,B641&lt;=_TM2,OR(TH!L641="1111",TH!M641="1111")),TH!D641,""),"")</f>
        <v/>
      </c>
      <c r="B641" s="36">
        <f t="shared" si="129"/>
        <v>6</v>
      </c>
      <c r="C641" s="191">
        <f t="shared" si="130"/>
        <v>41429</v>
      </c>
      <c r="D641" s="184" t="s">
        <v>1074</v>
      </c>
      <c r="E641" s="191">
        <v>41429</v>
      </c>
      <c r="F641" s="192" t="s">
        <v>838</v>
      </c>
      <c r="G641" s="487" t="s">
        <v>839</v>
      </c>
      <c r="H641" s="7" t="s">
        <v>743</v>
      </c>
      <c r="I641" s="256">
        <v>847</v>
      </c>
      <c r="J641" s="256">
        <v>10500</v>
      </c>
      <c r="K641" s="38">
        <f>ROUND(I641*J641,0)</f>
        <v>8893500</v>
      </c>
      <c r="L641" s="194" t="s">
        <v>265</v>
      </c>
      <c r="M641" s="194" t="s">
        <v>175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853"/>
      <c r="AB641" s="211"/>
      <c r="AC641" s="594"/>
      <c r="AD641" s="594"/>
    </row>
    <row r="642" spans="1:30" s="810" customFormat="1" ht="15.75" customHeight="1">
      <c r="A642" s="204" t="str">
        <f>IF(B642&lt;&gt;"",IF(AND(B642&gt;=_TM1,B642&lt;=_TM2,OR(TH!L642="1111",TH!M642="1111")),TH!D642,""),"")</f>
        <v/>
      </c>
      <c r="B642" s="36">
        <f t="shared" si="129"/>
        <v>6</v>
      </c>
      <c r="C642" s="191">
        <f t="shared" si="130"/>
        <v>41429</v>
      </c>
      <c r="D642" s="184" t="s">
        <v>1074</v>
      </c>
      <c r="E642" s="191">
        <v>41429</v>
      </c>
      <c r="F642" s="192" t="s">
        <v>726</v>
      </c>
      <c r="G642" s="487" t="s">
        <v>839</v>
      </c>
      <c r="H642" s="7" t="s">
        <v>743</v>
      </c>
      <c r="I642" s="256"/>
      <c r="J642" s="256"/>
      <c r="K642" s="38">
        <v>889350</v>
      </c>
      <c r="L642" s="194" t="s">
        <v>265</v>
      </c>
      <c r="M642" s="194" t="s">
        <v>430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853"/>
      <c r="AB642" s="211"/>
      <c r="AC642" s="594" t="str">
        <f t="shared" si="128"/>
        <v/>
      </c>
      <c r="AD642" s="594"/>
    </row>
    <row r="643" spans="1:30" s="810" customFormat="1" ht="15.75" customHeight="1">
      <c r="A643" s="204" t="str">
        <f>IF(B643&lt;&gt;"",IF(AND(B643&gt;=_TM1,B643&lt;=_TM2,OR(TH!L643="1111",TH!M643="1111")),TH!D643,""),"")</f>
        <v/>
      </c>
      <c r="B643" s="36">
        <f t="shared" si="129"/>
        <v>6</v>
      </c>
      <c r="C643" s="191">
        <f t="shared" si="130"/>
        <v>41430</v>
      </c>
      <c r="D643" s="184" t="s">
        <v>1075</v>
      </c>
      <c r="E643" s="191">
        <v>41430</v>
      </c>
      <c r="F643" s="192" t="s">
        <v>840</v>
      </c>
      <c r="G643" s="487" t="s">
        <v>841</v>
      </c>
      <c r="H643" s="193" t="s">
        <v>522</v>
      </c>
      <c r="I643" s="256">
        <v>2399</v>
      </c>
      <c r="J643" s="256">
        <v>6700</v>
      </c>
      <c r="K643" s="38">
        <f t="shared" ref="K643:K644" si="132">ROUND(I643*J643,0)</f>
        <v>16073300</v>
      </c>
      <c r="L643" s="194" t="s">
        <v>265</v>
      </c>
      <c r="M643" s="194" t="s">
        <v>175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A643" s="853"/>
      <c r="AB643" s="211"/>
      <c r="AC643" s="594"/>
      <c r="AD643" s="594"/>
    </row>
    <row r="644" spans="1:30" s="810" customFormat="1" ht="15.75" customHeight="1">
      <c r="A644" s="204" t="str">
        <f>IF(B644&lt;&gt;"",IF(AND(B644&gt;=_TM1,B644&lt;=_TM2,OR(TH!L644="1111",TH!M644="1111")),TH!D644,""),"")</f>
        <v/>
      </c>
      <c r="B644" s="36">
        <f t="shared" si="129"/>
        <v>6</v>
      </c>
      <c r="C644" s="191">
        <f t="shared" si="130"/>
        <v>41430</v>
      </c>
      <c r="D644" s="184" t="s">
        <v>1075</v>
      </c>
      <c r="E644" s="191">
        <v>41430</v>
      </c>
      <c r="F644" s="192" t="s">
        <v>840</v>
      </c>
      <c r="G644" s="487" t="s">
        <v>841</v>
      </c>
      <c r="H644" s="193" t="s">
        <v>522</v>
      </c>
      <c r="I644" s="256">
        <v>2542</v>
      </c>
      <c r="J644" s="256">
        <v>7200</v>
      </c>
      <c r="K644" s="38">
        <f t="shared" si="132"/>
        <v>18302400</v>
      </c>
      <c r="L644" s="194" t="s">
        <v>265</v>
      </c>
      <c r="M644" s="194" t="s">
        <v>175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  <c r="AA644" s="853"/>
      <c r="AB644" s="211"/>
      <c r="AC644" s="594"/>
      <c r="AD644" s="594"/>
    </row>
    <row r="645" spans="1:30" s="810" customFormat="1" ht="15.75" customHeight="1">
      <c r="A645" s="204" t="str">
        <f>IF(B645&lt;&gt;"",IF(AND(B645&gt;=_TM1,B645&lt;=_TM2,OR(TH!L645="1111",TH!M645="1111")),TH!D645,""),"")</f>
        <v/>
      </c>
      <c r="B645" s="36">
        <f t="shared" si="129"/>
        <v>6</v>
      </c>
      <c r="C645" s="191">
        <f t="shared" si="130"/>
        <v>41430</v>
      </c>
      <c r="D645" s="184" t="s">
        <v>1075</v>
      </c>
      <c r="E645" s="191">
        <v>41430</v>
      </c>
      <c r="F645" s="192" t="s">
        <v>726</v>
      </c>
      <c r="G645" s="487" t="s">
        <v>841</v>
      </c>
      <c r="H645" s="193" t="s">
        <v>522</v>
      </c>
      <c r="I645" s="256"/>
      <c r="J645" s="256"/>
      <c r="K645" s="38">
        <v>3437570</v>
      </c>
      <c r="L645" s="194" t="s">
        <v>265</v>
      </c>
      <c r="M645" s="194" t="s">
        <v>430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853"/>
      <c r="AB645" s="211"/>
      <c r="AC645" s="594" t="str">
        <f t="shared" si="128"/>
        <v/>
      </c>
      <c r="AD645" s="594"/>
    </row>
    <row r="646" spans="1:30" s="810" customFormat="1" ht="15.75" customHeight="1">
      <c r="A646" s="204" t="str">
        <f>IF(B646&lt;&gt;"",IF(AND(B646&gt;=_TM1,B646&lt;=_TM2,OR(TH!L646="1111",TH!M646="1111")),TH!D646,""),"")</f>
        <v/>
      </c>
      <c r="B646" s="36">
        <f t="shared" si="129"/>
        <v>6</v>
      </c>
      <c r="C646" s="191">
        <f t="shared" si="130"/>
        <v>41432</v>
      </c>
      <c r="D646" s="184" t="s">
        <v>1076</v>
      </c>
      <c r="E646" s="191">
        <v>41432</v>
      </c>
      <c r="F646" s="192" t="s">
        <v>1130</v>
      </c>
      <c r="G646" s="487" t="s">
        <v>842</v>
      </c>
      <c r="H646" s="7" t="s">
        <v>543</v>
      </c>
      <c r="I646" s="256">
        <v>106</v>
      </c>
      <c r="J646" s="256">
        <v>14100</v>
      </c>
      <c r="K646" s="38">
        <f t="shared" ref="K646:K649" si="133">ROUND(I646*J646,0)</f>
        <v>1494600</v>
      </c>
      <c r="L646" s="194" t="s">
        <v>265</v>
      </c>
      <c r="M646" s="194" t="s">
        <v>175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853"/>
      <c r="AB646" s="211"/>
      <c r="AC646" s="594"/>
      <c r="AD646" s="594"/>
    </row>
    <row r="647" spans="1:30" s="810" customFormat="1" ht="15.75" customHeight="1">
      <c r="A647" s="204" t="str">
        <f>IF(B647&lt;&gt;"",IF(AND(B647&gt;=_TM1,B647&lt;=_TM2,OR(TH!L647="1111",TH!M647="1111")),TH!D647,""),"")</f>
        <v/>
      </c>
      <c r="B647" s="36">
        <f t="shared" si="129"/>
        <v>6</v>
      </c>
      <c r="C647" s="191">
        <f t="shared" si="130"/>
        <v>41432</v>
      </c>
      <c r="D647" s="184" t="s">
        <v>1076</v>
      </c>
      <c r="E647" s="191">
        <v>41432</v>
      </c>
      <c r="F647" s="192" t="s">
        <v>1133</v>
      </c>
      <c r="G647" s="487" t="s">
        <v>842</v>
      </c>
      <c r="H647" s="7" t="s">
        <v>543</v>
      </c>
      <c r="I647" s="256">
        <v>197</v>
      </c>
      <c r="J647" s="256">
        <v>9950</v>
      </c>
      <c r="K647" s="38">
        <f t="shared" si="133"/>
        <v>1960150</v>
      </c>
      <c r="L647" s="194" t="s">
        <v>265</v>
      </c>
      <c r="M647" s="194" t="s">
        <v>175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853"/>
      <c r="AB647" s="211"/>
      <c r="AC647" s="594"/>
      <c r="AD647" s="594"/>
    </row>
    <row r="648" spans="1:30" s="810" customFormat="1" ht="15.75" customHeight="1">
      <c r="A648" s="204" t="str">
        <f>IF(B648&lt;&gt;"",IF(AND(B648&gt;=_TM1,B648&lt;=_TM2,OR(TH!L648="1111",TH!M648="1111")),TH!D648,""),"")</f>
        <v/>
      </c>
      <c r="B648" s="36">
        <f t="shared" si="129"/>
        <v>6</v>
      </c>
      <c r="C648" s="191">
        <f t="shared" si="130"/>
        <v>41432</v>
      </c>
      <c r="D648" s="184" t="s">
        <v>1076</v>
      </c>
      <c r="E648" s="191">
        <v>41432</v>
      </c>
      <c r="F648" s="192" t="s">
        <v>843</v>
      </c>
      <c r="G648" s="487" t="s">
        <v>842</v>
      </c>
      <c r="H648" s="7" t="s">
        <v>543</v>
      </c>
      <c r="I648" s="256">
        <v>104</v>
      </c>
      <c r="J648" s="256">
        <v>12300</v>
      </c>
      <c r="K648" s="38">
        <f t="shared" si="133"/>
        <v>1279200</v>
      </c>
      <c r="L648" s="194" t="s">
        <v>265</v>
      </c>
      <c r="M648" s="194" t="s">
        <v>175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853"/>
      <c r="AB648" s="211"/>
      <c r="AC648" s="594"/>
      <c r="AD648" s="594"/>
    </row>
    <row r="649" spans="1:30" s="810" customFormat="1" ht="15.75" customHeight="1">
      <c r="A649" s="204" t="str">
        <f>IF(B649&lt;&gt;"",IF(AND(B649&gt;=_TM1,B649&lt;=_TM2,OR(TH!L649="1111",TH!M649="1111")),TH!D649,""),"")</f>
        <v/>
      </c>
      <c r="B649" s="36">
        <f t="shared" si="129"/>
        <v>6</v>
      </c>
      <c r="C649" s="191">
        <f t="shared" si="130"/>
        <v>41432</v>
      </c>
      <c r="D649" s="184" t="s">
        <v>1076</v>
      </c>
      <c r="E649" s="191">
        <v>41432</v>
      </c>
      <c r="F649" s="192" t="s">
        <v>844</v>
      </c>
      <c r="G649" s="487" t="s">
        <v>842</v>
      </c>
      <c r="H649" s="7" t="s">
        <v>543</v>
      </c>
      <c r="I649" s="256">
        <v>141</v>
      </c>
      <c r="J649" s="256">
        <v>11000</v>
      </c>
      <c r="K649" s="38">
        <f t="shared" si="133"/>
        <v>1551000</v>
      </c>
      <c r="L649" s="194" t="s">
        <v>265</v>
      </c>
      <c r="M649" s="194" t="s">
        <v>175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853"/>
      <c r="AB649" s="211"/>
      <c r="AC649" s="594"/>
      <c r="AD649" s="594"/>
    </row>
    <row r="650" spans="1:30" s="810" customFormat="1" ht="15.75" customHeight="1">
      <c r="A650" s="204" t="str">
        <f>IF(B650&lt;&gt;"",IF(AND(B650&gt;=_TM1,B650&lt;=_TM2,OR(TH!L650="1111",TH!M650="1111")),TH!D650,""),"")</f>
        <v/>
      </c>
      <c r="B650" s="36">
        <f t="shared" si="129"/>
        <v>6</v>
      </c>
      <c r="C650" s="191">
        <f t="shared" si="130"/>
        <v>41432</v>
      </c>
      <c r="D650" s="184" t="s">
        <v>1076</v>
      </c>
      <c r="E650" s="191">
        <v>41432</v>
      </c>
      <c r="F650" s="192" t="s">
        <v>726</v>
      </c>
      <c r="G650" s="487" t="s">
        <v>842</v>
      </c>
      <c r="H650" s="7" t="s">
        <v>543</v>
      </c>
      <c r="I650" s="256"/>
      <c r="J650" s="256"/>
      <c r="K650" s="38">
        <v>628495</v>
      </c>
      <c r="L650" s="194" t="s">
        <v>265</v>
      </c>
      <c r="M650" s="194" t="s">
        <v>430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853"/>
      <c r="AB650" s="211"/>
      <c r="AC650" s="594" t="str">
        <f t="shared" si="128"/>
        <v/>
      </c>
      <c r="AD650" s="594"/>
    </row>
    <row r="651" spans="1:30" s="810" customFormat="1" ht="15.75" customHeight="1">
      <c r="A651" s="204" t="str">
        <f>IF(B651&lt;&gt;"",IF(AND(B651&gt;=_TM1,B651&lt;=_TM2,OR(TH!L651="1111",TH!M651="1111")),TH!D651,""),"")</f>
        <v/>
      </c>
      <c r="B651" s="36">
        <f t="shared" si="129"/>
        <v>6</v>
      </c>
      <c r="C651" s="191">
        <f t="shared" si="130"/>
        <v>41432</v>
      </c>
      <c r="D651" s="184" t="s">
        <v>1077</v>
      </c>
      <c r="E651" s="191">
        <v>41432</v>
      </c>
      <c r="F651" s="192" t="s">
        <v>1148</v>
      </c>
      <c r="G651" s="487" t="s">
        <v>845</v>
      </c>
      <c r="H651" s="7" t="s">
        <v>532</v>
      </c>
      <c r="I651" s="256">
        <v>305</v>
      </c>
      <c r="J651" s="256">
        <v>5711</v>
      </c>
      <c r="K651" s="38">
        <f t="shared" ref="K651:K654" si="134">ROUND(I651*J651,0)</f>
        <v>1741855</v>
      </c>
      <c r="L651" s="194" t="s">
        <v>265</v>
      </c>
      <c r="M651" s="194" t="s">
        <v>175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853"/>
      <c r="AB651" s="211"/>
      <c r="AC651" s="594"/>
      <c r="AD651" s="198"/>
    </row>
    <row r="652" spans="1:30" s="810" customFormat="1" ht="15.75" customHeight="1">
      <c r="A652" s="204" t="str">
        <f>IF(B652&lt;&gt;"",IF(AND(B652&gt;=_TM1,B652&lt;=_TM2,OR(TH!L652="1111",TH!M652="1111")),TH!D652,""),"")</f>
        <v/>
      </c>
      <c r="B652" s="36">
        <f t="shared" si="129"/>
        <v>6</v>
      </c>
      <c r="C652" s="191">
        <f t="shared" si="130"/>
        <v>41432</v>
      </c>
      <c r="D652" s="184" t="s">
        <v>1077</v>
      </c>
      <c r="E652" s="191">
        <v>41432</v>
      </c>
      <c r="F652" s="192" t="s">
        <v>810</v>
      </c>
      <c r="G652" s="487" t="s">
        <v>845</v>
      </c>
      <c r="H652" s="7" t="s">
        <v>532</v>
      </c>
      <c r="I652" s="256">
        <v>318</v>
      </c>
      <c r="J652" s="256">
        <v>6665</v>
      </c>
      <c r="K652" s="38">
        <f t="shared" si="134"/>
        <v>2119470</v>
      </c>
      <c r="L652" s="194" t="s">
        <v>265</v>
      </c>
      <c r="M652" s="194" t="s">
        <v>175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853"/>
      <c r="AB652" s="211"/>
      <c r="AC652" s="594"/>
      <c r="AD652" s="198"/>
    </row>
    <row r="653" spans="1:30" s="810" customFormat="1" ht="15.75" customHeight="1">
      <c r="A653" s="204" t="str">
        <f>IF(B653&lt;&gt;"",IF(AND(B653&gt;=_TM1,B653&lt;=_TM2,OR(TH!L653="1111",TH!M653="1111")),TH!D653,""),"")</f>
        <v/>
      </c>
      <c r="B653" s="36">
        <f t="shared" si="129"/>
        <v>6</v>
      </c>
      <c r="C653" s="191">
        <f t="shared" si="130"/>
        <v>41432</v>
      </c>
      <c r="D653" s="184" t="s">
        <v>1077</v>
      </c>
      <c r="E653" s="191">
        <v>41432</v>
      </c>
      <c r="F653" s="192" t="s">
        <v>846</v>
      </c>
      <c r="G653" s="487" t="s">
        <v>845</v>
      </c>
      <c r="H653" s="7" t="s">
        <v>532</v>
      </c>
      <c r="I653" s="256">
        <v>296</v>
      </c>
      <c r="J653" s="256">
        <v>4629</v>
      </c>
      <c r="K653" s="38">
        <f t="shared" si="134"/>
        <v>1370184</v>
      </c>
      <c r="L653" s="194" t="s">
        <v>265</v>
      </c>
      <c r="M653" s="194" t="s">
        <v>175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853"/>
      <c r="AB653" s="211"/>
      <c r="AC653" s="594"/>
      <c r="AD653" s="198"/>
    </row>
    <row r="654" spans="1:30" s="810" customFormat="1" ht="15.75" customHeight="1">
      <c r="A654" s="204" t="str">
        <f>IF(B654&lt;&gt;"",IF(AND(B654&gt;=_TM1,B654&lt;=_TM2,OR(TH!L654="1111",TH!M654="1111")),TH!D654,""),"")</f>
        <v/>
      </c>
      <c r="B654" s="36">
        <f t="shared" si="129"/>
        <v>6</v>
      </c>
      <c r="C654" s="191">
        <f t="shared" si="130"/>
        <v>41432</v>
      </c>
      <c r="D654" s="184" t="s">
        <v>1077</v>
      </c>
      <c r="E654" s="191">
        <v>41432</v>
      </c>
      <c r="F654" s="192" t="s">
        <v>1139</v>
      </c>
      <c r="G654" s="487" t="s">
        <v>845</v>
      </c>
      <c r="H654" s="7" t="s">
        <v>532</v>
      </c>
      <c r="I654" s="256">
        <v>510</v>
      </c>
      <c r="J654" s="256">
        <v>5238</v>
      </c>
      <c r="K654" s="38">
        <f t="shared" si="134"/>
        <v>2671380</v>
      </c>
      <c r="L654" s="194" t="s">
        <v>265</v>
      </c>
      <c r="M654" s="194" t="s">
        <v>175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853"/>
      <c r="AB654" s="211"/>
      <c r="AC654" s="594"/>
      <c r="AD654" s="198"/>
    </row>
    <row r="655" spans="1:30" s="810" customFormat="1" ht="15.75" customHeight="1">
      <c r="A655" s="204" t="str">
        <f>IF(B655&lt;&gt;"",IF(AND(B655&gt;=_TM1,B655&lt;=_TM2,OR(TH!L655="1111",TH!M655="1111")),TH!D655,""),"")</f>
        <v/>
      </c>
      <c r="B655" s="36">
        <f t="shared" si="129"/>
        <v>6</v>
      </c>
      <c r="C655" s="191">
        <f t="shared" si="130"/>
        <v>41432</v>
      </c>
      <c r="D655" s="184" t="s">
        <v>1077</v>
      </c>
      <c r="E655" s="191">
        <v>41432</v>
      </c>
      <c r="F655" s="192" t="s">
        <v>726</v>
      </c>
      <c r="G655" s="192" t="s">
        <v>845</v>
      </c>
      <c r="H655" s="7" t="s">
        <v>532</v>
      </c>
      <c r="I655" s="256"/>
      <c r="J655" s="256"/>
      <c r="K655" s="38">
        <v>790289</v>
      </c>
      <c r="L655" s="194" t="s">
        <v>265</v>
      </c>
      <c r="M655" s="194" t="s">
        <v>430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853"/>
      <c r="AB655" s="211"/>
      <c r="AC655" s="594" t="str">
        <f t="shared" si="128"/>
        <v/>
      </c>
      <c r="AD655" s="198"/>
    </row>
    <row r="656" spans="1:30" s="810" customFormat="1" ht="15.75" customHeight="1">
      <c r="A656" s="204" t="str">
        <f>IF(B656&lt;&gt;"",IF(AND(B656&gt;=_TM1,B656&lt;=_TM2,OR(TH!L656="1111",TH!M656="1111")),TH!D656,""),"")</f>
        <v/>
      </c>
      <c r="B656" s="36">
        <f t="shared" si="129"/>
        <v>6</v>
      </c>
      <c r="C656" s="191">
        <f t="shared" si="130"/>
        <v>41435</v>
      </c>
      <c r="D656" s="184" t="s">
        <v>1078</v>
      </c>
      <c r="E656" s="191">
        <v>41435</v>
      </c>
      <c r="F656" s="192" t="s">
        <v>847</v>
      </c>
      <c r="G656" s="192" t="s">
        <v>848</v>
      </c>
      <c r="H656" s="7" t="s">
        <v>849</v>
      </c>
      <c r="I656" s="256">
        <v>204</v>
      </c>
      <c r="J656" s="256">
        <v>19000</v>
      </c>
      <c r="K656" s="38">
        <f>ROUND(I656*J656,0)</f>
        <v>3876000</v>
      </c>
      <c r="L656" s="194" t="s">
        <v>265</v>
      </c>
      <c r="M656" s="194" t="s">
        <v>175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853"/>
      <c r="AB656" s="211"/>
      <c r="AC656" s="594"/>
      <c r="AD656" s="198"/>
    </row>
    <row r="657" spans="1:30" s="810" customFormat="1" ht="15.75" customHeight="1">
      <c r="A657" s="204" t="str">
        <f>IF(B657&lt;&gt;"",IF(AND(B657&gt;=_TM1,B657&lt;=_TM2,OR(TH!L657="1111",TH!M657="1111")),TH!D657,""),"")</f>
        <v/>
      </c>
      <c r="B657" s="36">
        <f t="shared" si="129"/>
        <v>6</v>
      </c>
      <c r="C657" s="191">
        <f t="shared" si="130"/>
        <v>41435</v>
      </c>
      <c r="D657" s="184" t="s">
        <v>1078</v>
      </c>
      <c r="E657" s="191">
        <v>41435</v>
      </c>
      <c r="F657" s="192" t="s">
        <v>726</v>
      </c>
      <c r="G657" s="487" t="s">
        <v>848</v>
      </c>
      <c r="H657" s="7" t="s">
        <v>849</v>
      </c>
      <c r="I657" s="256"/>
      <c r="J657" s="256"/>
      <c r="K657" s="38">
        <v>387600</v>
      </c>
      <c r="L657" s="194" t="s">
        <v>265</v>
      </c>
      <c r="M657" s="194" t="s">
        <v>430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853"/>
      <c r="AB657" s="211"/>
      <c r="AC657" s="594" t="str">
        <f t="shared" si="128"/>
        <v/>
      </c>
      <c r="AD657" s="198"/>
    </row>
    <row r="658" spans="1:30" s="810" customFormat="1" ht="15.75" customHeight="1">
      <c r="A658" s="204" t="str">
        <f>IF(B658&lt;&gt;"",IF(AND(B658&gt;=_TM1,B658&lt;=_TM2,OR(TH!L658="1111",TH!M658="1111")),TH!D658,""),"")</f>
        <v/>
      </c>
      <c r="B658" s="36">
        <f t="shared" si="129"/>
        <v>6</v>
      </c>
      <c r="C658" s="191">
        <f t="shared" si="130"/>
        <v>41436</v>
      </c>
      <c r="D658" s="184" t="s">
        <v>1079</v>
      </c>
      <c r="E658" s="191">
        <v>41436</v>
      </c>
      <c r="F658" s="192" t="s">
        <v>1139</v>
      </c>
      <c r="G658" s="487" t="s">
        <v>850</v>
      </c>
      <c r="H658" s="7" t="s">
        <v>532</v>
      </c>
      <c r="I658" s="256">
        <v>157</v>
      </c>
      <c r="J658" s="256">
        <v>5238</v>
      </c>
      <c r="K658" s="38">
        <f>ROUND(I658*J658,0)</f>
        <v>822366</v>
      </c>
      <c r="L658" s="194" t="s">
        <v>265</v>
      </c>
      <c r="M658" s="194" t="s">
        <v>175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853"/>
      <c r="AB658" s="211"/>
      <c r="AC658" s="594"/>
      <c r="AD658" s="198"/>
    </row>
    <row r="659" spans="1:30" s="810" customFormat="1" ht="15.75" customHeight="1">
      <c r="A659" s="204" t="str">
        <f>IF(B659&lt;&gt;"",IF(AND(B659&gt;=_TM1,B659&lt;=_TM2,OR(TH!L659="1111",TH!M659="1111")),TH!D659,""),"")</f>
        <v/>
      </c>
      <c r="B659" s="36">
        <f t="shared" si="129"/>
        <v>6</v>
      </c>
      <c r="C659" s="191">
        <f t="shared" si="130"/>
        <v>41436</v>
      </c>
      <c r="D659" s="184" t="s">
        <v>1079</v>
      </c>
      <c r="E659" s="191">
        <v>41436</v>
      </c>
      <c r="F659" s="192" t="s">
        <v>726</v>
      </c>
      <c r="G659" s="487" t="s">
        <v>850</v>
      </c>
      <c r="H659" s="7" t="s">
        <v>532</v>
      </c>
      <c r="I659" s="256"/>
      <c r="J659" s="256"/>
      <c r="K659" s="38">
        <v>82237</v>
      </c>
      <c r="L659" s="194" t="s">
        <v>265</v>
      </c>
      <c r="M659" s="194" t="s">
        <v>430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853"/>
      <c r="AB659" s="211"/>
      <c r="AC659" s="594" t="str">
        <f t="shared" si="128"/>
        <v/>
      </c>
      <c r="AD659" s="198"/>
    </row>
    <row r="660" spans="1:30" s="812" customFormat="1" ht="15.75" customHeight="1">
      <c r="A660" s="204" t="str">
        <f>IF(B660&lt;&gt;"",IF(AND(B660&gt;=_TM1,B660&lt;=_TM2,OR(TH!L660="1111",TH!M660="1111")),TH!D660,""),"")</f>
        <v/>
      </c>
      <c r="B660" s="36">
        <f t="shared" si="129"/>
        <v>6</v>
      </c>
      <c r="C660" s="191">
        <f t="shared" si="130"/>
        <v>41436</v>
      </c>
      <c r="D660" s="184" t="s">
        <v>1080</v>
      </c>
      <c r="E660" s="191">
        <v>41436</v>
      </c>
      <c r="F660" s="192" t="s">
        <v>851</v>
      </c>
      <c r="G660" s="487" t="s">
        <v>852</v>
      </c>
      <c r="H660" s="7" t="s">
        <v>532</v>
      </c>
      <c r="I660" s="256">
        <v>222</v>
      </c>
      <c r="J660" s="256">
        <v>14959</v>
      </c>
      <c r="K660" s="38">
        <f>ROUND(I660*J660,0)</f>
        <v>3320898</v>
      </c>
      <c r="L660" s="194" t="s">
        <v>265</v>
      </c>
      <c r="M660" s="194" t="s">
        <v>175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853"/>
      <c r="AB660" s="211"/>
      <c r="AC660" s="594"/>
      <c r="AD660" s="594"/>
    </row>
    <row r="661" spans="1:30" ht="15.75" customHeight="1">
      <c r="A661" s="204" t="str">
        <f>IF(B661&lt;&gt;"",IF(AND(B661&gt;=_TM1,B661&lt;=_TM2,OR(TH!L661="1111",TH!M661="1111")),TH!D661,""),"")</f>
        <v/>
      </c>
      <c r="B661" s="36">
        <f t="shared" si="129"/>
        <v>6</v>
      </c>
      <c r="C661" s="191">
        <f t="shared" si="130"/>
        <v>41436</v>
      </c>
      <c r="D661" s="184" t="s">
        <v>1080</v>
      </c>
      <c r="E661" s="191">
        <v>41436</v>
      </c>
      <c r="F661" s="192" t="s">
        <v>726</v>
      </c>
      <c r="G661" s="487" t="s">
        <v>852</v>
      </c>
      <c r="H661" s="7" t="s">
        <v>532</v>
      </c>
      <c r="I661" s="256"/>
      <c r="J661" s="256"/>
      <c r="K661" s="38">
        <v>332090</v>
      </c>
      <c r="L661" s="194" t="s">
        <v>265</v>
      </c>
      <c r="M661" s="194" t="s">
        <v>430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853"/>
      <c r="AB661" s="211"/>
      <c r="AC661" s="594" t="str">
        <f t="shared" si="128"/>
        <v/>
      </c>
      <c r="AD661" s="594"/>
    </row>
    <row r="662" spans="1:30" ht="15.75" customHeight="1">
      <c r="A662" s="204" t="str">
        <f>IF(B662&lt;&gt;"",IF(AND(B662&gt;=_TM1,B662&lt;=_TM2,OR(TH!L662="1111",TH!M662="1111")),TH!D662,""),"")</f>
        <v/>
      </c>
      <c r="B662" s="36">
        <f t="shared" si="129"/>
        <v>6</v>
      </c>
      <c r="C662" s="191">
        <f t="shared" si="130"/>
        <v>41443</v>
      </c>
      <c r="D662" s="184" t="s">
        <v>1081</v>
      </c>
      <c r="E662" s="191">
        <v>41443</v>
      </c>
      <c r="F662" s="192" t="s">
        <v>853</v>
      </c>
      <c r="G662" s="487" t="s">
        <v>854</v>
      </c>
      <c r="H662" s="7" t="s">
        <v>582</v>
      </c>
      <c r="I662" s="256">
        <v>494</v>
      </c>
      <c r="J662" s="256">
        <v>17200</v>
      </c>
      <c r="K662" s="38">
        <f>ROUND(I662*J662,0)</f>
        <v>8496800</v>
      </c>
      <c r="L662" s="194" t="s">
        <v>265</v>
      </c>
      <c r="M662" s="194" t="s">
        <v>175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853"/>
      <c r="AB662" s="211"/>
      <c r="AC662" s="594"/>
      <c r="AD662" s="594"/>
    </row>
    <row r="663" spans="1:30" ht="15.75" customHeight="1">
      <c r="A663" s="204" t="str">
        <f>IF(B663&lt;&gt;"",IF(AND(B663&gt;=_TM1,B663&lt;=_TM2,OR(TH!L663="1111",TH!M663="1111")),TH!D663,""),"")</f>
        <v/>
      </c>
      <c r="B663" s="36">
        <f t="shared" si="129"/>
        <v>6</v>
      </c>
      <c r="C663" s="191">
        <f t="shared" si="130"/>
        <v>41443</v>
      </c>
      <c r="D663" s="184" t="s">
        <v>1081</v>
      </c>
      <c r="E663" s="191">
        <v>41443</v>
      </c>
      <c r="F663" s="192" t="s">
        <v>726</v>
      </c>
      <c r="G663" s="487" t="s">
        <v>854</v>
      </c>
      <c r="H663" s="7" t="s">
        <v>582</v>
      </c>
      <c r="I663" s="256"/>
      <c r="J663" s="256"/>
      <c r="K663" s="38">
        <v>849680</v>
      </c>
      <c r="L663" s="194" t="s">
        <v>265</v>
      </c>
      <c r="M663" s="194" t="s">
        <v>430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853"/>
      <c r="AB663" s="211"/>
      <c r="AC663" s="594" t="str">
        <f t="shared" si="128"/>
        <v/>
      </c>
      <c r="AD663" s="594"/>
    </row>
    <row r="664" spans="1:30" ht="15.75" customHeight="1">
      <c r="A664" s="204" t="str">
        <f>IF(B664&lt;&gt;"",IF(AND(B664&gt;=_TM1,B664&lt;=_TM2,OR(TH!L664="1111",TH!M664="1111")),TH!D664,""),"")</f>
        <v/>
      </c>
      <c r="B664" s="36">
        <f t="shared" si="129"/>
        <v>6</v>
      </c>
      <c r="C664" s="191">
        <f t="shared" si="130"/>
        <v>41444</v>
      </c>
      <c r="D664" s="184" t="s">
        <v>1082</v>
      </c>
      <c r="E664" s="191">
        <v>41444</v>
      </c>
      <c r="F664" s="192" t="s">
        <v>744</v>
      </c>
      <c r="G664" s="487" t="s">
        <v>855</v>
      </c>
      <c r="H664" s="193" t="s">
        <v>746</v>
      </c>
      <c r="I664" s="256">
        <v>402</v>
      </c>
      <c r="J664" s="256">
        <v>25000</v>
      </c>
      <c r="K664" s="38">
        <f>ROUND(I664*J664,0)</f>
        <v>10050000</v>
      </c>
      <c r="L664" s="194" t="s">
        <v>265</v>
      </c>
      <c r="M664" s="194" t="s">
        <v>175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853"/>
      <c r="AB664" s="211"/>
      <c r="AC664" s="594"/>
      <c r="AD664" s="594"/>
    </row>
    <row r="665" spans="1:30" ht="15.75" customHeight="1">
      <c r="A665" s="204" t="str">
        <f>IF(B665&lt;&gt;"",IF(AND(B665&gt;=_TM1,B665&lt;=_TM2,OR(TH!L665="1111",TH!M665="1111")),TH!D665,""),"")</f>
        <v/>
      </c>
      <c r="B665" s="36">
        <f t="shared" si="129"/>
        <v>6</v>
      </c>
      <c r="C665" s="191">
        <f t="shared" si="130"/>
        <v>41444</v>
      </c>
      <c r="D665" s="184" t="s">
        <v>1082</v>
      </c>
      <c r="E665" s="191">
        <v>41444</v>
      </c>
      <c r="F665" s="192" t="s">
        <v>726</v>
      </c>
      <c r="G665" s="487" t="s">
        <v>855</v>
      </c>
      <c r="H665" s="193" t="s">
        <v>746</v>
      </c>
      <c r="I665" s="256"/>
      <c r="J665" s="256"/>
      <c r="K665" s="38">
        <v>1005000</v>
      </c>
      <c r="L665" s="194" t="s">
        <v>265</v>
      </c>
      <c r="M665" s="194" t="s">
        <v>430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853"/>
      <c r="AB665" s="211"/>
      <c r="AC665" s="594" t="str">
        <f t="shared" si="128"/>
        <v/>
      </c>
      <c r="AD665" s="594"/>
    </row>
    <row r="666" spans="1:30" ht="15.75" customHeight="1">
      <c r="A666" s="204" t="str">
        <f>IF(B666&lt;&gt;"",IF(AND(B666&gt;=_TM1,B666&lt;=_TM2,OR(TH!L666="1111",TH!M666="1111")),TH!D666,""),"")</f>
        <v/>
      </c>
      <c r="B666" s="36">
        <f t="shared" si="129"/>
        <v>6</v>
      </c>
      <c r="C666" s="191">
        <f t="shared" si="130"/>
        <v>41445</v>
      </c>
      <c r="D666" s="184" t="s">
        <v>1083</v>
      </c>
      <c r="E666" s="191">
        <v>41445</v>
      </c>
      <c r="F666" s="192" t="s">
        <v>817</v>
      </c>
      <c r="G666" s="192" t="s">
        <v>856</v>
      </c>
      <c r="H666" s="7" t="s">
        <v>1113</v>
      </c>
      <c r="I666" s="256">
        <v>495</v>
      </c>
      <c r="J666" s="256">
        <v>17300</v>
      </c>
      <c r="K666" s="38">
        <f t="shared" ref="K666:K667" si="135">ROUND(I666*J666,0)</f>
        <v>8563500</v>
      </c>
      <c r="L666" s="194" t="s">
        <v>265</v>
      </c>
      <c r="M666" s="194" t="s">
        <v>175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853"/>
      <c r="AB666" s="211"/>
      <c r="AC666" s="594"/>
      <c r="AD666" s="594"/>
    </row>
    <row r="667" spans="1:30" ht="15.75" customHeight="1">
      <c r="A667" s="204" t="str">
        <f>IF(B667&lt;&gt;"",IF(AND(B667&gt;=_TM1,B667&lt;=_TM2,OR(TH!L667="1111",TH!M667="1111")),TH!D667,""),"")</f>
        <v/>
      </c>
      <c r="B667" s="36">
        <f t="shared" si="129"/>
        <v>6</v>
      </c>
      <c r="C667" s="191">
        <f t="shared" si="130"/>
        <v>41445</v>
      </c>
      <c r="D667" s="184" t="s">
        <v>1083</v>
      </c>
      <c r="E667" s="191">
        <v>41445</v>
      </c>
      <c r="F667" s="192" t="s">
        <v>819</v>
      </c>
      <c r="G667" s="192" t="s">
        <v>856</v>
      </c>
      <c r="H667" s="7" t="s">
        <v>1113</v>
      </c>
      <c r="I667" s="256">
        <v>1500</v>
      </c>
      <c r="J667" s="256">
        <v>1500</v>
      </c>
      <c r="K667" s="38">
        <f t="shared" si="135"/>
        <v>2250000</v>
      </c>
      <c r="L667" s="194" t="s">
        <v>265</v>
      </c>
      <c r="M667" s="194" t="s">
        <v>175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853"/>
      <c r="AB667" s="211"/>
      <c r="AC667" s="594"/>
      <c r="AD667" s="594"/>
    </row>
    <row r="668" spans="1:30" ht="15.75" customHeight="1">
      <c r="A668" s="204" t="str">
        <f>IF(B668&lt;&gt;"",IF(AND(B668&gt;=_TM1,B668&lt;=_TM2,OR(TH!L668="1111",TH!M668="1111")),TH!D668,""),"")</f>
        <v/>
      </c>
      <c r="B668" s="36">
        <f t="shared" si="129"/>
        <v>6</v>
      </c>
      <c r="C668" s="191">
        <f t="shared" si="130"/>
        <v>41445</v>
      </c>
      <c r="D668" s="184" t="s">
        <v>1083</v>
      </c>
      <c r="E668" s="191">
        <v>41445</v>
      </c>
      <c r="F668" s="192" t="s">
        <v>726</v>
      </c>
      <c r="G668" s="192" t="s">
        <v>856</v>
      </c>
      <c r="H668" s="7" t="s">
        <v>1113</v>
      </c>
      <c r="I668" s="256"/>
      <c r="J668" s="256"/>
      <c r="K668" s="38">
        <v>1081350</v>
      </c>
      <c r="L668" s="194" t="s">
        <v>265</v>
      </c>
      <c r="M668" s="194" t="s">
        <v>430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853"/>
      <c r="AB668" s="211"/>
      <c r="AC668" s="594" t="str">
        <f t="shared" si="128"/>
        <v/>
      </c>
      <c r="AD668" s="594"/>
    </row>
    <row r="669" spans="1:30" ht="15.75" customHeight="1">
      <c r="A669" s="204" t="str">
        <f>IF(B669&lt;&gt;"",IF(AND(B669&gt;=_TM1,B669&lt;=_TM2,OR(TH!L669="1111",TH!M669="1111")),TH!D669,""),"")</f>
        <v/>
      </c>
      <c r="B669" s="36">
        <f t="shared" si="129"/>
        <v>6</v>
      </c>
      <c r="C669" s="191">
        <f t="shared" si="130"/>
        <v>41445</v>
      </c>
      <c r="D669" s="184" t="s">
        <v>1084</v>
      </c>
      <c r="E669" s="191">
        <v>41445</v>
      </c>
      <c r="F669" s="192" t="s">
        <v>1131</v>
      </c>
      <c r="G669" s="192" t="s">
        <v>857</v>
      </c>
      <c r="H669" s="7" t="s">
        <v>543</v>
      </c>
      <c r="I669" s="256">
        <v>212</v>
      </c>
      <c r="J669" s="256">
        <v>6850</v>
      </c>
      <c r="K669" s="38">
        <f t="shared" ref="K669:K670" si="136">ROUND(I669*J669,0)</f>
        <v>1452200</v>
      </c>
      <c r="L669" s="194" t="s">
        <v>265</v>
      </c>
      <c r="M669" s="194" t="s">
        <v>175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853"/>
      <c r="AB669" s="211"/>
      <c r="AC669" s="594"/>
      <c r="AD669" s="594"/>
    </row>
    <row r="670" spans="1:30" ht="15.75" customHeight="1">
      <c r="A670" s="204" t="str">
        <f>IF(B670&lt;&gt;"",IF(AND(B670&gt;=_TM1,B670&lt;=_TM2,OR(TH!L670="1111",TH!M670="1111")),TH!D670,""),"")</f>
        <v/>
      </c>
      <c r="B670" s="36">
        <f t="shared" si="129"/>
        <v>6</v>
      </c>
      <c r="C670" s="191">
        <f t="shared" si="130"/>
        <v>41445</v>
      </c>
      <c r="D670" s="184" t="s">
        <v>1084</v>
      </c>
      <c r="E670" s="191">
        <v>41445</v>
      </c>
      <c r="F670" s="192" t="s">
        <v>1130</v>
      </c>
      <c r="G670" s="192" t="s">
        <v>857</v>
      </c>
      <c r="H670" s="7" t="s">
        <v>543</v>
      </c>
      <c r="I670" s="256">
        <v>195</v>
      </c>
      <c r="J670" s="256">
        <v>14100</v>
      </c>
      <c r="K670" s="38">
        <f t="shared" si="136"/>
        <v>2749500</v>
      </c>
      <c r="L670" s="194" t="s">
        <v>265</v>
      </c>
      <c r="M670" s="194" t="s">
        <v>175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853"/>
      <c r="AB670" s="211"/>
      <c r="AC670" s="594"/>
      <c r="AD670" s="211"/>
    </row>
    <row r="671" spans="1:30" ht="15.75" customHeight="1">
      <c r="A671" s="204" t="str">
        <f>IF(B671&lt;&gt;"",IF(AND(B671&gt;=_TM1,B671&lt;=_TM2,OR(TH!L671="1111",TH!M671="1111")),TH!D671,""),"")</f>
        <v/>
      </c>
      <c r="B671" s="36">
        <f t="shared" si="129"/>
        <v>6</v>
      </c>
      <c r="C671" s="191">
        <f t="shared" si="130"/>
        <v>41445</v>
      </c>
      <c r="D671" s="184" t="s">
        <v>1084</v>
      </c>
      <c r="E671" s="191">
        <v>41445</v>
      </c>
      <c r="F671" s="192" t="s">
        <v>726</v>
      </c>
      <c r="G671" s="192" t="s">
        <v>857</v>
      </c>
      <c r="H671" s="7" t="s">
        <v>543</v>
      </c>
      <c r="I671" s="256"/>
      <c r="J671" s="256"/>
      <c r="K671" s="38">
        <v>420170</v>
      </c>
      <c r="L671" s="194" t="s">
        <v>265</v>
      </c>
      <c r="M671" s="194" t="s">
        <v>430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853"/>
      <c r="AB671" s="211"/>
      <c r="AC671" s="594" t="str">
        <f t="shared" si="128"/>
        <v/>
      </c>
      <c r="AD671" s="594"/>
    </row>
    <row r="672" spans="1:30" ht="15.75" customHeight="1">
      <c r="A672" s="204" t="str">
        <f>IF(B672&lt;&gt;"",IF(AND(B672&gt;=_TM1,B672&lt;=_TM2,OR(TH!L672="1111",TH!M672="1111")),TH!D672,""),"")</f>
        <v/>
      </c>
      <c r="B672" s="36">
        <f t="shared" si="129"/>
        <v>6</v>
      </c>
      <c r="C672" s="191">
        <f t="shared" si="130"/>
        <v>41445</v>
      </c>
      <c r="D672" s="184" t="s">
        <v>1085</v>
      </c>
      <c r="E672" s="191">
        <v>41445</v>
      </c>
      <c r="F672" s="192" t="s">
        <v>831</v>
      </c>
      <c r="G672" s="192" t="s">
        <v>858</v>
      </c>
      <c r="H672" s="7" t="s">
        <v>532</v>
      </c>
      <c r="I672" s="256">
        <v>508</v>
      </c>
      <c r="J672" s="256">
        <v>5210</v>
      </c>
      <c r="K672" s="38">
        <f t="shared" ref="K672:K674" si="137">ROUND(I672*J672,0)</f>
        <v>2646680</v>
      </c>
      <c r="L672" s="194" t="s">
        <v>265</v>
      </c>
      <c r="M672" s="194" t="s">
        <v>175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853"/>
      <c r="AB672" s="211"/>
      <c r="AC672" s="594"/>
      <c r="AD672" s="594"/>
    </row>
    <row r="673" spans="1:30" ht="15.75" customHeight="1">
      <c r="A673" s="204" t="str">
        <f>IF(B673&lt;&gt;"",IF(AND(B673&gt;=_TM1,B673&lt;=_TM2,OR(TH!L673="1111",TH!M673="1111")),TH!D673,""),"")</f>
        <v/>
      </c>
      <c r="B673" s="36">
        <f t="shared" si="129"/>
        <v>6</v>
      </c>
      <c r="C673" s="191">
        <f t="shared" si="130"/>
        <v>41445</v>
      </c>
      <c r="D673" s="184" t="s">
        <v>1085</v>
      </c>
      <c r="E673" s="191">
        <v>41445</v>
      </c>
      <c r="F673" s="192" t="s">
        <v>833</v>
      </c>
      <c r="G673" s="192" t="s">
        <v>858</v>
      </c>
      <c r="H673" s="7" t="s">
        <v>532</v>
      </c>
      <c r="I673" s="256">
        <v>305</v>
      </c>
      <c r="J673" s="256">
        <v>5117</v>
      </c>
      <c r="K673" s="38">
        <f t="shared" si="137"/>
        <v>1560685</v>
      </c>
      <c r="L673" s="194" t="s">
        <v>265</v>
      </c>
      <c r="M673" s="194" t="s">
        <v>175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853"/>
      <c r="AB673" s="594"/>
      <c r="AC673" s="594"/>
      <c r="AD673" s="594"/>
    </row>
    <row r="674" spans="1:30" ht="15.75" customHeight="1">
      <c r="A674" s="204" t="str">
        <f>IF(B674&lt;&gt;"",IF(AND(B674&gt;=_TM1,B674&lt;=_TM2,OR(TH!L674="1111",TH!M674="1111")),TH!D674,""),"")</f>
        <v/>
      </c>
      <c r="B674" s="36">
        <f t="shared" si="129"/>
        <v>6</v>
      </c>
      <c r="C674" s="191">
        <f t="shared" si="130"/>
        <v>41445</v>
      </c>
      <c r="D674" s="184" t="s">
        <v>1085</v>
      </c>
      <c r="E674" s="191">
        <v>41445</v>
      </c>
      <c r="F674" s="192" t="s">
        <v>1140</v>
      </c>
      <c r="G674" s="192" t="s">
        <v>858</v>
      </c>
      <c r="H674" s="7" t="s">
        <v>532</v>
      </c>
      <c r="I674" s="256">
        <v>484</v>
      </c>
      <c r="J674" s="256">
        <v>5401</v>
      </c>
      <c r="K674" s="38">
        <f t="shared" si="137"/>
        <v>2614084</v>
      </c>
      <c r="L674" s="194" t="s">
        <v>265</v>
      </c>
      <c r="M674" s="194" t="s">
        <v>175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853"/>
      <c r="AB674" s="211"/>
      <c r="AC674" s="594"/>
      <c r="AD674" s="594"/>
    </row>
    <row r="675" spans="1:30" ht="15.75" customHeight="1">
      <c r="A675" s="204" t="str">
        <f>IF(B675&lt;&gt;"",IF(AND(B675&gt;=_TM1,B675&lt;=_TM2,OR(TH!L675="1111",TH!M675="1111")),TH!D675,""),"")</f>
        <v/>
      </c>
      <c r="B675" s="36">
        <f t="shared" si="129"/>
        <v>6</v>
      </c>
      <c r="C675" s="191">
        <f t="shared" si="130"/>
        <v>41445</v>
      </c>
      <c r="D675" s="184" t="s">
        <v>1085</v>
      </c>
      <c r="E675" s="191">
        <v>41445</v>
      </c>
      <c r="F675" s="192" t="s">
        <v>726</v>
      </c>
      <c r="G675" s="192" t="s">
        <v>858</v>
      </c>
      <c r="H675" s="7" t="s">
        <v>532</v>
      </c>
      <c r="I675" s="256"/>
      <c r="J675" s="256"/>
      <c r="K675" s="38">
        <v>682145</v>
      </c>
      <c r="L675" s="194" t="s">
        <v>265</v>
      </c>
      <c r="M675" s="194" t="s">
        <v>430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853"/>
      <c r="AB675" s="594"/>
      <c r="AC675" s="594" t="str">
        <f t="shared" si="128"/>
        <v/>
      </c>
      <c r="AD675" s="211"/>
    </row>
    <row r="676" spans="1:30" ht="15.75" customHeight="1">
      <c r="A676" s="204" t="str">
        <f>IF(B676&lt;&gt;"",IF(AND(B676&gt;=_TM1,B676&lt;=_TM2,OR(TH!L676="1111",TH!M676="1111")),TH!D676,""),"")</f>
        <v/>
      </c>
      <c r="B676" s="36">
        <f t="shared" si="129"/>
        <v>6</v>
      </c>
      <c r="C676" s="191">
        <f t="shared" si="130"/>
        <v>41446</v>
      </c>
      <c r="D676" s="184" t="s">
        <v>1086</v>
      </c>
      <c r="E676" s="191">
        <v>41446</v>
      </c>
      <c r="F676" s="189" t="s">
        <v>1142</v>
      </c>
      <c r="G676" s="192" t="s">
        <v>859</v>
      </c>
      <c r="H676" s="193" t="s">
        <v>790</v>
      </c>
      <c r="I676" s="256">
        <v>1030</v>
      </c>
      <c r="J676" s="256">
        <v>5460</v>
      </c>
      <c r="K676" s="38">
        <f>ROUND(I676*J676,0)</f>
        <v>5623800</v>
      </c>
      <c r="L676" s="194" t="s">
        <v>265</v>
      </c>
      <c r="M676" s="194" t="s">
        <v>175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853"/>
      <c r="AB676" s="594"/>
      <c r="AC676" s="594"/>
      <c r="AD676" s="211"/>
    </row>
    <row r="677" spans="1:30" ht="15.75" customHeight="1">
      <c r="A677" s="204" t="str">
        <f>IF(B677&lt;&gt;"",IF(AND(B677&gt;=_TM1,B677&lt;=_TM2,OR(TH!L677="1111",TH!M677="1111")),TH!D677,""),"")</f>
        <v/>
      </c>
      <c r="B677" s="36">
        <f t="shared" si="129"/>
        <v>6</v>
      </c>
      <c r="C677" s="191">
        <f t="shared" si="130"/>
        <v>41446</v>
      </c>
      <c r="D677" s="184" t="s">
        <v>1086</v>
      </c>
      <c r="E677" s="191">
        <v>41446</v>
      </c>
      <c r="F677" s="192" t="s">
        <v>726</v>
      </c>
      <c r="G677" s="192" t="s">
        <v>859</v>
      </c>
      <c r="H677" s="193" t="s">
        <v>790</v>
      </c>
      <c r="I677" s="256"/>
      <c r="J677" s="256"/>
      <c r="K677" s="38">
        <v>562380</v>
      </c>
      <c r="L677" s="194" t="s">
        <v>265</v>
      </c>
      <c r="M677" s="194" t="s">
        <v>430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853"/>
      <c r="AB677" s="211"/>
      <c r="AC677" s="594" t="str">
        <f t="shared" si="128"/>
        <v/>
      </c>
      <c r="AD677" s="211"/>
    </row>
    <row r="678" spans="1:30" ht="15.75" customHeight="1">
      <c r="A678" s="204" t="str">
        <f>IF(B678&lt;&gt;"",IF(AND(B678&gt;=_TM1,B678&lt;=_TM2,OR(TH!L678="1111",TH!M678="1111")),TH!D678,""),"")</f>
        <v/>
      </c>
      <c r="B678" s="36">
        <f t="shared" si="129"/>
        <v>6</v>
      </c>
      <c r="C678" s="191">
        <f t="shared" si="130"/>
        <v>41451</v>
      </c>
      <c r="D678" s="184" t="s">
        <v>1087</v>
      </c>
      <c r="E678" s="191">
        <v>41451</v>
      </c>
      <c r="F678" s="192" t="s">
        <v>838</v>
      </c>
      <c r="G678" s="192" t="s">
        <v>860</v>
      </c>
      <c r="H678" s="210" t="s">
        <v>743</v>
      </c>
      <c r="I678" s="256">
        <v>500</v>
      </c>
      <c r="J678" s="256">
        <v>10500</v>
      </c>
      <c r="K678" s="38">
        <f>ROUND(I678*J678,0)</f>
        <v>5250000</v>
      </c>
      <c r="L678" s="194" t="s">
        <v>265</v>
      </c>
      <c r="M678" s="194" t="s">
        <v>175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853"/>
      <c r="AB678" s="594"/>
      <c r="AC678" s="594"/>
      <c r="AD678" s="594"/>
    </row>
    <row r="679" spans="1:30" ht="15.75" customHeight="1">
      <c r="A679" s="204" t="str">
        <f>IF(B679&lt;&gt;"",IF(AND(B679&gt;=_TM1,B679&lt;=_TM2,OR(TH!L679="1111",TH!M679="1111")),TH!D679,""),"")</f>
        <v/>
      </c>
      <c r="B679" s="36">
        <f t="shared" si="129"/>
        <v>6</v>
      </c>
      <c r="C679" s="191">
        <f t="shared" si="130"/>
        <v>41451</v>
      </c>
      <c r="D679" s="184" t="s">
        <v>1087</v>
      </c>
      <c r="E679" s="191">
        <v>41451</v>
      </c>
      <c r="F679" s="192" t="s">
        <v>726</v>
      </c>
      <c r="G679" s="192" t="s">
        <v>860</v>
      </c>
      <c r="H679" s="210" t="s">
        <v>743</v>
      </c>
      <c r="I679" s="256"/>
      <c r="J679" s="256"/>
      <c r="K679" s="38">
        <v>525000</v>
      </c>
      <c r="L679" s="194" t="s">
        <v>265</v>
      </c>
      <c r="M679" s="194" t="s">
        <v>430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853"/>
      <c r="AB679" s="211"/>
      <c r="AC679" s="594" t="str">
        <f t="shared" si="128"/>
        <v/>
      </c>
      <c r="AD679" s="594"/>
    </row>
    <row r="680" spans="1:30" ht="15.75" customHeight="1">
      <c r="A680" s="204" t="str">
        <f>IF(B680&lt;&gt;"",IF(AND(B680&gt;=_TM1,B680&lt;=_TM2,OR(TH!L680="1111",TH!M680="1111")),TH!D680,""),"")</f>
        <v/>
      </c>
      <c r="B680" s="36">
        <f t="shared" si="129"/>
        <v>6</v>
      </c>
      <c r="C680" s="191">
        <f t="shared" si="130"/>
        <v>41451</v>
      </c>
      <c r="D680" s="184" t="s">
        <v>1088</v>
      </c>
      <c r="E680" s="191">
        <v>41451</v>
      </c>
      <c r="F680" s="192" t="s">
        <v>861</v>
      </c>
      <c r="G680" s="192" t="s">
        <v>862</v>
      </c>
      <c r="H680" s="7" t="s">
        <v>433</v>
      </c>
      <c r="I680" s="256">
        <v>1480</v>
      </c>
      <c r="J680" s="256">
        <v>19200</v>
      </c>
      <c r="K680" s="38">
        <f>ROUND(I680*J680,0)</f>
        <v>28416000</v>
      </c>
      <c r="L680" s="194" t="s">
        <v>265</v>
      </c>
      <c r="M680" s="194" t="s">
        <v>175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853"/>
      <c r="AB680" s="211"/>
      <c r="AC680" s="594"/>
      <c r="AD680" s="211"/>
    </row>
    <row r="681" spans="1:30" ht="15.75" customHeight="1">
      <c r="A681" s="204" t="str">
        <f>IF(B681&lt;&gt;"",IF(AND(B681&gt;=_TM1,B681&lt;=_TM2,OR(TH!L681="1111",TH!M681="1111")),TH!D681,""),"")</f>
        <v/>
      </c>
      <c r="B681" s="36">
        <f t="shared" si="129"/>
        <v>6</v>
      </c>
      <c r="C681" s="191">
        <f t="shared" si="130"/>
        <v>41451</v>
      </c>
      <c r="D681" s="184" t="s">
        <v>1088</v>
      </c>
      <c r="E681" s="191">
        <v>41451</v>
      </c>
      <c r="F681" s="192" t="s">
        <v>726</v>
      </c>
      <c r="G681" s="192" t="s">
        <v>862</v>
      </c>
      <c r="H681" s="7" t="s">
        <v>433</v>
      </c>
      <c r="I681" s="256"/>
      <c r="J681" s="256"/>
      <c r="K681" s="38">
        <v>2841600</v>
      </c>
      <c r="L681" s="194" t="s">
        <v>265</v>
      </c>
      <c r="M681" s="194" t="s">
        <v>430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853"/>
      <c r="AB681" s="594"/>
      <c r="AC681" s="594" t="str">
        <f t="shared" si="128"/>
        <v/>
      </c>
      <c r="AD681" s="211"/>
    </row>
    <row r="682" spans="1:30" ht="15.75" customHeight="1">
      <c r="A682" s="204" t="str">
        <f>IF(B682&lt;&gt;"",IF(AND(B682&gt;=_TM1,B682&lt;=_TM2,OR(TH!L682="1111",TH!M682="1111")),TH!D682,""),"")</f>
        <v/>
      </c>
      <c r="B682" s="36">
        <f t="shared" si="129"/>
        <v>6</v>
      </c>
      <c r="C682" s="191">
        <f t="shared" si="130"/>
        <v>41452</v>
      </c>
      <c r="D682" s="184" t="s">
        <v>1089</v>
      </c>
      <c r="E682" s="191">
        <v>41452</v>
      </c>
      <c r="F682" s="192" t="s">
        <v>1137</v>
      </c>
      <c r="G682" s="192" t="s">
        <v>863</v>
      </c>
      <c r="H682" s="7" t="s">
        <v>433</v>
      </c>
      <c r="I682" s="256">
        <v>3077</v>
      </c>
      <c r="J682" s="256">
        <v>6250</v>
      </c>
      <c r="K682" s="38">
        <f>ROUND(I682*J682,0)</f>
        <v>19231250</v>
      </c>
      <c r="L682" s="194" t="s">
        <v>265</v>
      </c>
      <c r="M682" s="194" t="s">
        <v>175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853"/>
      <c r="AB682" s="211"/>
      <c r="AC682" s="594"/>
      <c r="AD682" s="211"/>
    </row>
    <row r="683" spans="1:30" ht="15.75" customHeight="1">
      <c r="A683" s="204" t="str">
        <f>IF(B683&lt;&gt;"",IF(AND(B683&gt;=_TM1,B683&lt;=_TM2,OR(TH!L683="1111",TH!M683="1111")),TH!D683,""),"")</f>
        <v/>
      </c>
      <c r="B683" s="36">
        <f t="shared" si="129"/>
        <v>6</v>
      </c>
      <c r="C683" s="191">
        <f t="shared" si="130"/>
        <v>41452</v>
      </c>
      <c r="D683" s="184" t="s">
        <v>1089</v>
      </c>
      <c r="E683" s="191">
        <v>41452</v>
      </c>
      <c r="F683" s="192" t="s">
        <v>726</v>
      </c>
      <c r="G683" s="192" t="s">
        <v>863</v>
      </c>
      <c r="H683" s="7" t="s">
        <v>433</v>
      </c>
      <c r="I683" s="256"/>
      <c r="J683" s="256"/>
      <c r="K683" s="38">
        <v>1923125</v>
      </c>
      <c r="L683" s="194" t="s">
        <v>265</v>
      </c>
      <c r="M683" s="194" t="s">
        <v>430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853"/>
      <c r="AB683" s="594"/>
      <c r="AC683" s="594" t="str">
        <f t="shared" ref="AC683:AC745" si="138">IF(VLOOKUP(H683,DS_131,1,0)&lt;&gt;"","","x")</f>
        <v/>
      </c>
      <c r="AD683" s="211"/>
    </row>
    <row r="684" spans="1:30" ht="15.75" customHeight="1">
      <c r="A684" s="204" t="str">
        <f>IF(B684&lt;&gt;"",IF(AND(B684&gt;=_TM1,B684&lt;=_TM2,OR(TH!L684="1111",TH!M684="1111")),TH!D684,""),"")</f>
        <v/>
      </c>
      <c r="B684" s="36">
        <f t="shared" si="129"/>
        <v>7</v>
      </c>
      <c r="C684" s="191">
        <f t="shared" si="130"/>
        <v>41460</v>
      </c>
      <c r="D684" s="184" t="s">
        <v>1047</v>
      </c>
      <c r="E684" s="191">
        <v>41460</v>
      </c>
      <c r="F684" s="192" t="s">
        <v>1165</v>
      </c>
      <c r="G684" s="192" t="s">
        <v>864</v>
      </c>
      <c r="H684" s="7" t="s">
        <v>865</v>
      </c>
      <c r="I684" s="256">
        <v>527</v>
      </c>
      <c r="J684" s="256">
        <v>6700</v>
      </c>
      <c r="K684" s="38">
        <f t="shared" ref="K684:K685" si="139">ROUND(I684*J684,0)</f>
        <v>3530900</v>
      </c>
      <c r="L684" s="194" t="s">
        <v>265</v>
      </c>
      <c r="M684" s="194" t="s">
        <v>175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>x</v>
      </c>
      <c r="AA684" s="853"/>
      <c r="AB684" s="211">
        <v>7</v>
      </c>
      <c r="AC684" s="594"/>
      <c r="AD684" s="211"/>
    </row>
    <row r="685" spans="1:30" ht="15.75" customHeight="1">
      <c r="A685" s="204" t="str">
        <f>IF(B685&lt;&gt;"",IF(AND(B685&gt;=_TM1,B685&lt;=_TM2,OR(TH!L685="1111",TH!M685="1111")),TH!D685,""),"")</f>
        <v/>
      </c>
      <c r="B685" s="36">
        <f t="shared" si="129"/>
        <v>7</v>
      </c>
      <c r="C685" s="191">
        <f t="shared" si="130"/>
        <v>41460</v>
      </c>
      <c r="D685" s="184" t="s">
        <v>1047</v>
      </c>
      <c r="E685" s="191">
        <v>41460</v>
      </c>
      <c r="F685" s="192" t="s">
        <v>866</v>
      </c>
      <c r="G685" s="192" t="s">
        <v>864</v>
      </c>
      <c r="H685" s="7" t="s">
        <v>865</v>
      </c>
      <c r="I685" s="256">
        <v>506</v>
      </c>
      <c r="J685" s="256">
        <v>6800</v>
      </c>
      <c r="K685" s="38">
        <f t="shared" si="139"/>
        <v>3440800</v>
      </c>
      <c r="L685" s="194" t="s">
        <v>265</v>
      </c>
      <c r="M685" s="194" t="s">
        <v>175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>x</v>
      </c>
      <c r="AA685" s="853"/>
      <c r="AC685" s="594"/>
    </row>
    <row r="686" spans="1:30" ht="15.75" customHeight="1">
      <c r="A686" s="204" t="str">
        <f>IF(B686&lt;&gt;"",IF(AND(B686&gt;=_TM1,B686&lt;=_TM2,OR(TH!L686="1111",TH!M686="1111")),TH!D686,""),"")</f>
        <v/>
      </c>
      <c r="B686" s="36">
        <f t="shared" si="129"/>
        <v>7</v>
      </c>
      <c r="C686" s="191">
        <f t="shared" si="130"/>
        <v>41460</v>
      </c>
      <c r="D686" s="184" t="s">
        <v>1047</v>
      </c>
      <c r="E686" s="191">
        <v>41460</v>
      </c>
      <c r="F686" s="192" t="s">
        <v>726</v>
      </c>
      <c r="G686" s="192" t="s">
        <v>864</v>
      </c>
      <c r="H686" s="7" t="s">
        <v>865</v>
      </c>
      <c r="I686" s="256"/>
      <c r="J686" s="256"/>
      <c r="K686" s="38">
        <v>697170</v>
      </c>
      <c r="L686" s="194" t="s">
        <v>265</v>
      </c>
      <c r="M686" s="194" t="s">
        <v>430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>x</v>
      </c>
      <c r="AA686" s="853"/>
      <c r="AC686" s="594" t="str">
        <f t="shared" si="138"/>
        <v/>
      </c>
    </row>
    <row r="687" spans="1:30" ht="15.75" customHeight="1">
      <c r="A687" s="204" t="str">
        <f>IF(B687&lt;&gt;"",IF(AND(B687&gt;=_TM1,B687&lt;=_TM2,OR(TH!L687="1111",TH!M687="1111")),TH!D687,""),"")</f>
        <v/>
      </c>
      <c r="B687" s="36">
        <f t="shared" si="129"/>
        <v>7</v>
      </c>
      <c r="C687" s="191">
        <f t="shared" si="130"/>
        <v>41463</v>
      </c>
      <c r="D687" s="184" t="s">
        <v>1048</v>
      </c>
      <c r="E687" s="191">
        <v>41463</v>
      </c>
      <c r="F687" s="192" t="s">
        <v>867</v>
      </c>
      <c r="G687" s="192" t="s">
        <v>868</v>
      </c>
      <c r="H687" s="7" t="s">
        <v>582</v>
      </c>
      <c r="I687" s="256">
        <v>144</v>
      </c>
      <c r="J687" s="256">
        <v>20300</v>
      </c>
      <c r="K687" s="38">
        <f t="shared" ref="K687:K688" si="140">ROUND(I687*J687,0)</f>
        <v>2923200</v>
      </c>
      <c r="L687" s="194" t="s">
        <v>265</v>
      </c>
      <c r="M687" s="194" t="s">
        <v>175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>x</v>
      </c>
      <c r="AA687" s="853"/>
      <c r="AC687" s="594"/>
    </row>
    <row r="688" spans="1:30" ht="15.75" customHeight="1">
      <c r="A688" s="204" t="str">
        <f>IF(B688&lt;&gt;"",IF(AND(B688&gt;=_TM1,B688&lt;=_TM2,OR(TH!L688="1111",TH!M688="1111")),TH!D688,""),"")</f>
        <v/>
      </c>
      <c r="B688" s="36">
        <f t="shared" ref="B688:B751" si="141">IF(C688&lt;&gt;"",MONTH(C688),"")</f>
        <v>7</v>
      </c>
      <c r="C688" s="191">
        <f t="shared" si="130"/>
        <v>41463</v>
      </c>
      <c r="D688" s="184" t="s">
        <v>1048</v>
      </c>
      <c r="E688" s="191">
        <v>41463</v>
      </c>
      <c r="F688" s="192" t="s">
        <v>869</v>
      </c>
      <c r="G688" s="192" t="s">
        <v>868</v>
      </c>
      <c r="H688" s="7" t="s">
        <v>582</v>
      </c>
      <c r="I688" s="256">
        <v>115</v>
      </c>
      <c r="J688" s="256">
        <v>21300</v>
      </c>
      <c r="K688" s="38">
        <f t="shared" si="140"/>
        <v>2449500</v>
      </c>
      <c r="L688" s="194" t="s">
        <v>265</v>
      </c>
      <c r="M688" s="194" t="s">
        <v>175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>x</v>
      </c>
      <c r="AA688" s="853"/>
      <c r="AC688" s="594"/>
    </row>
    <row r="689" spans="1:30" ht="15.75" customHeight="1">
      <c r="A689" s="204" t="str">
        <f>IF(B689&lt;&gt;"",IF(AND(B689&gt;=_TM1,B689&lt;=_TM2,OR(TH!L689="1111",TH!M689="1111")),TH!D689,""),"")</f>
        <v/>
      </c>
      <c r="B689" s="36">
        <f t="shared" si="141"/>
        <v>7</v>
      </c>
      <c r="C689" s="191">
        <f t="shared" si="130"/>
        <v>41463</v>
      </c>
      <c r="D689" s="184" t="s">
        <v>1048</v>
      </c>
      <c r="E689" s="191">
        <v>41463</v>
      </c>
      <c r="F689" s="192" t="s">
        <v>726</v>
      </c>
      <c r="G689" s="192" t="s">
        <v>868</v>
      </c>
      <c r="H689" s="7" t="s">
        <v>582</v>
      </c>
      <c r="I689" s="256"/>
      <c r="J689" s="256"/>
      <c r="K689" s="38">
        <v>537270</v>
      </c>
      <c r="L689" s="194" t="s">
        <v>265</v>
      </c>
      <c r="M689" s="194" t="s">
        <v>430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>x</v>
      </c>
      <c r="AA689" s="853"/>
      <c r="AC689" s="594" t="str">
        <f t="shared" si="138"/>
        <v/>
      </c>
    </row>
    <row r="690" spans="1:30" ht="15.75" customHeight="1">
      <c r="A690" s="204" t="str">
        <f>IF(B690&lt;&gt;"",IF(AND(B690&gt;=_TM1,B690&lt;=_TM2,OR(TH!L690="1111",TH!M690="1111")),TH!D690,""),"")</f>
        <v/>
      </c>
      <c r="B690" s="36">
        <f t="shared" si="141"/>
        <v>7</v>
      </c>
      <c r="C690" s="191">
        <f t="shared" si="130"/>
        <v>41463</v>
      </c>
      <c r="D690" s="184" t="s">
        <v>1049</v>
      </c>
      <c r="E690" s="191">
        <v>41463</v>
      </c>
      <c r="F690" s="192" t="s">
        <v>723</v>
      </c>
      <c r="G690" s="192" t="s">
        <v>870</v>
      </c>
      <c r="H690" s="7" t="s">
        <v>501</v>
      </c>
      <c r="I690" s="256">
        <v>592</v>
      </c>
      <c r="J690" s="256">
        <v>5700</v>
      </c>
      <c r="K690" s="38">
        <f t="shared" ref="K690:K693" si="142">ROUND(I690*J690,0)</f>
        <v>3374400</v>
      </c>
      <c r="L690" s="194" t="s">
        <v>265</v>
      </c>
      <c r="M690" s="194" t="s">
        <v>175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>x</v>
      </c>
      <c r="AA690" s="853"/>
      <c r="AC690" s="594"/>
    </row>
    <row r="691" spans="1:30" ht="15.75" customHeight="1">
      <c r="A691" s="204" t="str">
        <f>IF(B691&lt;&gt;"",IF(AND(B691&gt;=_TM1,B691&lt;=_TM2,OR(TH!L691="1111",TH!M691="1111")),TH!D691,""),"")</f>
        <v/>
      </c>
      <c r="B691" s="36">
        <f t="shared" si="141"/>
        <v>7</v>
      </c>
      <c r="C691" s="191">
        <f t="shared" ref="C691:C754" si="143">E691</f>
        <v>41463</v>
      </c>
      <c r="D691" s="184" t="s">
        <v>1049</v>
      </c>
      <c r="E691" s="191">
        <v>41463</v>
      </c>
      <c r="F691" s="192" t="s">
        <v>725</v>
      </c>
      <c r="G691" s="192" t="s">
        <v>870</v>
      </c>
      <c r="H691" s="7" t="s">
        <v>501</v>
      </c>
      <c r="I691" s="256">
        <v>609</v>
      </c>
      <c r="J691" s="256">
        <v>4600</v>
      </c>
      <c r="K691" s="38">
        <f t="shared" si="142"/>
        <v>2801400</v>
      </c>
      <c r="L691" s="194" t="s">
        <v>265</v>
      </c>
      <c r="M691" s="194" t="s">
        <v>175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>x</v>
      </c>
      <c r="AA691" s="853"/>
      <c r="AC691" s="594"/>
    </row>
    <row r="692" spans="1:30" ht="15.75" customHeight="1">
      <c r="A692" s="204" t="str">
        <f>IF(B692&lt;&gt;"",IF(AND(B692&gt;=_TM1,B692&lt;=_TM2,OR(TH!L692="1111",TH!M692="1111")),TH!D692,""),"")</f>
        <v/>
      </c>
      <c r="B692" s="36">
        <f t="shared" si="141"/>
        <v>7</v>
      </c>
      <c r="C692" s="191">
        <f t="shared" si="143"/>
        <v>41463</v>
      </c>
      <c r="D692" s="184" t="s">
        <v>1049</v>
      </c>
      <c r="E692" s="191">
        <v>41463</v>
      </c>
      <c r="F692" s="192" t="s">
        <v>871</v>
      </c>
      <c r="G692" s="487" t="s">
        <v>870</v>
      </c>
      <c r="H692" s="7" t="s">
        <v>501</v>
      </c>
      <c r="I692" s="256">
        <v>813</v>
      </c>
      <c r="J692" s="256">
        <v>8900</v>
      </c>
      <c r="K692" s="38">
        <f t="shared" si="142"/>
        <v>7235700</v>
      </c>
      <c r="L692" s="194" t="s">
        <v>265</v>
      </c>
      <c r="M692" s="194" t="s">
        <v>175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>x</v>
      </c>
      <c r="AA692" s="853"/>
      <c r="AC692" s="594"/>
    </row>
    <row r="693" spans="1:30" ht="15.75" customHeight="1">
      <c r="A693" s="204" t="str">
        <f>IF(B693&lt;&gt;"",IF(AND(B693&gt;=_TM1,B693&lt;=_TM2,OR(TH!L693="1111",TH!M693="1111")),TH!D693,""),"")</f>
        <v/>
      </c>
      <c r="B693" s="36">
        <f t="shared" si="141"/>
        <v>7</v>
      </c>
      <c r="C693" s="191">
        <f t="shared" si="143"/>
        <v>41463</v>
      </c>
      <c r="D693" s="184" t="s">
        <v>1049</v>
      </c>
      <c r="E693" s="191">
        <v>41463</v>
      </c>
      <c r="F693" s="192" t="s">
        <v>872</v>
      </c>
      <c r="G693" s="487" t="s">
        <v>870</v>
      </c>
      <c r="H693" s="210" t="s">
        <v>501</v>
      </c>
      <c r="I693" s="256">
        <v>656</v>
      </c>
      <c r="J693" s="256">
        <v>7200</v>
      </c>
      <c r="K693" s="38">
        <f t="shared" si="142"/>
        <v>4723200</v>
      </c>
      <c r="L693" s="194" t="s">
        <v>265</v>
      </c>
      <c r="M693" s="194" t="s">
        <v>175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>x</v>
      </c>
      <c r="AA693" s="853"/>
      <c r="AC693" s="594"/>
    </row>
    <row r="694" spans="1:30" ht="15.75" customHeight="1">
      <c r="A694" s="204" t="str">
        <f>IF(B694&lt;&gt;"",IF(AND(B694&gt;=_TM1,B694&lt;=_TM2,OR(TH!L694="1111",TH!M694="1111")),TH!D694,""),"")</f>
        <v/>
      </c>
      <c r="B694" s="36">
        <f t="shared" si="141"/>
        <v>7</v>
      </c>
      <c r="C694" s="191">
        <f t="shared" si="143"/>
        <v>41463</v>
      </c>
      <c r="D694" s="184" t="s">
        <v>1049</v>
      </c>
      <c r="E694" s="191">
        <v>41463</v>
      </c>
      <c r="F694" s="192" t="s">
        <v>726</v>
      </c>
      <c r="G694" s="487" t="s">
        <v>870</v>
      </c>
      <c r="H694" s="193" t="s">
        <v>501</v>
      </c>
      <c r="I694" s="256"/>
      <c r="J694" s="256"/>
      <c r="K694" s="38">
        <v>1813470</v>
      </c>
      <c r="L694" s="194" t="s">
        <v>265</v>
      </c>
      <c r="M694" s="194" t="s">
        <v>430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>x</v>
      </c>
      <c r="AA694" s="853"/>
      <c r="AB694" s="594"/>
      <c r="AC694" s="594" t="str">
        <f t="shared" si="138"/>
        <v/>
      </c>
      <c r="AD694" s="594"/>
    </row>
    <row r="695" spans="1:30" ht="15.75" customHeight="1">
      <c r="A695" s="204" t="str">
        <f>IF(B695&lt;&gt;"",IF(AND(B695&gt;=_TM1,B695&lt;=_TM2,OR(TH!L695="1111",TH!M695="1111")),TH!D695,""),"")</f>
        <v/>
      </c>
      <c r="B695" s="36">
        <f t="shared" si="141"/>
        <v>7</v>
      </c>
      <c r="C695" s="191">
        <f t="shared" si="143"/>
        <v>41475</v>
      </c>
      <c r="D695" s="184" t="s">
        <v>1050</v>
      </c>
      <c r="E695" s="191">
        <v>41475</v>
      </c>
      <c r="F695" s="192" t="s">
        <v>731</v>
      </c>
      <c r="G695" s="487" t="s">
        <v>873</v>
      </c>
      <c r="H695" s="193" t="s">
        <v>503</v>
      </c>
      <c r="I695" s="256">
        <v>1027</v>
      </c>
      <c r="J695" s="256">
        <v>8740</v>
      </c>
      <c r="K695" s="38">
        <f>ROUND(I695*J695,0)</f>
        <v>8975980</v>
      </c>
      <c r="L695" s="194" t="s">
        <v>265</v>
      </c>
      <c r="M695" s="194" t="s">
        <v>175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>x</v>
      </c>
      <c r="AA695" s="853"/>
      <c r="AB695" s="594">
        <v>6</v>
      </c>
      <c r="AC695" s="594"/>
      <c r="AD695" s="594"/>
    </row>
    <row r="696" spans="1:30" ht="15.75" customHeight="1">
      <c r="A696" s="204" t="str">
        <f>IF(B696&lt;&gt;"",IF(AND(B696&gt;=_TM1,B696&lt;=_TM2,OR(TH!L696="1111",TH!M696="1111")),TH!D696,""),"")</f>
        <v/>
      </c>
      <c r="B696" s="36">
        <f t="shared" si="141"/>
        <v>7</v>
      </c>
      <c r="C696" s="191">
        <f t="shared" si="143"/>
        <v>41475</v>
      </c>
      <c r="D696" s="184" t="s">
        <v>1050</v>
      </c>
      <c r="E696" s="191">
        <v>41475</v>
      </c>
      <c r="F696" s="192" t="s">
        <v>726</v>
      </c>
      <c r="G696" s="487" t="s">
        <v>873</v>
      </c>
      <c r="H696" s="210" t="s">
        <v>503</v>
      </c>
      <c r="I696" s="256"/>
      <c r="J696" s="256"/>
      <c r="K696" s="38">
        <v>897598</v>
      </c>
      <c r="L696" s="194" t="s">
        <v>265</v>
      </c>
      <c r="M696" s="194" t="s">
        <v>430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>x</v>
      </c>
      <c r="AA696" s="853"/>
      <c r="AB696" s="594"/>
      <c r="AC696" s="594" t="str">
        <f t="shared" si="138"/>
        <v/>
      </c>
      <c r="AD696" s="594"/>
    </row>
    <row r="697" spans="1:30" ht="15.75" customHeight="1">
      <c r="A697" s="204" t="str">
        <f>IF(B697&lt;&gt;"",IF(AND(B697&gt;=_TM1,B697&lt;=_TM2,OR(TH!L697="1111",TH!M697="1111")),TH!D697,""),"")</f>
        <v/>
      </c>
      <c r="B697" s="36">
        <f t="shared" si="141"/>
        <v>7</v>
      </c>
      <c r="C697" s="191">
        <f t="shared" si="143"/>
        <v>41475</v>
      </c>
      <c r="D697" s="184" t="s">
        <v>1051</v>
      </c>
      <c r="E697" s="191">
        <v>41475</v>
      </c>
      <c r="F697" s="192" t="s">
        <v>838</v>
      </c>
      <c r="G697" s="487" t="s">
        <v>874</v>
      </c>
      <c r="H697" s="193" t="s">
        <v>743</v>
      </c>
      <c r="I697" s="256">
        <v>749</v>
      </c>
      <c r="J697" s="256">
        <v>10500</v>
      </c>
      <c r="K697" s="38">
        <f>ROUND(I697*J697,0)</f>
        <v>7864500</v>
      </c>
      <c r="L697" s="194" t="s">
        <v>265</v>
      </c>
      <c r="M697" s="194" t="s">
        <v>175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>x</v>
      </c>
      <c r="AA697" s="853"/>
      <c r="AB697" s="594"/>
      <c r="AC697" s="594"/>
      <c r="AD697" s="594"/>
    </row>
    <row r="698" spans="1:30" ht="15.75" customHeight="1">
      <c r="A698" s="204" t="str">
        <f>IF(B698&lt;&gt;"",IF(AND(B698&gt;=_TM1,B698&lt;=_TM2,OR(TH!L698="1111",TH!M698="1111")),TH!D698,""),"")</f>
        <v/>
      </c>
      <c r="B698" s="36">
        <f t="shared" si="141"/>
        <v>7</v>
      </c>
      <c r="C698" s="191">
        <f t="shared" si="143"/>
        <v>41475</v>
      </c>
      <c r="D698" s="184" t="s">
        <v>1051</v>
      </c>
      <c r="E698" s="191">
        <v>41475</v>
      </c>
      <c r="F698" s="192" t="s">
        <v>726</v>
      </c>
      <c r="G698" s="487" t="s">
        <v>874</v>
      </c>
      <c r="H698" s="193" t="s">
        <v>743</v>
      </c>
      <c r="I698" s="256"/>
      <c r="J698" s="256"/>
      <c r="K698" s="38">
        <v>786450</v>
      </c>
      <c r="L698" s="194" t="s">
        <v>265</v>
      </c>
      <c r="M698" s="194" t="s">
        <v>430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>x</v>
      </c>
      <c r="AA698" s="853"/>
      <c r="AB698" s="594"/>
      <c r="AC698" s="594" t="str">
        <f t="shared" si="138"/>
        <v/>
      </c>
      <c r="AD698" s="594"/>
    </row>
    <row r="699" spans="1:30" ht="15.75" customHeight="1">
      <c r="A699" s="204" t="str">
        <f>IF(B699&lt;&gt;"",IF(AND(B699&gt;=_TM1,B699&lt;=_TM2,OR(TH!L699="1111",TH!M699="1111")),TH!D699,""),"")</f>
        <v/>
      </c>
      <c r="B699" s="36">
        <f t="shared" si="141"/>
        <v>7</v>
      </c>
      <c r="C699" s="191">
        <f t="shared" si="143"/>
        <v>41477</v>
      </c>
      <c r="D699" s="184" t="s">
        <v>1052</v>
      </c>
      <c r="E699" s="191">
        <v>41477</v>
      </c>
      <c r="F699" s="192" t="s">
        <v>1156</v>
      </c>
      <c r="G699" s="487" t="s">
        <v>875</v>
      </c>
      <c r="H699" s="7" t="s">
        <v>540</v>
      </c>
      <c r="I699" s="256">
        <v>1527</v>
      </c>
      <c r="J699" s="256">
        <v>4540</v>
      </c>
      <c r="K699" s="38">
        <f t="shared" ref="K699:K700" si="144">ROUND(I699*J699,0)</f>
        <v>6932580</v>
      </c>
      <c r="L699" s="194" t="s">
        <v>265</v>
      </c>
      <c r="M699" s="194" t="s">
        <v>175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>x</v>
      </c>
      <c r="AA699" s="853"/>
      <c r="AB699" s="594"/>
      <c r="AC699" s="594"/>
      <c r="AD699" s="594"/>
    </row>
    <row r="700" spans="1:30" ht="15.75" customHeight="1">
      <c r="A700" s="204" t="str">
        <f>IF(B700&lt;&gt;"",IF(AND(B700&gt;=_TM1,B700&lt;=_TM2,OR(TH!L700="1111",TH!M700="1111")),TH!D700,""),"")</f>
        <v/>
      </c>
      <c r="B700" s="36">
        <f t="shared" si="141"/>
        <v>7</v>
      </c>
      <c r="C700" s="191">
        <f t="shared" si="143"/>
        <v>41477</v>
      </c>
      <c r="D700" s="184" t="s">
        <v>1052</v>
      </c>
      <c r="E700" s="191">
        <v>41477</v>
      </c>
      <c r="F700" s="192" t="s">
        <v>876</v>
      </c>
      <c r="G700" s="487" t="s">
        <v>875</v>
      </c>
      <c r="H700" s="7" t="s">
        <v>540</v>
      </c>
      <c r="I700" s="256">
        <v>996</v>
      </c>
      <c r="J700" s="256">
        <v>11300</v>
      </c>
      <c r="K700" s="38">
        <f t="shared" si="144"/>
        <v>11254800</v>
      </c>
      <c r="L700" s="194" t="s">
        <v>265</v>
      </c>
      <c r="M700" s="194" t="s">
        <v>175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>x</v>
      </c>
      <c r="AA700" s="853"/>
      <c r="AB700" s="594"/>
      <c r="AC700" s="594"/>
      <c r="AD700" s="211"/>
    </row>
    <row r="701" spans="1:30" ht="15.75" customHeight="1">
      <c r="A701" s="204" t="str">
        <f>IF(B701&lt;&gt;"",IF(AND(B701&gt;=_TM1,B701&lt;=_TM2,OR(TH!L701="1111",TH!M701="1111")),TH!D701,""),"")</f>
        <v/>
      </c>
      <c r="B701" s="36">
        <f t="shared" si="141"/>
        <v>7</v>
      </c>
      <c r="C701" s="191">
        <f t="shared" si="143"/>
        <v>41477</v>
      </c>
      <c r="D701" s="184" t="s">
        <v>1052</v>
      </c>
      <c r="E701" s="191">
        <v>41477</v>
      </c>
      <c r="F701" s="192" t="s">
        <v>726</v>
      </c>
      <c r="G701" s="487" t="s">
        <v>875</v>
      </c>
      <c r="H701" s="7" t="s">
        <v>540</v>
      </c>
      <c r="I701" s="256"/>
      <c r="J701" s="256"/>
      <c r="K701" s="38">
        <v>1818738</v>
      </c>
      <c r="L701" s="194" t="s">
        <v>265</v>
      </c>
      <c r="M701" s="194" t="s">
        <v>430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>x</v>
      </c>
      <c r="AA701" s="853"/>
      <c r="AB701" s="211"/>
      <c r="AC701" s="594" t="str">
        <f t="shared" si="138"/>
        <v/>
      </c>
      <c r="AD701" s="211"/>
    </row>
    <row r="702" spans="1:30" ht="15.75" customHeight="1">
      <c r="A702" s="204" t="str">
        <f>IF(B702&lt;&gt;"",IF(AND(B702&gt;=_TM1,B702&lt;=_TM2,OR(TH!L702="1111",TH!M702="1111")),TH!D702,""),"")</f>
        <v/>
      </c>
      <c r="B702" s="36">
        <f t="shared" si="141"/>
        <v>7</v>
      </c>
      <c r="C702" s="191">
        <f t="shared" si="143"/>
        <v>41477</v>
      </c>
      <c r="D702" s="184" t="s">
        <v>1053</v>
      </c>
      <c r="E702" s="191">
        <v>41477</v>
      </c>
      <c r="F702" s="192" t="s">
        <v>877</v>
      </c>
      <c r="G702" s="487" t="s">
        <v>878</v>
      </c>
      <c r="H702" s="7" t="s">
        <v>879</v>
      </c>
      <c r="I702" s="256">
        <v>50</v>
      </c>
      <c r="J702" s="256">
        <v>38800</v>
      </c>
      <c r="K702" s="38">
        <f t="shared" ref="K702:K707" si="145">ROUND(I702*J702,0)</f>
        <v>1940000</v>
      </c>
      <c r="L702" s="194" t="s">
        <v>265</v>
      </c>
      <c r="M702" s="194" t="s">
        <v>175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>x</v>
      </c>
      <c r="AA702" s="853"/>
      <c r="AB702" s="594"/>
      <c r="AC702" s="594"/>
      <c r="AD702" s="211"/>
    </row>
    <row r="703" spans="1:30" ht="15.75" customHeight="1">
      <c r="A703" s="204" t="str">
        <f>IF(B703&lt;&gt;"",IF(AND(B703&gt;=_TM1,B703&lt;=_TM2,OR(TH!L703="1111",TH!M703="1111")),TH!D703,""),"")</f>
        <v/>
      </c>
      <c r="B703" s="36">
        <f t="shared" si="141"/>
        <v>7</v>
      </c>
      <c r="C703" s="191">
        <f t="shared" si="143"/>
        <v>41477</v>
      </c>
      <c r="D703" s="184" t="s">
        <v>1053</v>
      </c>
      <c r="E703" s="191">
        <v>41477</v>
      </c>
      <c r="F703" s="192" t="s">
        <v>880</v>
      </c>
      <c r="G703" s="487" t="s">
        <v>878</v>
      </c>
      <c r="H703" s="7" t="s">
        <v>879</v>
      </c>
      <c r="I703" s="256">
        <v>50</v>
      </c>
      <c r="J703" s="256">
        <v>45000</v>
      </c>
      <c r="K703" s="38">
        <f t="shared" si="145"/>
        <v>2250000</v>
      </c>
      <c r="L703" s="194" t="s">
        <v>265</v>
      </c>
      <c r="M703" s="194" t="s">
        <v>175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>x</v>
      </c>
      <c r="AA703" s="853"/>
      <c r="AB703" s="211">
        <v>7</v>
      </c>
      <c r="AC703" s="594"/>
      <c r="AD703" s="211"/>
    </row>
    <row r="704" spans="1:30" ht="15.75" customHeight="1">
      <c r="A704" s="204" t="str">
        <f>IF(B704&lt;&gt;"",IF(AND(B704&gt;=_TM1,B704&lt;=_TM2,OR(TH!L704="1111",TH!M704="1111")),TH!D704,""),"")</f>
        <v/>
      </c>
      <c r="B704" s="36">
        <f t="shared" si="141"/>
        <v>7</v>
      </c>
      <c r="C704" s="191">
        <f t="shared" si="143"/>
        <v>41477</v>
      </c>
      <c r="D704" s="184" t="s">
        <v>1053</v>
      </c>
      <c r="E704" s="191">
        <v>41477</v>
      </c>
      <c r="F704" s="192" t="s">
        <v>881</v>
      </c>
      <c r="G704" s="192" t="s">
        <v>878</v>
      </c>
      <c r="H704" s="7" t="s">
        <v>879</v>
      </c>
      <c r="I704" s="256">
        <v>20</v>
      </c>
      <c r="J704" s="256">
        <v>50400</v>
      </c>
      <c r="K704" s="38">
        <f t="shared" si="145"/>
        <v>1008000</v>
      </c>
      <c r="L704" s="194" t="s">
        <v>265</v>
      </c>
      <c r="M704" s="194" t="s">
        <v>175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>x</v>
      </c>
      <c r="AA704" s="853"/>
      <c r="AB704" s="594"/>
      <c r="AC704" s="594"/>
      <c r="AD704" s="594"/>
    </row>
    <row r="705" spans="1:30" ht="15.75" customHeight="1">
      <c r="A705" s="204" t="str">
        <f>IF(B705&lt;&gt;"",IF(AND(B705&gt;=_TM1,B705&lt;=_TM2,OR(TH!L705="1111",TH!M705="1111")),TH!D705,""),"")</f>
        <v/>
      </c>
      <c r="B705" s="36">
        <f t="shared" si="141"/>
        <v>7</v>
      </c>
      <c r="C705" s="191">
        <f t="shared" si="143"/>
        <v>41477</v>
      </c>
      <c r="D705" s="184" t="s">
        <v>1053</v>
      </c>
      <c r="E705" s="191">
        <v>41477</v>
      </c>
      <c r="F705" s="192" t="s">
        <v>882</v>
      </c>
      <c r="G705" s="192" t="s">
        <v>878</v>
      </c>
      <c r="H705" s="7" t="s">
        <v>879</v>
      </c>
      <c r="I705" s="256">
        <v>20</v>
      </c>
      <c r="J705" s="256">
        <v>53500</v>
      </c>
      <c r="K705" s="38">
        <f t="shared" si="145"/>
        <v>1070000</v>
      </c>
      <c r="L705" s="194" t="s">
        <v>265</v>
      </c>
      <c r="M705" s="194" t="s">
        <v>175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>x</v>
      </c>
      <c r="AA705" s="853"/>
      <c r="AB705" s="211">
        <v>6</v>
      </c>
      <c r="AC705" s="594"/>
      <c r="AD705" s="594"/>
    </row>
    <row r="706" spans="1:30" ht="15.75" customHeight="1">
      <c r="A706" s="204" t="str">
        <f>IF(B706&lt;&gt;"",IF(AND(B706&gt;=_TM1,B706&lt;=_TM2,OR(TH!L706="1111",TH!M706="1111")),TH!D706,""),"")</f>
        <v/>
      </c>
      <c r="B706" s="36">
        <f t="shared" si="141"/>
        <v>7</v>
      </c>
      <c r="C706" s="191">
        <f t="shared" si="143"/>
        <v>41477</v>
      </c>
      <c r="D706" s="184" t="s">
        <v>1053</v>
      </c>
      <c r="E706" s="191">
        <v>41477</v>
      </c>
      <c r="F706" s="192" t="s">
        <v>883</v>
      </c>
      <c r="G706" s="192" t="s">
        <v>878</v>
      </c>
      <c r="H706" s="7" t="s">
        <v>879</v>
      </c>
      <c r="I706" s="256">
        <v>20</v>
      </c>
      <c r="J706" s="256">
        <v>57000</v>
      </c>
      <c r="K706" s="38">
        <f t="shared" si="145"/>
        <v>1140000</v>
      </c>
      <c r="L706" s="194" t="s">
        <v>265</v>
      </c>
      <c r="M706" s="194" t="s">
        <v>175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>x</v>
      </c>
      <c r="AA706" s="853"/>
      <c r="AB706" s="594"/>
      <c r="AC706" s="594"/>
      <c r="AD706" s="594"/>
    </row>
    <row r="707" spans="1:30" ht="15.75" customHeight="1">
      <c r="A707" s="204" t="str">
        <f>IF(B707&lt;&gt;"",IF(AND(B707&gt;=_TM1,B707&lt;=_TM2,OR(TH!L707="1111",TH!M707="1111")),TH!D707,""),"")</f>
        <v/>
      </c>
      <c r="B707" s="36">
        <f t="shared" si="141"/>
        <v>7</v>
      </c>
      <c r="C707" s="191">
        <f t="shared" si="143"/>
        <v>41477</v>
      </c>
      <c r="D707" s="184" t="s">
        <v>1053</v>
      </c>
      <c r="E707" s="191">
        <v>41477</v>
      </c>
      <c r="F707" s="192" t="s">
        <v>884</v>
      </c>
      <c r="G707" s="192" t="s">
        <v>878</v>
      </c>
      <c r="H707" s="7" t="s">
        <v>879</v>
      </c>
      <c r="I707" s="256">
        <v>20</v>
      </c>
      <c r="J707" s="256">
        <v>69400</v>
      </c>
      <c r="K707" s="38">
        <f t="shared" si="145"/>
        <v>1388000</v>
      </c>
      <c r="L707" s="194" t="s">
        <v>265</v>
      </c>
      <c r="M707" s="194" t="s">
        <v>175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>x</v>
      </c>
      <c r="AA707" s="853"/>
      <c r="AB707" s="211"/>
      <c r="AC707" s="594"/>
      <c r="AD707" s="594"/>
    </row>
    <row r="708" spans="1:30" ht="15.75" customHeight="1">
      <c r="A708" s="204" t="str">
        <f>IF(B708&lt;&gt;"",IF(AND(B708&gt;=_TM1,B708&lt;=_TM2,OR(TH!L708="1111",TH!M708="1111")),TH!D708,""),"")</f>
        <v/>
      </c>
      <c r="B708" s="36">
        <f t="shared" si="141"/>
        <v>7</v>
      </c>
      <c r="C708" s="191">
        <f t="shared" si="143"/>
        <v>41477</v>
      </c>
      <c r="D708" s="184" t="s">
        <v>1053</v>
      </c>
      <c r="E708" s="191">
        <v>41477</v>
      </c>
      <c r="F708" s="192" t="s">
        <v>726</v>
      </c>
      <c r="G708" s="192" t="s">
        <v>878</v>
      </c>
      <c r="H708" s="7" t="s">
        <v>879</v>
      </c>
      <c r="I708" s="256"/>
      <c r="J708" s="256"/>
      <c r="K708" s="38">
        <v>879600</v>
      </c>
      <c r="L708" s="194" t="s">
        <v>265</v>
      </c>
      <c r="M708" s="194" t="s">
        <v>430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>x</v>
      </c>
      <c r="AA708" s="853"/>
      <c r="AB708" s="211"/>
      <c r="AC708" s="594" t="str">
        <f t="shared" si="138"/>
        <v/>
      </c>
      <c r="AD708" s="594"/>
    </row>
    <row r="709" spans="1:30" ht="15.75" customHeight="1">
      <c r="A709" s="204" t="str">
        <f>IF(B709&lt;&gt;"",IF(AND(B709&gt;=_TM1,B709&lt;=_TM2,OR(TH!L709="1111",TH!M709="1111")),TH!D709,""),"")</f>
        <v/>
      </c>
      <c r="B709" s="36">
        <f t="shared" si="141"/>
        <v>7</v>
      </c>
      <c r="C709" s="191">
        <f t="shared" si="143"/>
        <v>41479</v>
      </c>
      <c r="D709" s="184" t="s">
        <v>1054</v>
      </c>
      <c r="E709" s="191">
        <v>41479</v>
      </c>
      <c r="F709" s="192" t="s">
        <v>885</v>
      </c>
      <c r="G709" s="192" t="s">
        <v>886</v>
      </c>
      <c r="H709" s="7" t="s">
        <v>543</v>
      </c>
      <c r="I709" s="256">
        <v>259</v>
      </c>
      <c r="J709" s="256">
        <v>8570</v>
      </c>
      <c r="K709" s="38">
        <f t="shared" ref="K709:K711" si="146">ROUND(I709*J709,0)</f>
        <v>2219630</v>
      </c>
      <c r="L709" s="194" t="s">
        <v>265</v>
      </c>
      <c r="M709" s="194" t="s">
        <v>175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>x</v>
      </c>
      <c r="AA709" s="853"/>
      <c r="AB709" s="594"/>
      <c r="AC709" s="594"/>
      <c r="AD709" s="594"/>
    </row>
    <row r="710" spans="1:30" ht="15.75" customHeight="1">
      <c r="A710" s="204" t="str">
        <f>IF(B710&lt;&gt;"",IF(AND(B710&gt;=_TM1,B710&lt;=_TM2,OR(TH!L710="1111",TH!M710="1111")),TH!D710,""),"")</f>
        <v/>
      </c>
      <c r="B710" s="36">
        <f t="shared" si="141"/>
        <v>7</v>
      </c>
      <c r="C710" s="191">
        <f t="shared" si="143"/>
        <v>41479</v>
      </c>
      <c r="D710" s="184" t="s">
        <v>1054</v>
      </c>
      <c r="E710" s="191">
        <v>41479</v>
      </c>
      <c r="F710" s="192" t="s">
        <v>843</v>
      </c>
      <c r="G710" s="192" t="s">
        <v>886</v>
      </c>
      <c r="H710" s="7" t="s">
        <v>543</v>
      </c>
      <c r="I710" s="256">
        <v>101</v>
      </c>
      <c r="J710" s="256">
        <v>11000</v>
      </c>
      <c r="K710" s="38">
        <f t="shared" si="146"/>
        <v>1111000</v>
      </c>
      <c r="L710" s="194" t="s">
        <v>265</v>
      </c>
      <c r="M710" s="194" t="s">
        <v>175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>x</v>
      </c>
      <c r="AA710" s="853"/>
      <c r="AB710" s="211">
        <v>6</v>
      </c>
      <c r="AC710" s="594"/>
      <c r="AD710" s="594"/>
    </row>
    <row r="711" spans="1:30" ht="15.75" customHeight="1">
      <c r="A711" s="204" t="str">
        <f>IF(B711&lt;&gt;"",IF(AND(B711&gt;=_TM1,B711&lt;=_TM2,OR(TH!L711="1111",TH!M711="1111")),TH!D711,""),"")</f>
        <v/>
      </c>
      <c r="B711" s="36">
        <f t="shared" si="141"/>
        <v>7</v>
      </c>
      <c r="C711" s="191">
        <f t="shared" si="143"/>
        <v>41479</v>
      </c>
      <c r="D711" s="184" t="s">
        <v>1054</v>
      </c>
      <c r="E711" s="191">
        <v>41479</v>
      </c>
      <c r="F711" s="192" t="s">
        <v>844</v>
      </c>
      <c r="G711" s="192" t="s">
        <v>886</v>
      </c>
      <c r="H711" s="7" t="s">
        <v>543</v>
      </c>
      <c r="I711" s="256">
        <v>98</v>
      </c>
      <c r="J711" s="256">
        <v>10500</v>
      </c>
      <c r="K711" s="38">
        <f t="shared" si="146"/>
        <v>1029000</v>
      </c>
      <c r="L711" s="194" t="s">
        <v>265</v>
      </c>
      <c r="M711" s="194" t="s">
        <v>175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>x</v>
      </c>
      <c r="AA711" s="853"/>
      <c r="AC711" s="594"/>
    </row>
    <row r="712" spans="1:30" ht="15.75" customHeight="1">
      <c r="A712" s="204" t="str">
        <f>IF(B712&lt;&gt;"",IF(AND(B712&gt;=_TM1,B712&lt;=_TM2,OR(TH!L712="1111",TH!M712="1111")),TH!D712,""),"")</f>
        <v/>
      </c>
      <c r="B712" s="36">
        <f t="shared" si="141"/>
        <v>7</v>
      </c>
      <c r="C712" s="191">
        <f t="shared" si="143"/>
        <v>41479</v>
      </c>
      <c r="D712" s="184" t="s">
        <v>1054</v>
      </c>
      <c r="E712" s="191">
        <v>41479</v>
      </c>
      <c r="F712" s="192" t="s">
        <v>726</v>
      </c>
      <c r="G712" s="192" t="s">
        <v>886</v>
      </c>
      <c r="H712" s="7" t="s">
        <v>543</v>
      </c>
      <c r="I712" s="256"/>
      <c r="J712" s="256"/>
      <c r="K712" s="38">
        <v>435963</v>
      </c>
      <c r="L712" s="194" t="s">
        <v>265</v>
      </c>
      <c r="M712" s="194" t="s">
        <v>430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>x</v>
      </c>
      <c r="AA712" s="853"/>
      <c r="AC712" s="594" t="str">
        <f t="shared" si="138"/>
        <v/>
      </c>
    </row>
    <row r="713" spans="1:30" ht="15.75" customHeight="1">
      <c r="A713" s="204" t="str">
        <f>IF(B713&lt;&gt;"",IF(AND(B713&gt;=_TM1,B713&lt;=_TM2,OR(TH!L713="1111",TH!M713="1111")),TH!D713,""),"")</f>
        <v/>
      </c>
      <c r="B713" s="36">
        <f t="shared" si="141"/>
        <v>7</v>
      </c>
      <c r="C713" s="191">
        <f t="shared" si="143"/>
        <v>41480</v>
      </c>
      <c r="D713" s="184" t="s">
        <v>1055</v>
      </c>
      <c r="E713" s="191">
        <v>41480</v>
      </c>
      <c r="F713" s="192" t="s">
        <v>887</v>
      </c>
      <c r="G713" s="487" t="s">
        <v>888</v>
      </c>
      <c r="H713" s="7" t="s">
        <v>865</v>
      </c>
      <c r="I713" s="256">
        <v>200</v>
      </c>
      <c r="J713" s="256">
        <v>8200</v>
      </c>
      <c r="K713" s="38">
        <f t="shared" ref="K713:K716" si="147">ROUND(I713*J713,0)</f>
        <v>1640000</v>
      </c>
      <c r="L713" s="194" t="s">
        <v>265</v>
      </c>
      <c r="M713" s="194" t="s">
        <v>175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>x</v>
      </c>
      <c r="AA713" s="853"/>
      <c r="AC713" s="594"/>
    </row>
    <row r="714" spans="1:30" ht="15.75" customHeight="1">
      <c r="A714" s="204" t="str">
        <f>IF(B714&lt;&gt;"",IF(AND(B714&gt;=_TM1,B714&lt;=_TM2,OR(TH!L714="1111",TH!M714="1111")),TH!D714,""),"")</f>
        <v/>
      </c>
      <c r="B714" s="36">
        <f t="shared" si="141"/>
        <v>7</v>
      </c>
      <c r="C714" s="191">
        <f t="shared" si="143"/>
        <v>41480</v>
      </c>
      <c r="D714" s="184" t="s">
        <v>1055</v>
      </c>
      <c r="E714" s="191">
        <v>41480</v>
      </c>
      <c r="F714" s="192" t="s">
        <v>1121</v>
      </c>
      <c r="G714" s="487" t="s">
        <v>888</v>
      </c>
      <c r="H714" s="7" t="s">
        <v>865</v>
      </c>
      <c r="I714" s="256">
        <v>496</v>
      </c>
      <c r="J714" s="256">
        <v>7500</v>
      </c>
      <c r="K714" s="38">
        <f t="shared" si="147"/>
        <v>3720000</v>
      </c>
      <c r="L714" s="194" t="s">
        <v>265</v>
      </c>
      <c r="M714" s="194" t="s">
        <v>175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>x</v>
      </c>
      <c r="AA714" s="853"/>
      <c r="AC714" s="594"/>
    </row>
    <row r="715" spans="1:30" ht="15.75" customHeight="1">
      <c r="A715" s="204" t="str">
        <f>IF(B715&lt;&gt;"",IF(AND(B715&gt;=_TM1,B715&lt;=_TM2,OR(TH!L715="1111",TH!M715="1111")),TH!D715,""),"")</f>
        <v/>
      </c>
      <c r="B715" s="36">
        <f t="shared" si="141"/>
        <v>7</v>
      </c>
      <c r="C715" s="191">
        <f t="shared" si="143"/>
        <v>41480</v>
      </c>
      <c r="D715" s="184" t="s">
        <v>1055</v>
      </c>
      <c r="E715" s="191">
        <v>41480</v>
      </c>
      <c r="F715" s="192" t="s">
        <v>1165</v>
      </c>
      <c r="G715" s="192" t="s">
        <v>888</v>
      </c>
      <c r="H715" s="7" t="s">
        <v>865</v>
      </c>
      <c r="I715" s="256">
        <v>505</v>
      </c>
      <c r="J715" s="256">
        <v>6700</v>
      </c>
      <c r="K715" s="38">
        <f t="shared" si="147"/>
        <v>3383500</v>
      </c>
      <c r="L715" s="194" t="s">
        <v>265</v>
      </c>
      <c r="M715" s="194" t="s">
        <v>175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>x</v>
      </c>
      <c r="AA715" s="853"/>
      <c r="AC715" s="594"/>
    </row>
    <row r="716" spans="1:30" ht="15.75" customHeight="1">
      <c r="A716" s="204" t="str">
        <f>IF(B716&lt;&gt;"",IF(AND(B716&gt;=_TM1,B716&lt;=_TM2,OR(TH!L716="1111",TH!M716="1111")),TH!D716,""),"")</f>
        <v/>
      </c>
      <c r="B716" s="36">
        <f t="shared" si="141"/>
        <v>7</v>
      </c>
      <c r="C716" s="191">
        <f t="shared" si="143"/>
        <v>41480</v>
      </c>
      <c r="D716" s="184" t="s">
        <v>1055</v>
      </c>
      <c r="E716" s="191">
        <v>41480</v>
      </c>
      <c r="F716" s="192" t="s">
        <v>889</v>
      </c>
      <c r="G716" s="192" t="s">
        <v>888</v>
      </c>
      <c r="H716" s="7" t="s">
        <v>865</v>
      </c>
      <c r="I716" s="256">
        <v>1000</v>
      </c>
      <c r="J716" s="256">
        <v>6300</v>
      </c>
      <c r="K716" s="38">
        <f t="shared" si="147"/>
        <v>6300000</v>
      </c>
      <c r="L716" s="194" t="s">
        <v>265</v>
      </c>
      <c r="M716" s="194" t="s">
        <v>175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>x</v>
      </c>
      <c r="AA716" s="853"/>
      <c r="AC716" s="594"/>
    </row>
    <row r="717" spans="1:30" ht="15.75" customHeight="1">
      <c r="A717" s="204" t="str">
        <f>IF(B717&lt;&gt;"",IF(AND(B717&gt;=_TM1,B717&lt;=_TM2,OR(TH!L717="1111",TH!M717="1111")),TH!D717,""),"")</f>
        <v/>
      </c>
      <c r="B717" s="36">
        <f t="shared" si="141"/>
        <v>7</v>
      </c>
      <c r="C717" s="191">
        <f t="shared" si="143"/>
        <v>41480</v>
      </c>
      <c r="D717" s="184" t="s">
        <v>1055</v>
      </c>
      <c r="E717" s="191">
        <v>41480</v>
      </c>
      <c r="F717" s="192" t="s">
        <v>726</v>
      </c>
      <c r="G717" s="192" t="s">
        <v>888</v>
      </c>
      <c r="H717" s="7" t="s">
        <v>865</v>
      </c>
      <c r="I717" s="256"/>
      <c r="J717" s="256"/>
      <c r="K717" s="38">
        <v>1504350</v>
      </c>
      <c r="L717" s="194" t="s">
        <v>265</v>
      </c>
      <c r="M717" s="194" t="s">
        <v>430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>x</v>
      </c>
      <c r="AA717" s="853"/>
      <c r="AC717" s="594" t="str">
        <f t="shared" si="138"/>
        <v/>
      </c>
    </row>
    <row r="718" spans="1:30" ht="15.75" customHeight="1">
      <c r="A718" s="204" t="str">
        <f>IF(B718&lt;&gt;"",IF(AND(B718&gt;=_TM1,B718&lt;=_TM2,OR(TH!L718="1111",TH!M718="1111")),TH!D718,""),"")</f>
        <v/>
      </c>
      <c r="B718" s="36">
        <f t="shared" si="141"/>
        <v>7</v>
      </c>
      <c r="C718" s="191">
        <f t="shared" si="143"/>
        <v>41481</v>
      </c>
      <c r="D718" s="184" t="s">
        <v>1056</v>
      </c>
      <c r="E718" s="191">
        <v>41481</v>
      </c>
      <c r="F718" s="192" t="s">
        <v>1137</v>
      </c>
      <c r="G718" s="192" t="s">
        <v>890</v>
      </c>
      <c r="H718" s="7" t="s">
        <v>433</v>
      </c>
      <c r="I718" s="256">
        <v>3000</v>
      </c>
      <c r="J718" s="256">
        <v>6250</v>
      </c>
      <c r="K718" s="38">
        <f>ROUND(I718*J718,0)</f>
        <v>18750000</v>
      </c>
      <c r="L718" s="194" t="s">
        <v>265</v>
      </c>
      <c r="M718" s="194" t="s">
        <v>175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>x</v>
      </c>
      <c r="AA718" s="853"/>
      <c r="AC718" s="594"/>
    </row>
    <row r="719" spans="1:30" ht="15.75" customHeight="1">
      <c r="A719" s="204" t="str">
        <f>IF(B719&lt;&gt;"",IF(AND(B719&gt;=_TM1,B719&lt;=_TM2,OR(TH!L719="1111",TH!M719="1111")),TH!D719,""),"")</f>
        <v/>
      </c>
      <c r="B719" s="36">
        <f t="shared" si="141"/>
        <v>7</v>
      </c>
      <c r="C719" s="191">
        <f t="shared" si="143"/>
        <v>41481</v>
      </c>
      <c r="D719" s="184" t="s">
        <v>1056</v>
      </c>
      <c r="E719" s="191">
        <v>41481</v>
      </c>
      <c r="F719" s="192" t="s">
        <v>726</v>
      </c>
      <c r="G719" s="192" t="s">
        <v>890</v>
      </c>
      <c r="H719" s="7" t="s">
        <v>433</v>
      </c>
      <c r="I719" s="256"/>
      <c r="J719" s="256"/>
      <c r="K719" s="38">
        <v>1875000</v>
      </c>
      <c r="L719" s="194" t="s">
        <v>265</v>
      </c>
      <c r="M719" s="194" t="s">
        <v>430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>x</v>
      </c>
      <c r="AA719" s="853"/>
      <c r="AC719" s="594" t="str">
        <f t="shared" si="138"/>
        <v/>
      </c>
    </row>
    <row r="720" spans="1:30" ht="15.75" customHeight="1">
      <c r="A720" s="204" t="str">
        <f>IF(B720&lt;&gt;"",IF(AND(B720&gt;=_TM1,B720&lt;=_TM2,OR(TH!L720="1111",TH!M720="1111")),TH!D720,""),"")</f>
        <v/>
      </c>
      <c r="B720" s="36">
        <f t="shared" si="141"/>
        <v>7</v>
      </c>
      <c r="C720" s="191">
        <f t="shared" si="143"/>
        <v>41484</v>
      </c>
      <c r="D720" s="184" t="s">
        <v>1057</v>
      </c>
      <c r="E720" s="191">
        <v>41484</v>
      </c>
      <c r="F720" s="192" t="s">
        <v>838</v>
      </c>
      <c r="G720" s="192" t="s">
        <v>891</v>
      </c>
      <c r="H720" s="193" t="s">
        <v>743</v>
      </c>
      <c r="I720" s="256">
        <v>500</v>
      </c>
      <c r="J720" s="256">
        <v>10500</v>
      </c>
      <c r="K720" s="38">
        <f>ROUND(I720*J720,0)</f>
        <v>5250000</v>
      </c>
      <c r="L720" s="194" t="s">
        <v>265</v>
      </c>
      <c r="M720" s="194" t="s">
        <v>175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>x</v>
      </c>
      <c r="AA720" s="853"/>
      <c r="AB720" s="594"/>
      <c r="AC720" s="594"/>
      <c r="AD720" s="594"/>
    </row>
    <row r="721" spans="1:30" ht="15.75" customHeight="1">
      <c r="A721" s="204" t="str">
        <f>IF(B721&lt;&gt;"",IF(AND(B721&gt;=_TM1,B721&lt;=_TM2,OR(TH!L721="1111",TH!M721="1111")),TH!D721,""),"")</f>
        <v/>
      </c>
      <c r="B721" s="36">
        <f t="shared" si="141"/>
        <v>7</v>
      </c>
      <c r="C721" s="191">
        <f t="shared" si="143"/>
        <v>41484</v>
      </c>
      <c r="D721" s="184" t="s">
        <v>1057</v>
      </c>
      <c r="E721" s="191">
        <v>41484</v>
      </c>
      <c r="F721" s="192" t="s">
        <v>726</v>
      </c>
      <c r="G721" s="192" t="s">
        <v>891</v>
      </c>
      <c r="H721" s="210" t="s">
        <v>743</v>
      </c>
      <c r="I721" s="257"/>
      <c r="J721" s="257"/>
      <c r="K721" s="38">
        <v>525000</v>
      </c>
      <c r="L721" s="194" t="s">
        <v>265</v>
      </c>
      <c r="M721" s="194" t="s">
        <v>430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>x</v>
      </c>
      <c r="AA721" s="853"/>
      <c r="AB721" s="211"/>
      <c r="AC721" s="594" t="str">
        <f t="shared" si="138"/>
        <v/>
      </c>
      <c r="AD721" s="594"/>
    </row>
    <row r="722" spans="1:30" ht="15.75" customHeight="1">
      <c r="A722" s="204" t="str">
        <f>IF(B722&lt;&gt;"",IF(AND(B722&gt;=_TM1,B722&lt;=_TM2,OR(TH!L722="1111",TH!M722="1111")),TH!D722,""),"")</f>
        <v/>
      </c>
      <c r="B722" s="36">
        <f t="shared" si="141"/>
        <v>8</v>
      </c>
      <c r="C722" s="191">
        <f t="shared" si="143"/>
        <v>41487</v>
      </c>
      <c r="D722" s="184" t="s">
        <v>1058</v>
      </c>
      <c r="E722" s="191">
        <v>41487</v>
      </c>
      <c r="F722" s="192" t="s">
        <v>1145</v>
      </c>
      <c r="G722" s="192" t="s">
        <v>892</v>
      </c>
      <c r="H722" s="193" t="s">
        <v>790</v>
      </c>
      <c r="I722" s="256">
        <v>99</v>
      </c>
      <c r="J722" s="256">
        <v>13650</v>
      </c>
      <c r="K722" s="38">
        <f>ROUND(I722*J722,0)</f>
        <v>1351350</v>
      </c>
      <c r="L722" s="194" t="s">
        <v>265</v>
      </c>
      <c r="M722" s="194" t="s">
        <v>175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>x</v>
      </c>
      <c r="AA722" s="853"/>
      <c r="AB722" s="211"/>
      <c r="AC722" s="594"/>
      <c r="AD722" s="594"/>
    </row>
    <row r="723" spans="1:30" ht="15.75" customHeight="1">
      <c r="A723" s="204" t="str">
        <f>IF(B723&lt;&gt;"",IF(AND(B723&gt;=_TM1,B723&lt;=_TM2,OR(TH!L723="1111",TH!M723="1111")),TH!D723,""),"")</f>
        <v/>
      </c>
      <c r="B723" s="36">
        <f t="shared" si="141"/>
        <v>8</v>
      </c>
      <c r="C723" s="191">
        <f t="shared" si="143"/>
        <v>41487</v>
      </c>
      <c r="D723" s="184" t="s">
        <v>1058</v>
      </c>
      <c r="E723" s="191">
        <v>41487</v>
      </c>
      <c r="F723" s="192" t="s">
        <v>726</v>
      </c>
      <c r="G723" s="192" t="s">
        <v>892</v>
      </c>
      <c r="H723" s="193" t="s">
        <v>790</v>
      </c>
      <c r="I723" s="256"/>
      <c r="J723" s="256"/>
      <c r="K723" s="38">
        <v>135135</v>
      </c>
      <c r="L723" s="194" t="s">
        <v>265</v>
      </c>
      <c r="M723" s="194" t="s">
        <v>430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>x</v>
      </c>
      <c r="AA723" s="853"/>
      <c r="AB723" s="594"/>
      <c r="AC723" s="594" t="str">
        <f t="shared" si="138"/>
        <v/>
      </c>
      <c r="AD723" s="594"/>
    </row>
    <row r="724" spans="1:30" ht="15.75" customHeight="1">
      <c r="A724" s="204" t="str">
        <f>IF(B724&lt;&gt;"",IF(AND(B724&gt;=_TM1,B724&lt;=_TM2,OR(TH!L724="1111",TH!M724="1111")),TH!D724,""),"")</f>
        <v/>
      </c>
      <c r="B724" s="36">
        <f t="shared" si="141"/>
        <v>8</v>
      </c>
      <c r="C724" s="191">
        <f t="shared" si="143"/>
        <v>41487</v>
      </c>
      <c r="D724" s="184" t="s">
        <v>1059</v>
      </c>
      <c r="E724" s="191">
        <v>41487</v>
      </c>
      <c r="F724" s="192" t="s">
        <v>867</v>
      </c>
      <c r="G724" s="487" t="s">
        <v>893</v>
      </c>
      <c r="H724" s="7" t="s">
        <v>582</v>
      </c>
      <c r="I724" s="256">
        <v>200</v>
      </c>
      <c r="J724" s="256">
        <v>20300</v>
      </c>
      <c r="K724" s="38">
        <f>ROUND(I724*J724,0)</f>
        <v>4060000</v>
      </c>
      <c r="L724" s="194" t="s">
        <v>265</v>
      </c>
      <c r="M724" s="194" t="s">
        <v>175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>x</v>
      </c>
      <c r="AA724" s="853"/>
      <c r="AB724" s="211"/>
      <c r="AC724" s="594"/>
      <c r="AD724" s="594"/>
    </row>
    <row r="725" spans="1:30" ht="15.75" customHeight="1">
      <c r="A725" s="204" t="str">
        <f>IF(B725&lt;&gt;"",IF(AND(B725&gt;=_TM1,B725&lt;=_TM2,OR(TH!L725="1111",TH!M725="1111")),TH!D725,""),"")</f>
        <v/>
      </c>
      <c r="B725" s="36">
        <f t="shared" si="141"/>
        <v>8</v>
      </c>
      <c r="C725" s="191">
        <f t="shared" si="143"/>
        <v>41487</v>
      </c>
      <c r="D725" s="184" t="s">
        <v>1059</v>
      </c>
      <c r="E725" s="191">
        <v>41487</v>
      </c>
      <c r="F725" s="192" t="s">
        <v>726</v>
      </c>
      <c r="G725" s="192" t="s">
        <v>893</v>
      </c>
      <c r="H725" s="7" t="s">
        <v>582</v>
      </c>
      <c r="I725" s="256"/>
      <c r="J725" s="256"/>
      <c r="K725" s="38">
        <v>406000</v>
      </c>
      <c r="L725" s="194" t="s">
        <v>265</v>
      </c>
      <c r="M725" s="194" t="s">
        <v>430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>x</v>
      </c>
      <c r="AA725" s="853"/>
      <c r="AB725" s="211"/>
      <c r="AC725" s="594" t="str">
        <f t="shared" si="138"/>
        <v/>
      </c>
      <c r="AD725" s="594"/>
    </row>
    <row r="726" spans="1:30" ht="15.75" customHeight="1">
      <c r="A726" s="204" t="str">
        <f>IF(B726&lt;&gt;"",IF(AND(B726&gt;=_TM1,B726&lt;=_TM2,OR(TH!L726="1111",TH!M726="1111")),TH!D726,""),"")</f>
        <v/>
      </c>
      <c r="B726" s="36">
        <f t="shared" si="141"/>
        <v>8</v>
      </c>
      <c r="C726" s="191">
        <f t="shared" si="143"/>
        <v>41488</v>
      </c>
      <c r="D726" s="184" t="s">
        <v>1060</v>
      </c>
      <c r="E726" s="191">
        <v>41488</v>
      </c>
      <c r="F726" s="192" t="s">
        <v>887</v>
      </c>
      <c r="G726" s="487" t="s">
        <v>894</v>
      </c>
      <c r="H726" s="193" t="s">
        <v>865</v>
      </c>
      <c r="I726" s="256">
        <v>510</v>
      </c>
      <c r="J726" s="256">
        <v>8200</v>
      </c>
      <c r="K726" s="38">
        <f>ROUND(I726*J726,0)</f>
        <v>4182000</v>
      </c>
      <c r="L726" s="194" t="s">
        <v>265</v>
      </c>
      <c r="M726" s="194" t="s">
        <v>175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>x</v>
      </c>
      <c r="AA726" s="853"/>
      <c r="AB726" s="594"/>
      <c r="AC726" s="594"/>
      <c r="AD726" s="211"/>
    </row>
    <row r="727" spans="1:30" ht="15.75" customHeight="1">
      <c r="A727" s="204" t="str">
        <f>IF(B727&lt;&gt;"",IF(AND(B727&gt;=_TM1,B727&lt;=_TM2,OR(TH!L727="1111",TH!M727="1111")),TH!D727,""),"")</f>
        <v/>
      </c>
      <c r="B727" s="36">
        <f t="shared" si="141"/>
        <v>8</v>
      </c>
      <c r="C727" s="191">
        <f t="shared" si="143"/>
        <v>41488</v>
      </c>
      <c r="D727" s="184" t="s">
        <v>1060</v>
      </c>
      <c r="E727" s="191">
        <v>41488</v>
      </c>
      <c r="F727" s="192" t="s">
        <v>726</v>
      </c>
      <c r="G727" s="487" t="s">
        <v>894</v>
      </c>
      <c r="H727" s="210" t="s">
        <v>865</v>
      </c>
      <c r="I727" s="256"/>
      <c r="J727" s="256"/>
      <c r="K727" s="38">
        <v>418200</v>
      </c>
      <c r="L727" s="194" t="s">
        <v>265</v>
      </c>
      <c r="M727" s="194" t="s">
        <v>430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>x</v>
      </c>
      <c r="AA727" s="853"/>
      <c r="AB727" s="211"/>
      <c r="AC727" s="594" t="str">
        <f t="shared" si="138"/>
        <v/>
      </c>
      <c r="AD727" s="211"/>
    </row>
    <row r="728" spans="1:30" ht="15.75" customHeight="1">
      <c r="A728" s="204" t="str">
        <f>IF(B728&lt;&gt;"",IF(AND(B728&gt;=_TM1,B728&lt;=_TM2,OR(TH!L728="1111",TH!M728="1111")),TH!D728,""),"")</f>
        <v/>
      </c>
      <c r="B728" s="36">
        <f t="shared" si="141"/>
        <v>8</v>
      </c>
      <c r="C728" s="191">
        <f t="shared" si="143"/>
        <v>41488</v>
      </c>
      <c r="D728" s="184" t="s">
        <v>1061</v>
      </c>
      <c r="E728" s="191">
        <v>41488</v>
      </c>
      <c r="F728" s="192" t="s">
        <v>1149</v>
      </c>
      <c r="G728" s="487" t="s">
        <v>895</v>
      </c>
      <c r="H728" s="7" t="s">
        <v>896</v>
      </c>
      <c r="I728" s="256">
        <v>2813</v>
      </c>
      <c r="J728" s="256">
        <v>4450</v>
      </c>
      <c r="K728" s="38">
        <f>ROUND(I728*J728,0)</f>
        <v>12517850</v>
      </c>
      <c r="L728" s="194" t="s">
        <v>265</v>
      </c>
      <c r="M728" s="194" t="s">
        <v>175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>x</v>
      </c>
      <c r="AA728" s="853"/>
      <c r="AB728" s="594"/>
      <c r="AC728" s="594"/>
      <c r="AD728" s="211"/>
    </row>
    <row r="729" spans="1:30" ht="15.75" customHeight="1">
      <c r="A729" s="204" t="str">
        <f>IF(B729&lt;&gt;"",IF(AND(B729&gt;=_TM1,B729&lt;=_TM2,OR(TH!L729="1111",TH!M729="1111")),TH!D729,""),"")</f>
        <v/>
      </c>
      <c r="B729" s="36">
        <f t="shared" si="141"/>
        <v>8</v>
      </c>
      <c r="C729" s="191">
        <f t="shared" si="143"/>
        <v>41488</v>
      </c>
      <c r="D729" s="184" t="s">
        <v>1061</v>
      </c>
      <c r="E729" s="191">
        <v>41488</v>
      </c>
      <c r="F729" s="192" t="s">
        <v>726</v>
      </c>
      <c r="G729" s="487" t="s">
        <v>895</v>
      </c>
      <c r="H729" s="193" t="s">
        <v>896</v>
      </c>
      <c r="I729" s="256"/>
      <c r="J729" s="256"/>
      <c r="K729" s="38">
        <v>1251785</v>
      </c>
      <c r="L729" s="194" t="s">
        <v>265</v>
      </c>
      <c r="M729" s="194" t="s">
        <v>430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>x</v>
      </c>
      <c r="AA729" s="853"/>
      <c r="AB729" s="211"/>
      <c r="AC729" s="594" t="str">
        <f t="shared" si="138"/>
        <v/>
      </c>
      <c r="AD729" s="211"/>
    </row>
    <row r="730" spans="1:30" ht="15.75" customHeight="1">
      <c r="A730" s="204" t="str">
        <f>IF(B730&lt;&gt;"",IF(AND(B730&gt;=_TM1,B730&lt;=_TM2,OR(TH!L730="1111",TH!M730="1111")),TH!D730,""),"")</f>
        <v/>
      </c>
      <c r="B730" s="36">
        <f t="shared" si="141"/>
        <v>8</v>
      </c>
      <c r="C730" s="191">
        <f t="shared" si="143"/>
        <v>41489</v>
      </c>
      <c r="D730" s="184" t="s">
        <v>1062</v>
      </c>
      <c r="E730" s="191">
        <v>41489</v>
      </c>
      <c r="F730" s="192" t="s">
        <v>1149</v>
      </c>
      <c r="G730" s="487" t="s">
        <v>897</v>
      </c>
      <c r="H730" s="7" t="s">
        <v>896</v>
      </c>
      <c r="I730" s="256">
        <v>2805</v>
      </c>
      <c r="J730" s="256">
        <v>4450</v>
      </c>
      <c r="K730" s="38">
        <f>ROUND(I730*J730,0)</f>
        <v>12482250</v>
      </c>
      <c r="L730" s="194" t="s">
        <v>265</v>
      </c>
      <c r="M730" s="194" t="s">
        <v>175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>x</v>
      </c>
      <c r="AA730" s="853"/>
      <c r="AB730" s="211">
        <v>6</v>
      </c>
      <c r="AC730" s="594"/>
      <c r="AD730" s="211"/>
    </row>
    <row r="731" spans="1:30" ht="15.75" customHeight="1">
      <c r="A731" s="204" t="str">
        <f>IF(B731&lt;&gt;"",IF(AND(B731&gt;=_TM1,B731&lt;=_TM2,OR(TH!L731="1111",TH!M731="1111")),TH!D731,""),"")</f>
        <v/>
      </c>
      <c r="B731" s="36">
        <f t="shared" si="141"/>
        <v>8</v>
      </c>
      <c r="C731" s="191">
        <f t="shared" si="143"/>
        <v>41489</v>
      </c>
      <c r="D731" s="184" t="s">
        <v>1062</v>
      </c>
      <c r="E731" s="191">
        <v>41489</v>
      </c>
      <c r="F731" s="192" t="s">
        <v>726</v>
      </c>
      <c r="G731" s="487" t="s">
        <v>897</v>
      </c>
      <c r="H731" s="7" t="s">
        <v>896</v>
      </c>
      <c r="I731" s="256"/>
      <c r="J731" s="256"/>
      <c r="K731" s="38">
        <v>1248225</v>
      </c>
      <c r="L731" s="194" t="s">
        <v>265</v>
      </c>
      <c r="M731" s="194" t="s">
        <v>430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>x</v>
      </c>
      <c r="AA731" s="853"/>
      <c r="AC731" s="594" t="str">
        <f t="shared" si="138"/>
        <v/>
      </c>
    </row>
    <row r="732" spans="1:30" ht="15.75" customHeight="1">
      <c r="A732" s="204" t="str">
        <f>IF(B732&lt;&gt;"",IF(AND(B732&gt;=_TM1,B732&lt;=_TM2,OR(TH!L732="1111",TH!M732="1111")),TH!D732,""),"")</f>
        <v/>
      </c>
      <c r="B732" s="36">
        <f t="shared" si="141"/>
        <v>8</v>
      </c>
      <c r="C732" s="191">
        <f t="shared" si="143"/>
        <v>41492</v>
      </c>
      <c r="D732" s="184" t="s">
        <v>1063</v>
      </c>
      <c r="E732" s="191">
        <v>41492</v>
      </c>
      <c r="F732" s="192" t="s">
        <v>1149</v>
      </c>
      <c r="G732" s="487" t="s">
        <v>898</v>
      </c>
      <c r="H732" s="7" t="s">
        <v>896</v>
      </c>
      <c r="I732" s="256">
        <v>2829</v>
      </c>
      <c r="J732" s="256">
        <v>4450</v>
      </c>
      <c r="K732" s="38">
        <f>ROUND(I732*J732,0)</f>
        <v>12589050</v>
      </c>
      <c r="L732" s="194" t="s">
        <v>265</v>
      </c>
      <c r="M732" s="194" t="s">
        <v>175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>x</v>
      </c>
      <c r="AA732" s="853"/>
      <c r="AC732" s="594"/>
    </row>
    <row r="733" spans="1:30" ht="15.75" customHeight="1">
      <c r="A733" s="204" t="str">
        <f>IF(B733&lt;&gt;"",IF(AND(B733&gt;=_TM1,B733&lt;=_TM2,OR(TH!L733="1111",TH!M733="1111")),TH!D733,""),"")</f>
        <v/>
      </c>
      <c r="B733" s="36">
        <f t="shared" si="141"/>
        <v>8</v>
      </c>
      <c r="C733" s="191">
        <f t="shared" si="143"/>
        <v>41492</v>
      </c>
      <c r="D733" s="184" t="s">
        <v>1063</v>
      </c>
      <c r="E733" s="191">
        <v>41492</v>
      </c>
      <c r="F733" s="192" t="s">
        <v>726</v>
      </c>
      <c r="G733" s="487" t="s">
        <v>898</v>
      </c>
      <c r="H733" s="7" t="s">
        <v>896</v>
      </c>
      <c r="I733" s="256"/>
      <c r="J733" s="256"/>
      <c r="K733" s="38">
        <v>1258905</v>
      </c>
      <c r="L733" s="194" t="s">
        <v>265</v>
      </c>
      <c r="M733" s="194" t="s">
        <v>430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>x</v>
      </c>
      <c r="AA733" s="853"/>
      <c r="AC733" s="594" t="str">
        <f t="shared" si="138"/>
        <v/>
      </c>
    </row>
    <row r="734" spans="1:30" ht="15.75" customHeight="1">
      <c r="A734" s="204" t="str">
        <f>IF(B734&lt;&gt;"",IF(AND(B734&gt;=_TM1,B734&lt;=_TM2,OR(TH!L734="1111",TH!M734="1111")),TH!D734,""),"")</f>
        <v/>
      </c>
      <c r="B734" s="36">
        <f t="shared" si="141"/>
        <v>8</v>
      </c>
      <c r="C734" s="191">
        <f t="shared" si="143"/>
        <v>41492</v>
      </c>
      <c r="D734" s="184" t="s">
        <v>1064</v>
      </c>
      <c r="E734" s="191">
        <v>41492</v>
      </c>
      <c r="F734" s="192" t="s">
        <v>899</v>
      </c>
      <c r="G734" s="487" t="s">
        <v>900</v>
      </c>
      <c r="H734" s="193" t="s">
        <v>865</v>
      </c>
      <c r="I734" s="256">
        <v>1010</v>
      </c>
      <c r="J734" s="256">
        <v>6400</v>
      </c>
      <c r="K734" s="38">
        <f t="shared" ref="K734:K735" si="148">ROUND(I734*J734,0)</f>
        <v>6464000</v>
      </c>
      <c r="L734" s="194" t="s">
        <v>265</v>
      </c>
      <c r="M734" s="194" t="s">
        <v>175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>x</v>
      </c>
      <c r="AA734" s="853"/>
      <c r="AC734" s="594"/>
    </row>
    <row r="735" spans="1:30" ht="15.75" customHeight="1">
      <c r="A735" s="204" t="str">
        <f>IF(B735&lt;&gt;"",IF(AND(B735&gt;=_TM1,B735&lt;=_TM2,OR(TH!L735="1111",TH!M735="1111")),TH!D735,""),"")</f>
        <v/>
      </c>
      <c r="B735" s="36">
        <f t="shared" si="141"/>
        <v>8</v>
      </c>
      <c r="C735" s="191">
        <f t="shared" si="143"/>
        <v>41492</v>
      </c>
      <c r="D735" s="184" t="s">
        <v>1064</v>
      </c>
      <c r="E735" s="191">
        <v>41492</v>
      </c>
      <c r="F735" s="192" t="s">
        <v>1138</v>
      </c>
      <c r="G735" s="192" t="s">
        <v>900</v>
      </c>
      <c r="H735" s="7" t="s">
        <v>865</v>
      </c>
      <c r="I735" s="256">
        <v>960</v>
      </c>
      <c r="J735" s="256">
        <v>5300</v>
      </c>
      <c r="K735" s="38">
        <f t="shared" si="148"/>
        <v>5088000</v>
      </c>
      <c r="L735" s="194" t="s">
        <v>265</v>
      </c>
      <c r="M735" s="194" t="s">
        <v>175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>x</v>
      </c>
      <c r="AA735" s="853"/>
      <c r="AC735" s="594"/>
    </row>
    <row r="736" spans="1:30" ht="15.75" customHeight="1">
      <c r="A736" s="204" t="str">
        <f>IF(B736&lt;&gt;"",IF(AND(B736&gt;=_TM1,B736&lt;=_TM2,OR(TH!L736="1111",TH!M736="1111")),TH!D736,""),"")</f>
        <v/>
      </c>
      <c r="B736" s="36">
        <f t="shared" si="141"/>
        <v>8</v>
      </c>
      <c r="C736" s="191">
        <f t="shared" si="143"/>
        <v>41492</v>
      </c>
      <c r="D736" s="184" t="s">
        <v>1064</v>
      </c>
      <c r="E736" s="191">
        <v>41492</v>
      </c>
      <c r="F736" s="192" t="s">
        <v>726</v>
      </c>
      <c r="G736" s="487" t="s">
        <v>900</v>
      </c>
      <c r="H736" s="7" t="s">
        <v>865</v>
      </c>
      <c r="I736" s="256"/>
      <c r="J736" s="256"/>
      <c r="K736" s="38">
        <v>1155200</v>
      </c>
      <c r="L736" s="194" t="s">
        <v>265</v>
      </c>
      <c r="M736" s="194" t="s">
        <v>430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>x</v>
      </c>
      <c r="AA736" s="853"/>
      <c r="AC736" s="594" t="str">
        <f t="shared" si="138"/>
        <v/>
      </c>
    </row>
    <row r="737" spans="1:30" ht="15.75" customHeight="1">
      <c r="A737" s="204" t="str">
        <f>IF(B737&lt;&gt;"",IF(AND(B737&gt;=_TM1,B737&lt;=_TM2,OR(TH!L737="1111",TH!M737="1111")),TH!D737,""),"")</f>
        <v/>
      </c>
      <c r="B737" s="36">
        <f t="shared" si="141"/>
        <v>8</v>
      </c>
      <c r="C737" s="191">
        <f t="shared" si="143"/>
        <v>41492</v>
      </c>
      <c r="D737" s="184" t="s">
        <v>1065</v>
      </c>
      <c r="E737" s="191">
        <v>41492</v>
      </c>
      <c r="F737" s="192" t="s">
        <v>725</v>
      </c>
      <c r="G737" s="487" t="s">
        <v>901</v>
      </c>
      <c r="H737" s="7" t="s">
        <v>501</v>
      </c>
      <c r="I737" s="256">
        <v>1307</v>
      </c>
      <c r="J737" s="256">
        <v>5100</v>
      </c>
      <c r="K737" s="38">
        <f t="shared" ref="K737:K738" si="149">ROUND(I737*J737,0)</f>
        <v>6665700</v>
      </c>
      <c r="L737" s="194" t="s">
        <v>265</v>
      </c>
      <c r="M737" s="194" t="s">
        <v>175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>x</v>
      </c>
      <c r="AA737" s="853"/>
      <c r="AC737" s="594"/>
    </row>
    <row r="738" spans="1:30" ht="15.75" customHeight="1">
      <c r="A738" s="204" t="str">
        <f>IF(B738&lt;&gt;"",IF(AND(B738&gt;=_TM1,B738&lt;=_TM2,OR(TH!L738="1111",TH!M738="1111")),TH!D738,""),"")</f>
        <v/>
      </c>
      <c r="B738" s="36">
        <f t="shared" si="141"/>
        <v>8</v>
      </c>
      <c r="C738" s="191">
        <f t="shared" si="143"/>
        <v>41492</v>
      </c>
      <c r="D738" s="184" t="s">
        <v>1065</v>
      </c>
      <c r="E738" s="191">
        <v>41492</v>
      </c>
      <c r="F738" s="192" t="s">
        <v>871</v>
      </c>
      <c r="G738" s="192" t="s">
        <v>901</v>
      </c>
      <c r="H738" s="7" t="s">
        <v>501</v>
      </c>
      <c r="I738" s="256">
        <v>623</v>
      </c>
      <c r="J738" s="256">
        <v>9800</v>
      </c>
      <c r="K738" s="38">
        <f t="shared" si="149"/>
        <v>6105400</v>
      </c>
      <c r="L738" s="194" t="s">
        <v>265</v>
      </c>
      <c r="M738" s="194" t="s">
        <v>175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>x</v>
      </c>
      <c r="AA738" s="853"/>
      <c r="AC738" s="594"/>
    </row>
    <row r="739" spans="1:30" ht="15.75" customHeight="1">
      <c r="A739" s="204" t="str">
        <f>IF(B739&lt;&gt;"",IF(AND(B739&gt;=_TM1,B739&lt;=_TM2,OR(TH!L739="1111",TH!M739="1111")),TH!D739,""),"")</f>
        <v/>
      </c>
      <c r="B739" s="36">
        <f t="shared" si="141"/>
        <v>8</v>
      </c>
      <c r="C739" s="191">
        <f t="shared" si="143"/>
        <v>41492</v>
      </c>
      <c r="D739" s="184" t="s">
        <v>1065</v>
      </c>
      <c r="E739" s="191">
        <v>41492</v>
      </c>
      <c r="F739" s="192" t="s">
        <v>726</v>
      </c>
      <c r="G739" s="192" t="s">
        <v>901</v>
      </c>
      <c r="H739" s="7" t="s">
        <v>501</v>
      </c>
      <c r="I739" s="256"/>
      <c r="J739" s="256"/>
      <c r="K739" s="38">
        <v>1277110</v>
      </c>
      <c r="L739" s="194" t="s">
        <v>265</v>
      </c>
      <c r="M739" s="194" t="s">
        <v>430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>x</v>
      </c>
      <c r="AA739" s="853"/>
      <c r="AC739" s="594" t="str">
        <f t="shared" si="138"/>
        <v/>
      </c>
    </row>
    <row r="740" spans="1:30" ht="15.75" customHeight="1">
      <c r="A740" s="204" t="str">
        <f>IF(B740&lt;&gt;"",IF(AND(B740&gt;=_TM1,B740&lt;=_TM2,OR(TH!L740="1111",TH!M740="1111")),TH!D740,""),"")</f>
        <v/>
      </c>
      <c r="B740" s="36">
        <f t="shared" si="141"/>
        <v>8</v>
      </c>
      <c r="C740" s="191">
        <f t="shared" si="143"/>
        <v>41495</v>
      </c>
      <c r="D740" s="184" t="s">
        <v>1066</v>
      </c>
      <c r="E740" s="191">
        <v>41495</v>
      </c>
      <c r="F740" s="192" t="s">
        <v>838</v>
      </c>
      <c r="G740" s="192" t="s">
        <v>902</v>
      </c>
      <c r="H740" s="193" t="s">
        <v>743</v>
      </c>
      <c r="I740" s="256">
        <v>1000</v>
      </c>
      <c r="J740" s="256">
        <v>10500</v>
      </c>
      <c r="K740" s="38">
        <f>ROUND(I740*J740,0)</f>
        <v>10500000</v>
      </c>
      <c r="L740" s="194" t="s">
        <v>265</v>
      </c>
      <c r="M740" s="194" t="s">
        <v>175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>x</v>
      </c>
      <c r="AA740" s="853"/>
      <c r="AB740" s="594"/>
      <c r="AC740" s="594"/>
      <c r="AD740" s="594"/>
    </row>
    <row r="741" spans="1:30" ht="15.75" customHeight="1">
      <c r="A741" s="204" t="str">
        <f>IF(B741&lt;&gt;"",IF(AND(B741&gt;=_TM1,B741&lt;=_TM2,OR(TH!L741="1111",TH!M741="1111")),TH!D741,""),"")</f>
        <v/>
      </c>
      <c r="B741" s="36">
        <f t="shared" si="141"/>
        <v>8</v>
      </c>
      <c r="C741" s="191">
        <f t="shared" si="143"/>
        <v>41495</v>
      </c>
      <c r="D741" s="184" t="s">
        <v>1066</v>
      </c>
      <c r="E741" s="191">
        <v>41495</v>
      </c>
      <c r="F741" s="192" t="s">
        <v>726</v>
      </c>
      <c r="G741" s="192" t="s">
        <v>902</v>
      </c>
      <c r="H741" s="7" t="s">
        <v>743</v>
      </c>
      <c r="I741" s="257"/>
      <c r="J741" s="257"/>
      <c r="K741" s="38">
        <v>1050000</v>
      </c>
      <c r="L741" s="194" t="s">
        <v>265</v>
      </c>
      <c r="M741" s="194" t="s">
        <v>430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>x</v>
      </c>
      <c r="AA741" s="853"/>
      <c r="AB741" s="594"/>
      <c r="AC741" s="594" t="str">
        <f t="shared" si="138"/>
        <v/>
      </c>
      <c r="AD741" s="594"/>
    </row>
    <row r="742" spans="1:30" ht="15.75" customHeight="1">
      <c r="A742" s="204" t="str">
        <f>IF(B742&lt;&gt;"",IF(AND(B742&gt;=_TM1,B742&lt;=_TM2,OR(TH!L742="1111",TH!M742="1111")),TH!D742,""),"")</f>
        <v/>
      </c>
      <c r="B742" s="36">
        <f t="shared" si="141"/>
        <v>8</v>
      </c>
      <c r="C742" s="191">
        <f t="shared" si="143"/>
        <v>41495</v>
      </c>
      <c r="D742" s="184" t="s">
        <v>1067</v>
      </c>
      <c r="E742" s="191">
        <v>41495</v>
      </c>
      <c r="F742" s="192" t="s">
        <v>1149</v>
      </c>
      <c r="G742" s="192" t="s">
        <v>903</v>
      </c>
      <c r="H742" s="7" t="s">
        <v>896</v>
      </c>
      <c r="I742" s="256">
        <v>2730</v>
      </c>
      <c r="J742" s="256">
        <v>4210</v>
      </c>
      <c r="K742" s="38">
        <f>ROUND(I742*J742,0)</f>
        <v>11493300</v>
      </c>
      <c r="L742" s="194" t="s">
        <v>265</v>
      </c>
      <c r="M742" s="194" t="s">
        <v>175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>x</v>
      </c>
      <c r="AA742" s="853"/>
      <c r="AC742" s="594"/>
    </row>
    <row r="743" spans="1:30" ht="15.75" customHeight="1">
      <c r="A743" s="204" t="str">
        <f>IF(B743&lt;&gt;"",IF(AND(B743&gt;=_TM1,B743&lt;=_TM2,OR(TH!L743="1111",TH!M743="1111")),TH!D743,""),"")</f>
        <v/>
      </c>
      <c r="B743" s="36">
        <f t="shared" si="141"/>
        <v>8</v>
      </c>
      <c r="C743" s="191">
        <f t="shared" si="143"/>
        <v>41495</v>
      </c>
      <c r="D743" s="184" t="s">
        <v>1067</v>
      </c>
      <c r="E743" s="191">
        <v>41495</v>
      </c>
      <c r="F743" s="192" t="s">
        <v>726</v>
      </c>
      <c r="G743" s="192" t="s">
        <v>903</v>
      </c>
      <c r="H743" s="7" t="s">
        <v>896</v>
      </c>
      <c r="I743" s="256"/>
      <c r="J743" s="256"/>
      <c r="K743" s="38">
        <v>1149330</v>
      </c>
      <c r="L743" s="194" t="s">
        <v>265</v>
      </c>
      <c r="M743" s="194" t="s">
        <v>430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>x</v>
      </c>
      <c r="AA743" s="853"/>
      <c r="AC743" s="594" t="str">
        <f t="shared" si="138"/>
        <v/>
      </c>
    </row>
    <row r="744" spans="1:30" ht="15.75" customHeight="1">
      <c r="A744" s="204" t="str">
        <f>IF(B744&lt;&gt;"",IF(AND(B744&gt;=_TM1,B744&lt;=_TM2,OR(TH!L744="1111",TH!M744="1111")),TH!D744,""),"")</f>
        <v/>
      </c>
      <c r="B744" s="36">
        <f t="shared" si="141"/>
        <v>8</v>
      </c>
      <c r="C744" s="191">
        <f t="shared" si="143"/>
        <v>41496</v>
      </c>
      <c r="D744" s="184" t="s">
        <v>1068</v>
      </c>
      <c r="E744" s="191">
        <v>41496</v>
      </c>
      <c r="F744" s="192" t="s">
        <v>1137</v>
      </c>
      <c r="G744" s="192" t="s">
        <v>904</v>
      </c>
      <c r="H744" s="7" t="s">
        <v>433</v>
      </c>
      <c r="I744" s="256">
        <v>1990</v>
      </c>
      <c r="J744" s="256">
        <v>6250</v>
      </c>
      <c r="K744" s="38">
        <f>ROUND(I744*J744,0)</f>
        <v>12437500</v>
      </c>
      <c r="L744" s="194" t="s">
        <v>265</v>
      </c>
      <c r="M744" s="194" t="s">
        <v>175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>x</v>
      </c>
      <c r="AA744" s="853"/>
      <c r="AC744" s="594"/>
    </row>
    <row r="745" spans="1:30" ht="15.75" customHeight="1">
      <c r="A745" s="204" t="str">
        <f>IF(B745&lt;&gt;"",IF(AND(B745&gt;=_TM1,B745&lt;=_TM2,OR(TH!L745="1111",TH!M745="1111")),TH!D745,""),"")</f>
        <v/>
      </c>
      <c r="B745" s="36">
        <f t="shared" si="141"/>
        <v>8</v>
      </c>
      <c r="C745" s="191">
        <f t="shared" si="143"/>
        <v>41496</v>
      </c>
      <c r="D745" s="184" t="s">
        <v>1068</v>
      </c>
      <c r="E745" s="191">
        <v>41496</v>
      </c>
      <c r="F745" s="192" t="s">
        <v>726</v>
      </c>
      <c r="G745" s="192" t="s">
        <v>904</v>
      </c>
      <c r="H745" s="7" t="s">
        <v>433</v>
      </c>
      <c r="I745" s="256"/>
      <c r="J745" s="256"/>
      <c r="K745" s="38">
        <v>1243750</v>
      </c>
      <c r="L745" s="194" t="s">
        <v>265</v>
      </c>
      <c r="M745" s="194" t="s">
        <v>430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>x</v>
      </c>
      <c r="AA745" s="853"/>
      <c r="AC745" s="594" t="str">
        <f t="shared" si="138"/>
        <v/>
      </c>
    </row>
    <row r="746" spans="1:30" ht="15.75" customHeight="1">
      <c r="A746" s="204" t="str">
        <f>IF(B746&lt;&gt;"",IF(AND(B746&gt;=_TM1,B746&lt;=_TM2,OR(TH!L746="1111",TH!M746="1111")),TH!D746,""),"")</f>
        <v/>
      </c>
      <c r="B746" s="36">
        <f t="shared" si="141"/>
        <v>8</v>
      </c>
      <c r="C746" s="191">
        <f t="shared" si="143"/>
        <v>41496</v>
      </c>
      <c r="D746" s="184" t="s">
        <v>1069</v>
      </c>
      <c r="E746" s="191">
        <v>41496</v>
      </c>
      <c r="F746" s="192" t="s">
        <v>905</v>
      </c>
      <c r="G746" s="192" t="s">
        <v>906</v>
      </c>
      <c r="H746" s="7" t="s">
        <v>907</v>
      </c>
      <c r="I746" s="256">
        <v>480</v>
      </c>
      <c r="J746" s="256">
        <v>6200</v>
      </c>
      <c r="K746" s="38">
        <f t="shared" ref="K746:K747" si="150">ROUND(I746*J746,0)</f>
        <v>2976000</v>
      </c>
      <c r="L746" s="194" t="s">
        <v>265</v>
      </c>
      <c r="M746" s="194" t="s">
        <v>175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>x</v>
      </c>
      <c r="AA746" s="853"/>
      <c r="AC746" s="594"/>
    </row>
    <row r="747" spans="1:30" ht="15.75" customHeight="1">
      <c r="A747" s="204" t="str">
        <f>IF(B747&lt;&gt;"",IF(AND(B747&gt;=_TM1,B747&lt;=_TM2,OR(TH!L747="1111",TH!M747="1111")),TH!D747,""),"")</f>
        <v/>
      </c>
      <c r="B747" s="36">
        <f t="shared" si="141"/>
        <v>8</v>
      </c>
      <c r="C747" s="191">
        <f t="shared" si="143"/>
        <v>41496</v>
      </c>
      <c r="D747" s="184" t="s">
        <v>1069</v>
      </c>
      <c r="E747" s="191">
        <v>41496</v>
      </c>
      <c r="F747" s="192" t="s">
        <v>905</v>
      </c>
      <c r="G747" s="487" t="s">
        <v>906</v>
      </c>
      <c r="H747" s="193" t="s">
        <v>907</v>
      </c>
      <c r="I747" s="256">
        <v>440</v>
      </c>
      <c r="J747" s="256">
        <v>7080</v>
      </c>
      <c r="K747" s="38">
        <f t="shared" si="150"/>
        <v>3115200</v>
      </c>
      <c r="L747" s="194" t="s">
        <v>265</v>
      </c>
      <c r="M747" s="194" t="s">
        <v>175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>x</v>
      </c>
      <c r="AA747" s="853"/>
      <c r="AC747" s="594"/>
    </row>
    <row r="748" spans="1:30" ht="15.75" customHeight="1">
      <c r="A748" s="204" t="str">
        <f>IF(B748&lt;&gt;"",IF(AND(B748&gt;=_TM1,B748&lt;=_TM2,OR(TH!L748="1111",TH!M748="1111")),TH!D748,""),"")</f>
        <v/>
      </c>
      <c r="B748" s="36">
        <f t="shared" si="141"/>
        <v>8</v>
      </c>
      <c r="C748" s="191">
        <f t="shared" si="143"/>
        <v>41496</v>
      </c>
      <c r="D748" s="184" t="s">
        <v>1069</v>
      </c>
      <c r="E748" s="191">
        <v>41496</v>
      </c>
      <c r="F748" s="192" t="s">
        <v>726</v>
      </c>
      <c r="G748" s="487" t="s">
        <v>906</v>
      </c>
      <c r="H748" s="193" t="s">
        <v>907</v>
      </c>
      <c r="I748" s="256"/>
      <c r="J748" s="256"/>
      <c r="K748" s="38">
        <v>609120</v>
      </c>
      <c r="L748" s="194" t="s">
        <v>265</v>
      </c>
      <c r="M748" s="194" t="s">
        <v>430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>x</v>
      </c>
      <c r="AA748" s="853"/>
      <c r="AC748" s="594" t="str">
        <f t="shared" ref="AC748:AC833" si="151">IF(VLOOKUP(H748,DS_131,1,0)&lt;&gt;"","","x")</f>
        <v/>
      </c>
    </row>
    <row r="749" spans="1:30" ht="15.75" customHeight="1">
      <c r="A749" s="204" t="str">
        <f>IF(B749&lt;&gt;"",IF(AND(B749&gt;=_TM1,B749&lt;=_TM2,OR(TH!L749="1111",TH!M749="1111")),TH!D749,""),"")</f>
        <v/>
      </c>
      <c r="B749" s="36">
        <f t="shared" si="141"/>
        <v>8</v>
      </c>
      <c r="C749" s="191">
        <f t="shared" si="143"/>
        <v>41498</v>
      </c>
      <c r="D749" s="184" t="s">
        <v>1070</v>
      </c>
      <c r="E749" s="191">
        <v>41498</v>
      </c>
      <c r="F749" s="192" t="s">
        <v>731</v>
      </c>
      <c r="G749" s="487" t="s">
        <v>908</v>
      </c>
      <c r="H749" s="193" t="s">
        <v>503</v>
      </c>
      <c r="I749" s="256">
        <v>1000</v>
      </c>
      <c r="J749" s="256">
        <v>8740</v>
      </c>
      <c r="K749" s="38">
        <f>ROUND(I749*J749,0)</f>
        <v>8740000</v>
      </c>
      <c r="L749" s="194" t="s">
        <v>265</v>
      </c>
      <c r="M749" s="194" t="s">
        <v>175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>x</v>
      </c>
      <c r="AA749" s="853"/>
      <c r="AC749" s="594"/>
    </row>
    <row r="750" spans="1:30" ht="15.75" customHeight="1">
      <c r="A750" s="204" t="str">
        <f>IF(B750&lt;&gt;"",IF(AND(B750&gt;=_TM1,B750&lt;=_TM2,OR(TH!L750="1111",TH!M750="1111")),TH!D750,""),"")</f>
        <v/>
      </c>
      <c r="B750" s="36">
        <f t="shared" si="141"/>
        <v>8</v>
      </c>
      <c r="C750" s="191">
        <f t="shared" si="143"/>
        <v>41498</v>
      </c>
      <c r="D750" s="184" t="s">
        <v>1070</v>
      </c>
      <c r="E750" s="191">
        <v>41498</v>
      </c>
      <c r="F750" s="192" t="s">
        <v>726</v>
      </c>
      <c r="G750" s="487" t="s">
        <v>908</v>
      </c>
      <c r="H750" s="193" t="s">
        <v>503</v>
      </c>
      <c r="I750" s="256"/>
      <c r="J750" s="256"/>
      <c r="K750" s="38">
        <v>874000</v>
      </c>
      <c r="L750" s="194" t="s">
        <v>265</v>
      </c>
      <c r="M750" s="194" t="s">
        <v>430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>x</v>
      </c>
      <c r="AA750" s="853"/>
      <c r="AC750" s="594" t="str">
        <f t="shared" si="151"/>
        <v/>
      </c>
    </row>
    <row r="751" spans="1:30" ht="15.75" customHeight="1">
      <c r="A751" s="204" t="str">
        <f>IF(B751&lt;&gt;"",IF(AND(B751&gt;=_TM1,B751&lt;=_TM2,OR(TH!L751="1111",TH!M751="1111")),TH!D751,""),"")</f>
        <v/>
      </c>
      <c r="B751" s="36">
        <f t="shared" si="141"/>
        <v>8</v>
      </c>
      <c r="C751" s="191">
        <f t="shared" si="143"/>
        <v>41499</v>
      </c>
      <c r="D751" s="184" t="s">
        <v>1071</v>
      </c>
      <c r="E751" s="191">
        <v>41499</v>
      </c>
      <c r="F751" s="192" t="s">
        <v>814</v>
      </c>
      <c r="G751" s="487" t="s">
        <v>909</v>
      </c>
      <c r="H751" s="7" t="s">
        <v>543</v>
      </c>
      <c r="I751" s="256">
        <v>200</v>
      </c>
      <c r="J751" s="256">
        <v>9800</v>
      </c>
      <c r="K751" s="38">
        <f t="shared" ref="K751:K753" si="152">ROUND(I751*J751,0)</f>
        <v>1960000</v>
      </c>
      <c r="L751" s="194" t="s">
        <v>265</v>
      </c>
      <c r="M751" s="194" t="s">
        <v>175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>x</v>
      </c>
      <c r="AA751" s="853"/>
      <c r="AB751" s="594"/>
      <c r="AC751" s="594"/>
      <c r="AD751" s="594"/>
    </row>
    <row r="752" spans="1:30" ht="15.75" customHeight="1">
      <c r="A752" s="204" t="str">
        <f>IF(B752&lt;&gt;"",IF(AND(B752&gt;=_TM1,B752&lt;=_TM2,OR(TH!L752="1111",TH!M752="1111")),TH!D752,""),"")</f>
        <v/>
      </c>
      <c r="B752" s="36">
        <f t="shared" ref="B752:B842" si="153">IF(C752&lt;&gt;"",MONTH(C752),"")</f>
        <v>8</v>
      </c>
      <c r="C752" s="191">
        <f t="shared" si="143"/>
        <v>41499</v>
      </c>
      <c r="D752" s="184" t="s">
        <v>1071</v>
      </c>
      <c r="E752" s="191">
        <v>41499</v>
      </c>
      <c r="F752" s="192" t="s">
        <v>1134</v>
      </c>
      <c r="G752" s="487" t="s">
        <v>909</v>
      </c>
      <c r="H752" s="7" t="s">
        <v>543</v>
      </c>
      <c r="I752" s="256">
        <v>250</v>
      </c>
      <c r="J752" s="256">
        <v>12900</v>
      </c>
      <c r="K752" s="38">
        <f t="shared" si="152"/>
        <v>3225000</v>
      </c>
      <c r="L752" s="194" t="s">
        <v>265</v>
      </c>
      <c r="M752" s="194" t="s">
        <v>175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>x</v>
      </c>
      <c r="AA752" s="853"/>
      <c r="AB752" s="594"/>
      <c r="AC752" s="594"/>
      <c r="AD752" s="211"/>
    </row>
    <row r="753" spans="1:30" ht="15.75" customHeight="1">
      <c r="A753" s="204" t="str">
        <f>IF(B753&lt;&gt;"",IF(AND(B753&gt;=_TM1,B753&lt;=_TM2,OR(TH!L753="1111",TH!M753="1111")),TH!D753,""),"")</f>
        <v/>
      </c>
      <c r="B753" s="36">
        <f t="shared" si="153"/>
        <v>8</v>
      </c>
      <c r="C753" s="191">
        <f t="shared" si="143"/>
        <v>41499</v>
      </c>
      <c r="D753" s="184" t="s">
        <v>1071</v>
      </c>
      <c r="E753" s="191">
        <v>41499</v>
      </c>
      <c r="F753" s="192" t="s">
        <v>885</v>
      </c>
      <c r="G753" s="487" t="s">
        <v>909</v>
      </c>
      <c r="H753" s="7" t="s">
        <v>543</v>
      </c>
      <c r="I753" s="256">
        <v>505</v>
      </c>
      <c r="J753" s="256">
        <v>8600</v>
      </c>
      <c r="K753" s="38">
        <f t="shared" si="152"/>
        <v>4343000</v>
      </c>
      <c r="L753" s="194" t="s">
        <v>265</v>
      </c>
      <c r="M753" s="194" t="s">
        <v>175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>x</v>
      </c>
      <c r="AA753" s="853"/>
      <c r="AB753" s="211"/>
      <c r="AC753" s="594"/>
      <c r="AD753" s="211"/>
    </row>
    <row r="754" spans="1:30" ht="15.75" customHeight="1">
      <c r="A754" s="204" t="str">
        <f>IF(B754&lt;&gt;"",IF(AND(B754&gt;=_TM1,B754&lt;=_TM2,OR(TH!L754="1111",TH!M754="1111")),TH!D754,""),"")</f>
        <v/>
      </c>
      <c r="B754" s="36">
        <f t="shared" si="153"/>
        <v>8</v>
      </c>
      <c r="C754" s="191">
        <f t="shared" si="143"/>
        <v>41499</v>
      </c>
      <c r="D754" s="184" t="s">
        <v>1071</v>
      </c>
      <c r="E754" s="191">
        <v>41499</v>
      </c>
      <c r="F754" s="192" t="s">
        <v>726</v>
      </c>
      <c r="G754" s="487" t="s">
        <v>909</v>
      </c>
      <c r="H754" s="7" t="s">
        <v>543</v>
      </c>
      <c r="I754" s="256"/>
      <c r="J754" s="256"/>
      <c r="K754" s="38">
        <v>952800</v>
      </c>
      <c r="L754" s="194" t="s">
        <v>265</v>
      </c>
      <c r="M754" s="194" t="s">
        <v>430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>x</v>
      </c>
      <c r="AA754" s="853"/>
      <c r="AB754" s="211"/>
      <c r="AC754" s="594" t="str">
        <f t="shared" si="151"/>
        <v/>
      </c>
      <c r="AD754" s="211"/>
    </row>
    <row r="755" spans="1:30" ht="15.75" customHeight="1">
      <c r="A755" s="204" t="str">
        <f>IF(B755&lt;&gt;"",IF(AND(B755&gt;=_TM1,B755&lt;=_TM2,OR(TH!L755="1111",TH!M755="1111")),TH!D755,""),"")</f>
        <v/>
      </c>
      <c r="B755" s="36">
        <f t="shared" si="153"/>
        <v>8</v>
      </c>
      <c r="C755" s="191">
        <f t="shared" ref="C755:C845" si="154">E755</f>
        <v>41500</v>
      </c>
      <c r="D755" s="184" t="s">
        <v>1072</v>
      </c>
      <c r="E755" s="191">
        <v>41500</v>
      </c>
      <c r="F755" s="192" t="s">
        <v>910</v>
      </c>
      <c r="G755" s="487" t="s">
        <v>911</v>
      </c>
      <c r="H755" s="7" t="s">
        <v>865</v>
      </c>
      <c r="I755" s="256">
        <v>85</v>
      </c>
      <c r="J755" s="256">
        <v>9700</v>
      </c>
      <c r="K755" s="38">
        <f>ROUND(I755*J755,0)</f>
        <v>824500</v>
      </c>
      <c r="L755" s="194" t="s">
        <v>265</v>
      </c>
      <c r="M755" s="194" t="s">
        <v>175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>x</v>
      </c>
      <c r="AA755" s="853"/>
      <c r="AB755" s="211"/>
      <c r="AC755" s="594"/>
      <c r="AD755" s="211"/>
    </row>
    <row r="756" spans="1:30" ht="15.75" customHeight="1">
      <c r="A756" s="204" t="str">
        <f>IF(B756&lt;&gt;"",IF(AND(B756&gt;=_TM1,B756&lt;=_TM2,OR(TH!L756="1111",TH!M756="1111")),TH!D756,""),"")</f>
        <v/>
      </c>
      <c r="B756" s="36">
        <f t="shared" si="153"/>
        <v>8</v>
      </c>
      <c r="C756" s="191">
        <f t="shared" si="154"/>
        <v>41500</v>
      </c>
      <c r="D756" s="184" t="s">
        <v>1072</v>
      </c>
      <c r="E756" s="191">
        <v>41500</v>
      </c>
      <c r="F756" s="192" t="s">
        <v>726</v>
      </c>
      <c r="G756" s="487" t="s">
        <v>911</v>
      </c>
      <c r="H756" s="7" t="s">
        <v>865</v>
      </c>
      <c r="I756" s="256"/>
      <c r="J756" s="256"/>
      <c r="K756" s="38">
        <v>82450</v>
      </c>
      <c r="L756" s="194" t="s">
        <v>265</v>
      </c>
      <c r="M756" s="194" t="s">
        <v>430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>x</v>
      </c>
      <c r="AA756" s="853"/>
      <c r="AB756" s="211"/>
      <c r="AC756" s="594" t="str">
        <f t="shared" si="151"/>
        <v/>
      </c>
      <c r="AD756" s="211"/>
    </row>
    <row r="757" spans="1:30" ht="15.75" customHeight="1">
      <c r="A757" s="204" t="str">
        <f>IF(B757&lt;&gt;"",IF(AND(B757&gt;=_TM1,B757&lt;=_TM2,OR(TH!L757="1111",TH!M757="1111")),TH!D757,""),"")</f>
        <v/>
      </c>
      <c r="B757" s="36">
        <f t="shared" si="153"/>
        <v>8</v>
      </c>
      <c r="C757" s="191">
        <f t="shared" si="154"/>
        <v>41502</v>
      </c>
      <c r="D757" s="184" t="s">
        <v>1073</v>
      </c>
      <c r="E757" s="191">
        <v>41502</v>
      </c>
      <c r="F757" s="192" t="s">
        <v>1133</v>
      </c>
      <c r="G757" s="487" t="s">
        <v>912</v>
      </c>
      <c r="H757" s="7" t="s">
        <v>543</v>
      </c>
      <c r="I757" s="256">
        <v>303</v>
      </c>
      <c r="J757" s="256">
        <v>9400</v>
      </c>
      <c r="K757" s="38">
        <f>ROUND(I757*J757,0)</f>
        <v>2848200</v>
      </c>
      <c r="L757" s="194" t="s">
        <v>265</v>
      </c>
      <c r="M757" s="194" t="s">
        <v>175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>x</v>
      </c>
      <c r="AA757" s="853"/>
      <c r="AB757" s="211"/>
      <c r="AC757" s="594"/>
      <c r="AD757" s="211"/>
    </row>
    <row r="758" spans="1:30" ht="15.75" customHeight="1">
      <c r="A758" s="204" t="str">
        <f>IF(B758&lt;&gt;"",IF(AND(B758&gt;=_TM1,B758&lt;=_TM2,OR(TH!L758="1111",TH!M758="1111")),TH!D758,""),"")</f>
        <v/>
      </c>
      <c r="B758" s="36">
        <f t="shared" si="153"/>
        <v>8</v>
      </c>
      <c r="C758" s="191">
        <f t="shared" si="154"/>
        <v>41502</v>
      </c>
      <c r="D758" s="184" t="s">
        <v>1073</v>
      </c>
      <c r="E758" s="191">
        <v>41502</v>
      </c>
      <c r="F758" s="192" t="s">
        <v>726</v>
      </c>
      <c r="G758" s="487" t="s">
        <v>912</v>
      </c>
      <c r="H758" s="7" t="s">
        <v>543</v>
      </c>
      <c r="I758" s="256"/>
      <c r="J758" s="256"/>
      <c r="K758" s="38">
        <v>284820</v>
      </c>
      <c r="L758" s="194" t="s">
        <v>265</v>
      </c>
      <c r="M758" s="194" t="s">
        <v>430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>x</v>
      </c>
      <c r="AA758" s="853"/>
      <c r="AB758" s="211"/>
      <c r="AC758" s="594" t="str">
        <f t="shared" si="151"/>
        <v/>
      </c>
      <c r="AD758" s="211"/>
    </row>
    <row r="759" spans="1:30" ht="15.75" customHeight="1">
      <c r="A759" s="204" t="str">
        <f>IF(B759&lt;&gt;"",IF(AND(B759&gt;=_TM1,B759&lt;=_TM2,OR(TH!L759="1111",TH!M759="1111")),TH!D759,""),"")</f>
        <v/>
      </c>
      <c r="B759" s="36">
        <f t="shared" si="153"/>
        <v>8</v>
      </c>
      <c r="C759" s="191">
        <f t="shared" si="154"/>
        <v>41502</v>
      </c>
      <c r="D759" s="184" t="s">
        <v>1074</v>
      </c>
      <c r="E759" s="191">
        <v>41502</v>
      </c>
      <c r="F759" s="192" t="s">
        <v>744</v>
      </c>
      <c r="G759" s="487" t="s">
        <v>913</v>
      </c>
      <c r="H759" s="7" t="s">
        <v>746</v>
      </c>
      <c r="I759" s="256">
        <v>285</v>
      </c>
      <c r="J759" s="256">
        <v>25000</v>
      </c>
      <c r="K759" s="38">
        <f>ROUND(I759*J759,0)</f>
        <v>7125000</v>
      </c>
      <c r="L759" s="194" t="s">
        <v>265</v>
      </c>
      <c r="M759" s="194" t="s">
        <v>175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>x</v>
      </c>
      <c r="AA759" s="853"/>
      <c r="AB759" s="211"/>
      <c r="AC759" s="594"/>
      <c r="AD759" s="211"/>
    </row>
    <row r="760" spans="1:30" ht="15.75" customHeight="1">
      <c r="A760" s="204" t="str">
        <f>IF(B760&lt;&gt;"",IF(AND(B760&gt;=_TM1,B760&lt;=_TM2,OR(TH!L760="1111",TH!M760="1111")),TH!D760,""),"")</f>
        <v/>
      </c>
      <c r="B760" s="36">
        <f t="shared" si="153"/>
        <v>8</v>
      </c>
      <c r="C760" s="191">
        <f t="shared" si="154"/>
        <v>41502</v>
      </c>
      <c r="D760" s="184" t="s">
        <v>1074</v>
      </c>
      <c r="E760" s="191">
        <v>41502</v>
      </c>
      <c r="F760" s="192" t="s">
        <v>726</v>
      </c>
      <c r="G760" s="487" t="s">
        <v>913</v>
      </c>
      <c r="H760" s="210" t="s">
        <v>746</v>
      </c>
      <c r="I760" s="256"/>
      <c r="J760" s="256"/>
      <c r="K760" s="38">
        <v>712500</v>
      </c>
      <c r="L760" s="194" t="s">
        <v>265</v>
      </c>
      <c r="M760" s="194" t="s">
        <v>430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>x</v>
      </c>
      <c r="AA760" s="853"/>
      <c r="AB760" s="211"/>
      <c r="AC760" s="594" t="str">
        <f t="shared" si="151"/>
        <v/>
      </c>
      <c r="AD760" s="211"/>
    </row>
    <row r="761" spans="1:30" ht="15.75" customHeight="1">
      <c r="A761" s="204" t="str">
        <f>IF(B761&lt;&gt;"",IF(AND(B761&gt;=_TM1,B761&lt;=_TM2,OR(TH!L761="1111",TH!M761="1111")),TH!D761,""),"")</f>
        <v/>
      </c>
      <c r="B761" s="36">
        <f t="shared" si="153"/>
        <v>8</v>
      </c>
      <c r="C761" s="191">
        <f t="shared" si="154"/>
        <v>41505</v>
      </c>
      <c r="D761" s="184" t="s">
        <v>1075</v>
      </c>
      <c r="E761" s="191">
        <v>41505</v>
      </c>
      <c r="F761" s="192" t="s">
        <v>867</v>
      </c>
      <c r="G761" s="487" t="s">
        <v>914</v>
      </c>
      <c r="H761" s="7" t="s">
        <v>582</v>
      </c>
      <c r="I761" s="256">
        <v>505</v>
      </c>
      <c r="J761" s="256">
        <v>20300</v>
      </c>
      <c r="K761" s="38">
        <f>ROUND(I761*J761,0)</f>
        <v>10251500</v>
      </c>
      <c r="L761" s="194" t="s">
        <v>265</v>
      </c>
      <c r="M761" s="194" t="s">
        <v>175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>x</v>
      </c>
      <c r="AA761" s="853"/>
      <c r="AC761" s="594"/>
    </row>
    <row r="762" spans="1:30" ht="15.75" customHeight="1">
      <c r="A762" s="204" t="str">
        <f>IF(B762&lt;&gt;"",IF(AND(B762&gt;=_TM1,B762&lt;=_TM2,OR(TH!L762="1111",TH!M762="1111")),TH!D762,""),"")</f>
        <v/>
      </c>
      <c r="B762" s="36">
        <f t="shared" si="153"/>
        <v>8</v>
      </c>
      <c r="C762" s="191">
        <f t="shared" si="154"/>
        <v>41505</v>
      </c>
      <c r="D762" s="184" t="s">
        <v>1075</v>
      </c>
      <c r="E762" s="191">
        <v>41505</v>
      </c>
      <c r="F762" s="192" t="s">
        <v>726</v>
      </c>
      <c r="G762" s="487" t="s">
        <v>914</v>
      </c>
      <c r="H762" s="7" t="s">
        <v>582</v>
      </c>
      <c r="I762" s="256"/>
      <c r="J762" s="256"/>
      <c r="K762" s="38">
        <v>1025150</v>
      </c>
      <c r="L762" s="194" t="s">
        <v>265</v>
      </c>
      <c r="M762" s="194" t="s">
        <v>430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>x</v>
      </c>
      <c r="AA762" s="853"/>
      <c r="AC762" s="594" t="str">
        <f t="shared" si="151"/>
        <v/>
      </c>
    </row>
    <row r="763" spans="1:30" ht="15.75" customHeight="1">
      <c r="A763" s="204" t="str">
        <f>IF(B763&lt;&gt;"",IF(AND(B763&gt;=_TM1,B763&lt;=_TM2,OR(TH!L763="1111",TH!M763="1111")),TH!D763,""),"")</f>
        <v/>
      </c>
      <c r="B763" s="36">
        <f t="shared" si="153"/>
        <v>8</v>
      </c>
      <c r="C763" s="191">
        <f t="shared" si="154"/>
        <v>41506</v>
      </c>
      <c r="D763" s="184" t="s">
        <v>1076</v>
      </c>
      <c r="E763" s="191">
        <v>41506</v>
      </c>
      <c r="F763" s="189" t="s">
        <v>1154</v>
      </c>
      <c r="G763" s="487" t="s">
        <v>915</v>
      </c>
      <c r="H763" s="210" t="s">
        <v>916</v>
      </c>
      <c r="I763" s="256">
        <v>2573</v>
      </c>
      <c r="J763" s="256">
        <v>5300</v>
      </c>
      <c r="K763" s="38">
        <f>ROUND(I763*J763,0)</f>
        <v>13636900</v>
      </c>
      <c r="L763" s="194" t="s">
        <v>265</v>
      </c>
      <c r="M763" s="194" t="s">
        <v>175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>x</v>
      </c>
      <c r="AA763" s="853"/>
      <c r="AC763" s="594"/>
    </row>
    <row r="764" spans="1:30" ht="15.75" customHeight="1">
      <c r="A764" s="204" t="str">
        <f>IF(B764&lt;&gt;"",IF(AND(B764&gt;=_TM1,B764&lt;=_TM2,OR(TH!L764="1111",TH!M764="1111")),TH!D764,""),"")</f>
        <v/>
      </c>
      <c r="B764" s="36">
        <f t="shared" si="153"/>
        <v>8</v>
      </c>
      <c r="C764" s="191">
        <f t="shared" si="154"/>
        <v>41506</v>
      </c>
      <c r="D764" s="184" t="s">
        <v>1076</v>
      </c>
      <c r="E764" s="191">
        <v>41506</v>
      </c>
      <c r="F764" s="192" t="s">
        <v>726</v>
      </c>
      <c r="G764" s="487" t="s">
        <v>915</v>
      </c>
      <c r="H764" s="210" t="s">
        <v>916</v>
      </c>
      <c r="I764" s="256"/>
      <c r="J764" s="256"/>
      <c r="K764" s="38">
        <v>1363690</v>
      </c>
      <c r="L764" s="194" t="s">
        <v>265</v>
      </c>
      <c r="M764" s="194" t="s">
        <v>430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>x</v>
      </c>
      <c r="AA764" s="853"/>
      <c r="AC764" s="594" t="str">
        <f t="shared" si="151"/>
        <v/>
      </c>
    </row>
    <row r="765" spans="1:30" ht="15.75" customHeight="1">
      <c r="A765" s="204" t="str">
        <f>IF(B765&lt;&gt;"",IF(AND(B765&gt;=_TM1,B765&lt;=_TM2,OR(TH!L765="1111",TH!M765="1111")),TH!D765,""),"")</f>
        <v/>
      </c>
      <c r="B765" s="36">
        <f t="shared" si="153"/>
        <v>8</v>
      </c>
      <c r="C765" s="191">
        <f t="shared" si="154"/>
        <v>41506</v>
      </c>
      <c r="D765" s="184" t="s">
        <v>1077</v>
      </c>
      <c r="E765" s="191">
        <v>41506</v>
      </c>
      <c r="F765" s="192" t="s">
        <v>1149</v>
      </c>
      <c r="G765" s="487" t="s">
        <v>917</v>
      </c>
      <c r="H765" s="7" t="s">
        <v>896</v>
      </c>
      <c r="I765" s="256">
        <v>2500</v>
      </c>
      <c r="J765" s="256">
        <v>4200</v>
      </c>
      <c r="K765" s="38">
        <f>ROUND(I765*J765,0)</f>
        <v>10500000</v>
      </c>
      <c r="L765" s="194" t="s">
        <v>265</v>
      </c>
      <c r="M765" s="194" t="s">
        <v>175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>x</v>
      </c>
      <c r="AA765" s="853"/>
      <c r="AC765" s="594"/>
    </row>
    <row r="766" spans="1:30" ht="15.75" customHeight="1">
      <c r="A766" s="204" t="str">
        <f>IF(B766&lt;&gt;"",IF(AND(B766&gt;=_TM1,B766&lt;=_TM2,OR(TH!L766="1111",TH!M766="1111")),TH!D766,""),"")</f>
        <v/>
      </c>
      <c r="B766" s="36">
        <f t="shared" si="153"/>
        <v>8</v>
      </c>
      <c r="C766" s="191">
        <f t="shared" si="154"/>
        <v>41506</v>
      </c>
      <c r="D766" s="184" t="s">
        <v>1077</v>
      </c>
      <c r="E766" s="191">
        <v>41506</v>
      </c>
      <c r="F766" s="192" t="s">
        <v>726</v>
      </c>
      <c r="G766" s="192" t="s">
        <v>917</v>
      </c>
      <c r="H766" s="193" t="s">
        <v>896</v>
      </c>
      <c r="I766" s="256"/>
      <c r="J766" s="256"/>
      <c r="K766" s="38">
        <v>1050000</v>
      </c>
      <c r="L766" s="194" t="s">
        <v>265</v>
      </c>
      <c r="M766" s="194" t="s">
        <v>430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>x</v>
      </c>
      <c r="AA766" s="853"/>
      <c r="AC766" s="594" t="str">
        <f t="shared" si="151"/>
        <v/>
      </c>
    </row>
    <row r="767" spans="1:30" ht="15.75" customHeight="1">
      <c r="A767" s="204" t="str">
        <f>IF(B767&lt;&gt;"",IF(AND(B767&gt;=_TM1,B767&lt;=_TM2,OR(TH!L767="1111",TH!M767="1111")),TH!D767,""),"")</f>
        <v/>
      </c>
      <c r="B767" s="36">
        <f t="shared" si="153"/>
        <v>8</v>
      </c>
      <c r="C767" s="191">
        <f t="shared" si="154"/>
        <v>41506</v>
      </c>
      <c r="D767" s="184" t="s">
        <v>1078</v>
      </c>
      <c r="E767" s="191">
        <v>41506</v>
      </c>
      <c r="F767" s="192" t="s">
        <v>1149</v>
      </c>
      <c r="G767" s="192" t="s">
        <v>918</v>
      </c>
      <c r="H767" s="193" t="s">
        <v>896</v>
      </c>
      <c r="I767" s="256">
        <v>3200</v>
      </c>
      <c r="J767" s="256">
        <v>4210</v>
      </c>
      <c r="K767" s="38">
        <f>ROUND(I767*J767,0)</f>
        <v>13472000</v>
      </c>
      <c r="L767" s="194" t="s">
        <v>265</v>
      </c>
      <c r="M767" s="194" t="s">
        <v>175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>x</v>
      </c>
      <c r="AA767" s="853"/>
      <c r="AC767" s="594"/>
    </row>
    <row r="768" spans="1:30" ht="15.75" customHeight="1">
      <c r="A768" s="204" t="str">
        <f>IF(B768&lt;&gt;"",IF(AND(B768&gt;=_TM1,B768&lt;=_TM2,OR(TH!L768="1111",TH!M768="1111")),TH!D768,""),"")</f>
        <v/>
      </c>
      <c r="B768" s="36">
        <f t="shared" si="153"/>
        <v>8</v>
      </c>
      <c r="C768" s="191">
        <f t="shared" si="154"/>
        <v>41506</v>
      </c>
      <c r="D768" s="184" t="s">
        <v>1078</v>
      </c>
      <c r="E768" s="191">
        <v>41506</v>
      </c>
      <c r="F768" s="192" t="s">
        <v>726</v>
      </c>
      <c r="G768" s="192" t="s">
        <v>918</v>
      </c>
      <c r="H768" s="193" t="s">
        <v>896</v>
      </c>
      <c r="I768" s="256"/>
      <c r="J768" s="256"/>
      <c r="K768" s="38">
        <v>1347200</v>
      </c>
      <c r="L768" s="194" t="s">
        <v>265</v>
      </c>
      <c r="M768" s="194" t="s">
        <v>430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>x</v>
      </c>
      <c r="AA768" s="853"/>
      <c r="AC768" s="594" t="str">
        <f t="shared" si="151"/>
        <v/>
      </c>
    </row>
    <row r="769" spans="1:30" ht="15.75" customHeight="1">
      <c r="A769" s="204" t="str">
        <f>IF(B769&lt;&gt;"",IF(AND(B769&gt;=_TM1,B769&lt;=_TM2,OR(TH!L769="1111",TH!M769="1111")),TH!D769,""),"")</f>
        <v/>
      </c>
      <c r="B769" s="36">
        <f t="shared" si="153"/>
        <v>8</v>
      </c>
      <c r="C769" s="191">
        <f t="shared" si="154"/>
        <v>41507</v>
      </c>
      <c r="D769" s="184" t="s">
        <v>1079</v>
      </c>
      <c r="E769" s="191">
        <v>41507</v>
      </c>
      <c r="F769" s="192" t="s">
        <v>760</v>
      </c>
      <c r="G769" s="192" t="s">
        <v>919</v>
      </c>
      <c r="H769" s="7" t="s">
        <v>743</v>
      </c>
      <c r="I769" s="256">
        <v>296</v>
      </c>
      <c r="J769" s="256">
        <v>8500</v>
      </c>
      <c r="K769" s="38">
        <f>ROUND(I769*J769,0)</f>
        <v>2516000</v>
      </c>
      <c r="L769" s="194" t="s">
        <v>265</v>
      </c>
      <c r="M769" s="194" t="s">
        <v>175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>x</v>
      </c>
      <c r="AA769" s="853"/>
      <c r="AC769" s="594"/>
    </row>
    <row r="770" spans="1:30" ht="15.75" customHeight="1">
      <c r="A770" s="204" t="str">
        <f>IF(B770&lt;&gt;"",IF(AND(B770&gt;=_TM1,B770&lt;=_TM2,OR(TH!L770="1111",TH!M770="1111")),TH!D770,""),"")</f>
        <v/>
      </c>
      <c r="B770" s="36">
        <f t="shared" si="153"/>
        <v>8</v>
      </c>
      <c r="C770" s="191">
        <f t="shared" si="154"/>
        <v>41507</v>
      </c>
      <c r="D770" s="184" t="s">
        <v>1079</v>
      </c>
      <c r="E770" s="191">
        <v>41507</v>
      </c>
      <c r="F770" s="192" t="s">
        <v>726</v>
      </c>
      <c r="G770" s="192" t="s">
        <v>919</v>
      </c>
      <c r="H770" s="7" t="s">
        <v>743</v>
      </c>
      <c r="I770" s="256"/>
      <c r="J770" s="256"/>
      <c r="K770" s="38">
        <v>251600</v>
      </c>
      <c r="L770" s="194" t="s">
        <v>265</v>
      </c>
      <c r="M770" s="194" t="s">
        <v>430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>x</v>
      </c>
      <c r="AA770" s="853"/>
      <c r="AB770" s="594"/>
      <c r="AC770" s="594" t="str">
        <f t="shared" si="151"/>
        <v/>
      </c>
      <c r="AD770" s="211"/>
    </row>
    <row r="771" spans="1:30" ht="15.75" customHeight="1">
      <c r="A771" s="204" t="str">
        <f>IF(B771&lt;&gt;"",IF(AND(B771&gt;=_TM1,B771&lt;=_TM2,OR(TH!L771="1111",TH!M771="1111")),TH!D771,""),"")</f>
        <v/>
      </c>
      <c r="B771" s="36">
        <f t="shared" si="153"/>
        <v>8</v>
      </c>
      <c r="C771" s="191">
        <f t="shared" si="154"/>
        <v>41511</v>
      </c>
      <c r="D771" s="184" t="s">
        <v>1080</v>
      </c>
      <c r="E771" s="191">
        <v>41511</v>
      </c>
      <c r="F771" s="192" t="s">
        <v>920</v>
      </c>
      <c r="G771" s="192" t="s">
        <v>921</v>
      </c>
      <c r="H771" s="7" t="s">
        <v>544</v>
      </c>
      <c r="I771" s="256">
        <v>52</v>
      </c>
      <c r="J771" s="256">
        <v>9600</v>
      </c>
      <c r="K771" s="38">
        <f t="shared" ref="K771:K774" si="155">ROUND(I771*J771,0)</f>
        <v>499200</v>
      </c>
      <c r="L771" s="194" t="s">
        <v>265</v>
      </c>
      <c r="M771" s="194" t="s">
        <v>175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>x</v>
      </c>
      <c r="AA771" s="853"/>
      <c r="AB771" s="211"/>
      <c r="AC771" s="594"/>
      <c r="AD771" s="211"/>
    </row>
    <row r="772" spans="1:30" ht="15.75" customHeight="1">
      <c r="A772" s="204" t="str">
        <f>IF(B772&lt;&gt;"",IF(AND(B772&gt;=_TM1,B772&lt;=_TM2,OR(TH!L772="1111",TH!M772="1111")),TH!D772,""),"")</f>
        <v/>
      </c>
      <c r="B772" s="36">
        <f t="shared" si="153"/>
        <v>8</v>
      </c>
      <c r="C772" s="191">
        <f t="shared" si="154"/>
        <v>41511</v>
      </c>
      <c r="D772" s="184" t="s">
        <v>1080</v>
      </c>
      <c r="E772" s="191">
        <v>41511</v>
      </c>
      <c r="F772" s="192" t="s">
        <v>1162</v>
      </c>
      <c r="G772" s="192" t="s">
        <v>921</v>
      </c>
      <c r="H772" s="7" t="s">
        <v>544</v>
      </c>
      <c r="I772" s="256">
        <v>1390</v>
      </c>
      <c r="J772" s="256">
        <v>5950</v>
      </c>
      <c r="K772" s="38">
        <f t="shared" si="155"/>
        <v>8270500</v>
      </c>
      <c r="L772" s="194" t="s">
        <v>265</v>
      </c>
      <c r="M772" s="194" t="s">
        <v>175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>x</v>
      </c>
      <c r="AA772" s="853"/>
      <c r="AB772" s="594"/>
      <c r="AC772" s="594"/>
      <c r="AD772" s="211"/>
    </row>
    <row r="773" spans="1:30" ht="15.75" customHeight="1">
      <c r="A773" s="204" t="str">
        <f>IF(B773&lt;&gt;"",IF(AND(B773&gt;=_TM1,B773&lt;=_TM2,OR(TH!L773="1111",TH!M773="1111")),TH!D773,""),"")</f>
        <v/>
      </c>
      <c r="B773" s="36">
        <f t="shared" si="153"/>
        <v>8</v>
      </c>
      <c r="C773" s="191">
        <f t="shared" si="154"/>
        <v>41511</v>
      </c>
      <c r="D773" s="184" t="s">
        <v>1080</v>
      </c>
      <c r="E773" s="191">
        <v>41511</v>
      </c>
      <c r="F773" s="192" t="s">
        <v>922</v>
      </c>
      <c r="G773" s="192" t="s">
        <v>921</v>
      </c>
      <c r="H773" s="7" t="s">
        <v>544</v>
      </c>
      <c r="I773" s="256">
        <v>310</v>
      </c>
      <c r="J773" s="256">
        <v>5860</v>
      </c>
      <c r="K773" s="38">
        <f t="shared" si="155"/>
        <v>1816600</v>
      </c>
      <c r="L773" s="194" t="s">
        <v>265</v>
      </c>
      <c r="M773" s="194" t="s">
        <v>175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>x</v>
      </c>
      <c r="AA773" s="853"/>
      <c r="AB773" s="211"/>
      <c r="AC773" s="594"/>
      <c r="AD773" s="211"/>
    </row>
    <row r="774" spans="1:30" ht="15.75" customHeight="1">
      <c r="A774" s="204" t="str">
        <f>IF(B774&lt;&gt;"",IF(AND(B774&gt;=_TM1,B774&lt;=_TM2,OR(TH!L774="1111",TH!M774="1111")),TH!D774,""),"")</f>
        <v/>
      </c>
      <c r="B774" s="36">
        <f t="shared" si="153"/>
        <v>8</v>
      </c>
      <c r="C774" s="191">
        <f t="shared" si="154"/>
        <v>41511</v>
      </c>
      <c r="D774" s="184" t="s">
        <v>1080</v>
      </c>
      <c r="E774" s="191">
        <v>41511</v>
      </c>
      <c r="F774" s="192" t="s">
        <v>920</v>
      </c>
      <c r="G774" s="192" t="s">
        <v>921</v>
      </c>
      <c r="H774" s="7" t="s">
        <v>544</v>
      </c>
      <c r="I774" s="256">
        <v>90</v>
      </c>
      <c r="J774" s="256">
        <v>9120</v>
      </c>
      <c r="K774" s="38">
        <f t="shared" si="155"/>
        <v>820800</v>
      </c>
      <c r="L774" s="194" t="s">
        <v>265</v>
      </c>
      <c r="M774" s="194" t="s">
        <v>175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>x</v>
      </c>
      <c r="AA774" s="853"/>
      <c r="AB774" s="594">
        <v>6</v>
      </c>
      <c r="AC774" s="594"/>
      <c r="AD774" s="211"/>
    </row>
    <row r="775" spans="1:30" ht="15.75" customHeight="1">
      <c r="A775" s="204" t="str">
        <f>IF(B775&lt;&gt;"",IF(AND(B775&gt;=_TM1,B775&lt;=_TM2,OR(TH!L775="1111",TH!M775="1111")),TH!D775,""),"")</f>
        <v/>
      </c>
      <c r="B775" s="36">
        <f t="shared" si="153"/>
        <v>8</v>
      </c>
      <c r="C775" s="191">
        <f t="shared" si="154"/>
        <v>41511</v>
      </c>
      <c r="D775" s="184" t="s">
        <v>1080</v>
      </c>
      <c r="E775" s="191">
        <v>41511</v>
      </c>
      <c r="F775" s="192" t="s">
        <v>726</v>
      </c>
      <c r="G775" s="192" t="s">
        <v>921</v>
      </c>
      <c r="H775" s="7" t="s">
        <v>544</v>
      </c>
      <c r="I775" s="256"/>
      <c r="J775" s="256"/>
      <c r="K775" s="38">
        <v>1140710</v>
      </c>
      <c r="L775" s="194" t="s">
        <v>265</v>
      </c>
      <c r="M775" s="194" t="s">
        <v>430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>x</v>
      </c>
      <c r="AA775" s="853"/>
      <c r="AB775" s="211"/>
      <c r="AC775" s="594" t="str">
        <f t="shared" si="151"/>
        <v/>
      </c>
      <c r="AD775" s="211"/>
    </row>
    <row r="776" spans="1:30" ht="15.75" customHeight="1">
      <c r="A776" s="204" t="str">
        <f>IF(B776&lt;&gt;"",IF(AND(B776&gt;=_TM1,B776&lt;=_TM2,OR(TH!L776="1111",TH!M776="1111")),TH!D776,""),"")</f>
        <v/>
      </c>
      <c r="B776" s="36">
        <f t="shared" si="153"/>
        <v>8</v>
      </c>
      <c r="C776" s="191">
        <f t="shared" si="154"/>
        <v>41512</v>
      </c>
      <c r="D776" s="184" t="s">
        <v>1081</v>
      </c>
      <c r="E776" s="191">
        <v>41512</v>
      </c>
      <c r="F776" s="192" t="s">
        <v>1151</v>
      </c>
      <c r="G776" s="192" t="s">
        <v>923</v>
      </c>
      <c r="H776" s="193" t="s">
        <v>896</v>
      </c>
      <c r="I776" s="256">
        <v>1400</v>
      </c>
      <c r="J776" s="256">
        <v>4720</v>
      </c>
      <c r="K776" s="38">
        <f t="shared" ref="K776:K777" si="156">ROUND(I776*J776,0)</f>
        <v>6608000</v>
      </c>
      <c r="L776" s="194" t="s">
        <v>265</v>
      </c>
      <c r="M776" s="194" t="s">
        <v>175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>x</v>
      </c>
      <c r="AA776" s="853"/>
      <c r="AB776" s="211"/>
      <c r="AC776" s="594"/>
      <c r="AD776" s="211"/>
    </row>
    <row r="777" spans="1:30" ht="15.75" customHeight="1">
      <c r="A777" s="204" t="str">
        <f>IF(B777&lt;&gt;"",IF(AND(B777&gt;=_TM1,B777&lt;=_TM2,OR(TH!L777="1111",TH!M777="1111")),TH!D777,""),"")</f>
        <v/>
      </c>
      <c r="B777" s="36">
        <f t="shared" si="153"/>
        <v>8</v>
      </c>
      <c r="C777" s="191">
        <f t="shared" si="154"/>
        <v>41512</v>
      </c>
      <c r="D777" s="184" t="s">
        <v>1081</v>
      </c>
      <c r="E777" s="191">
        <v>41512</v>
      </c>
      <c r="F777" s="192" t="s">
        <v>1151</v>
      </c>
      <c r="G777" s="192" t="s">
        <v>923</v>
      </c>
      <c r="H777" s="193" t="s">
        <v>896</v>
      </c>
      <c r="I777" s="256">
        <v>2400</v>
      </c>
      <c r="J777" s="256">
        <v>4720</v>
      </c>
      <c r="K777" s="38">
        <f t="shared" si="156"/>
        <v>11328000</v>
      </c>
      <c r="L777" s="194" t="s">
        <v>265</v>
      </c>
      <c r="M777" s="194" t="s">
        <v>175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>x</v>
      </c>
      <c r="AA777" s="853"/>
      <c r="AB777" s="211"/>
      <c r="AC777" s="594"/>
      <c r="AD777" s="211"/>
    </row>
    <row r="778" spans="1:30" ht="15.75" customHeight="1">
      <c r="A778" s="204" t="str">
        <f>IF(B778&lt;&gt;"",IF(AND(B778&gt;=_TM1,B778&lt;=_TM2,OR(TH!L778="1111",TH!M778="1111")),TH!D778,""),"")</f>
        <v/>
      </c>
      <c r="B778" s="36">
        <f t="shared" si="153"/>
        <v>8</v>
      </c>
      <c r="C778" s="191">
        <f t="shared" si="154"/>
        <v>41512</v>
      </c>
      <c r="D778" s="184" t="s">
        <v>1081</v>
      </c>
      <c r="E778" s="191">
        <v>41512</v>
      </c>
      <c r="F778" s="192" t="s">
        <v>726</v>
      </c>
      <c r="G778" s="192" t="s">
        <v>923</v>
      </c>
      <c r="H778" s="193" t="s">
        <v>896</v>
      </c>
      <c r="I778" s="256"/>
      <c r="J778" s="256"/>
      <c r="K778" s="38">
        <v>1793600</v>
      </c>
      <c r="L778" s="194" t="s">
        <v>265</v>
      </c>
      <c r="M778" s="194" t="s">
        <v>430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>x</v>
      </c>
      <c r="AA778" s="853"/>
      <c r="AB778" s="211"/>
      <c r="AC778" s="594" t="str">
        <f t="shared" si="151"/>
        <v/>
      </c>
      <c r="AD778" s="211"/>
    </row>
    <row r="779" spans="1:30" ht="15.75" customHeight="1">
      <c r="A779" s="204" t="str">
        <f>IF(B779&lt;&gt;"",IF(AND(B779&gt;=_TM1,B779&lt;=_TM2,OR(TH!L779="1111",TH!M779="1111")),TH!D779,""),"")</f>
        <v/>
      </c>
      <c r="B779" s="36">
        <f t="shared" ref="B779:B781" si="157">IF(C779&lt;&gt;"",MONTH(C779),"")</f>
        <v>8</v>
      </c>
      <c r="C779" s="191">
        <f t="shared" ref="C779:C781" si="158">E779</f>
        <v>41512</v>
      </c>
      <c r="D779" s="184" t="s">
        <v>1082</v>
      </c>
      <c r="E779" s="191">
        <v>41512</v>
      </c>
      <c r="F779" s="189" t="s">
        <v>1142</v>
      </c>
      <c r="G779" s="192" t="s">
        <v>1116</v>
      </c>
      <c r="H779" s="193" t="s">
        <v>790</v>
      </c>
      <c r="I779" s="256">
        <v>1010</v>
      </c>
      <c r="J779" s="256">
        <v>5455</v>
      </c>
      <c r="K779" s="38">
        <f t="shared" ref="K779:K780" si="159">ROUND(I779*J779,0)</f>
        <v>5509550</v>
      </c>
      <c r="L779" s="194" t="s">
        <v>265</v>
      </c>
      <c r="M779" s="194" t="s">
        <v>175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>x</v>
      </c>
      <c r="AA779" s="853"/>
      <c r="AB779" s="211"/>
      <c r="AC779" s="594"/>
      <c r="AD779" s="211"/>
    </row>
    <row r="780" spans="1:30" ht="15.75" customHeight="1">
      <c r="A780" s="204" t="str">
        <f>IF(B780&lt;&gt;"",IF(AND(B780&gt;=_TM1,B780&lt;=_TM2,OR(TH!L780="1111",TH!M780="1111")),TH!D780,""),"")</f>
        <v/>
      </c>
      <c r="B780" s="36">
        <f t="shared" si="157"/>
        <v>8</v>
      </c>
      <c r="C780" s="191">
        <f t="shared" si="158"/>
        <v>41512</v>
      </c>
      <c r="D780" s="184" t="s">
        <v>1082</v>
      </c>
      <c r="E780" s="191">
        <v>41512</v>
      </c>
      <c r="F780" s="192" t="s">
        <v>1146</v>
      </c>
      <c r="G780" s="192" t="s">
        <v>1116</v>
      </c>
      <c r="H780" s="193" t="s">
        <v>790</v>
      </c>
      <c r="I780" s="256">
        <v>102</v>
      </c>
      <c r="J780" s="256">
        <v>12400</v>
      </c>
      <c r="K780" s="38">
        <f t="shared" si="159"/>
        <v>1264800</v>
      </c>
      <c r="L780" s="194" t="s">
        <v>265</v>
      </c>
      <c r="M780" s="194" t="s">
        <v>175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>x</v>
      </c>
      <c r="AA780" s="853"/>
      <c r="AB780" s="211"/>
      <c r="AC780" s="594"/>
      <c r="AD780" s="211"/>
    </row>
    <row r="781" spans="1:30" ht="15.75" customHeight="1">
      <c r="A781" s="204" t="str">
        <f>IF(B781&lt;&gt;"",IF(AND(B781&gt;=_TM1,B781&lt;=_TM2,OR(TH!L781="1111",TH!M781="1111")),TH!D781,""),"")</f>
        <v/>
      </c>
      <c r="B781" s="36">
        <f t="shared" si="157"/>
        <v>8</v>
      </c>
      <c r="C781" s="191">
        <f t="shared" si="158"/>
        <v>41512</v>
      </c>
      <c r="D781" s="184" t="s">
        <v>1082</v>
      </c>
      <c r="E781" s="191">
        <v>41512</v>
      </c>
      <c r="F781" s="192" t="s">
        <v>726</v>
      </c>
      <c r="G781" s="192" t="s">
        <v>1116</v>
      </c>
      <c r="H781" s="193" t="s">
        <v>790</v>
      </c>
      <c r="I781" s="256"/>
      <c r="J781" s="256"/>
      <c r="K781" s="38">
        <v>677435</v>
      </c>
      <c r="L781" s="194" t="s">
        <v>265</v>
      </c>
      <c r="M781" s="194" t="s">
        <v>430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>x</v>
      </c>
      <c r="AA781" s="853"/>
      <c r="AB781" s="211"/>
      <c r="AC781" s="594" t="str">
        <f t="shared" ref="AC781" si="160">IF(VLOOKUP(H781,DS_131,1,0)&lt;&gt;"","","x")</f>
        <v/>
      </c>
      <c r="AD781" s="211"/>
    </row>
    <row r="782" spans="1:30" ht="15.75" customHeight="1">
      <c r="A782" s="204" t="str">
        <f>IF(B782&lt;&gt;"",IF(AND(B782&gt;=_TM1,B782&lt;=_TM2,OR(TH!L782="1111",TH!M782="1111")),TH!D782,""),"")</f>
        <v/>
      </c>
      <c r="B782" s="36">
        <f t="shared" ref="B782:B790" si="161">IF(C782&lt;&gt;"",MONTH(C782),"")</f>
        <v>8</v>
      </c>
      <c r="C782" s="191">
        <f t="shared" ref="C782:C790" si="162">E782</f>
        <v>41516</v>
      </c>
      <c r="D782" s="184" t="s">
        <v>1083</v>
      </c>
      <c r="E782" s="191">
        <v>41516</v>
      </c>
      <c r="F782" s="192" t="s">
        <v>1010</v>
      </c>
      <c r="G782" s="192" t="s">
        <v>1117</v>
      </c>
      <c r="H782" s="193" t="s">
        <v>1008</v>
      </c>
      <c r="I782" s="256">
        <v>400</v>
      </c>
      <c r="J782" s="256">
        <v>13000</v>
      </c>
      <c r="K782" s="38">
        <f t="shared" ref="K782:K783" si="163">ROUND(I782*J782,0)</f>
        <v>5200000</v>
      </c>
      <c r="L782" s="194" t="s">
        <v>265</v>
      </c>
      <c r="M782" s="194" t="s">
        <v>175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>x</v>
      </c>
      <c r="AA782" s="853"/>
      <c r="AB782" s="211"/>
      <c r="AC782" s="594"/>
      <c r="AD782" s="211"/>
    </row>
    <row r="783" spans="1:30" ht="15.75" customHeight="1">
      <c r="A783" s="204" t="str">
        <f>IF(B783&lt;&gt;"",IF(AND(B783&gt;=_TM1,B783&lt;=_TM2,OR(TH!L783="1111",TH!M783="1111")),TH!D783,""),"")</f>
        <v/>
      </c>
      <c r="B783" s="36">
        <f t="shared" si="161"/>
        <v>8</v>
      </c>
      <c r="C783" s="191">
        <f t="shared" si="162"/>
        <v>41516</v>
      </c>
      <c r="D783" s="184" t="s">
        <v>1083</v>
      </c>
      <c r="E783" s="191">
        <v>41516</v>
      </c>
      <c r="F783" s="192" t="s">
        <v>1009</v>
      </c>
      <c r="G783" s="192" t="s">
        <v>1117</v>
      </c>
      <c r="H783" s="193" t="s">
        <v>1008</v>
      </c>
      <c r="I783" s="256">
        <v>210</v>
      </c>
      <c r="J783" s="256">
        <v>14200</v>
      </c>
      <c r="K783" s="38">
        <f t="shared" si="163"/>
        <v>2982000</v>
      </c>
      <c r="L783" s="194" t="s">
        <v>265</v>
      </c>
      <c r="M783" s="194" t="s">
        <v>175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>x</v>
      </c>
      <c r="AA783" s="853"/>
      <c r="AB783" s="211"/>
      <c r="AC783" s="594"/>
      <c r="AD783" s="211"/>
    </row>
    <row r="784" spans="1:30" ht="15.75" customHeight="1">
      <c r="A784" s="204" t="str">
        <f>IF(B784&lt;&gt;"",IF(AND(B784&gt;=_TM1,B784&lt;=_TM2,OR(TH!L784="1111",TH!M784="1111")),TH!D784,""),"")</f>
        <v/>
      </c>
      <c r="B784" s="36">
        <f t="shared" ref="B784" si="164">IF(C784&lt;&gt;"",MONTH(C784),"")</f>
        <v>8</v>
      </c>
      <c r="C784" s="191">
        <f t="shared" ref="C784" si="165">E784</f>
        <v>41516</v>
      </c>
      <c r="D784" s="184" t="s">
        <v>1083</v>
      </c>
      <c r="E784" s="191">
        <v>41516</v>
      </c>
      <c r="F784" s="192" t="s">
        <v>1006</v>
      </c>
      <c r="G784" s="192" t="s">
        <v>1117</v>
      </c>
      <c r="H784" s="193" t="s">
        <v>1008</v>
      </c>
      <c r="I784" s="256">
        <v>150</v>
      </c>
      <c r="J784" s="256">
        <v>8000</v>
      </c>
      <c r="K784" s="38">
        <f t="shared" ref="K784" si="166">ROUND(I784*J784,0)</f>
        <v>1200000</v>
      </c>
      <c r="L784" s="194" t="s">
        <v>265</v>
      </c>
      <c r="M784" s="194" t="s">
        <v>175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>x</v>
      </c>
      <c r="AA784" s="853"/>
      <c r="AB784" s="211"/>
      <c r="AC784" s="594"/>
      <c r="AD784" s="211"/>
    </row>
    <row r="785" spans="1:30" ht="15.75" customHeight="1">
      <c r="A785" s="204" t="str">
        <f>IF(B785&lt;&gt;"",IF(AND(B785&gt;=_TM1,B785&lt;=_TM2,OR(TH!L785="1111",TH!M785="1111")),TH!D785,""),"")</f>
        <v/>
      </c>
      <c r="B785" s="36">
        <f t="shared" si="161"/>
        <v>8</v>
      </c>
      <c r="C785" s="191">
        <f t="shared" si="162"/>
        <v>41516</v>
      </c>
      <c r="D785" s="184" t="s">
        <v>1083</v>
      </c>
      <c r="E785" s="191">
        <v>41516</v>
      </c>
      <c r="F785" s="192" t="s">
        <v>726</v>
      </c>
      <c r="G785" s="192" t="s">
        <v>1117</v>
      </c>
      <c r="H785" s="193" t="s">
        <v>1008</v>
      </c>
      <c r="I785" s="256"/>
      <c r="J785" s="256"/>
      <c r="K785" s="38">
        <v>938200</v>
      </c>
      <c r="L785" s="194" t="s">
        <v>265</v>
      </c>
      <c r="M785" s="194" t="s">
        <v>430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>x</v>
      </c>
      <c r="AA785" s="853"/>
      <c r="AB785" s="211"/>
      <c r="AC785" s="594" t="str">
        <f t="shared" ref="AC785:AC790" si="167">IF(VLOOKUP(H785,DS_131,1,0)&lt;&gt;"","","x")</f>
        <v/>
      </c>
      <c r="AD785" s="211"/>
    </row>
    <row r="786" spans="1:30" ht="15.75" customHeight="1">
      <c r="A786" s="204" t="str">
        <f>IF(B786&lt;&gt;"",IF(AND(B786&gt;=_TM1,B786&lt;=_TM2,OR(TH!L786="1111",TH!M786="1111")),TH!D786,""),"")</f>
        <v/>
      </c>
      <c r="B786" s="36">
        <f t="shared" si="161"/>
        <v>8</v>
      </c>
      <c r="C786" s="191">
        <f t="shared" si="162"/>
        <v>41512</v>
      </c>
      <c r="D786" s="184" t="s">
        <v>1084</v>
      </c>
      <c r="E786" s="191">
        <v>41512</v>
      </c>
      <c r="F786" s="192" t="s">
        <v>940</v>
      </c>
      <c r="G786" s="192" t="s">
        <v>1118</v>
      </c>
      <c r="H786" s="7" t="s">
        <v>550</v>
      </c>
      <c r="I786" s="256">
        <v>585</v>
      </c>
      <c r="J786" s="256">
        <v>18600</v>
      </c>
      <c r="K786" s="38">
        <f t="shared" ref="K786:K787" si="168">ROUND(I786*J786,0)</f>
        <v>10881000</v>
      </c>
      <c r="L786" s="194" t="s">
        <v>265</v>
      </c>
      <c r="M786" s="194" t="s">
        <v>175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>x</v>
      </c>
      <c r="AA786" s="853"/>
      <c r="AB786" s="211"/>
      <c r="AC786" s="594"/>
      <c r="AD786" s="211"/>
    </row>
    <row r="787" spans="1:30" ht="15.75" customHeight="1">
      <c r="A787" s="204" t="str">
        <f>IF(B787&lt;&gt;"",IF(AND(B787&gt;=_TM1,B787&lt;=_TM2,OR(TH!L787="1111",TH!M787="1111")),TH!D787,""),"")</f>
        <v/>
      </c>
      <c r="B787" s="36">
        <f t="shared" si="161"/>
        <v>8</v>
      </c>
      <c r="C787" s="191">
        <f t="shared" si="162"/>
        <v>41512</v>
      </c>
      <c r="D787" s="184" t="s">
        <v>1084</v>
      </c>
      <c r="E787" s="191">
        <v>41512</v>
      </c>
      <c r="F787" s="192" t="s">
        <v>942</v>
      </c>
      <c r="G787" s="192" t="s">
        <v>1118</v>
      </c>
      <c r="H787" s="7" t="s">
        <v>550</v>
      </c>
      <c r="I787" s="256">
        <v>371</v>
      </c>
      <c r="J787" s="256">
        <v>16300</v>
      </c>
      <c r="K787" s="38">
        <f t="shared" si="168"/>
        <v>6047300</v>
      </c>
      <c r="L787" s="194" t="s">
        <v>265</v>
      </c>
      <c r="M787" s="194" t="s">
        <v>175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>x</v>
      </c>
      <c r="AA787" s="853"/>
      <c r="AB787" s="211"/>
      <c r="AC787" s="594"/>
      <c r="AD787" s="211"/>
    </row>
    <row r="788" spans="1:30" ht="15.75" customHeight="1">
      <c r="A788" s="204" t="str">
        <f>IF(B788&lt;&gt;"",IF(AND(B788&gt;=_TM1,B788&lt;=_TM2,OR(TH!L788="1111",TH!M788="1111")),TH!D788,""),"")</f>
        <v/>
      </c>
      <c r="B788" s="36">
        <f t="shared" si="161"/>
        <v>8</v>
      </c>
      <c r="C788" s="191">
        <f t="shared" si="162"/>
        <v>41512</v>
      </c>
      <c r="D788" s="184" t="s">
        <v>1084</v>
      </c>
      <c r="E788" s="191">
        <v>41512</v>
      </c>
      <c r="F788" s="192" t="s">
        <v>726</v>
      </c>
      <c r="G788" s="192" t="s">
        <v>1118</v>
      </c>
      <c r="H788" s="7" t="s">
        <v>550</v>
      </c>
      <c r="I788" s="256"/>
      <c r="J788" s="256"/>
      <c r="K788" s="38">
        <v>1692830</v>
      </c>
      <c r="L788" s="194" t="s">
        <v>265</v>
      </c>
      <c r="M788" s="194" t="s">
        <v>430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>x</v>
      </c>
      <c r="AA788" s="853"/>
      <c r="AB788" s="211"/>
      <c r="AC788" s="594" t="str">
        <f t="shared" si="167"/>
        <v/>
      </c>
      <c r="AD788" s="211"/>
    </row>
    <row r="789" spans="1:30" ht="15.75" customHeight="1">
      <c r="A789" s="204" t="str">
        <f>IF(B789&lt;&gt;"",IF(AND(B789&gt;=_TM1,B789&lt;=_TM2,OR(TH!L789="1111",TH!M789="1111")),TH!D789,""),"")</f>
        <v/>
      </c>
      <c r="B789" s="36">
        <f t="shared" si="161"/>
        <v>9</v>
      </c>
      <c r="C789" s="191">
        <f t="shared" si="162"/>
        <v>41522</v>
      </c>
      <c r="D789" s="184" t="s">
        <v>1085</v>
      </c>
      <c r="E789" s="191">
        <v>41522</v>
      </c>
      <c r="F789" s="192" t="s">
        <v>1150</v>
      </c>
      <c r="G789" s="192" t="s">
        <v>1119</v>
      </c>
      <c r="H789" s="7" t="s">
        <v>896</v>
      </c>
      <c r="I789" s="256">
        <v>2700</v>
      </c>
      <c r="J789" s="256">
        <v>4700</v>
      </c>
      <c r="K789" s="38">
        <f>ROUND(I789*J789,0)</f>
        <v>12690000</v>
      </c>
      <c r="L789" s="194" t="s">
        <v>265</v>
      </c>
      <c r="M789" s="194" t="s">
        <v>175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>x</v>
      </c>
      <c r="AA789" s="853"/>
      <c r="AB789" s="211"/>
      <c r="AC789" s="594"/>
      <c r="AD789" s="211"/>
    </row>
    <row r="790" spans="1:30" s="211" customFormat="1" ht="15.75" customHeight="1">
      <c r="A790" s="204" t="str">
        <f>IF(B790&lt;&gt;"",IF(AND(B790&gt;=_TM1,B790&lt;=_TM2,OR(TH!L790="1111",TH!M790="1111")),TH!D790,""),"")</f>
        <v/>
      </c>
      <c r="B790" s="36">
        <f t="shared" si="161"/>
        <v>9</v>
      </c>
      <c r="C790" s="191">
        <f t="shared" si="162"/>
        <v>41522</v>
      </c>
      <c r="D790" s="184" t="s">
        <v>1085</v>
      </c>
      <c r="E790" s="191">
        <v>41522</v>
      </c>
      <c r="F790" s="192" t="s">
        <v>726</v>
      </c>
      <c r="G790" s="192" t="s">
        <v>1119</v>
      </c>
      <c r="H790" s="7" t="s">
        <v>896</v>
      </c>
      <c r="I790" s="256"/>
      <c r="J790" s="256"/>
      <c r="K790" s="38">
        <v>1269000</v>
      </c>
      <c r="L790" s="194" t="s">
        <v>265</v>
      </c>
      <c r="M790" s="194" t="s">
        <v>430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>x</v>
      </c>
      <c r="AA790" s="886"/>
      <c r="AC790" s="594" t="str">
        <f t="shared" si="167"/>
        <v/>
      </c>
    </row>
    <row r="791" spans="1:30" ht="15.75" customHeight="1">
      <c r="A791" s="204" t="str">
        <f>IF(B791&lt;&gt;"",IF(AND(B791&gt;=_TM1,B791&lt;=_TM2,OR(TH!L791="1111",TH!M791="1111")),TH!D791,""),"")</f>
        <v/>
      </c>
      <c r="B791" s="36">
        <f t="shared" ref="B791:B795" si="169">IF(C791&lt;&gt;"",MONTH(C791),"")</f>
        <v>9</v>
      </c>
      <c r="C791" s="191">
        <f t="shared" ref="C791:C795" si="170">E791</f>
        <v>41523</v>
      </c>
      <c r="D791" s="184" t="s">
        <v>1086</v>
      </c>
      <c r="E791" s="191">
        <v>41523</v>
      </c>
      <c r="F791" s="192" t="s">
        <v>1121</v>
      </c>
      <c r="G791" s="192" t="s">
        <v>1120</v>
      </c>
      <c r="H791" s="813" t="s">
        <v>536</v>
      </c>
      <c r="I791" s="256">
        <v>1010</v>
      </c>
      <c r="J791" s="256">
        <v>7500</v>
      </c>
      <c r="K791" s="38">
        <f t="shared" ref="K791:K792" si="171">ROUND(I791*J791,0)</f>
        <v>7575000</v>
      </c>
      <c r="L791" s="194" t="s">
        <v>265</v>
      </c>
      <c r="M791" s="194" t="s">
        <v>175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>x</v>
      </c>
      <c r="AA791" s="853"/>
      <c r="AB791" s="211"/>
      <c r="AC791" s="594"/>
      <c r="AD791" s="211"/>
    </row>
    <row r="792" spans="1:30" ht="15.75" customHeight="1">
      <c r="A792" s="204" t="str">
        <f>IF(B792&lt;&gt;"",IF(AND(B792&gt;=_TM1,B792&lt;=_TM2,OR(TH!L792="1111",TH!M792="1111")),TH!D792,""),"")</f>
        <v/>
      </c>
      <c r="B792" s="36">
        <f t="shared" si="169"/>
        <v>9</v>
      </c>
      <c r="C792" s="191">
        <f t="shared" si="170"/>
        <v>41523</v>
      </c>
      <c r="D792" s="184" t="s">
        <v>1086</v>
      </c>
      <c r="E792" s="191">
        <v>41523</v>
      </c>
      <c r="F792" s="192" t="s">
        <v>1122</v>
      </c>
      <c r="G792" s="192" t="s">
        <v>1120</v>
      </c>
      <c r="H792" s="813" t="s">
        <v>536</v>
      </c>
      <c r="I792" s="256">
        <v>1000</v>
      </c>
      <c r="J792" s="256">
        <v>6400</v>
      </c>
      <c r="K792" s="38">
        <f t="shared" si="171"/>
        <v>6400000</v>
      </c>
      <c r="L792" s="194" t="s">
        <v>265</v>
      </c>
      <c r="M792" s="194" t="s">
        <v>175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>x</v>
      </c>
      <c r="AA792" s="853"/>
      <c r="AB792" s="211"/>
      <c r="AC792" s="594"/>
      <c r="AD792" s="211"/>
    </row>
    <row r="793" spans="1:30" ht="15.75" customHeight="1">
      <c r="A793" s="204" t="str">
        <f>IF(B793&lt;&gt;"",IF(AND(B793&gt;=_TM1,B793&lt;=_TM2,OR(TH!L793="1111",TH!M793="1111")),TH!D793,""),"")</f>
        <v/>
      </c>
      <c r="B793" s="36">
        <f t="shared" si="169"/>
        <v>9</v>
      </c>
      <c r="C793" s="191">
        <f t="shared" si="170"/>
        <v>41523</v>
      </c>
      <c r="D793" s="184" t="s">
        <v>1086</v>
      </c>
      <c r="E793" s="191">
        <v>41523</v>
      </c>
      <c r="F793" s="192" t="s">
        <v>726</v>
      </c>
      <c r="G793" s="192" t="s">
        <v>1120</v>
      </c>
      <c r="H793" s="813" t="s">
        <v>536</v>
      </c>
      <c r="I793" s="256"/>
      <c r="J793" s="256"/>
      <c r="K793" s="38">
        <v>1397500</v>
      </c>
      <c r="L793" s="194" t="s">
        <v>265</v>
      </c>
      <c r="M793" s="194" t="s">
        <v>430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>x</v>
      </c>
      <c r="AA793" s="853"/>
      <c r="AB793" s="211"/>
      <c r="AC793" s="594" t="str">
        <f t="shared" ref="AC793:AC795" si="172">IF(VLOOKUP(H793,DS_131,1,0)&lt;&gt;"","","x")</f>
        <v/>
      </c>
      <c r="AD793" s="211"/>
    </row>
    <row r="794" spans="1:30" ht="15.75" customHeight="1">
      <c r="A794" s="204" t="str">
        <f>IF(B794&lt;&gt;"",IF(AND(B794&gt;=_TM1,B794&lt;=_TM2,OR(TH!L794="1111",TH!M794="1111")),TH!D794,""),"")</f>
        <v/>
      </c>
      <c r="B794" s="36">
        <f t="shared" si="169"/>
        <v>9</v>
      </c>
      <c r="C794" s="191">
        <f t="shared" si="170"/>
        <v>41526</v>
      </c>
      <c r="D794" s="184" t="s">
        <v>1087</v>
      </c>
      <c r="E794" s="191">
        <v>41526</v>
      </c>
      <c r="F794" s="192" t="s">
        <v>1137</v>
      </c>
      <c r="G794" s="192" t="s">
        <v>1123</v>
      </c>
      <c r="H794" s="7" t="s">
        <v>433</v>
      </c>
      <c r="I794" s="256">
        <v>990</v>
      </c>
      <c r="J794" s="256">
        <v>6250</v>
      </c>
      <c r="K794" s="38">
        <f>ROUND(I794*J794,0)</f>
        <v>6187500</v>
      </c>
      <c r="L794" s="194" t="s">
        <v>265</v>
      </c>
      <c r="M794" s="194" t="s">
        <v>175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>x</v>
      </c>
      <c r="AA794" s="853"/>
      <c r="AB794" s="211"/>
      <c r="AC794" s="594"/>
      <c r="AD794" s="211"/>
    </row>
    <row r="795" spans="1:30" s="211" customFormat="1" ht="15.75" customHeight="1">
      <c r="A795" s="204" t="str">
        <f>IF(B795&lt;&gt;"",IF(AND(B795&gt;=_TM1,B795&lt;=_TM2,OR(TH!L795="1111",TH!M795="1111")),TH!D795,""),"")</f>
        <v/>
      </c>
      <c r="B795" s="36">
        <f t="shared" si="169"/>
        <v>9</v>
      </c>
      <c r="C795" s="191">
        <f t="shared" si="170"/>
        <v>41526</v>
      </c>
      <c r="D795" s="184" t="s">
        <v>1087</v>
      </c>
      <c r="E795" s="191">
        <v>41526</v>
      </c>
      <c r="F795" s="192" t="s">
        <v>726</v>
      </c>
      <c r="G795" s="192" t="s">
        <v>1123</v>
      </c>
      <c r="H795" s="7" t="s">
        <v>433</v>
      </c>
      <c r="I795" s="256"/>
      <c r="J795" s="256"/>
      <c r="K795" s="38">
        <v>618750</v>
      </c>
      <c r="L795" s="194" t="s">
        <v>265</v>
      </c>
      <c r="M795" s="194" t="s">
        <v>430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>x</v>
      </c>
      <c r="AA795" s="886"/>
      <c r="AC795" s="594" t="str">
        <f t="shared" si="172"/>
        <v/>
      </c>
    </row>
    <row r="796" spans="1:30" ht="15.75" customHeight="1">
      <c r="A796" s="204" t="str">
        <f>IF(B796&lt;&gt;"",IF(AND(B796&gt;=_TM1,B796&lt;=_TM2,OR(TH!L796="1111",TH!M796="1111")),TH!D796,""),"")</f>
        <v/>
      </c>
      <c r="B796" s="36">
        <f t="shared" ref="B796:B800" si="173">IF(C796&lt;&gt;"",MONTH(C796),"")</f>
        <v>9</v>
      </c>
      <c r="C796" s="191">
        <f t="shared" ref="C796:C800" si="174">E796</f>
        <v>41526</v>
      </c>
      <c r="D796" s="184" t="s">
        <v>1088</v>
      </c>
      <c r="E796" s="191">
        <v>41526</v>
      </c>
      <c r="F796" s="192" t="s">
        <v>867</v>
      </c>
      <c r="G796" s="192" t="s">
        <v>1124</v>
      </c>
      <c r="H796" s="7" t="s">
        <v>582</v>
      </c>
      <c r="I796" s="256">
        <v>505</v>
      </c>
      <c r="J796" s="256">
        <v>20300</v>
      </c>
      <c r="K796" s="38">
        <f>ROUND(I796*J796,0)</f>
        <v>10251500</v>
      </c>
      <c r="L796" s="194" t="s">
        <v>265</v>
      </c>
      <c r="M796" s="194" t="s">
        <v>175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>x</v>
      </c>
      <c r="AA796" s="853"/>
      <c r="AB796" s="211"/>
      <c r="AC796" s="594"/>
      <c r="AD796" s="211"/>
    </row>
    <row r="797" spans="1:30" s="211" customFormat="1" ht="15.75" customHeight="1">
      <c r="A797" s="204" t="str">
        <f>IF(B797&lt;&gt;"",IF(AND(B797&gt;=_TM1,B797&lt;=_TM2,OR(TH!L797="1111",TH!M797="1111")),TH!D797,""),"")</f>
        <v/>
      </c>
      <c r="B797" s="36">
        <f t="shared" si="173"/>
        <v>9</v>
      </c>
      <c r="C797" s="191">
        <f t="shared" si="174"/>
        <v>41526</v>
      </c>
      <c r="D797" s="184" t="s">
        <v>1088</v>
      </c>
      <c r="E797" s="191">
        <v>41526</v>
      </c>
      <c r="F797" s="192" t="s">
        <v>726</v>
      </c>
      <c r="G797" s="192" t="s">
        <v>1124</v>
      </c>
      <c r="H797" s="7" t="s">
        <v>582</v>
      </c>
      <c r="I797" s="256"/>
      <c r="J797" s="256"/>
      <c r="K797" s="38">
        <v>1025150</v>
      </c>
      <c r="L797" s="194" t="s">
        <v>265</v>
      </c>
      <c r="M797" s="194" t="s">
        <v>430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>x</v>
      </c>
      <c r="AA797" s="886"/>
      <c r="AC797" s="594" t="str">
        <f t="shared" ref="AC797:AC800" si="175">IF(VLOOKUP(H797,DS_131,1,0)&lt;&gt;"","","x")</f>
        <v/>
      </c>
    </row>
    <row r="798" spans="1:30" ht="15.75" customHeight="1">
      <c r="A798" s="204" t="str">
        <f>IF(B798&lt;&gt;"",IF(AND(B798&gt;=_TM1,B798&lt;=_TM2,OR(TH!L798="1111",TH!M798="1111")),TH!D798,""),"")</f>
        <v/>
      </c>
      <c r="B798" s="36">
        <f t="shared" si="173"/>
        <v>9</v>
      </c>
      <c r="C798" s="191">
        <f t="shared" si="174"/>
        <v>41526</v>
      </c>
      <c r="D798" s="184" t="s">
        <v>1089</v>
      </c>
      <c r="E798" s="191">
        <v>41526</v>
      </c>
      <c r="F798" s="192" t="s">
        <v>940</v>
      </c>
      <c r="G798" s="192" t="s">
        <v>1125</v>
      </c>
      <c r="H798" s="7" t="s">
        <v>550</v>
      </c>
      <c r="I798" s="256">
        <v>585</v>
      </c>
      <c r="J798" s="256">
        <v>18600</v>
      </c>
      <c r="K798" s="38">
        <f t="shared" ref="K798:K799" si="176">ROUND(I798*J798,0)</f>
        <v>10881000</v>
      </c>
      <c r="L798" s="194" t="s">
        <v>265</v>
      </c>
      <c r="M798" s="194" t="s">
        <v>175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>x</v>
      </c>
      <c r="AA798" s="853"/>
      <c r="AB798" s="211"/>
      <c r="AC798" s="594"/>
      <c r="AD798" s="211"/>
    </row>
    <row r="799" spans="1:30" ht="15.75" customHeight="1">
      <c r="A799" s="204" t="str">
        <f>IF(B799&lt;&gt;"",IF(AND(B799&gt;=_TM1,B799&lt;=_TM2,OR(TH!L799="1111",TH!M799="1111")),TH!D799,""),"")</f>
        <v/>
      </c>
      <c r="B799" s="36">
        <f t="shared" si="173"/>
        <v>9</v>
      </c>
      <c r="C799" s="191">
        <f t="shared" si="174"/>
        <v>41526</v>
      </c>
      <c r="D799" s="184" t="s">
        <v>1089</v>
      </c>
      <c r="E799" s="191">
        <v>41526</v>
      </c>
      <c r="F799" s="192" t="s">
        <v>942</v>
      </c>
      <c r="G799" s="192" t="s">
        <v>1125</v>
      </c>
      <c r="H799" s="7" t="s">
        <v>550</v>
      </c>
      <c r="I799" s="256">
        <v>300</v>
      </c>
      <c r="J799" s="256">
        <v>16300</v>
      </c>
      <c r="K799" s="38">
        <f t="shared" si="176"/>
        <v>4890000</v>
      </c>
      <c r="L799" s="194" t="s">
        <v>265</v>
      </c>
      <c r="M799" s="194" t="s">
        <v>175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>x</v>
      </c>
      <c r="AA799" s="853"/>
      <c r="AB799" s="211"/>
      <c r="AC799" s="594"/>
      <c r="AD799" s="211"/>
    </row>
    <row r="800" spans="1:30" ht="15.75" customHeight="1">
      <c r="A800" s="204" t="str">
        <f>IF(B800&lt;&gt;"",IF(AND(B800&gt;=_TM1,B800&lt;=_TM2,OR(TH!L800="1111",TH!M800="1111")),TH!D800,""),"")</f>
        <v/>
      </c>
      <c r="B800" s="36">
        <f t="shared" si="173"/>
        <v>9</v>
      </c>
      <c r="C800" s="191">
        <f t="shared" si="174"/>
        <v>41526</v>
      </c>
      <c r="D800" s="184" t="s">
        <v>1089</v>
      </c>
      <c r="E800" s="191">
        <v>41526</v>
      </c>
      <c r="F800" s="192" t="s">
        <v>726</v>
      </c>
      <c r="G800" s="192" t="s">
        <v>1125</v>
      </c>
      <c r="H800" s="7" t="s">
        <v>550</v>
      </c>
      <c r="I800" s="256"/>
      <c r="J800" s="256"/>
      <c r="K800" s="38">
        <v>1577100</v>
      </c>
      <c r="L800" s="194" t="s">
        <v>265</v>
      </c>
      <c r="M800" s="194" t="s">
        <v>430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>x</v>
      </c>
      <c r="AA800" s="853"/>
      <c r="AB800" s="211"/>
      <c r="AC800" s="594" t="str">
        <f t="shared" si="175"/>
        <v/>
      </c>
      <c r="AD800" s="211"/>
    </row>
    <row r="801" spans="1:30" ht="15.75" customHeight="1">
      <c r="A801" s="204" t="str">
        <f>IF(B801&lt;&gt;"",IF(AND(B801&gt;=_TM1,B801&lt;=_TM2,OR(TH!L801="1111",TH!M801="1111")),TH!D801,""),"")</f>
        <v/>
      </c>
      <c r="B801" s="36">
        <f t="shared" si="153"/>
        <v>9</v>
      </c>
      <c r="C801" s="191">
        <f t="shared" si="154"/>
        <v>41526</v>
      </c>
      <c r="D801" s="184" t="s">
        <v>1090</v>
      </c>
      <c r="E801" s="191">
        <v>41526</v>
      </c>
      <c r="F801" s="192" t="s">
        <v>1150</v>
      </c>
      <c r="G801" s="192" t="s">
        <v>924</v>
      </c>
      <c r="H801" s="7" t="s">
        <v>896</v>
      </c>
      <c r="I801" s="256">
        <v>2680</v>
      </c>
      <c r="J801" s="256">
        <v>4700</v>
      </c>
      <c r="K801" s="38">
        <f>ROUND(I801*J801,0)</f>
        <v>12596000</v>
      </c>
      <c r="L801" s="194" t="s">
        <v>265</v>
      </c>
      <c r="M801" s="194" t="s">
        <v>175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>x</v>
      </c>
      <c r="AA801" s="853"/>
      <c r="AB801" s="211"/>
      <c r="AC801" s="594"/>
      <c r="AD801" s="211"/>
    </row>
    <row r="802" spans="1:30" s="211" customFormat="1" ht="15.75" customHeight="1">
      <c r="A802" s="204" t="str">
        <f>IF(B802&lt;&gt;"",IF(AND(B802&gt;=_TM1,B802&lt;=_TM2,OR(TH!L802="1111",TH!M802="1111")),TH!D802,""),"")</f>
        <v/>
      </c>
      <c r="B802" s="36">
        <f t="shared" si="153"/>
        <v>9</v>
      </c>
      <c r="C802" s="191">
        <f t="shared" si="154"/>
        <v>41526</v>
      </c>
      <c r="D802" s="184" t="s">
        <v>1090</v>
      </c>
      <c r="E802" s="191">
        <v>41526</v>
      </c>
      <c r="F802" s="192" t="s">
        <v>726</v>
      </c>
      <c r="G802" s="192" t="s">
        <v>924</v>
      </c>
      <c r="H802" s="7" t="s">
        <v>896</v>
      </c>
      <c r="I802" s="256"/>
      <c r="J802" s="256"/>
      <c r="K802" s="38">
        <v>1259600</v>
      </c>
      <c r="L802" s="194" t="s">
        <v>265</v>
      </c>
      <c r="M802" s="194" t="s">
        <v>430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>x</v>
      </c>
      <c r="AA802" s="886"/>
      <c r="AC802" s="594" t="str">
        <f t="shared" si="151"/>
        <v/>
      </c>
    </row>
    <row r="803" spans="1:30" ht="15.75" customHeight="1">
      <c r="A803" s="204" t="str">
        <f>IF(B803&lt;&gt;"",IF(AND(B803&gt;=_TM1,B803&lt;=_TM2,OR(TH!L803="1111",TH!M803="1111")),TH!D803,""),"")</f>
        <v/>
      </c>
      <c r="B803" s="36">
        <f t="shared" si="153"/>
        <v>9</v>
      </c>
      <c r="C803" s="191">
        <f t="shared" si="154"/>
        <v>41528</v>
      </c>
      <c r="D803" s="184" t="s">
        <v>1091</v>
      </c>
      <c r="E803" s="191">
        <v>41528</v>
      </c>
      <c r="F803" s="192" t="s">
        <v>925</v>
      </c>
      <c r="G803" s="192" t="s">
        <v>926</v>
      </c>
      <c r="H803" s="7" t="s">
        <v>927</v>
      </c>
      <c r="I803" s="256">
        <v>100</v>
      </c>
      <c r="J803" s="256">
        <v>13000</v>
      </c>
      <c r="K803" s="38">
        <f t="shared" ref="K803:K804" si="177">ROUND(I803*J803,0)</f>
        <v>1300000</v>
      </c>
      <c r="L803" s="194" t="s">
        <v>265</v>
      </c>
      <c r="M803" s="194" t="s">
        <v>175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>x</v>
      </c>
      <c r="AA803" s="853"/>
      <c r="AB803" s="594"/>
      <c r="AC803" s="594"/>
      <c r="AD803" s="594"/>
    </row>
    <row r="804" spans="1:30" ht="15.75" customHeight="1">
      <c r="A804" s="204" t="str">
        <f>IF(B804&lt;&gt;"",IF(AND(B804&gt;=_TM1,B804&lt;=_TM2,OR(TH!L804="1111",TH!M804="1111")),TH!D804,""),"")</f>
        <v/>
      </c>
      <c r="B804" s="36">
        <f t="shared" si="153"/>
        <v>9</v>
      </c>
      <c r="C804" s="191">
        <f t="shared" si="154"/>
        <v>41528</v>
      </c>
      <c r="D804" s="184" t="s">
        <v>1091</v>
      </c>
      <c r="E804" s="191">
        <v>41528</v>
      </c>
      <c r="F804" s="192" t="s">
        <v>928</v>
      </c>
      <c r="G804" s="192" t="s">
        <v>926</v>
      </c>
      <c r="H804" s="7" t="s">
        <v>927</v>
      </c>
      <c r="I804" s="256">
        <v>102</v>
      </c>
      <c r="J804" s="256">
        <v>14600</v>
      </c>
      <c r="K804" s="38">
        <f t="shared" si="177"/>
        <v>1489200</v>
      </c>
      <c r="L804" s="194" t="s">
        <v>265</v>
      </c>
      <c r="M804" s="194" t="s">
        <v>175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>x</v>
      </c>
      <c r="AA804" s="853"/>
      <c r="AB804" s="211"/>
      <c r="AC804" s="594"/>
      <c r="AD804" s="211"/>
    </row>
    <row r="805" spans="1:30" ht="15.75" customHeight="1">
      <c r="A805" s="204" t="str">
        <f>IF(B805&lt;&gt;"",IF(AND(B805&gt;=_TM1,B805&lt;=_TM2,OR(TH!L805="1111",TH!M805="1111")),TH!D805,""),"")</f>
        <v/>
      </c>
      <c r="B805" s="36">
        <f t="shared" si="153"/>
        <v>9</v>
      </c>
      <c r="C805" s="191">
        <f t="shared" si="154"/>
        <v>41528</v>
      </c>
      <c r="D805" s="184" t="s">
        <v>1091</v>
      </c>
      <c r="E805" s="191">
        <v>41528</v>
      </c>
      <c r="F805" s="192" t="s">
        <v>726</v>
      </c>
      <c r="G805" s="192" t="s">
        <v>926</v>
      </c>
      <c r="H805" s="193" t="s">
        <v>927</v>
      </c>
      <c r="I805" s="256"/>
      <c r="J805" s="256"/>
      <c r="K805" s="38">
        <v>278920</v>
      </c>
      <c r="L805" s="194" t="s">
        <v>265</v>
      </c>
      <c r="M805" s="194" t="s">
        <v>430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>x</v>
      </c>
      <c r="AA805" s="853"/>
      <c r="AB805" s="594"/>
      <c r="AC805" s="594" t="str">
        <f t="shared" si="151"/>
        <v/>
      </c>
      <c r="AD805" s="211"/>
    </row>
    <row r="806" spans="1:30" ht="15.75" customHeight="1">
      <c r="A806" s="204" t="str">
        <f>IF(B806&lt;&gt;"",IF(AND(B806&gt;=_TM1,B806&lt;=_TM2,OR(TH!L806="1111",TH!M806="1111")),TH!D806,""),"")</f>
        <v/>
      </c>
      <c r="B806" s="36">
        <f t="shared" si="153"/>
        <v>9</v>
      </c>
      <c r="C806" s="191">
        <f t="shared" si="154"/>
        <v>41533</v>
      </c>
      <c r="D806" s="184" t="s">
        <v>1092</v>
      </c>
      <c r="E806" s="191">
        <v>41533</v>
      </c>
      <c r="F806" s="192" t="s">
        <v>838</v>
      </c>
      <c r="G806" s="192" t="s">
        <v>929</v>
      </c>
      <c r="H806" s="193" t="s">
        <v>743</v>
      </c>
      <c r="I806" s="256">
        <v>992</v>
      </c>
      <c r="J806" s="256">
        <v>10500</v>
      </c>
      <c r="K806" s="38">
        <f>ROUND(I806*J806,0)</f>
        <v>10416000</v>
      </c>
      <c r="L806" s="194" t="s">
        <v>265</v>
      </c>
      <c r="M806" s="194" t="s">
        <v>175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>x</v>
      </c>
      <c r="AA806" s="853"/>
      <c r="AB806" s="211"/>
      <c r="AC806" s="594"/>
      <c r="AD806" s="211"/>
    </row>
    <row r="807" spans="1:30" ht="15.75" customHeight="1">
      <c r="A807" s="204" t="str">
        <f>IF(B807&lt;&gt;"",IF(AND(B807&gt;=_TM1,B807&lt;=_TM2,OR(TH!L807="1111",TH!M807="1111")),TH!D807,""),"")</f>
        <v/>
      </c>
      <c r="B807" s="36">
        <f t="shared" si="153"/>
        <v>9</v>
      </c>
      <c r="C807" s="191">
        <f t="shared" si="154"/>
        <v>41533</v>
      </c>
      <c r="D807" s="184" t="s">
        <v>1092</v>
      </c>
      <c r="E807" s="191">
        <v>41533</v>
      </c>
      <c r="F807" s="192" t="s">
        <v>726</v>
      </c>
      <c r="G807" s="487" t="s">
        <v>929</v>
      </c>
      <c r="H807" s="193" t="s">
        <v>743</v>
      </c>
      <c r="I807" s="256"/>
      <c r="J807" s="256"/>
      <c r="K807" s="38">
        <v>1041600</v>
      </c>
      <c r="L807" s="194" t="s">
        <v>265</v>
      </c>
      <c r="M807" s="194" t="s">
        <v>430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>x</v>
      </c>
      <c r="AA807" s="853"/>
      <c r="AB807" s="594"/>
      <c r="AC807" s="594" t="str">
        <f t="shared" si="151"/>
        <v/>
      </c>
      <c r="AD807" s="211"/>
    </row>
    <row r="808" spans="1:30" ht="15.75" customHeight="1">
      <c r="A808" s="204" t="str">
        <f>IF(B808&lt;&gt;"",IF(AND(B808&gt;=_TM1,B808&lt;=_TM2,OR(TH!L808="1111",TH!M808="1111")),TH!D808,""),"")</f>
        <v/>
      </c>
      <c r="B808" s="36">
        <f t="shared" si="153"/>
        <v>9</v>
      </c>
      <c r="C808" s="191">
        <f t="shared" si="154"/>
        <v>41535</v>
      </c>
      <c r="D808" s="184" t="s">
        <v>1093</v>
      </c>
      <c r="E808" s="191">
        <v>41535</v>
      </c>
      <c r="F808" s="192" t="s">
        <v>867</v>
      </c>
      <c r="G808" s="487" t="s">
        <v>930</v>
      </c>
      <c r="H808" s="7" t="s">
        <v>582</v>
      </c>
      <c r="I808" s="256">
        <v>496</v>
      </c>
      <c r="J808" s="256">
        <v>20300</v>
      </c>
      <c r="K808" s="38">
        <f>ROUND(I808*J808,0)</f>
        <v>10068800</v>
      </c>
      <c r="L808" s="194" t="s">
        <v>265</v>
      </c>
      <c r="M808" s="194" t="s">
        <v>175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>x</v>
      </c>
      <c r="AA808" s="853"/>
      <c r="AB808" s="211"/>
      <c r="AC808" s="594"/>
      <c r="AD808" s="211"/>
    </row>
    <row r="809" spans="1:30" ht="15.75" customHeight="1">
      <c r="A809" s="204" t="str">
        <f>IF(B809&lt;&gt;"",IF(AND(B809&gt;=_TM1,B809&lt;=_TM2,OR(TH!L809="1111",TH!M809="1111")),TH!D809,""),"")</f>
        <v/>
      </c>
      <c r="B809" s="36">
        <f t="shared" si="153"/>
        <v>9</v>
      </c>
      <c r="C809" s="191">
        <f t="shared" si="154"/>
        <v>41535</v>
      </c>
      <c r="D809" s="184" t="s">
        <v>1093</v>
      </c>
      <c r="E809" s="191">
        <v>41535</v>
      </c>
      <c r="F809" s="192" t="s">
        <v>726</v>
      </c>
      <c r="G809" s="192" t="s">
        <v>930</v>
      </c>
      <c r="H809" s="7" t="s">
        <v>582</v>
      </c>
      <c r="I809" s="256"/>
      <c r="J809" s="256"/>
      <c r="K809" s="38">
        <v>1006880</v>
      </c>
      <c r="L809" s="194" t="s">
        <v>265</v>
      </c>
      <c r="M809" s="194" t="s">
        <v>430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>x</v>
      </c>
      <c r="AA809" s="853"/>
      <c r="AB809" s="594"/>
      <c r="AC809" s="594" t="str">
        <f t="shared" si="151"/>
        <v/>
      </c>
      <c r="AD809" s="211"/>
    </row>
    <row r="810" spans="1:30" ht="15.75" customHeight="1">
      <c r="A810" s="204" t="str">
        <f>IF(B810&lt;&gt;"",IF(AND(B810&gt;=_TM1,B810&lt;=_TM2,OR(TH!L810="1111",TH!M810="1111")),TH!D810,""),"")</f>
        <v/>
      </c>
      <c r="B810" s="36">
        <f t="shared" si="153"/>
        <v>9</v>
      </c>
      <c r="C810" s="191">
        <f t="shared" si="154"/>
        <v>41536</v>
      </c>
      <c r="D810" s="184" t="s">
        <v>1094</v>
      </c>
      <c r="E810" s="191">
        <v>41536</v>
      </c>
      <c r="F810" s="192" t="s">
        <v>931</v>
      </c>
      <c r="G810" s="192" t="s">
        <v>932</v>
      </c>
      <c r="H810" s="7" t="s">
        <v>544</v>
      </c>
      <c r="I810" s="256">
        <v>294</v>
      </c>
      <c r="J810" s="256">
        <v>4870</v>
      </c>
      <c r="K810" s="38">
        <f>ROUND(I810*J810,0)</f>
        <v>1431780</v>
      </c>
      <c r="L810" s="194" t="s">
        <v>265</v>
      </c>
      <c r="M810" s="194" t="s">
        <v>175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>x</v>
      </c>
      <c r="AA810" s="853"/>
      <c r="AB810" s="211"/>
      <c r="AC810" s="594"/>
      <c r="AD810" s="211"/>
    </row>
    <row r="811" spans="1:30" ht="15.75" customHeight="1">
      <c r="A811" s="204" t="str">
        <f>IF(B811&lt;&gt;"",IF(AND(B811&gt;=_TM1,B811&lt;=_TM2,OR(TH!L811="1111",TH!M811="1111")),TH!D811,""),"")</f>
        <v/>
      </c>
      <c r="B811" s="36">
        <f t="shared" si="153"/>
        <v>9</v>
      </c>
      <c r="C811" s="191">
        <f t="shared" si="154"/>
        <v>41536</v>
      </c>
      <c r="D811" s="184" t="s">
        <v>1094</v>
      </c>
      <c r="E811" s="191">
        <v>41536</v>
      </c>
      <c r="F811" s="192" t="s">
        <v>726</v>
      </c>
      <c r="G811" s="192" t="s">
        <v>932</v>
      </c>
      <c r="H811" s="193" t="s">
        <v>544</v>
      </c>
      <c r="I811" s="256"/>
      <c r="J811" s="256"/>
      <c r="K811" s="38">
        <v>143178</v>
      </c>
      <c r="L811" s="194" t="s">
        <v>265</v>
      </c>
      <c r="M811" s="194" t="s">
        <v>430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>x</v>
      </c>
      <c r="AA811" s="853"/>
      <c r="AB811" s="594"/>
      <c r="AC811" s="594" t="str">
        <f t="shared" si="151"/>
        <v/>
      </c>
      <c r="AD811" s="211"/>
    </row>
    <row r="812" spans="1:30" ht="15.75" customHeight="1">
      <c r="A812" s="204" t="str">
        <f>IF(B812&lt;&gt;"",IF(AND(B812&gt;=_TM1,B812&lt;=_TM2,OR(TH!L812="1111",TH!M812="1111")),TH!D812,""),"")</f>
        <v/>
      </c>
      <c r="B812" s="36">
        <f t="shared" si="153"/>
        <v>9</v>
      </c>
      <c r="C812" s="191">
        <f t="shared" si="154"/>
        <v>41537</v>
      </c>
      <c r="D812" s="184" t="s">
        <v>1095</v>
      </c>
      <c r="E812" s="191">
        <v>41537</v>
      </c>
      <c r="F812" s="192" t="s">
        <v>887</v>
      </c>
      <c r="G812" s="487" t="s">
        <v>933</v>
      </c>
      <c r="H812" s="193" t="s">
        <v>865</v>
      </c>
      <c r="I812" s="256">
        <v>510</v>
      </c>
      <c r="J812" s="256">
        <v>8200</v>
      </c>
      <c r="K812" s="38">
        <f>ROUND(I812*J812,0)</f>
        <v>4182000</v>
      </c>
      <c r="L812" s="194" t="s">
        <v>265</v>
      </c>
      <c r="M812" s="194" t="s">
        <v>175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>x</v>
      </c>
      <c r="AA812" s="853"/>
      <c r="AB812" s="211"/>
      <c r="AC812" s="594"/>
      <c r="AD812" s="211"/>
    </row>
    <row r="813" spans="1:30" ht="15.75" customHeight="1">
      <c r="A813" s="204" t="str">
        <f>IF(B813&lt;&gt;"",IF(AND(B813&gt;=_TM1,B813&lt;=_TM2,OR(TH!L813="1111",TH!M813="1111")),TH!D813,""),"")</f>
        <v/>
      </c>
      <c r="B813" s="36">
        <f t="shared" si="153"/>
        <v>9</v>
      </c>
      <c r="C813" s="191">
        <f t="shared" si="154"/>
        <v>41537</v>
      </c>
      <c r="D813" s="184" t="s">
        <v>1095</v>
      </c>
      <c r="E813" s="191">
        <v>41537</v>
      </c>
      <c r="F813" s="192" t="s">
        <v>726</v>
      </c>
      <c r="G813" s="487" t="s">
        <v>933</v>
      </c>
      <c r="H813" s="193" t="s">
        <v>865</v>
      </c>
      <c r="I813" s="256"/>
      <c r="J813" s="256"/>
      <c r="K813" s="38">
        <v>418200</v>
      </c>
      <c r="L813" s="194" t="s">
        <v>265</v>
      </c>
      <c r="M813" s="194" t="s">
        <v>430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>x</v>
      </c>
      <c r="AA813" s="853"/>
      <c r="AB813" s="211"/>
      <c r="AC813" s="594" t="str">
        <f t="shared" si="151"/>
        <v/>
      </c>
      <c r="AD813" s="211"/>
    </row>
    <row r="814" spans="1:30" ht="15.75" customHeight="1">
      <c r="A814" s="204" t="str">
        <f>IF(B814&lt;&gt;"",IF(AND(B814&gt;=_TM1,B814&lt;=_TM2,OR(TH!L814="1111",TH!M814="1111")),TH!D814,""),"")</f>
        <v/>
      </c>
      <c r="B814" s="36">
        <f t="shared" si="153"/>
        <v>9</v>
      </c>
      <c r="C814" s="191">
        <f t="shared" si="154"/>
        <v>41538</v>
      </c>
      <c r="D814" s="184" t="s">
        <v>1096</v>
      </c>
      <c r="E814" s="191">
        <v>41538</v>
      </c>
      <c r="F814" s="192" t="s">
        <v>744</v>
      </c>
      <c r="G814" s="487" t="s">
        <v>934</v>
      </c>
      <c r="H814" s="193" t="s">
        <v>746</v>
      </c>
      <c r="I814" s="256">
        <v>331</v>
      </c>
      <c r="J814" s="256">
        <v>25000</v>
      </c>
      <c r="K814" s="38">
        <f>ROUND(I814*J814,0)</f>
        <v>8275000</v>
      </c>
      <c r="L814" s="194" t="s">
        <v>265</v>
      </c>
      <c r="M814" s="194" t="s">
        <v>175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>x</v>
      </c>
      <c r="AA814" s="853"/>
      <c r="AC814" s="594"/>
    </row>
    <row r="815" spans="1:30" ht="15.75" customHeight="1">
      <c r="A815" s="204" t="str">
        <f>IF(B815&lt;&gt;"",IF(AND(B815&gt;=_TM1,B815&lt;=_TM2,OR(TH!L815="1111",TH!M815="1111")),TH!D815,""),"")</f>
        <v/>
      </c>
      <c r="B815" s="36">
        <f t="shared" si="153"/>
        <v>9</v>
      </c>
      <c r="C815" s="191">
        <f t="shared" si="154"/>
        <v>41538</v>
      </c>
      <c r="D815" s="184" t="s">
        <v>1096</v>
      </c>
      <c r="E815" s="191">
        <v>41538</v>
      </c>
      <c r="F815" s="192" t="s">
        <v>726</v>
      </c>
      <c r="G815" s="487" t="s">
        <v>934</v>
      </c>
      <c r="H815" s="193" t="s">
        <v>746</v>
      </c>
      <c r="I815" s="256"/>
      <c r="J815" s="256"/>
      <c r="K815" s="38">
        <v>827500</v>
      </c>
      <c r="L815" s="194" t="s">
        <v>265</v>
      </c>
      <c r="M815" s="194" t="s">
        <v>430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>x</v>
      </c>
      <c r="AA815" s="853"/>
      <c r="AC815" s="594" t="str">
        <f t="shared" si="151"/>
        <v/>
      </c>
    </row>
    <row r="816" spans="1:30" ht="15.75" customHeight="1">
      <c r="A816" s="204" t="str">
        <f>IF(B816&lt;&gt;"",IF(AND(B816&gt;=_TM1,B816&lt;=_TM2,OR(TH!L816="1111",TH!M816="1111")),TH!D816,""),"")</f>
        <v/>
      </c>
      <c r="B816" s="36">
        <f t="shared" ref="B816:B817" si="178">IF(C816&lt;&gt;"",MONTH(C816),"")</f>
        <v>9</v>
      </c>
      <c r="C816" s="191">
        <f t="shared" ref="C816:C817" si="179">E816</f>
        <v>41540</v>
      </c>
      <c r="D816" s="184" t="s">
        <v>1097</v>
      </c>
      <c r="E816" s="191">
        <v>41540</v>
      </c>
      <c r="F816" s="192" t="s">
        <v>885</v>
      </c>
      <c r="G816" s="487" t="s">
        <v>1126</v>
      </c>
      <c r="H816" s="7" t="s">
        <v>543</v>
      </c>
      <c r="I816" s="256">
        <v>430</v>
      </c>
      <c r="J816" s="256">
        <v>8600</v>
      </c>
      <c r="K816" s="38">
        <f>ROUND(I816*J816,0)</f>
        <v>3698000</v>
      </c>
      <c r="L816" s="194" t="s">
        <v>265</v>
      </c>
      <c r="M816" s="194" t="s">
        <v>175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>x</v>
      </c>
      <c r="AA816" s="853"/>
      <c r="AC816" s="594"/>
    </row>
    <row r="817" spans="1:30" ht="15.75" customHeight="1">
      <c r="A817" s="204" t="str">
        <f>IF(B817&lt;&gt;"",IF(AND(B817&gt;=_TM1,B817&lt;=_TM2,OR(TH!L817="1111",TH!M817="1111")),TH!D817,""),"")</f>
        <v/>
      </c>
      <c r="B817" s="36">
        <f t="shared" si="178"/>
        <v>9</v>
      </c>
      <c r="C817" s="191">
        <f t="shared" si="179"/>
        <v>41540</v>
      </c>
      <c r="D817" s="184" t="s">
        <v>1097</v>
      </c>
      <c r="E817" s="191">
        <v>41540</v>
      </c>
      <c r="F817" s="192" t="s">
        <v>1134</v>
      </c>
      <c r="G817" s="487" t="s">
        <v>1126</v>
      </c>
      <c r="H817" s="7" t="s">
        <v>543</v>
      </c>
      <c r="I817" s="256">
        <v>200</v>
      </c>
      <c r="J817" s="256">
        <v>12900</v>
      </c>
      <c r="K817" s="38">
        <f>ROUND(I817*J817,0)</f>
        <v>2580000</v>
      </c>
      <c r="L817" s="194" t="s">
        <v>265</v>
      </c>
      <c r="M817" s="194" t="s">
        <v>175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>x</v>
      </c>
      <c r="AA817" s="853"/>
      <c r="AC817" s="594"/>
    </row>
    <row r="818" spans="1:30" ht="15.75" customHeight="1">
      <c r="A818" s="204" t="str">
        <f>IF(B818&lt;&gt;"",IF(AND(B818&gt;=_TM1,B818&lt;=_TM2,OR(TH!L818="1111",TH!M818="1111")),TH!D818,""),"")</f>
        <v/>
      </c>
      <c r="B818" s="36">
        <f t="shared" si="153"/>
        <v>9</v>
      </c>
      <c r="C818" s="191">
        <f t="shared" si="154"/>
        <v>41540</v>
      </c>
      <c r="D818" s="184" t="s">
        <v>1097</v>
      </c>
      <c r="E818" s="191">
        <v>41540</v>
      </c>
      <c r="F818" s="192" t="s">
        <v>1132</v>
      </c>
      <c r="G818" s="487" t="s">
        <v>1126</v>
      </c>
      <c r="H818" s="7" t="s">
        <v>543</v>
      </c>
      <c r="I818" s="256">
        <v>108</v>
      </c>
      <c r="J818" s="256">
        <v>13500</v>
      </c>
      <c r="K818" s="38">
        <f>ROUND(I818*J818,0)</f>
        <v>1458000</v>
      </c>
      <c r="L818" s="194" t="s">
        <v>265</v>
      </c>
      <c r="M818" s="194" t="s">
        <v>175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>x</v>
      </c>
      <c r="AA818" s="853"/>
      <c r="AC818" s="594"/>
    </row>
    <row r="819" spans="1:30" ht="15.75" customHeight="1">
      <c r="A819" s="204" t="str">
        <f>IF(B819&lt;&gt;"",IF(AND(B819&gt;=_TM1,B819&lt;=_TM2,OR(TH!L819="1111",TH!M819="1111")),TH!D819,""),"")</f>
        <v/>
      </c>
      <c r="B819" s="36">
        <f t="shared" ref="B819:B820" si="180">IF(C819&lt;&gt;"",MONTH(C819),"")</f>
        <v>9</v>
      </c>
      <c r="C819" s="191">
        <f t="shared" ref="C819:C820" si="181">E819</f>
        <v>41540</v>
      </c>
      <c r="D819" s="184" t="s">
        <v>1097</v>
      </c>
      <c r="E819" s="191">
        <v>41540</v>
      </c>
      <c r="F819" s="192" t="s">
        <v>1135</v>
      </c>
      <c r="G819" s="487" t="s">
        <v>1126</v>
      </c>
      <c r="H819" s="7" t="s">
        <v>543</v>
      </c>
      <c r="I819" s="256">
        <v>257</v>
      </c>
      <c r="J819" s="256">
        <v>7000</v>
      </c>
      <c r="K819" s="38">
        <f>ROUND(I819*J819,0)</f>
        <v>1799000</v>
      </c>
      <c r="L819" s="194" t="s">
        <v>265</v>
      </c>
      <c r="M819" s="194" t="s">
        <v>175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>x</v>
      </c>
      <c r="AA819" s="853"/>
      <c r="AC819" s="594"/>
    </row>
    <row r="820" spans="1:30" ht="15.75" customHeight="1">
      <c r="A820" s="204" t="str">
        <f>IF(B820&lt;&gt;"",IF(AND(B820&gt;=_TM1,B820&lt;=_TM2,OR(TH!L820="1111",TH!M820="1111")),TH!D820,""),"")</f>
        <v/>
      </c>
      <c r="B820" s="36">
        <f t="shared" si="180"/>
        <v>9</v>
      </c>
      <c r="C820" s="191">
        <f t="shared" si="181"/>
        <v>41540</v>
      </c>
      <c r="D820" s="184" t="s">
        <v>1097</v>
      </c>
      <c r="E820" s="191">
        <v>41540</v>
      </c>
      <c r="F820" s="192" t="s">
        <v>726</v>
      </c>
      <c r="G820" s="487" t="s">
        <v>1126</v>
      </c>
      <c r="H820" s="7" t="s">
        <v>543</v>
      </c>
      <c r="I820" s="256"/>
      <c r="J820" s="256"/>
      <c r="K820" s="38">
        <v>953500</v>
      </c>
      <c r="L820" s="194" t="s">
        <v>265</v>
      </c>
      <c r="M820" s="194" t="s">
        <v>430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>x</v>
      </c>
      <c r="AA820" s="853"/>
      <c r="AC820" s="594" t="str">
        <f t="shared" ref="AC820" si="182">IF(VLOOKUP(H820,DS_131,1,0)&lt;&gt;"","","x")</f>
        <v/>
      </c>
    </row>
    <row r="821" spans="1:30" ht="15.75" customHeight="1">
      <c r="A821" s="204" t="str">
        <f>IF(B821&lt;&gt;"",IF(AND(B821&gt;=_TM1,B821&lt;=_TM2,OR(TH!L821="1111",TH!M821="1111")),TH!D821,""),"")</f>
        <v/>
      </c>
      <c r="B821" s="36">
        <f t="shared" si="153"/>
        <v>9</v>
      </c>
      <c r="C821" s="191">
        <f t="shared" si="154"/>
        <v>41540</v>
      </c>
      <c r="D821" s="184" t="s">
        <v>1098</v>
      </c>
      <c r="E821" s="191">
        <v>41540</v>
      </c>
      <c r="F821" s="192" t="s">
        <v>817</v>
      </c>
      <c r="G821" s="487" t="s">
        <v>935</v>
      </c>
      <c r="H821" s="7" t="s">
        <v>1113</v>
      </c>
      <c r="I821" s="256">
        <v>424</v>
      </c>
      <c r="J821" s="256">
        <v>17300</v>
      </c>
      <c r="K821" s="38">
        <f>ROUND(I821*J821,0)</f>
        <v>7335200</v>
      </c>
      <c r="L821" s="194" t="s">
        <v>265</v>
      </c>
      <c r="M821" s="194" t="s">
        <v>175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>x</v>
      </c>
      <c r="AA821" s="853"/>
      <c r="AC821" s="594"/>
    </row>
    <row r="822" spans="1:30" ht="15.75" customHeight="1">
      <c r="A822" s="204" t="str">
        <f>IF(B822&lt;&gt;"",IF(AND(B822&gt;=_TM1,B822&lt;=_TM2,OR(TH!L822="1111",TH!M822="1111")),TH!D822,""),"")</f>
        <v/>
      </c>
      <c r="B822" s="36">
        <f t="shared" si="153"/>
        <v>9</v>
      </c>
      <c r="C822" s="191">
        <f t="shared" si="154"/>
        <v>41540</v>
      </c>
      <c r="D822" s="184" t="s">
        <v>1098</v>
      </c>
      <c r="E822" s="191">
        <v>41540</v>
      </c>
      <c r="F822" s="192" t="s">
        <v>726</v>
      </c>
      <c r="G822" s="487" t="s">
        <v>935</v>
      </c>
      <c r="H822" s="7" t="s">
        <v>1113</v>
      </c>
      <c r="I822" s="256"/>
      <c r="J822" s="256"/>
      <c r="K822" s="38">
        <v>733520</v>
      </c>
      <c r="L822" s="194" t="s">
        <v>265</v>
      </c>
      <c r="M822" s="194" t="s">
        <v>430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>x</v>
      </c>
      <c r="AA822" s="853"/>
      <c r="AC822" s="594" t="str">
        <f t="shared" si="151"/>
        <v/>
      </c>
    </row>
    <row r="823" spans="1:30" ht="15.75" customHeight="1">
      <c r="A823" s="204" t="str">
        <f>IF(B823&lt;&gt;"",IF(AND(B823&gt;=_TM1,B823&lt;=_TM2,OR(TH!L823="1111",TH!M823="1111")),TH!D823,""),"")</f>
        <v/>
      </c>
      <c r="B823" s="36">
        <f t="shared" si="153"/>
        <v>9</v>
      </c>
      <c r="C823" s="191">
        <f t="shared" si="154"/>
        <v>41540</v>
      </c>
      <c r="D823" s="184" t="s">
        <v>1099</v>
      </c>
      <c r="E823" s="191">
        <v>41540</v>
      </c>
      <c r="F823" s="192" t="s">
        <v>889</v>
      </c>
      <c r="G823" s="487" t="s">
        <v>936</v>
      </c>
      <c r="H823" s="7" t="s">
        <v>865</v>
      </c>
      <c r="I823" s="256">
        <v>980</v>
      </c>
      <c r="J823" s="256">
        <v>6300</v>
      </c>
      <c r="K823" s="38">
        <f>ROUND(I823*J823,0)</f>
        <v>6174000</v>
      </c>
      <c r="L823" s="194" t="s">
        <v>265</v>
      </c>
      <c r="M823" s="194" t="s">
        <v>175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>x</v>
      </c>
      <c r="AA823" s="853"/>
      <c r="AC823" s="594"/>
    </row>
    <row r="824" spans="1:30" ht="15.75" customHeight="1">
      <c r="A824" s="204" t="str">
        <f>IF(B824&lt;&gt;"",IF(AND(B824&gt;=_TM1,B824&lt;=_TM2,OR(TH!L824="1111",TH!M824="1111")),TH!D824,""),"")</f>
        <v/>
      </c>
      <c r="B824" s="36">
        <f t="shared" si="153"/>
        <v>9</v>
      </c>
      <c r="C824" s="191">
        <f t="shared" si="154"/>
        <v>41540</v>
      </c>
      <c r="D824" s="184" t="s">
        <v>1099</v>
      </c>
      <c r="E824" s="191">
        <v>41540</v>
      </c>
      <c r="F824" s="192" t="s">
        <v>726</v>
      </c>
      <c r="G824" s="487" t="s">
        <v>936</v>
      </c>
      <c r="H824" s="7" t="s">
        <v>865</v>
      </c>
      <c r="I824" s="256"/>
      <c r="J824" s="256"/>
      <c r="K824" s="38">
        <v>617400</v>
      </c>
      <c r="L824" s="194" t="s">
        <v>265</v>
      </c>
      <c r="M824" s="194" t="s">
        <v>430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>x</v>
      </c>
      <c r="AA824" s="853"/>
      <c r="AB824" s="211"/>
      <c r="AC824" s="594" t="str">
        <f t="shared" si="151"/>
        <v/>
      </c>
      <c r="AD824" s="211"/>
    </row>
    <row r="825" spans="1:30" ht="15.75" customHeight="1">
      <c r="A825" s="204" t="str">
        <f>IF(B825&lt;&gt;"",IF(AND(B825&gt;=_TM1,B825&lt;=_TM2,OR(TH!L825="1111",TH!M825="1111")),TH!D825,""),"")</f>
        <v/>
      </c>
      <c r="B825" s="36">
        <f t="shared" si="153"/>
        <v>9</v>
      </c>
      <c r="C825" s="191">
        <f t="shared" si="154"/>
        <v>41542</v>
      </c>
      <c r="D825" s="184" t="s">
        <v>1100</v>
      </c>
      <c r="E825" s="191">
        <v>41542</v>
      </c>
      <c r="F825" s="192" t="s">
        <v>1150</v>
      </c>
      <c r="G825" s="487" t="s">
        <v>937</v>
      </c>
      <c r="H825" s="7" t="s">
        <v>896</v>
      </c>
      <c r="I825" s="256">
        <v>2700</v>
      </c>
      <c r="J825" s="256">
        <v>4700</v>
      </c>
      <c r="K825" s="38">
        <f>ROUND(I825*J825,0)</f>
        <v>12690000</v>
      </c>
      <c r="L825" s="194" t="s">
        <v>265</v>
      </c>
      <c r="M825" s="194" t="s">
        <v>175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>x</v>
      </c>
      <c r="AA825" s="853"/>
      <c r="AB825" s="594"/>
      <c r="AC825" s="594"/>
      <c r="AD825" s="211"/>
    </row>
    <row r="826" spans="1:30" ht="15.75" customHeight="1">
      <c r="A826" s="204" t="str">
        <f>IF(B826&lt;&gt;"",IF(AND(B826&gt;=_TM1,B826&lt;=_TM2,OR(TH!L826="1111",TH!M826="1111")),TH!D826,""),"")</f>
        <v/>
      </c>
      <c r="B826" s="36">
        <f t="shared" si="153"/>
        <v>9</v>
      </c>
      <c r="C826" s="191">
        <f t="shared" si="154"/>
        <v>41542</v>
      </c>
      <c r="D826" s="184" t="s">
        <v>1100</v>
      </c>
      <c r="E826" s="191">
        <v>41542</v>
      </c>
      <c r="F826" s="192" t="s">
        <v>726</v>
      </c>
      <c r="G826" s="487" t="s">
        <v>937</v>
      </c>
      <c r="H826" s="193" t="s">
        <v>896</v>
      </c>
      <c r="I826" s="256"/>
      <c r="J826" s="256"/>
      <c r="K826" s="38">
        <v>1269000</v>
      </c>
      <c r="L826" s="194" t="s">
        <v>265</v>
      </c>
      <c r="M826" s="194" t="s">
        <v>430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>x</v>
      </c>
      <c r="AA826" s="853"/>
      <c r="AB826" s="211"/>
      <c r="AC826" s="594" t="str">
        <f t="shared" si="151"/>
        <v/>
      </c>
      <c r="AD826" s="666"/>
    </row>
    <row r="827" spans="1:30" ht="15.75" customHeight="1">
      <c r="A827" s="204" t="str">
        <f>IF(B827&lt;&gt;"",IF(AND(B827&gt;=_TM1,B827&lt;=_TM2,OR(TH!L827="1111",TH!M827="1111")),TH!D827,""),"")</f>
        <v/>
      </c>
      <c r="B827" s="36">
        <f t="shared" si="153"/>
        <v>9</v>
      </c>
      <c r="C827" s="191">
        <f t="shared" si="154"/>
        <v>41543</v>
      </c>
      <c r="D827" s="184" t="s">
        <v>1101</v>
      </c>
      <c r="E827" s="191">
        <v>41543</v>
      </c>
      <c r="F827" s="192" t="s">
        <v>1153</v>
      </c>
      <c r="G827" s="192" t="s">
        <v>938</v>
      </c>
      <c r="H827" s="193" t="s">
        <v>896</v>
      </c>
      <c r="I827" s="256">
        <v>3500</v>
      </c>
      <c r="J827" s="256">
        <v>4080</v>
      </c>
      <c r="K827" s="38">
        <f>ROUND(I827*J827,0)</f>
        <v>14280000</v>
      </c>
      <c r="L827" s="194" t="s">
        <v>265</v>
      </c>
      <c r="M827" s="194" t="s">
        <v>175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>x</v>
      </c>
      <c r="AA827" s="853"/>
      <c r="AB827" s="594"/>
      <c r="AC827" s="594"/>
      <c r="AD827" s="211"/>
    </row>
    <row r="828" spans="1:30" ht="15.75" customHeight="1">
      <c r="A828" s="204" t="str">
        <f>IF(B828&lt;&gt;"",IF(AND(B828&gt;=_TM1,B828&lt;=_TM2,OR(TH!L828="1111",TH!M828="1111")),TH!D828,""),"")</f>
        <v/>
      </c>
      <c r="B828" s="36">
        <f t="shared" si="153"/>
        <v>9</v>
      </c>
      <c r="C828" s="191">
        <f t="shared" si="154"/>
        <v>41543</v>
      </c>
      <c r="D828" s="184" t="s">
        <v>1101</v>
      </c>
      <c r="E828" s="191">
        <v>41543</v>
      </c>
      <c r="F828" s="192" t="s">
        <v>726</v>
      </c>
      <c r="G828" s="192" t="s">
        <v>938</v>
      </c>
      <c r="H828" s="193" t="s">
        <v>896</v>
      </c>
      <c r="I828" s="256"/>
      <c r="J828" s="256"/>
      <c r="K828" s="38">
        <v>1428000</v>
      </c>
      <c r="L828" s="194" t="s">
        <v>265</v>
      </c>
      <c r="M828" s="194" t="s">
        <v>430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>x</v>
      </c>
      <c r="AA828" s="853"/>
      <c r="AB828" s="211"/>
      <c r="AC828" s="594" t="str">
        <f t="shared" si="151"/>
        <v/>
      </c>
      <c r="AD828" s="211"/>
    </row>
    <row r="829" spans="1:30" ht="15.75" customHeight="1">
      <c r="A829" s="204" t="str">
        <f>IF(B829&lt;&gt;"",IF(AND(B829&gt;=_TM1,B829&lt;=_TM2,OR(TH!L829="1111",TH!M829="1111")),TH!D829,""),"")</f>
        <v/>
      </c>
      <c r="B829" s="36">
        <f t="shared" si="153"/>
        <v>9</v>
      </c>
      <c r="C829" s="191">
        <f t="shared" si="154"/>
        <v>41547</v>
      </c>
      <c r="D829" s="184" t="s">
        <v>1102</v>
      </c>
      <c r="E829" s="191">
        <v>41547</v>
      </c>
      <c r="F829" s="192" t="s">
        <v>838</v>
      </c>
      <c r="G829" s="487" t="s">
        <v>939</v>
      </c>
      <c r="H829" s="193" t="s">
        <v>743</v>
      </c>
      <c r="I829" s="256">
        <v>1004</v>
      </c>
      <c r="J829" s="256">
        <v>10500</v>
      </c>
      <c r="K829" s="38">
        <f>ROUND(I829*J829,0)</f>
        <v>10542000</v>
      </c>
      <c r="L829" s="194" t="s">
        <v>265</v>
      </c>
      <c r="M829" s="194" t="s">
        <v>175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>x</v>
      </c>
      <c r="AA829" s="853"/>
      <c r="AB829" s="594"/>
      <c r="AC829" s="594"/>
      <c r="AD829" s="211"/>
    </row>
    <row r="830" spans="1:30" ht="15.75" customHeight="1">
      <c r="A830" s="204" t="str">
        <f>IF(B830&lt;&gt;"",IF(AND(B830&gt;=_TM1,B830&lt;=_TM2,OR(TH!L830="1111",TH!M830="1111")),TH!D830,""),"")</f>
        <v/>
      </c>
      <c r="B830" s="36">
        <f t="shared" si="153"/>
        <v>9</v>
      </c>
      <c r="C830" s="191">
        <f t="shared" si="154"/>
        <v>41547</v>
      </c>
      <c r="D830" s="184" t="s">
        <v>1102</v>
      </c>
      <c r="E830" s="191">
        <v>41547</v>
      </c>
      <c r="F830" s="192" t="s">
        <v>726</v>
      </c>
      <c r="G830" s="487" t="s">
        <v>939</v>
      </c>
      <c r="H830" s="193" t="s">
        <v>743</v>
      </c>
      <c r="I830" s="256"/>
      <c r="J830" s="256"/>
      <c r="K830" s="38">
        <v>1054200</v>
      </c>
      <c r="L830" s="194" t="s">
        <v>265</v>
      </c>
      <c r="M830" s="194" t="s">
        <v>430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>x</v>
      </c>
      <c r="AA830" s="853"/>
      <c r="AB830" s="211"/>
      <c r="AC830" s="594" t="str">
        <f t="shared" si="151"/>
        <v/>
      </c>
      <c r="AD830" s="211"/>
    </row>
    <row r="831" spans="1:30" ht="15.75" customHeight="1">
      <c r="A831" s="204" t="str">
        <f>IF(B831&lt;&gt;"",IF(AND(B831&gt;=_TM1,B831&lt;=_TM2,OR(TH!L831="1111",TH!M831="1111")),TH!D831,""),"")</f>
        <v/>
      </c>
      <c r="B831" s="36">
        <f t="shared" si="153"/>
        <v>9</v>
      </c>
      <c r="C831" s="191">
        <f t="shared" si="154"/>
        <v>41547</v>
      </c>
      <c r="D831" s="184" t="s">
        <v>1103</v>
      </c>
      <c r="E831" s="191">
        <v>41547</v>
      </c>
      <c r="F831" s="192" t="s">
        <v>940</v>
      </c>
      <c r="G831" s="487" t="s">
        <v>941</v>
      </c>
      <c r="H831" s="193" t="s">
        <v>550</v>
      </c>
      <c r="I831" s="256">
        <v>525</v>
      </c>
      <c r="J831" s="256">
        <v>18600</v>
      </c>
      <c r="K831" s="38">
        <f t="shared" ref="K831:K832" si="183">ROUND(I831*J831,0)</f>
        <v>9765000</v>
      </c>
      <c r="L831" s="194" t="s">
        <v>265</v>
      </c>
      <c r="M831" s="194" t="s">
        <v>175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>x</v>
      </c>
      <c r="AA831" s="853"/>
      <c r="AB831" s="594"/>
      <c r="AC831" s="594"/>
      <c r="AD831" s="211"/>
    </row>
    <row r="832" spans="1:30" ht="15.75" customHeight="1">
      <c r="A832" s="204" t="str">
        <f>IF(B832&lt;&gt;"",IF(AND(B832&gt;=_TM1,B832&lt;=_TM2,OR(TH!L832="1111",TH!M832="1111")),TH!D832,""),"")</f>
        <v/>
      </c>
      <c r="B832" s="36">
        <f t="shared" si="153"/>
        <v>9</v>
      </c>
      <c r="C832" s="191">
        <f t="shared" si="154"/>
        <v>41547</v>
      </c>
      <c r="D832" s="184" t="s">
        <v>1103</v>
      </c>
      <c r="E832" s="191">
        <v>41547</v>
      </c>
      <c r="F832" s="192" t="s">
        <v>942</v>
      </c>
      <c r="G832" s="487" t="s">
        <v>941</v>
      </c>
      <c r="H832" s="193" t="s">
        <v>550</v>
      </c>
      <c r="I832" s="256">
        <v>344</v>
      </c>
      <c r="J832" s="256">
        <v>16300</v>
      </c>
      <c r="K832" s="38">
        <f t="shared" si="183"/>
        <v>5607200</v>
      </c>
      <c r="L832" s="194" t="s">
        <v>265</v>
      </c>
      <c r="M832" s="194" t="s">
        <v>175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>x</v>
      </c>
      <c r="AA832" s="853"/>
      <c r="AB832" s="211"/>
      <c r="AC832" s="594"/>
      <c r="AD832" s="211"/>
    </row>
    <row r="833" spans="1:30" ht="15.75" customHeight="1">
      <c r="A833" s="204" t="str">
        <f>IF(B833&lt;&gt;"",IF(AND(B833&gt;=_TM1,B833&lt;=_TM2,OR(TH!L833="1111",TH!M833="1111")),TH!D833,""),"")</f>
        <v/>
      </c>
      <c r="B833" s="36">
        <f t="shared" si="153"/>
        <v>9</v>
      </c>
      <c r="C833" s="191">
        <f t="shared" si="154"/>
        <v>41547</v>
      </c>
      <c r="D833" s="184" t="s">
        <v>1103</v>
      </c>
      <c r="E833" s="191">
        <v>41547</v>
      </c>
      <c r="F833" s="192" t="s">
        <v>726</v>
      </c>
      <c r="G833" s="487" t="s">
        <v>941</v>
      </c>
      <c r="H833" s="193" t="s">
        <v>550</v>
      </c>
      <c r="I833" s="256"/>
      <c r="J833" s="256"/>
      <c r="K833" s="38">
        <v>1537220</v>
      </c>
      <c r="L833" s="194" t="s">
        <v>265</v>
      </c>
      <c r="M833" s="194" t="s">
        <v>430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>x</v>
      </c>
      <c r="AA833" s="853"/>
      <c r="AB833" s="211"/>
      <c r="AC833" s="594" t="str">
        <f t="shared" si="151"/>
        <v/>
      </c>
      <c r="AD833" s="211"/>
    </row>
    <row r="834" spans="1:30" ht="15.75" customHeight="1">
      <c r="A834" s="204" t="str">
        <f>IF(B834&lt;&gt;"",IF(AND(B834&gt;=_TM1,B834&lt;=_TM2,OR(TH!L834="1111",TH!M834="1111")),TH!D834,""),"")</f>
        <v/>
      </c>
      <c r="B834" s="36">
        <f t="shared" si="153"/>
        <v>9</v>
      </c>
      <c r="C834" s="191">
        <f t="shared" si="154"/>
        <v>41547</v>
      </c>
      <c r="D834" s="184" t="s">
        <v>1104</v>
      </c>
      <c r="E834" s="191">
        <v>41547</v>
      </c>
      <c r="F834" s="192" t="s">
        <v>943</v>
      </c>
      <c r="G834" s="487" t="s">
        <v>944</v>
      </c>
      <c r="H834" s="7" t="s">
        <v>1111</v>
      </c>
      <c r="I834" s="256">
        <v>499</v>
      </c>
      <c r="J834" s="256">
        <v>9470</v>
      </c>
      <c r="K834" s="38">
        <f t="shared" ref="K834:K837" si="184">ROUND(I834*J834,0)</f>
        <v>4725530</v>
      </c>
      <c r="L834" s="194" t="s">
        <v>265</v>
      </c>
      <c r="M834" s="194" t="s">
        <v>175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>x</v>
      </c>
      <c r="AA834" s="853"/>
      <c r="AC834" s="594"/>
    </row>
    <row r="835" spans="1:30" ht="15.75" customHeight="1">
      <c r="A835" s="204" t="str">
        <f>IF(B835&lt;&gt;"",IF(AND(B835&gt;=_TM1,B835&lt;=_TM2,OR(TH!L835="1111",TH!M835="1111")),TH!D835,""),"")</f>
        <v/>
      </c>
      <c r="B835" s="36">
        <f t="shared" si="153"/>
        <v>9</v>
      </c>
      <c r="C835" s="191">
        <f t="shared" si="154"/>
        <v>41547</v>
      </c>
      <c r="D835" s="184" t="s">
        <v>1104</v>
      </c>
      <c r="E835" s="191">
        <v>41547</v>
      </c>
      <c r="F835" s="192" t="s">
        <v>945</v>
      </c>
      <c r="G835" s="487" t="s">
        <v>944</v>
      </c>
      <c r="H835" s="7" t="s">
        <v>1111</v>
      </c>
      <c r="I835" s="256">
        <v>503</v>
      </c>
      <c r="J835" s="256">
        <v>4600</v>
      </c>
      <c r="K835" s="38">
        <f t="shared" si="184"/>
        <v>2313800</v>
      </c>
      <c r="L835" s="194" t="s">
        <v>265</v>
      </c>
      <c r="M835" s="194" t="s">
        <v>175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>x</v>
      </c>
      <c r="AA835" s="853"/>
      <c r="AC835" s="594"/>
    </row>
    <row r="836" spans="1:30" ht="15.75" customHeight="1">
      <c r="A836" s="204" t="str">
        <f>IF(B836&lt;&gt;"",IF(AND(B836&gt;=_TM1,B836&lt;=_TM2,OR(TH!L836="1111",TH!M836="1111")),TH!D836,""),"")</f>
        <v/>
      </c>
      <c r="B836" s="36">
        <f t="shared" si="153"/>
        <v>9</v>
      </c>
      <c r="C836" s="191">
        <f t="shared" si="154"/>
        <v>41547</v>
      </c>
      <c r="D836" s="184" t="s">
        <v>1104</v>
      </c>
      <c r="E836" s="191">
        <v>41547</v>
      </c>
      <c r="F836" s="192" t="s">
        <v>945</v>
      </c>
      <c r="G836" s="487" t="s">
        <v>944</v>
      </c>
      <c r="H836" s="7" t="s">
        <v>1111</v>
      </c>
      <c r="I836" s="256">
        <v>503</v>
      </c>
      <c r="J836" s="256">
        <v>4600</v>
      </c>
      <c r="K836" s="38">
        <f t="shared" si="184"/>
        <v>2313800</v>
      </c>
      <c r="L836" s="194" t="s">
        <v>265</v>
      </c>
      <c r="M836" s="194" t="s">
        <v>175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>x</v>
      </c>
      <c r="AA836" s="853"/>
      <c r="AC836" s="594"/>
    </row>
    <row r="837" spans="1:30" ht="15.75" customHeight="1">
      <c r="A837" s="204" t="str">
        <f>IF(B837&lt;&gt;"",IF(AND(B837&gt;=_TM1,B837&lt;=_TM2,OR(TH!L837="1111",TH!M837="1111")),TH!D837,""),"")</f>
        <v/>
      </c>
      <c r="B837" s="36">
        <f t="shared" si="153"/>
        <v>9</v>
      </c>
      <c r="C837" s="191">
        <f t="shared" si="154"/>
        <v>41547</v>
      </c>
      <c r="D837" s="184" t="s">
        <v>1104</v>
      </c>
      <c r="E837" s="191">
        <v>41547</v>
      </c>
      <c r="F837" s="192" t="s">
        <v>946</v>
      </c>
      <c r="G837" s="487" t="s">
        <v>944</v>
      </c>
      <c r="H837" s="7" t="s">
        <v>1111</v>
      </c>
      <c r="I837" s="256">
        <v>510</v>
      </c>
      <c r="J837" s="256">
        <v>4980</v>
      </c>
      <c r="K837" s="38">
        <f t="shared" si="184"/>
        <v>2539800</v>
      </c>
      <c r="L837" s="194" t="s">
        <v>265</v>
      </c>
      <c r="M837" s="194" t="s">
        <v>175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>x</v>
      </c>
      <c r="AA837" s="853"/>
      <c r="AC837" s="594"/>
    </row>
    <row r="838" spans="1:30" ht="15.75" customHeight="1">
      <c r="A838" s="204" t="str">
        <f>IF(B838&lt;&gt;"",IF(AND(B838&gt;=_TM1,B838&lt;=_TM2,OR(TH!L838="1111",TH!M838="1111")),TH!D838,""),"")</f>
        <v/>
      </c>
      <c r="B838" s="36">
        <f t="shared" si="153"/>
        <v>9</v>
      </c>
      <c r="C838" s="191">
        <f t="shared" si="154"/>
        <v>41547</v>
      </c>
      <c r="D838" s="184" t="s">
        <v>1104</v>
      </c>
      <c r="E838" s="191">
        <v>41547</v>
      </c>
      <c r="F838" s="192" t="s">
        <v>726</v>
      </c>
      <c r="G838" s="487" t="s">
        <v>944</v>
      </c>
      <c r="H838" s="7" t="s">
        <v>1111</v>
      </c>
      <c r="I838" s="256"/>
      <c r="J838" s="256"/>
      <c r="K838" s="38">
        <v>1189293</v>
      </c>
      <c r="L838" s="194" t="s">
        <v>265</v>
      </c>
      <c r="M838" s="194" t="s">
        <v>430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>x</v>
      </c>
      <c r="AA838" s="853"/>
      <c r="AC838" s="594" t="str">
        <f t="shared" ref="AC838:AC891" si="185">IF(VLOOKUP(H838,DS_131,1,0)&lt;&gt;"","","x")</f>
        <v/>
      </c>
    </row>
    <row r="839" spans="1:30" ht="15.75" customHeight="1">
      <c r="A839" s="204" t="str">
        <f>IF(B839&lt;&gt;"",IF(AND(B839&gt;=_TM1,B839&lt;=_TM2,OR(TH!L839="1111",TH!M839="1111")),TH!D839,""),"")</f>
        <v/>
      </c>
      <c r="B839" s="36">
        <f t="shared" si="153"/>
        <v>9</v>
      </c>
      <c r="C839" s="191">
        <f t="shared" si="154"/>
        <v>41547</v>
      </c>
      <c r="D839" s="184" t="s">
        <v>1105</v>
      </c>
      <c r="E839" s="191">
        <v>41547</v>
      </c>
      <c r="F839" s="192" t="s">
        <v>1137</v>
      </c>
      <c r="G839" s="487" t="s">
        <v>947</v>
      </c>
      <c r="H839" s="7" t="s">
        <v>433</v>
      </c>
      <c r="I839" s="256">
        <v>2700</v>
      </c>
      <c r="J839" s="256">
        <v>6250</v>
      </c>
      <c r="K839" s="38">
        <f>ROUND(I839*J839,0)</f>
        <v>16875000</v>
      </c>
      <c r="L839" s="194" t="s">
        <v>265</v>
      </c>
      <c r="M839" s="194" t="s">
        <v>175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>x</v>
      </c>
      <c r="AA839" s="853"/>
      <c r="AC839" s="594"/>
    </row>
    <row r="840" spans="1:30" ht="15.75" customHeight="1">
      <c r="A840" s="204" t="str">
        <f>IF(B840&lt;&gt;"",IF(AND(B840&gt;=_TM1,B840&lt;=_TM2,OR(TH!L840="1111",TH!M840="1111")),TH!D840,""),"")</f>
        <v/>
      </c>
      <c r="B840" s="36">
        <f t="shared" si="153"/>
        <v>9</v>
      </c>
      <c r="C840" s="191">
        <f t="shared" si="154"/>
        <v>41547</v>
      </c>
      <c r="D840" s="184" t="s">
        <v>1105</v>
      </c>
      <c r="E840" s="191">
        <v>41547</v>
      </c>
      <c r="F840" s="192" t="s">
        <v>726</v>
      </c>
      <c r="G840" s="487" t="s">
        <v>947</v>
      </c>
      <c r="H840" s="7" t="s">
        <v>433</v>
      </c>
      <c r="I840" s="256"/>
      <c r="J840" s="256"/>
      <c r="K840" s="38">
        <v>1687500</v>
      </c>
      <c r="L840" s="194" t="s">
        <v>265</v>
      </c>
      <c r="M840" s="194" t="s">
        <v>430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>x</v>
      </c>
      <c r="AA840" s="853"/>
      <c r="AC840" s="594" t="str">
        <f t="shared" si="185"/>
        <v/>
      </c>
    </row>
    <row r="841" spans="1:30" ht="15.75" customHeight="1">
      <c r="A841" s="204" t="str">
        <f>IF(B841&lt;&gt;"",IF(AND(B841&gt;=_TM1,B841&lt;=_TM2,OR(TH!L841="1111",TH!M841="1111")),TH!D841,""),"")</f>
        <v/>
      </c>
      <c r="B841" s="36">
        <f t="shared" si="153"/>
        <v>10</v>
      </c>
      <c r="C841" s="191">
        <f t="shared" si="154"/>
        <v>41548</v>
      </c>
      <c r="D841" s="184" t="s">
        <v>1047</v>
      </c>
      <c r="E841" s="191">
        <v>41548</v>
      </c>
      <c r="F841" s="192" t="s">
        <v>940</v>
      </c>
      <c r="G841" s="487" t="s">
        <v>948</v>
      </c>
      <c r="H841" s="7" t="s">
        <v>550</v>
      </c>
      <c r="I841" s="256">
        <v>60</v>
      </c>
      <c r="J841" s="256">
        <v>18600</v>
      </c>
      <c r="K841" s="38">
        <f t="shared" ref="K841:K842" si="186">ROUND(I841*J841,0)</f>
        <v>1116000</v>
      </c>
      <c r="L841" s="194" t="s">
        <v>265</v>
      </c>
      <c r="M841" s="194" t="s">
        <v>175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853"/>
      <c r="AB841" s="211"/>
      <c r="AC841" s="594"/>
      <c r="AD841" s="211"/>
    </row>
    <row r="842" spans="1:30" ht="15.75" customHeight="1">
      <c r="A842" s="204" t="str">
        <f>IF(B842&lt;&gt;"",IF(AND(B842&gt;=_TM1,B842&lt;=_TM2,OR(TH!L842="1111",TH!M842="1111")),TH!D842,""),"")</f>
        <v/>
      </c>
      <c r="B842" s="36">
        <f t="shared" si="153"/>
        <v>10</v>
      </c>
      <c r="C842" s="191">
        <f t="shared" si="154"/>
        <v>41548</v>
      </c>
      <c r="D842" s="184" t="s">
        <v>1047</v>
      </c>
      <c r="E842" s="191">
        <v>41548</v>
      </c>
      <c r="F842" s="192" t="s">
        <v>942</v>
      </c>
      <c r="G842" s="487" t="s">
        <v>948</v>
      </c>
      <c r="H842" s="7" t="s">
        <v>550</v>
      </c>
      <c r="I842" s="256">
        <v>98</v>
      </c>
      <c r="J842" s="256">
        <v>16300</v>
      </c>
      <c r="K842" s="38">
        <f t="shared" si="186"/>
        <v>1597400</v>
      </c>
      <c r="L842" s="194" t="s">
        <v>265</v>
      </c>
      <c r="M842" s="194" t="s">
        <v>175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853"/>
      <c r="AB842" s="211"/>
      <c r="AC842" s="594"/>
      <c r="AD842" s="211"/>
    </row>
    <row r="843" spans="1:30" ht="15.75" customHeight="1">
      <c r="A843" s="204" t="str">
        <f>IF(B843&lt;&gt;"",IF(AND(B843&gt;=_TM1,B843&lt;=_TM2,OR(TH!L843="1111",TH!M843="1111")),TH!D843,""),"")</f>
        <v/>
      </c>
      <c r="B843" s="36">
        <f t="shared" ref="B843:B904" si="187">IF(C843&lt;&gt;"",MONTH(C843),"")</f>
        <v>10</v>
      </c>
      <c r="C843" s="191">
        <f t="shared" si="154"/>
        <v>41548</v>
      </c>
      <c r="D843" s="184" t="s">
        <v>1047</v>
      </c>
      <c r="E843" s="191">
        <v>41548</v>
      </c>
      <c r="F843" s="192" t="s">
        <v>726</v>
      </c>
      <c r="G843" s="487" t="s">
        <v>948</v>
      </c>
      <c r="H843" s="7" t="s">
        <v>550</v>
      </c>
      <c r="I843" s="256"/>
      <c r="J843" s="256"/>
      <c r="K843" s="38">
        <v>271340</v>
      </c>
      <c r="L843" s="194" t="s">
        <v>265</v>
      </c>
      <c r="M843" s="194" t="s">
        <v>430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853"/>
      <c r="AB843" s="211"/>
      <c r="AC843" s="594" t="str">
        <f t="shared" si="185"/>
        <v/>
      </c>
      <c r="AD843" s="211"/>
    </row>
    <row r="844" spans="1:30" ht="15.75" customHeight="1">
      <c r="A844" s="204" t="str">
        <f>IF(B844&lt;&gt;"",IF(AND(B844&gt;=_TM1,B844&lt;=_TM2,OR(TH!L844="1111",TH!M844="1111")),TH!D844,""),"")</f>
        <v/>
      </c>
      <c r="B844" s="36">
        <f t="shared" si="187"/>
        <v>10</v>
      </c>
      <c r="C844" s="191">
        <f t="shared" si="154"/>
        <v>41548</v>
      </c>
      <c r="D844" s="184" t="s">
        <v>1048</v>
      </c>
      <c r="E844" s="191">
        <v>41548</v>
      </c>
      <c r="F844" s="192" t="s">
        <v>1156</v>
      </c>
      <c r="G844" s="487" t="s">
        <v>949</v>
      </c>
      <c r="H844" s="7" t="s">
        <v>540</v>
      </c>
      <c r="I844" s="256">
        <v>1554</v>
      </c>
      <c r="J844" s="256">
        <v>4650</v>
      </c>
      <c r="K844" s="38">
        <f t="shared" ref="K844:K845" si="188">ROUND(I844*J844,0)</f>
        <v>7226100</v>
      </c>
      <c r="L844" s="194" t="s">
        <v>265</v>
      </c>
      <c r="M844" s="194" t="s">
        <v>175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>x</v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853"/>
      <c r="AB844" s="211"/>
      <c r="AC844" s="594"/>
      <c r="AD844" s="211"/>
    </row>
    <row r="845" spans="1:30" ht="15.75" customHeight="1">
      <c r="A845" s="204" t="str">
        <f>IF(B845&lt;&gt;"",IF(AND(B845&gt;=_TM1,B845&lt;=_TM2,OR(TH!L845="1111",TH!M845="1111")),TH!D845,""),"")</f>
        <v/>
      </c>
      <c r="B845" s="36">
        <f t="shared" si="187"/>
        <v>10</v>
      </c>
      <c r="C845" s="191">
        <f t="shared" si="154"/>
        <v>41548</v>
      </c>
      <c r="D845" s="184" t="s">
        <v>1048</v>
      </c>
      <c r="E845" s="191">
        <v>41548</v>
      </c>
      <c r="F845" s="192" t="s">
        <v>876</v>
      </c>
      <c r="G845" s="192" t="s">
        <v>949</v>
      </c>
      <c r="H845" s="7" t="s">
        <v>540</v>
      </c>
      <c r="I845" s="256">
        <v>525</v>
      </c>
      <c r="J845" s="256">
        <v>12000</v>
      </c>
      <c r="K845" s="38">
        <f t="shared" si="188"/>
        <v>6300000</v>
      </c>
      <c r="L845" s="194" t="s">
        <v>265</v>
      </c>
      <c r="M845" s="194" t="s">
        <v>175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>x</v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853"/>
      <c r="AB845" s="211"/>
      <c r="AC845" s="594"/>
      <c r="AD845" s="211"/>
    </row>
    <row r="846" spans="1:30" ht="15.75" customHeight="1">
      <c r="A846" s="204" t="str">
        <f>IF(B846&lt;&gt;"",IF(AND(B846&gt;=_TM1,B846&lt;=_TM2,OR(TH!L846="1111",TH!M846="1111")),TH!D846,""),"")</f>
        <v/>
      </c>
      <c r="B846" s="36">
        <f t="shared" si="187"/>
        <v>10</v>
      </c>
      <c r="C846" s="191">
        <f t="shared" ref="C846:C907" si="189">E846</f>
        <v>41548</v>
      </c>
      <c r="D846" s="184" t="s">
        <v>1048</v>
      </c>
      <c r="E846" s="191">
        <v>41548</v>
      </c>
      <c r="F846" s="192" t="s">
        <v>726</v>
      </c>
      <c r="G846" s="192" t="s">
        <v>949</v>
      </c>
      <c r="H846" s="7" t="s">
        <v>540</v>
      </c>
      <c r="I846" s="256"/>
      <c r="J846" s="256"/>
      <c r="K846" s="38">
        <v>1352610</v>
      </c>
      <c r="L846" s="194" t="s">
        <v>265</v>
      </c>
      <c r="M846" s="194" t="s">
        <v>430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853"/>
      <c r="AB846" s="211"/>
      <c r="AC846" s="594" t="str">
        <f t="shared" si="185"/>
        <v/>
      </c>
      <c r="AD846" s="211"/>
    </row>
    <row r="847" spans="1:30" ht="15.75" customHeight="1">
      <c r="A847" s="204" t="str">
        <f>IF(B847&lt;&gt;"",IF(AND(B847&gt;=_TM1,B847&lt;=_TM2,OR(TH!L847="1111",TH!M847="1111")),TH!D847,""),"")</f>
        <v/>
      </c>
      <c r="B847" s="36">
        <f t="shared" si="187"/>
        <v>10</v>
      </c>
      <c r="C847" s="191">
        <f t="shared" si="189"/>
        <v>41548</v>
      </c>
      <c r="D847" s="184" t="s">
        <v>1049</v>
      </c>
      <c r="E847" s="191">
        <v>41548</v>
      </c>
      <c r="F847" s="192" t="s">
        <v>847</v>
      </c>
      <c r="G847" s="192" t="s">
        <v>950</v>
      </c>
      <c r="H847" s="193" t="s">
        <v>849</v>
      </c>
      <c r="I847" s="256">
        <v>220</v>
      </c>
      <c r="J847" s="256">
        <v>19000</v>
      </c>
      <c r="K847" s="38">
        <f>ROUND(I847*J847,0)</f>
        <v>4180000</v>
      </c>
      <c r="L847" s="194" t="s">
        <v>265</v>
      </c>
      <c r="M847" s="194" t="s">
        <v>175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853"/>
      <c r="AB847" s="211"/>
      <c r="AC847" s="594"/>
      <c r="AD847" s="211"/>
    </row>
    <row r="848" spans="1:30" ht="15.75" customHeight="1">
      <c r="A848" s="204" t="str">
        <f>IF(B848&lt;&gt;"",IF(AND(B848&gt;=_TM1,B848&lt;=_TM2,OR(TH!L848="1111",TH!M848="1111")),TH!D848,""),"")</f>
        <v/>
      </c>
      <c r="B848" s="36">
        <f t="shared" si="187"/>
        <v>10</v>
      </c>
      <c r="C848" s="191">
        <f t="shared" si="189"/>
        <v>41548</v>
      </c>
      <c r="D848" s="184" t="s">
        <v>1049</v>
      </c>
      <c r="E848" s="191">
        <v>41548</v>
      </c>
      <c r="F848" s="192" t="s">
        <v>726</v>
      </c>
      <c r="G848" s="192" t="s">
        <v>950</v>
      </c>
      <c r="H848" s="193" t="s">
        <v>849</v>
      </c>
      <c r="I848" s="256"/>
      <c r="J848" s="256"/>
      <c r="K848" s="38">
        <v>418000</v>
      </c>
      <c r="L848" s="194" t="s">
        <v>265</v>
      </c>
      <c r="M848" s="194" t="s">
        <v>430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853"/>
      <c r="AB848" s="211"/>
      <c r="AC848" s="594" t="str">
        <f t="shared" si="185"/>
        <v/>
      </c>
      <c r="AD848" s="211"/>
    </row>
    <row r="849" spans="1:30" ht="15.75" customHeight="1">
      <c r="A849" s="204" t="str">
        <f>IF(B849&lt;&gt;"",IF(AND(B849&gt;=_TM1,B849&lt;=_TM2,OR(TH!L849="1111",TH!M849="1111")),TH!D849,""),"")</f>
        <v/>
      </c>
      <c r="B849" s="36">
        <f t="shared" si="187"/>
        <v>10</v>
      </c>
      <c r="C849" s="191">
        <f t="shared" si="189"/>
        <v>41549</v>
      </c>
      <c r="D849" s="184" t="s">
        <v>1050</v>
      </c>
      <c r="E849" s="191">
        <v>41549</v>
      </c>
      <c r="F849" s="192" t="s">
        <v>1153</v>
      </c>
      <c r="G849" s="192" t="s">
        <v>951</v>
      </c>
      <c r="H849" s="7" t="s">
        <v>896</v>
      </c>
      <c r="I849" s="256">
        <v>3397</v>
      </c>
      <c r="J849" s="256">
        <v>4080</v>
      </c>
      <c r="K849" s="38">
        <f>ROUND(I849*J849,0)</f>
        <v>13859760</v>
      </c>
      <c r="L849" s="194" t="s">
        <v>265</v>
      </c>
      <c r="M849" s="194" t="s">
        <v>175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853"/>
      <c r="AB849" s="211">
        <v>7</v>
      </c>
      <c r="AC849" s="594"/>
      <c r="AD849" s="211"/>
    </row>
    <row r="850" spans="1:30" ht="15.75" customHeight="1">
      <c r="A850" s="204" t="str">
        <f>IF(B850&lt;&gt;"",IF(AND(B850&gt;=_TM1,B850&lt;=_TM2,OR(TH!L850="1111",TH!M850="1111")),TH!D850,""),"")</f>
        <v/>
      </c>
      <c r="B850" s="36">
        <f t="shared" si="187"/>
        <v>10</v>
      </c>
      <c r="C850" s="191">
        <f t="shared" si="189"/>
        <v>41549</v>
      </c>
      <c r="D850" s="184" t="s">
        <v>1050</v>
      </c>
      <c r="E850" s="191">
        <v>41549</v>
      </c>
      <c r="F850" s="192" t="s">
        <v>726</v>
      </c>
      <c r="G850" s="192" t="s">
        <v>951</v>
      </c>
      <c r="H850" s="7" t="s">
        <v>896</v>
      </c>
      <c r="I850" s="257"/>
      <c r="J850" s="257"/>
      <c r="K850" s="38">
        <v>1385976</v>
      </c>
      <c r="L850" s="194" t="s">
        <v>265</v>
      </c>
      <c r="M850" s="194" t="s">
        <v>430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853"/>
      <c r="AB850" s="211"/>
      <c r="AC850" s="594" t="str">
        <f t="shared" si="185"/>
        <v/>
      </c>
      <c r="AD850" s="211"/>
    </row>
    <row r="851" spans="1:30" ht="15.75" customHeight="1">
      <c r="A851" s="204" t="str">
        <f>IF(B851&lt;&gt;"",IF(AND(B851&gt;=_TM1,B851&lt;=_TM2,OR(TH!L851="1111",TH!M851="1111")),TH!D851,""),"")</f>
        <v/>
      </c>
      <c r="B851" s="36">
        <f t="shared" si="187"/>
        <v>10</v>
      </c>
      <c r="C851" s="191">
        <f t="shared" si="189"/>
        <v>41550</v>
      </c>
      <c r="D851" s="184" t="s">
        <v>1052</v>
      </c>
      <c r="E851" s="191">
        <v>41550</v>
      </c>
      <c r="F851" s="192" t="s">
        <v>946</v>
      </c>
      <c r="G851" s="192" t="s">
        <v>953</v>
      </c>
      <c r="H851" s="7" t="s">
        <v>1111</v>
      </c>
      <c r="I851" s="257">
        <v>494</v>
      </c>
      <c r="J851" s="257">
        <v>4980</v>
      </c>
      <c r="K851" s="38">
        <f t="shared" ref="K851:K852" si="190">ROUND(I851*J851,0)</f>
        <v>2460120</v>
      </c>
      <c r="L851" s="194" t="s">
        <v>265</v>
      </c>
      <c r="M851" s="194" t="s">
        <v>175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853"/>
      <c r="AB851" s="211"/>
      <c r="AC851" s="594"/>
      <c r="AD851" s="594"/>
    </row>
    <row r="852" spans="1:30" ht="15.75" customHeight="1">
      <c r="A852" s="204" t="str">
        <f>IF(B852&lt;&gt;"",IF(AND(B852&gt;=_TM1,B852&lt;=_TM2,OR(TH!L852="1111",TH!M852="1111")),TH!D852,""),"")</f>
        <v/>
      </c>
      <c r="B852" s="36">
        <f t="shared" si="187"/>
        <v>10</v>
      </c>
      <c r="C852" s="191">
        <f t="shared" si="189"/>
        <v>41550</v>
      </c>
      <c r="D852" s="184" t="s">
        <v>1052</v>
      </c>
      <c r="E852" s="191">
        <v>41550</v>
      </c>
      <c r="F852" s="192" t="s">
        <v>954</v>
      </c>
      <c r="G852" s="192" t="s">
        <v>953</v>
      </c>
      <c r="H852" s="7" t="s">
        <v>1111</v>
      </c>
      <c r="I852" s="256">
        <v>509</v>
      </c>
      <c r="J852" s="256">
        <v>4980</v>
      </c>
      <c r="K852" s="38">
        <f t="shared" si="190"/>
        <v>2534820</v>
      </c>
      <c r="L852" s="194" t="s">
        <v>265</v>
      </c>
      <c r="M852" s="194" t="s">
        <v>175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853"/>
      <c r="AB852" s="211">
        <v>7</v>
      </c>
      <c r="AC852" s="594"/>
      <c r="AD852" s="211"/>
    </row>
    <row r="853" spans="1:30" ht="15.75" customHeight="1">
      <c r="A853" s="204" t="str">
        <f>IF(B853&lt;&gt;"",IF(AND(B853&gt;=_TM1,B853&lt;=_TM2,OR(TH!L853="1111",TH!M853="1111")),TH!D853,""),"")</f>
        <v/>
      </c>
      <c r="B853" s="36">
        <f t="shared" si="187"/>
        <v>10</v>
      </c>
      <c r="C853" s="191">
        <f t="shared" si="189"/>
        <v>41550</v>
      </c>
      <c r="D853" s="184" t="s">
        <v>1052</v>
      </c>
      <c r="E853" s="191">
        <v>41550</v>
      </c>
      <c r="F853" s="192" t="s">
        <v>726</v>
      </c>
      <c r="G853" s="192" t="s">
        <v>953</v>
      </c>
      <c r="H853" s="7" t="s">
        <v>1111</v>
      </c>
      <c r="I853" s="256"/>
      <c r="J853" s="256"/>
      <c r="K853" s="38">
        <v>499494</v>
      </c>
      <c r="L853" s="194" t="s">
        <v>265</v>
      </c>
      <c r="M853" s="194" t="s">
        <v>430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853"/>
      <c r="AB853" s="211"/>
      <c r="AC853" s="594" t="str">
        <f t="shared" si="185"/>
        <v/>
      </c>
      <c r="AD853" s="594"/>
    </row>
    <row r="854" spans="1:30" ht="15.75" customHeight="1">
      <c r="A854" s="204" t="str">
        <f>IF(B854&lt;&gt;"",IF(AND(B854&gt;=_TM1,B854&lt;=_TM2,OR(TH!L854="1111",TH!M854="1111")),TH!D854,""),"")</f>
        <v/>
      </c>
      <c r="B854" s="36">
        <f t="shared" si="187"/>
        <v>10</v>
      </c>
      <c r="C854" s="191">
        <f t="shared" si="189"/>
        <v>41552</v>
      </c>
      <c r="D854" s="184" t="s">
        <v>1053</v>
      </c>
      <c r="E854" s="191">
        <v>41552</v>
      </c>
      <c r="F854" s="192" t="s">
        <v>1153</v>
      </c>
      <c r="G854" s="192" t="s">
        <v>955</v>
      </c>
      <c r="H854" s="7" t="s">
        <v>896</v>
      </c>
      <c r="I854" s="256">
        <v>103</v>
      </c>
      <c r="J854" s="256">
        <v>4080</v>
      </c>
      <c r="K854" s="38">
        <f t="shared" ref="K854:K855" si="191">ROUND(I854*J854,0)</f>
        <v>420240</v>
      </c>
      <c r="L854" s="194" t="s">
        <v>265</v>
      </c>
      <c r="M854" s="194" t="s">
        <v>175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853"/>
      <c r="AB854" s="211"/>
      <c r="AC854" s="594"/>
      <c r="AD854" s="594"/>
    </row>
    <row r="855" spans="1:30" ht="15.75" customHeight="1">
      <c r="A855" s="204" t="str">
        <f>IF(B855&lt;&gt;"",IF(AND(B855&gt;=_TM1,B855&lt;=_TM2,OR(TH!L855="1111",TH!M855="1111")),TH!D855,""),"")</f>
        <v/>
      </c>
      <c r="B855" s="36">
        <f t="shared" si="187"/>
        <v>10</v>
      </c>
      <c r="C855" s="191">
        <f t="shared" si="189"/>
        <v>41552</v>
      </c>
      <c r="D855" s="184" t="s">
        <v>1053</v>
      </c>
      <c r="E855" s="191">
        <v>41552</v>
      </c>
      <c r="F855" s="192" t="s">
        <v>1150</v>
      </c>
      <c r="G855" s="192" t="s">
        <v>955</v>
      </c>
      <c r="H855" s="7" t="s">
        <v>896</v>
      </c>
      <c r="I855" s="256">
        <v>2658</v>
      </c>
      <c r="J855" s="256">
        <v>4700</v>
      </c>
      <c r="K855" s="38">
        <f t="shared" si="191"/>
        <v>12492600</v>
      </c>
      <c r="L855" s="194" t="s">
        <v>265</v>
      </c>
      <c r="M855" s="194" t="s">
        <v>175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853"/>
      <c r="AB855" s="211">
        <v>7</v>
      </c>
      <c r="AC855" s="594"/>
      <c r="AD855" s="211"/>
    </row>
    <row r="856" spans="1:30" ht="15.75" customHeight="1">
      <c r="A856" s="204" t="str">
        <f>IF(B856&lt;&gt;"",IF(AND(B856&gt;=_TM1,B856&lt;=_TM2,OR(TH!L856="1111",TH!M856="1111")),TH!D856,""),"")</f>
        <v/>
      </c>
      <c r="B856" s="36">
        <f t="shared" si="187"/>
        <v>10</v>
      </c>
      <c r="C856" s="191">
        <f t="shared" si="189"/>
        <v>41552</v>
      </c>
      <c r="D856" s="184" t="s">
        <v>1053</v>
      </c>
      <c r="E856" s="191">
        <v>41552</v>
      </c>
      <c r="F856" s="192" t="s">
        <v>726</v>
      </c>
      <c r="G856" s="192" t="s">
        <v>955</v>
      </c>
      <c r="H856" s="7" t="s">
        <v>896</v>
      </c>
      <c r="I856" s="257"/>
      <c r="J856" s="257"/>
      <c r="K856" s="38">
        <v>1291284</v>
      </c>
      <c r="L856" s="194" t="s">
        <v>265</v>
      </c>
      <c r="M856" s="194" t="s">
        <v>430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853"/>
      <c r="AC856" s="594" t="str">
        <f t="shared" si="185"/>
        <v/>
      </c>
    </row>
    <row r="857" spans="1:30" ht="15.75" customHeight="1">
      <c r="A857" s="204" t="str">
        <f>IF(B857&lt;&gt;"",IF(AND(B857&gt;=_TM1,B857&lt;=_TM2,OR(TH!L857="1111",TH!M857="1111")),TH!D857,""),"")</f>
        <v/>
      </c>
      <c r="B857" s="36">
        <f t="shared" si="187"/>
        <v>10</v>
      </c>
      <c r="C857" s="191">
        <f t="shared" si="189"/>
        <v>41552</v>
      </c>
      <c r="D857" s="184" t="s">
        <v>1054</v>
      </c>
      <c r="E857" s="191">
        <v>41552</v>
      </c>
      <c r="F857" s="192" t="s">
        <v>1137</v>
      </c>
      <c r="G857" s="192" t="s">
        <v>956</v>
      </c>
      <c r="H857" s="7" t="s">
        <v>433</v>
      </c>
      <c r="I857" s="256">
        <v>2260</v>
      </c>
      <c r="J857" s="256">
        <v>6250</v>
      </c>
      <c r="K857" s="38">
        <f>ROUND(I857*J857,0)</f>
        <v>14125000</v>
      </c>
      <c r="L857" s="194" t="s">
        <v>265</v>
      </c>
      <c r="M857" s="194" t="s">
        <v>175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853"/>
      <c r="AB857" s="812"/>
      <c r="AC857" s="594"/>
    </row>
    <row r="858" spans="1:30" ht="15.75" customHeight="1">
      <c r="A858" s="204" t="str">
        <f>IF(B858&lt;&gt;"",IF(AND(B858&gt;=_TM1,B858&lt;=_TM2,OR(TH!L858="1111",TH!M858="1111")),TH!D858,""),"")</f>
        <v/>
      </c>
      <c r="B858" s="36">
        <f t="shared" si="187"/>
        <v>10</v>
      </c>
      <c r="C858" s="191">
        <f t="shared" si="189"/>
        <v>41552</v>
      </c>
      <c r="D858" s="184" t="s">
        <v>1054</v>
      </c>
      <c r="E858" s="191">
        <v>41552</v>
      </c>
      <c r="F858" s="192" t="s">
        <v>726</v>
      </c>
      <c r="G858" s="192" t="s">
        <v>956</v>
      </c>
      <c r="H858" s="7" t="s">
        <v>433</v>
      </c>
      <c r="I858" s="256"/>
      <c r="J858" s="256"/>
      <c r="K858" s="38">
        <v>1412500</v>
      </c>
      <c r="L858" s="194" t="s">
        <v>265</v>
      </c>
      <c r="M858" s="194" t="s">
        <v>430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853"/>
      <c r="AB858" s="812"/>
      <c r="AC858" s="594" t="str">
        <f t="shared" si="185"/>
        <v/>
      </c>
    </row>
    <row r="859" spans="1:30" ht="15.75" customHeight="1">
      <c r="A859" s="204" t="str">
        <f>IF(B859&lt;&gt;"",IF(AND(B859&gt;=_TM1,B859&lt;=_TM2,OR(TH!L859="1111",TH!M859="1111")),TH!D859,""),"")</f>
        <v/>
      </c>
      <c r="B859" s="36">
        <f t="shared" si="187"/>
        <v>10</v>
      </c>
      <c r="C859" s="191">
        <f t="shared" si="189"/>
        <v>41555</v>
      </c>
      <c r="D859" s="184" t="s">
        <v>1055</v>
      </c>
      <c r="E859" s="191">
        <v>41555</v>
      </c>
      <c r="F859" s="192" t="s">
        <v>867</v>
      </c>
      <c r="G859" s="192" t="s">
        <v>957</v>
      </c>
      <c r="H859" s="7" t="s">
        <v>582</v>
      </c>
      <c r="I859" s="256">
        <v>516</v>
      </c>
      <c r="J859" s="256">
        <v>20300</v>
      </c>
      <c r="K859" s="38">
        <f>ROUND(I859*J859,0)</f>
        <v>10474800</v>
      </c>
      <c r="L859" s="194" t="s">
        <v>265</v>
      </c>
      <c r="M859" s="194" t="s">
        <v>175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853"/>
      <c r="AB859" s="812"/>
      <c r="AC859" s="594"/>
    </row>
    <row r="860" spans="1:30" ht="15.75" customHeight="1">
      <c r="A860" s="204" t="str">
        <f>IF(B860&lt;&gt;"",IF(AND(B860&gt;=_TM1,B860&lt;=_TM2,OR(TH!L860="1111",TH!M860="1111")),TH!D860,""),"")</f>
        <v/>
      </c>
      <c r="B860" s="36">
        <f t="shared" si="187"/>
        <v>10</v>
      </c>
      <c r="C860" s="191">
        <f t="shared" si="189"/>
        <v>41555</v>
      </c>
      <c r="D860" s="184" t="s">
        <v>1055</v>
      </c>
      <c r="E860" s="191">
        <v>41555</v>
      </c>
      <c r="F860" s="192" t="s">
        <v>726</v>
      </c>
      <c r="G860" s="192" t="s">
        <v>957</v>
      </c>
      <c r="H860" s="7" t="s">
        <v>582</v>
      </c>
      <c r="I860" s="256"/>
      <c r="J860" s="256"/>
      <c r="K860" s="38">
        <v>1047480</v>
      </c>
      <c r="L860" s="194" t="s">
        <v>265</v>
      </c>
      <c r="M860" s="194" t="s">
        <v>430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853"/>
      <c r="AB860" s="812"/>
      <c r="AC860" s="594" t="str">
        <f t="shared" si="185"/>
        <v/>
      </c>
    </row>
    <row r="861" spans="1:30" ht="15.75" customHeight="1">
      <c r="A861" s="204" t="str">
        <f>IF(B861&lt;&gt;"",IF(AND(B861&gt;=_TM1,B861&lt;=_TM2,OR(TH!L861="1111",TH!M861="1111")),TH!D861,""),"")</f>
        <v/>
      </c>
      <c r="B861" s="36">
        <f t="shared" si="187"/>
        <v>10</v>
      </c>
      <c r="C861" s="191">
        <f t="shared" si="189"/>
        <v>41557</v>
      </c>
      <c r="D861" s="184" t="s">
        <v>1056</v>
      </c>
      <c r="E861" s="191">
        <v>41557</v>
      </c>
      <c r="F861" s="192" t="s">
        <v>1131</v>
      </c>
      <c r="G861" s="192" t="s">
        <v>958</v>
      </c>
      <c r="H861" s="7" t="s">
        <v>543</v>
      </c>
      <c r="I861" s="257">
        <v>304</v>
      </c>
      <c r="J861" s="257">
        <v>6400</v>
      </c>
      <c r="K861" s="38">
        <f>ROUND(I861*J861,0)</f>
        <v>1945600</v>
      </c>
      <c r="L861" s="194" t="s">
        <v>265</v>
      </c>
      <c r="M861" s="194" t="s">
        <v>175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853"/>
      <c r="AB861" s="812"/>
      <c r="AC861" s="594"/>
    </row>
    <row r="862" spans="1:30" ht="15.75" customHeight="1">
      <c r="A862" s="204" t="str">
        <f>IF(B862&lt;&gt;"",IF(AND(B862&gt;=_TM1,B862&lt;=_TM2,OR(TH!L862="1111",TH!M862="1111")),TH!D862,""),"")</f>
        <v/>
      </c>
      <c r="B862" s="36">
        <f t="shared" si="187"/>
        <v>10</v>
      </c>
      <c r="C862" s="191">
        <f t="shared" si="189"/>
        <v>41557</v>
      </c>
      <c r="D862" s="184" t="s">
        <v>1056</v>
      </c>
      <c r="E862" s="184">
        <v>41557</v>
      </c>
      <c r="F862" s="189" t="s">
        <v>726</v>
      </c>
      <c r="G862" s="189" t="s">
        <v>958</v>
      </c>
      <c r="H862" s="7" t="s">
        <v>543</v>
      </c>
      <c r="I862" s="256"/>
      <c r="J862" s="256"/>
      <c r="K862" s="602">
        <v>194560</v>
      </c>
      <c r="L862" s="194" t="s">
        <v>265</v>
      </c>
      <c r="M862" s="194" t="s">
        <v>430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853"/>
      <c r="AB862" s="812"/>
      <c r="AC862" s="594" t="str">
        <f t="shared" si="185"/>
        <v/>
      </c>
    </row>
    <row r="863" spans="1:30" ht="15.75" customHeight="1">
      <c r="A863" s="204" t="str">
        <f>IF(B863&lt;&gt;"",IF(AND(B863&gt;=_TM1,B863&lt;=_TM2,OR(TH!L863="1111",TH!M863="1111")),TH!D863,""),"")</f>
        <v/>
      </c>
      <c r="B863" s="36">
        <f t="shared" si="187"/>
        <v>10</v>
      </c>
      <c r="C863" s="191">
        <f t="shared" si="189"/>
        <v>41563</v>
      </c>
      <c r="D863" s="184" t="s">
        <v>1057</v>
      </c>
      <c r="E863" s="184">
        <v>41563</v>
      </c>
      <c r="F863" s="192" t="s">
        <v>838</v>
      </c>
      <c r="G863" s="604" t="s">
        <v>959</v>
      </c>
      <c r="H863" s="193" t="s">
        <v>743</v>
      </c>
      <c r="I863" s="256">
        <v>996</v>
      </c>
      <c r="J863" s="256">
        <v>10500</v>
      </c>
      <c r="K863" s="38">
        <f>ROUND(I863*J863,0)</f>
        <v>10458000</v>
      </c>
      <c r="L863" s="194" t="s">
        <v>265</v>
      </c>
      <c r="M863" s="194" t="s">
        <v>175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853"/>
      <c r="AB863" s="812"/>
      <c r="AC863" s="594"/>
    </row>
    <row r="864" spans="1:30" ht="15.75" customHeight="1">
      <c r="A864" s="204" t="str">
        <f>IF(B864&lt;&gt;"",IF(AND(B864&gt;=_TM1,B864&lt;=_TM2,OR(TH!L864="1111",TH!M864="1111")),TH!D864,""),"")</f>
        <v/>
      </c>
      <c r="B864" s="36">
        <f t="shared" si="187"/>
        <v>10</v>
      </c>
      <c r="C864" s="191">
        <f t="shared" si="189"/>
        <v>41563</v>
      </c>
      <c r="D864" s="184" t="s">
        <v>1057</v>
      </c>
      <c r="E864" s="184">
        <v>41563</v>
      </c>
      <c r="F864" s="189" t="s">
        <v>726</v>
      </c>
      <c r="G864" s="189" t="s">
        <v>959</v>
      </c>
      <c r="H864" s="193" t="s">
        <v>743</v>
      </c>
      <c r="I864" s="256"/>
      <c r="J864" s="256"/>
      <c r="K864" s="602">
        <v>1045800</v>
      </c>
      <c r="L864" s="194" t="s">
        <v>265</v>
      </c>
      <c r="M864" s="194" t="s">
        <v>430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853"/>
      <c r="AB864" s="812"/>
      <c r="AC864" s="594" t="str">
        <f t="shared" si="185"/>
        <v/>
      </c>
    </row>
    <row r="865" spans="1:29" ht="15.75" customHeight="1">
      <c r="A865" s="204" t="str">
        <f>IF(B865&lt;&gt;"",IF(AND(B865&gt;=_TM1,B865&lt;=_TM2,OR(TH!L865="1111",TH!M865="1111")),TH!D865,""),"")</f>
        <v/>
      </c>
      <c r="B865" s="36">
        <f t="shared" si="187"/>
        <v>10</v>
      </c>
      <c r="C865" s="191">
        <f t="shared" si="189"/>
        <v>41563</v>
      </c>
      <c r="D865" s="184" t="s">
        <v>1058</v>
      </c>
      <c r="E865" s="184">
        <v>41563</v>
      </c>
      <c r="F865" s="189" t="s">
        <v>1160</v>
      </c>
      <c r="G865" s="189" t="s">
        <v>960</v>
      </c>
      <c r="H865" s="7" t="s">
        <v>544</v>
      </c>
      <c r="I865" s="256">
        <v>1400</v>
      </c>
      <c r="J865" s="256">
        <v>4890</v>
      </c>
      <c r="K865" s="38">
        <f>ROUND(I865*J865,0)</f>
        <v>6846000</v>
      </c>
      <c r="L865" s="194" t="s">
        <v>265</v>
      </c>
      <c r="M865" s="194" t="s">
        <v>175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853"/>
      <c r="AB865" s="812"/>
      <c r="AC865" s="594"/>
    </row>
    <row r="866" spans="1:29" ht="15.75" customHeight="1">
      <c r="A866" s="204" t="str">
        <f>IF(B866&lt;&gt;"",IF(AND(B866&gt;=_TM1,B866&lt;=_TM2,OR(TH!L866="1111",TH!M866="1111")),TH!D866,""),"")</f>
        <v/>
      </c>
      <c r="B866" s="36">
        <f t="shared" si="187"/>
        <v>10</v>
      </c>
      <c r="C866" s="191">
        <f t="shared" si="189"/>
        <v>41563</v>
      </c>
      <c r="D866" s="184" t="s">
        <v>1058</v>
      </c>
      <c r="E866" s="184">
        <v>41563</v>
      </c>
      <c r="F866" s="189" t="s">
        <v>726</v>
      </c>
      <c r="G866" s="604" t="s">
        <v>960</v>
      </c>
      <c r="H866" s="7" t="s">
        <v>544</v>
      </c>
      <c r="I866" s="256"/>
      <c r="J866" s="256"/>
      <c r="K866" s="602">
        <v>684600</v>
      </c>
      <c r="L866" s="194" t="s">
        <v>265</v>
      </c>
      <c r="M866" s="194" t="s">
        <v>430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853"/>
      <c r="AB866" s="812"/>
      <c r="AC866" s="594" t="str">
        <f t="shared" si="185"/>
        <v/>
      </c>
    </row>
    <row r="867" spans="1:29" ht="15.75" customHeight="1">
      <c r="A867" s="204" t="str">
        <f>IF(B867&lt;&gt;"",IF(AND(B867&gt;=_TM1,B867&lt;=_TM2,OR(TH!L867="1111",TH!M867="1111")),TH!D867,""),"")</f>
        <v/>
      </c>
      <c r="B867" s="36">
        <f t="shared" si="187"/>
        <v>10</v>
      </c>
      <c r="C867" s="191">
        <f t="shared" si="189"/>
        <v>41563</v>
      </c>
      <c r="D867" s="184" t="s">
        <v>1059</v>
      </c>
      <c r="E867" s="184">
        <v>41563</v>
      </c>
      <c r="F867" s="192" t="s">
        <v>1150</v>
      </c>
      <c r="G867" s="189" t="s">
        <v>961</v>
      </c>
      <c r="H867" s="7" t="s">
        <v>896</v>
      </c>
      <c r="I867" s="256">
        <v>5391</v>
      </c>
      <c r="J867" s="256">
        <v>4700</v>
      </c>
      <c r="K867" s="38">
        <f>ROUND(I867*J867,0)</f>
        <v>25337700</v>
      </c>
      <c r="L867" s="194" t="s">
        <v>265</v>
      </c>
      <c r="M867" s="194" t="s">
        <v>175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853"/>
      <c r="AB867" s="812"/>
      <c r="AC867" s="594"/>
    </row>
    <row r="868" spans="1:29" ht="15.75" customHeight="1">
      <c r="A868" s="204" t="str">
        <f>IF(B868&lt;&gt;"",IF(AND(B868&gt;=_TM1,B868&lt;=_TM2,OR(TH!L868="1111",TH!M868="1111")),TH!D868,""),"")</f>
        <v/>
      </c>
      <c r="B868" s="36">
        <f t="shared" si="187"/>
        <v>10</v>
      </c>
      <c r="C868" s="191">
        <f t="shared" si="189"/>
        <v>41563</v>
      </c>
      <c r="D868" s="184" t="s">
        <v>1059</v>
      </c>
      <c r="E868" s="184">
        <v>41563</v>
      </c>
      <c r="F868" s="189" t="s">
        <v>726</v>
      </c>
      <c r="G868" s="189" t="s">
        <v>961</v>
      </c>
      <c r="H868" s="193" t="s">
        <v>896</v>
      </c>
      <c r="I868" s="256"/>
      <c r="J868" s="256"/>
      <c r="K868" s="602">
        <v>2533770</v>
      </c>
      <c r="L868" s="194" t="s">
        <v>265</v>
      </c>
      <c r="M868" s="194" t="s">
        <v>430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853"/>
      <c r="AB868" s="812"/>
      <c r="AC868" s="594" t="str">
        <f t="shared" si="185"/>
        <v/>
      </c>
    </row>
    <row r="869" spans="1:29" ht="15.75" customHeight="1">
      <c r="A869" s="204" t="str">
        <f>IF(B869&lt;&gt;"",IF(AND(B869&gt;=_TM1,B869&lt;=_TM2,OR(TH!L869="1111",TH!M869="1111")),TH!D869,""),"")</f>
        <v/>
      </c>
      <c r="B869" s="36">
        <f t="shared" si="187"/>
        <v>10</v>
      </c>
      <c r="C869" s="191">
        <f t="shared" si="189"/>
        <v>41565</v>
      </c>
      <c r="D869" s="184" t="s">
        <v>1060</v>
      </c>
      <c r="E869" s="184">
        <v>41565</v>
      </c>
      <c r="F869" s="189" t="s">
        <v>940</v>
      </c>
      <c r="G869" s="604" t="s">
        <v>962</v>
      </c>
      <c r="H869" s="193" t="s">
        <v>550</v>
      </c>
      <c r="I869" s="256">
        <v>100</v>
      </c>
      <c r="J869" s="256">
        <v>18600</v>
      </c>
      <c r="K869" s="38">
        <f>ROUND(I869*J869,0)</f>
        <v>1860000</v>
      </c>
      <c r="L869" s="194" t="s">
        <v>265</v>
      </c>
      <c r="M869" s="194" t="s">
        <v>175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853"/>
      <c r="AB869" s="812"/>
      <c r="AC869" s="594"/>
    </row>
    <row r="870" spans="1:29" ht="15.75" customHeight="1">
      <c r="A870" s="204" t="str">
        <f>IF(B870&lt;&gt;"",IF(AND(B870&gt;=_TM1,B870&lt;=_TM2,OR(TH!L870="1111",TH!M870="1111")),TH!D870,""),"")</f>
        <v/>
      </c>
      <c r="B870" s="36">
        <f t="shared" si="187"/>
        <v>10</v>
      </c>
      <c r="C870" s="191">
        <f t="shared" si="189"/>
        <v>41565</v>
      </c>
      <c r="D870" s="184" t="s">
        <v>1060</v>
      </c>
      <c r="E870" s="184">
        <v>41565</v>
      </c>
      <c r="F870" s="189" t="s">
        <v>726</v>
      </c>
      <c r="G870" s="189" t="s">
        <v>962</v>
      </c>
      <c r="H870" s="193" t="s">
        <v>550</v>
      </c>
      <c r="I870" s="256"/>
      <c r="J870" s="256"/>
      <c r="K870" s="602">
        <v>186000</v>
      </c>
      <c r="L870" s="194" t="s">
        <v>265</v>
      </c>
      <c r="M870" s="194" t="s">
        <v>430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853"/>
      <c r="AB870" s="812"/>
      <c r="AC870" s="594" t="str">
        <f t="shared" si="185"/>
        <v/>
      </c>
    </row>
    <row r="871" spans="1:29" ht="15.75" customHeight="1">
      <c r="A871" s="204" t="str">
        <f>IF(B871&lt;&gt;"",IF(AND(B871&gt;=_TM1,B871&lt;=_TM2,OR(TH!L871="1111",TH!M871="1111")),TH!D871,""),"")</f>
        <v/>
      </c>
      <c r="B871" s="36">
        <f t="shared" si="187"/>
        <v>10</v>
      </c>
      <c r="C871" s="191">
        <f t="shared" si="189"/>
        <v>41566</v>
      </c>
      <c r="D871" s="184" t="s">
        <v>1061</v>
      </c>
      <c r="E871" s="184">
        <v>41566</v>
      </c>
      <c r="F871" s="189" t="s">
        <v>1142</v>
      </c>
      <c r="G871" s="189" t="s">
        <v>963</v>
      </c>
      <c r="H871" s="7" t="s">
        <v>790</v>
      </c>
      <c r="I871" s="256">
        <v>1157</v>
      </c>
      <c r="J871" s="256">
        <v>4700</v>
      </c>
      <c r="K871" s="38">
        <f t="shared" ref="K871:K872" si="192">ROUND(I871*J871,0)</f>
        <v>5437900</v>
      </c>
      <c r="L871" s="194" t="s">
        <v>265</v>
      </c>
      <c r="M871" s="194" t="s">
        <v>175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853"/>
      <c r="AB871" s="812"/>
      <c r="AC871" s="594"/>
    </row>
    <row r="872" spans="1:29" ht="15.75" customHeight="1">
      <c r="A872" s="204" t="str">
        <f>IF(B872&lt;&gt;"",IF(AND(B872&gt;=_TM1,B872&lt;=_TM2,OR(TH!L872="1111",TH!M872="1111")),TH!D872,""),"")</f>
        <v/>
      </c>
      <c r="B872" s="36">
        <f t="shared" si="187"/>
        <v>10</v>
      </c>
      <c r="C872" s="191">
        <f t="shared" si="189"/>
        <v>41566</v>
      </c>
      <c r="D872" s="184" t="s">
        <v>1061</v>
      </c>
      <c r="E872" s="184">
        <v>41566</v>
      </c>
      <c r="F872" s="189" t="s">
        <v>964</v>
      </c>
      <c r="G872" s="189" t="s">
        <v>963</v>
      </c>
      <c r="H872" s="7" t="s">
        <v>790</v>
      </c>
      <c r="I872" s="256">
        <v>220</v>
      </c>
      <c r="J872" s="256">
        <v>8280</v>
      </c>
      <c r="K872" s="38">
        <f t="shared" si="192"/>
        <v>1821600</v>
      </c>
      <c r="L872" s="194" t="s">
        <v>265</v>
      </c>
      <c r="M872" s="194" t="s">
        <v>175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853"/>
      <c r="AB872" s="812"/>
      <c r="AC872" s="594"/>
    </row>
    <row r="873" spans="1:29" ht="15.75" customHeight="1">
      <c r="A873" s="204" t="str">
        <f>IF(B873&lt;&gt;"",IF(AND(B873&gt;=_TM1,B873&lt;=_TM2,OR(TH!L873="1111",TH!M873="1111")),TH!D873,""),"")</f>
        <v/>
      </c>
      <c r="B873" s="36">
        <f t="shared" si="187"/>
        <v>10</v>
      </c>
      <c r="C873" s="191">
        <f t="shared" si="189"/>
        <v>41566</v>
      </c>
      <c r="D873" s="184" t="s">
        <v>1061</v>
      </c>
      <c r="E873" s="184">
        <v>41566</v>
      </c>
      <c r="F873" s="189" t="s">
        <v>726</v>
      </c>
      <c r="G873" s="485" t="s">
        <v>963</v>
      </c>
      <c r="H873" s="7" t="s">
        <v>790</v>
      </c>
      <c r="I873" s="256"/>
      <c r="J873" s="256"/>
      <c r="K873" s="602">
        <v>725950</v>
      </c>
      <c r="L873" s="194" t="s">
        <v>265</v>
      </c>
      <c r="M873" s="194" t="s">
        <v>430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853"/>
      <c r="AB873" s="812"/>
      <c r="AC873" s="594" t="str">
        <f t="shared" si="185"/>
        <v/>
      </c>
    </row>
    <row r="874" spans="1:29" ht="15.75" customHeight="1">
      <c r="A874" s="204" t="str">
        <f>IF(B874&lt;&gt;"",IF(AND(B874&gt;=_TM1,B874&lt;=_TM2,OR(TH!L874="1111",TH!M874="1111")),TH!D874,""),"")</f>
        <v/>
      </c>
      <c r="B874" s="36">
        <f t="shared" si="187"/>
        <v>10</v>
      </c>
      <c r="C874" s="191">
        <f t="shared" si="189"/>
        <v>41568</v>
      </c>
      <c r="D874" s="184" t="s">
        <v>1062</v>
      </c>
      <c r="E874" s="184">
        <v>41568</v>
      </c>
      <c r="F874" s="192" t="s">
        <v>731</v>
      </c>
      <c r="G874" s="189" t="s">
        <v>965</v>
      </c>
      <c r="H874" s="7" t="s">
        <v>503</v>
      </c>
      <c r="I874" s="256">
        <v>529</v>
      </c>
      <c r="J874" s="256">
        <v>8740</v>
      </c>
      <c r="K874" s="38">
        <f>ROUND(I874*J874,0)</f>
        <v>4623460</v>
      </c>
      <c r="L874" s="194" t="s">
        <v>265</v>
      </c>
      <c r="M874" s="194" t="s">
        <v>175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853"/>
      <c r="AB874" s="812"/>
      <c r="AC874" s="594"/>
    </row>
    <row r="875" spans="1:29" ht="15.75" customHeight="1">
      <c r="A875" s="204" t="str">
        <f>IF(B875&lt;&gt;"",IF(AND(B875&gt;=_TM1,B875&lt;=_TM2,OR(TH!L875="1111",TH!M875="1111")),TH!D875,""),"")</f>
        <v/>
      </c>
      <c r="B875" s="36">
        <f t="shared" si="187"/>
        <v>10</v>
      </c>
      <c r="C875" s="191">
        <f t="shared" si="189"/>
        <v>41568</v>
      </c>
      <c r="D875" s="184" t="s">
        <v>1062</v>
      </c>
      <c r="E875" s="184">
        <v>41568</v>
      </c>
      <c r="F875" s="189" t="s">
        <v>726</v>
      </c>
      <c r="G875" s="485" t="s">
        <v>965</v>
      </c>
      <c r="H875" s="7" t="s">
        <v>503</v>
      </c>
      <c r="I875" s="256"/>
      <c r="J875" s="256"/>
      <c r="K875" s="602">
        <v>462346</v>
      </c>
      <c r="L875" s="194" t="s">
        <v>265</v>
      </c>
      <c r="M875" s="194" t="s">
        <v>430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853"/>
      <c r="AB875" s="812"/>
      <c r="AC875" s="594" t="str">
        <f t="shared" si="185"/>
        <v/>
      </c>
    </row>
    <row r="876" spans="1:29" ht="15.75" customHeight="1">
      <c r="A876" s="204" t="str">
        <f>IF(B876&lt;&gt;"",IF(AND(B876&gt;=_TM1,B876&lt;=_TM2,OR(TH!L876="1111",TH!M876="1111")),TH!D876,""),"")</f>
        <v/>
      </c>
      <c r="B876" s="36">
        <f t="shared" si="187"/>
        <v>10</v>
      </c>
      <c r="C876" s="191">
        <f t="shared" si="189"/>
        <v>41568</v>
      </c>
      <c r="D876" s="184" t="s">
        <v>1063</v>
      </c>
      <c r="E876" s="184">
        <v>41568</v>
      </c>
      <c r="F876" s="189" t="s">
        <v>966</v>
      </c>
      <c r="G876" s="189" t="s">
        <v>967</v>
      </c>
      <c r="H876" s="7" t="s">
        <v>952</v>
      </c>
      <c r="I876" s="256">
        <v>80</v>
      </c>
      <c r="J876" s="256">
        <v>3600</v>
      </c>
      <c r="K876" s="38">
        <f t="shared" ref="K876:K881" si="193">ROUND(I876*J876,0)</f>
        <v>288000</v>
      </c>
      <c r="L876" s="194" t="s">
        <v>265</v>
      </c>
      <c r="M876" s="194" t="s">
        <v>175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853"/>
      <c r="AB876" s="812"/>
      <c r="AC876" s="594"/>
    </row>
    <row r="877" spans="1:29" ht="15.75" customHeight="1">
      <c r="A877" s="204" t="str">
        <f>IF(B877&lt;&gt;"",IF(AND(B877&gt;=_TM1,B877&lt;=_TM2,OR(TH!L877="1111",TH!M877="1111")),TH!D877,""),"")</f>
        <v/>
      </c>
      <c r="B877" s="36">
        <f t="shared" si="187"/>
        <v>10</v>
      </c>
      <c r="C877" s="191">
        <f t="shared" si="189"/>
        <v>41568</v>
      </c>
      <c r="D877" s="184" t="s">
        <v>1063</v>
      </c>
      <c r="E877" s="184">
        <v>41568</v>
      </c>
      <c r="F877" s="189" t="s">
        <v>968</v>
      </c>
      <c r="G877" s="485" t="s">
        <v>967</v>
      </c>
      <c r="H877" s="7" t="s">
        <v>952</v>
      </c>
      <c r="I877" s="256">
        <v>80</v>
      </c>
      <c r="J877" s="256">
        <v>3600</v>
      </c>
      <c r="K877" s="38">
        <f t="shared" si="193"/>
        <v>288000</v>
      </c>
      <c r="L877" s="194" t="s">
        <v>265</v>
      </c>
      <c r="M877" s="194" t="s">
        <v>175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853"/>
      <c r="AB877" s="812"/>
      <c r="AC877" s="594"/>
    </row>
    <row r="878" spans="1:29" ht="15.75" customHeight="1">
      <c r="A878" s="204" t="str">
        <f>IF(B878&lt;&gt;"",IF(AND(B878&gt;=_TM1,B878&lt;=_TM2,OR(TH!L878="1111",TH!M878="1111")),TH!D878,""),"")</f>
        <v/>
      </c>
      <c r="B878" s="36">
        <f t="shared" si="187"/>
        <v>10</v>
      </c>
      <c r="C878" s="191">
        <f t="shared" si="189"/>
        <v>41568</v>
      </c>
      <c r="D878" s="184" t="s">
        <v>1063</v>
      </c>
      <c r="E878" s="184">
        <v>41568</v>
      </c>
      <c r="F878" s="189" t="s">
        <v>1164</v>
      </c>
      <c r="G878" s="189" t="s">
        <v>967</v>
      </c>
      <c r="H878" s="7" t="s">
        <v>952</v>
      </c>
      <c r="I878" s="256">
        <v>79</v>
      </c>
      <c r="J878" s="256">
        <v>4850</v>
      </c>
      <c r="K878" s="38">
        <f t="shared" si="193"/>
        <v>383150</v>
      </c>
      <c r="L878" s="194" t="s">
        <v>265</v>
      </c>
      <c r="M878" s="194" t="s">
        <v>175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853"/>
      <c r="AB878" s="812"/>
      <c r="AC878" s="594"/>
    </row>
    <row r="879" spans="1:29" ht="15.75" customHeight="1">
      <c r="A879" s="204" t="str">
        <f>IF(B879&lt;&gt;"",IF(AND(B879&gt;=_TM1,B879&lt;=_TM2,OR(TH!L879="1111",TH!M879="1111")),TH!D879,""),"")</f>
        <v/>
      </c>
      <c r="B879" s="36">
        <f t="shared" si="187"/>
        <v>10</v>
      </c>
      <c r="C879" s="191">
        <f t="shared" si="189"/>
        <v>41568</v>
      </c>
      <c r="D879" s="184" t="s">
        <v>1063</v>
      </c>
      <c r="E879" s="184">
        <v>41568</v>
      </c>
      <c r="F879" s="189" t="s">
        <v>1161</v>
      </c>
      <c r="G879" s="485" t="s">
        <v>967</v>
      </c>
      <c r="H879" s="7" t="s">
        <v>952</v>
      </c>
      <c r="I879" s="256">
        <v>82</v>
      </c>
      <c r="J879" s="256">
        <v>4200</v>
      </c>
      <c r="K879" s="38">
        <f t="shared" si="193"/>
        <v>344400</v>
      </c>
      <c r="L879" s="194" t="s">
        <v>265</v>
      </c>
      <c r="M879" s="194" t="s">
        <v>175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853"/>
      <c r="AB879" s="812"/>
      <c r="AC879" s="594"/>
    </row>
    <row r="880" spans="1:29" ht="15.75" customHeight="1">
      <c r="A880" s="204" t="str">
        <f>IF(B880&lt;&gt;"",IF(AND(B880&gt;=_TM1,B880&lt;=_TM2,OR(TH!L880="1111",TH!M880="1111")),TH!D880,""),"")</f>
        <v/>
      </c>
      <c r="B880" s="36">
        <f t="shared" si="187"/>
        <v>10</v>
      </c>
      <c r="C880" s="191">
        <f t="shared" si="189"/>
        <v>41568</v>
      </c>
      <c r="D880" s="184" t="s">
        <v>1063</v>
      </c>
      <c r="E880" s="184">
        <v>41568</v>
      </c>
      <c r="F880" s="189" t="s">
        <v>969</v>
      </c>
      <c r="G880" s="189" t="s">
        <v>967</v>
      </c>
      <c r="H880" s="7" t="s">
        <v>952</v>
      </c>
      <c r="I880" s="256">
        <v>81</v>
      </c>
      <c r="J880" s="256">
        <v>6000</v>
      </c>
      <c r="K880" s="38">
        <f t="shared" si="193"/>
        <v>486000</v>
      </c>
      <c r="L880" s="194" t="s">
        <v>265</v>
      </c>
      <c r="M880" s="194" t="s">
        <v>175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853"/>
      <c r="AB880" s="812"/>
      <c r="AC880" s="594"/>
    </row>
    <row r="881" spans="1:29" ht="15.75" customHeight="1">
      <c r="A881" s="204" t="str">
        <f>IF(B881&lt;&gt;"",IF(AND(B881&gt;=_TM1,B881&lt;=_TM2,OR(TH!L881="1111",TH!M881="1111")),TH!D881,""),"")</f>
        <v/>
      </c>
      <c r="B881" s="36">
        <f t="shared" si="187"/>
        <v>10</v>
      </c>
      <c r="C881" s="191">
        <f t="shared" si="189"/>
        <v>41568</v>
      </c>
      <c r="D881" s="184" t="s">
        <v>1063</v>
      </c>
      <c r="E881" s="184">
        <v>41568</v>
      </c>
      <c r="F881" s="189" t="s">
        <v>970</v>
      </c>
      <c r="G881" s="485" t="s">
        <v>967</v>
      </c>
      <c r="H881" s="7" t="s">
        <v>952</v>
      </c>
      <c r="I881" s="256">
        <v>81</v>
      </c>
      <c r="J881" s="256">
        <v>6700</v>
      </c>
      <c r="K881" s="38">
        <f t="shared" si="193"/>
        <v>542700</v>
      </c>
      <c r="L881" s="194" t="s">
        <v>265</v>
      </c>
      <c r="M881" s="194" t="s">
        <v>175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853"/>
      <c r="AB881" s="812"/>
      <c r="AC881" s="594"/>
    </row>
    <row r="882" spans="1:29" ht="15.75" customHeight="1">
      <c r="A882" s="204" t="str">
        <f>IF(B882&lt;&gt;"",IF(AND(B882&gt;=_TM1,B882&lt;=_TM2,OR(TH!L882="1111",TH!M882="1111")),TH!D882,""),"")</f>
        <v/>
      </c>
      <c r="B882" s="36">
        <f t="shared" si="187"/>
        <v>10</v>
      </c>
      <c r="C882" s="191">
        <f t="shared" si="189"/>
        <v>41568</v>
      </c>
      <c r="D882" s="184" t="s">
        <v>1063</v>
      </c>
      <c r="E882" s="184">
        <v>41568</v>
      </c>
      <c r="F882" s="189" t="s">
        <v>726</v>
      </c>
      <c r="G882" s="189" t="s">
        <v>967</v>
      </c>
      <c r="H882" s="193" t="s">
        <v>952</v>
      </c>
      <c r="I882" s="256"/>
      <c r="J882" s="256"/>
      <c r="K882" s="602">
        <v>233225</v>
      </c>
      <c r="L882" s="194" t="s">
        <v>265</v>
      </c>
      <c r="M882" s="194" t="s">
        <v>430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853"/>
      <c r="AB882" s="812"/>
      <c r="AC882" s="594" t="str">
        <f t="shared" si="185"/>
        <v/>
      </c>
    </row>
    <row r="883" spans="1:29" ht="15.75" customHeight="1">
      <c r="A883" s="204" t="str">
        <f>IF(B883&lt;&gt;"",IF(AND(B883&gt;=_TM1,B883&lt;=_TM2,OR(TH!L883="1111",TH!M883="1111")),TH!D883,""),"")</f>
        <v/>
      </c>
      <c r="B883" s="36">
        <f t="shared" si="187"/>
        <v>10</v>
      </c>
      <c r="C883" s="191">
        <f t="shared" si="189"/>
        <v>41568</v>
      </c>
      <c r="D883" s="184" t="s">
        <v>1064</v>
      </c>
      <c r="E883" s="184">
        <v>41568</v>
      </c>
      <c r="F883" s="189" t="s">
        <v>971</v>
      </c>
      <c r="G883" s="485" t="s">
        <v>972</v>
      </c>
      <c r="H883" s="193" t="s">
        <v>952</v>
      </c>
      <c r="I883" s="256">
        <v>80</v>
      </c>
      <c r="J883" s="256">
        <v>4500</v>
      </c>
      <c r="K883" s="38">
        <f t="shared" ref="K883:K890" si="194">ROUND(I883*J883,0)</f>
        <v>360000</v>
      </c>
      <c r="L883" s="194" t="s">
        <v>265</v>
      </c>
      <c r="M883" s="194" t="s">
        <v>175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853"/>
      <c r="AB883" s="812"/>
      <c r="AC883" s="594"/>
    </row>
    <row r="884" spans="1:29" ht="15.75" customHeight="1">
      <c r="A884" s="204" t="str">
        <f>IF(B884&lt;&gt;"",IF(AND(B884&gt;=_TM1,B884&lt;=_TM2,OR(TH!L884="1111",TH!M884="1111")),TH!D884,""),"")</f>
        <v/>
      </c>
      <c r="B884" s="36">
        <f t="shared" si="187"/>
        <v>10</v>
      </c>
      <c r="C884" s="191">
        <f t="shared" si="189"/>
        <v>41568</v>
      </c>
      <c r="D884" s="184" t="s">
        <v>1064</v>
      </c>
      <c r="E884" s="184">
        <v>41568</v>
      </c>
      <c r="F884" s="189" t="s">
        <v>973</v>
      </c>
      <c r="G884" s="189" t="s">
        <v>972</v>
      </c>
      <c r="H884" s="193" t="s">
        <v>952</v>
      </c>
      <c r="I884" s="256">
        <v>59</v>
      </c>
      <c r="J884" s="256">
        <v>4800</v>
      </c>
      <c r="K884" s="38">
        <f t="shared" si="194"/>
        <v>283200</v>
      </c>
      <c r="L884" s="194" t="s">
        <v>265</v>
      </c>
      <c r="M884" s="194" t="s">
        <v>175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853"/>
      <c r="AC884" s="594"/>
    </row>
    <row r="885" spans="1:29" ht="15.75" customHeight="1">
      <c r="A885" s="204" t="str">
        <f>IF(B885&lt;&gt;"",IF(AND(B885&gt;=_TM1,B885&lt;=_TM2,OR(TH!L885="1111",TH!M885="1111")),TH!D885,""),"")</f>
        <v/>
      </c>
      <c r="B885" s="36">
        <f t="shared" si="187"/>
        <v>10</v>
      </c>
      <c r="C885" s="191">
        <f t="shared" si="189"/>
        <v>41568</v>
      </c>
      <c r="D885" s="184" t="s">
        <v>1064</v>
      </c>
      <c r="E885" s="184">
        <v>41568</v>
      </c>
      <c r="F885" s="189" t="s">
        <v>974</v>
      </c>
      <c r="G885" s="189" t="s">
        <v>972</v>
      </c>
      <c r="H885" s="193" t="s">
        <v>952</v>
      </c>
      <c r="I885" s="256">
        <v>80</v>
      </c>
      <c r="J885" s="256">
        <v>6800</v>
      </c>
      <c r="K885" s="38">
        <f t="shared" si="194"/>
        <v>544000</v>
      </c>
      <c r="L885" s="194" t="s">
        <v>265</v>
      </c>
      <c r="M885" s="194" t="s">
        <v>175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853"/>
      <c r="AC885" s="594"/>
    </row>
    <row r="886" spans="1:29" ht="15.75" customHeight="1">
      <c r="A886" s="204" t="str">
        <f>IF(B886&lt;&gt;"",IF(AND(B886&gt;=_TM1,B886&lt;=_TM2,OR(TH!L886="1111",TH!M886="1111")),TH!D886,""),"")</f>
        <v/>
      </c>
      <c r="B886" s="36">
        <f t="shared" si="187"/>
        <v>10</v>
      </c>
      <c r="C886" s="191">
        <f t="shared" si="189"/>
        <v>41568</v>
      </c>
      <c r="D886" s="184" t="s">
        <v>1064</v>
      </c>
      <c r="E886" s="184">
        <v>41568</v>
      </c>
      <c r="F886" s="189" t="s">
        <v>975</v>
      </c>
      <c r="G886" s="189" t="s">
        <v>972</v>
      </c>
      <c r="H886" s="193" t="s">
        <v>952</v>
      </c>
      <c r="I886" s="256">
        <v>15</v>
      </c>
      <c r="J886" s="256">
        <v>9500</v>
      </c>
      <c r="K886" s="38">
        <f t="shared" si="194"/>
        <v>142500</v>
      </c>
      <c r="L886" s="194" t="s">
        <v>265</v>
      </c>
      <c r="M886" s="194" t="s">
        <v>175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853"/>
      <c r="AC886" s="594"/>
    </row>
    <row r="887" spans="1:29" ht="15.75" customHeight="1">
      <c r="A887" s="204" t="str">
        <f>IF(B887&lt;&gt;"",IF(AND(B887&gt;=_TM1,B887&lt;=_TM2,OR(TH!L887="1111",TH!M887="1111")),TH!D887,""),"")</f>
        <v/>
      </c>
      <c r="B887" s="36">
        <f t="shared" si="187"/>
        <v>10</v>
      </c>
      <c r="C887" s="191">
        <f t="shared" si="189"/>
        <v>41568</v>
      </c>
      <c r="D887" s="184" t="s">
        <v>1064</v>
      </c>
      <c r="E887" s="184">
        <v>41568</v>
      </c>
      <c r="F887" s="189" t="s">
        <v>976</v>
      </c>
      <c r="G887" s="485" t="s">
        <v>972</v>
      </c>
      <c r="H887" s="193" t="s">
        <v>952</v>
      </c>
      <c r="I887" s="256">
        <v>21</v>
      </c>
      <c r="J887" s="256">
        <v>7700</v>
      </c>
      <c r="K887" s="38">
        <f t="shared" si="194"/>
        <v>161700</v>
      </c>
      <c r="L887" s="194" t="s">
        <v>265</v>
      </c>
      <c r="M887" s="194" t="s">
        <v>175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853"/>
      <c r="AC887" s="594"/>
    </row>
    <row r="888" spans="1:29" ht="15.75" customHeight="1">
      <c r="A888" s="204" t="str">
        <f>IF(B888&lt;&gt;"",IF(AND(B888&gt;=_TM1,B888&lt;=_TM2,OR(TH!L888="1111",TH!M888="1111")),TH!D888,""),"")</f>
        <v/>
      </c>
      <c r="B888" s="36">
        <f t="shared" si="187"/>
        <v>10</v>
      </c>
      <c r="C888" s="191">
        <f t="shared" si="189"/>
        <v>41568</v>
      </c>
      <c r="D888" s="184" t="s">
        <v>1064</v>
      </c>
      <c r="E888" s="184">
        <v>41568</v>
      </c>
      <c r="F888" s="189" t="s">
        <v>977</v>
      </c>
      <c r="G888" s="189" t="s">
        <v>972</v>
      </c>
      <c r="H888" s="193" t="s">
        <v>952</v>
      </c>
      <c r="I888" s="256">
        <v>8</v>
      </c>
      <c r="J888" s="256">
        <v>9700</v>
      </c>
      <c r="K888" s="38">
        <f t="shared" si="194"/>
        <v>77600</v>
      </c>
      <c r="L888" s="194" t="s">
        <v>265</v>
      </c>
      <c r="M888" s="194" t="s">
        <v>175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853"/>
      <c r="AC888" s="594"/>
    </row>
    <row r="889" spans="1:29" ht="15.75" customHeight="1">
      <c r="A889" s="204" t="str">
        <f>IF(B889&lt;&gt;"",IF(AND(B889&gt;=_TM1,B889&lt;=_TM2,OR(TH!L889="1111",TH!M889="1111")),TH!D889,""),"")</f>
        <v/>
      </c>
      <c r="B889" s="36">
        <f t="shared" si="187"/>
        <v>10</v>
      </c>
      <c r="C889" s="191">
        <f t="shared" si="189"/>
        <v>41568</v>
      </c>
      <c r="D889" s="184" t="s">
        <v>1064</v>
      </c>
      <c r="E889" s="184">
        <v>41568</v>
      </c>
      <c r="F889" s="189" t="s">
        <v>978</v>
      </c>
      <c r="G889" s="485" t="s">
        <v>972</v>
      </c>
      <c r="H889" s="193" t="s">
        <v>952</v>
      </c>
      <c r="I889" s="256">
        <v>10</v>
      </c>
      <c r="J889" s="256">
        <v>10350</v>
      </c>
      <c r="K889" s="38">
        <f t="shared" si="194"/>
        <v>103500</v>
      </c>
      <c r="L889" s="194" t="s">
        <v>265</v>
      </c>
      <c r="M889" s="194" t="s">
        <v>175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853"/>
      <c r="AC889" s="594"/>
    </row>
    <row r="890" spans="1:29" ht="15.75" customHeight="1">
      <c r="A890" s="204" t="str">
        <f>IF(B890&lt;&gt;"",IF(AND(B890&gt;=_TM1,B890&lt;=_TM2,OR(TH!L890="1111",TH!M890="1111")),TH!D890,""),"")</f>
        <v/>
      </c>
      <c r="B890" s="36">
        <f t="shared" si="187"/>
        <v>10</v>
      </c>
      <c r="C890" s="191">
        <f t="shared" si="189"/>
        <v>41568</v>
      </c>
      <c r="D890" s="184" t="s">
        <v>1064</v>
      </c>
      <c r="E890" s="184">
        <v>41568</v>
      </c>
      <c r="F890" s="189" t="s">
        <v>979</v>
      </c>
      <c r="G890" s="189" t="s">
        <v>972</v>
      </c>
      <c r="H890" s="193" t="s">
        <v>952</v>
      </c>
      <c r="I890" s="256">
        <v>10</v>
      </c>
      <c r="J890" s="256">
        <v>12600</v>
      </c>
      <c r="K890" s="38">
        <f t="shared" si="194"/>
        <v>126000</v>
      </c>
      <c r="L890" s="194" t="s">
        <v>265</v>
      </c>
      <c r="M890" s="194" t="s">
        <v>175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853"/>
      <c r="AB890" s="812"/>
      <c r="AC890" s="594"/>
    </row>
    <row r="891" spans="1:29" ht="15.75" customHeight="1">
      <c r="A891" s="204" t="str">
        <f>IF(B891&lt;&gt;"",IF(AND(B891&gt;=_TM1,B891&lt;=_TM2,OR(TH!L891="1111",TH!M891="1111")),TH!D891,""),"")</f>
        <v/>
      </c>
      <c r="B891" s="36">
        <f t="shared" si="187"/>
        <v>10</v>
      </c>
      <c r="C891" s="191">
        <f t="shared" si="189"/>
        <v>41568</v>
      </c>
      <c r="D891" s="184" t="s">
        <v>1064</v>
      </c>
      <c r="E891" s="184">
        <v>41568</v>
      </c>
      <c r="F891" s="189" t="s">
        <v>726</v>
      </c>
      <c r="G891" s="485" t="s">
        <v>972</v>
      </c>
      <c r="H891" s="193" t="s">
        <v>952</v>
      </c>
      <c r="I891" s="256"/>
      <c r="J891" s="256"/>
      <c r="K891" s="602">
        <v>179850</v>
      </c>
      <c r="L891" s="194" t="s">
        <v>265</v>
      </c>
      <c r="M891" s="194" t="s">
        <v>430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853"/>
      <c r="AB891" s="812"/>
      <c r="AC891" s="594" t="str">
        <f t="shared" si="185"/>
        <v/>
      </c>
    </row>
    <row r="892" spans="1:29" ht="15.75" customHeight="1">
      <c r="A892" s="204" t="str">
        <f>IF(B892&lt;&gt;"",IF(AND(B892&gt;=_TM1,B892&lt;=_TM2,OR(TH!L892="1111",TH!M892="1111")),TH!D892,""),"")</f>
        <v/>
      </c>
      <c r="B892" s="36">
        <f t="shared" si="187"/>
        <v>10</v>
      </c>
      <c r="C892" s="191">
        <f t="shared" si="189"/>
        <v>41568</v>
      </c>
      <c r="D892" s="184" t="s">
        <v>1065</v>
      </c>
      <c r="E892" s="184">
        <v>41568</v>
      </c>
      <c r="F892" s="189" t="s">
        <v>980</v>
      </c>
      <c r="G892" s="189" t="s">
        <v>981</v>
      </c>
      <c r="H892" s="193" t="s">
        <v>952</v>
      </c>
      <c r="I892" s="256">
        <v>62</v>
      </c>
      <c r="J892" s="256">
        <v>7650</v>
      </c>
      <c r="K892" s="38">
        <f t="shared" ref="K892:K899" si="195">ROUND(I892*J892,0)</f>
        <v>474300</v>
      </c>
      <c r="L892" s="194" t="s">
        <v>265</v>
      </c>
      <c r="M892" s="194" t="s">
        <v>175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853"/>
      <c r="AB892" s="812"/>
      <c r="AC892" s="594"/>
    </row>
    <row r="893" spans="1:29" ht="15.75" customHeight="1">
      <c r="A893" s="204" t="str">
        <f>IF(B893&lt;&gt;"",IF(AND(B893&gt;=_TM1,B893&lt;=_TM2,OR(TH!L893="1111",TH!M893="1111")),TH!D893,""),"")</f>
        <v/>
      </c>
      <c r="B893" s="36">
        <f t="shared" si="187"/>
        <v>10</v>
      </c>
      <c r="C893" s="191">
        <f t="shared" si="189"/>
        <v>41568</v>
      </c>
      <c r="D893" s="184" t="s">
        <v>1065</v>
      </c>
      <c r="E893" s="184">
        <v>41568</v>
      </c>
      <c r="F893" s="189" t="s">
        <v>982</v>
      </c>
      <c r="G893" s="485" t="s">
        <v>983</v>
      </c>
      <c r="H893" s="193" t="s">
        <v>952</v>
      </c>
      <c r="I893" s="256">
        <v>50</v>
      </c>
      <c r="J893" s="256">
        <v>13500</v>
      </c>
      <c r="K893" s="38">
        <f t="shared" si="195"/>
        <v>675000</v>
      </c>
      <c r="L893" s="194" t="s">
        <v>265</v>
      </c>
      <c r="M893" s="194" t="s">
        <v>175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853"/>
      <c r="AB893" s="812"/>
      <c r="AC893" s="594"/>
    </row>
    <row r="894" spans="1:29" ht="15.75" customHeight="1">
      <c r="A894" s="204" t="str">
        <f>IF(B894&lt;&gt;"",IF(AND(B894&gt;=_TM1,B894&lt;=_TM2,OR(TH!L894="1111",TH!M894="1111")),TH!D894,""),"")</f>
        <v/>
      </c>
      <c r="B894" s="36">
        <f t="shared" si="187"/>
        <v>10</v>
      </c>
      <c r="C894" s="191">
        <f t="shared" si="189"/>
        <v>41568</v>
      </c>
      <c r="D894" s="184" t="s">
        <v>1065</v>
      </c>
      <c r="E894" s="184">
        <v>41568</v>
      </c>
      <c r="F894" s="189" t="s">
        <v>984</v>
      </c>
      <c r="G894" s="189" t="s">
        <v>985</v>
      </c>
      <c r="H894" s="193" t="s">
        <v>952</v>
      </c>
      <c r="I894" s="256">
        <v>51</v>
      </c>
      <c r="J894" s="256">
        <v>12100</v>
      </c>
      <c r="K894" s="38">
        <f t="shared" si="195"/>
        <v>617100</v>
      </c>
      <c r="L894" s="194" t="s">
        <v>265</v>
      </c>
      <c r="M894" s="194" t="s">
        <v>175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853"/>
      <c r="AB894" s="812"/>
      <c r="AC894" s="594"/>
    </row>
    <row r="895" spans="1:29" ht="15.75" customHeight="1">
      <c r="A895" s="204" t="str">
        <f>IF(B895&lt;&gt;"",IF(AND(B895&gt;=_TM1,B895&lt;=_TM2,OR(TH!L895="1111",TH!M895="1111")),TH!D895,""),"")</f>
        <v/>
      </c>
      <c r="B895" s="36">
        <f t="shared" si="187"/>
        <v>10</v>
      </c>
      <c r="C895" s="191">
        <f t="shared" si="189"/>
        <v>41568</v>
      </c>
      <c r="D895" s="184" t="s">
        <v>1065</v>
      </c>
      <c r="E895" s="184">
        <v>41568</v>
      </c>
      <c r="F895" s="189" t="s">
        <v>1158</v>
      </c>
      <c r="G895" s="485" t="s">
        <v>986</v>
      </c>
      <c r="H895" s="193" t="s">
        <v>952</v>
      </c>
      <c r="I895" s="256">
        <v>66</v>
      </c>
      <c r="J895" s="256">
        <v>4800</v>
      </c>
      <c r="K895" s="38">
        <f t="shared" si="195"/>
        <v>316800</v>
      </c>
      <c r="L895" s="194" t="s">
        <v>265</v>
      </c>
      <c r="M895" s="194" t="s">
        <v>175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853"/>
      <c r="AB895" s="812"/>
      <c r="AC895" s="594"/>
    </row>
    <row r="896" spans="1:29" ht="15.75" customHeight="1">
      <c r="A896" s="204" t="str">
        <f>IF(B896&lt;&gt;"",IF(AND(B896&gt;=_TM1,B896&lt;=_TM2,OR(TH!L896="1111",TH!M896="1111")),TH!D896,""),"")</f>
        <v/>
      </c>
      <c r="B896" s="36">
        <f t="shared" si="187"/>
        <v>10</v>
      </c>
      <c r="C896" s="191">
        <f t="shared" si="189"/>
        <v>41568</v>
      </c>
      <c r="D896" s="184" t="s">
        <v>1065</v>
      </c>
      <c r="E896" s="184">
        <v>41568</v>
      </c>
      <c r="F896" s="189" t="s">
        <v>1159</v>
      </c>
      <c r="G896" s="189" t="s">
        <v>644</v>
      </c>
      <c r="H896" s="193" t="s">
        <v>952</v>
      </c>
      <c r="I896" s="256">
        <v>62</v>
      </c>
      <c r="J896" s="256">
        <v>4700</v>
      </c>
      <c r="K896" s="38">
        <f t="shared" si="195"/>
        <v>291400</v>
      </c>
      <c r="L896" s="194" t="s">
        <v>265</v>
      </c>
      <c r="M896" s="194" t="s">
        <v>175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853"/>
      <c r="AB896" s="812"/>
      <c r="AC896" s="594"/>
    </row>
    <row r="897" spans="1:29" ht="15.75" customHeight="1">
      <c r="A897" s="204" t="str">
        <f>IF(B897&lt;&gt;"",IF(AND(B897&gt;=_TM1,B897&lt;=_TM2,OR(TH!L897="1111",TH!M897="1111")),TH!D897,""),"")</f>
        <v/>
      </c>
      <c r="B897" s="36">
        <f t="shared" si="187"/>
        <v>10</v>
      </c>
      <c r="C897" s="191">
        <f t="shared" si="189"/>
        <v>41568</v>
      </c>
      <c r="D897" s="184" t="s">
        <v>1065</v>
      </c>
      <c r="E897" s="184">
        <v>41568</v>
      </c>
      <c r="F897" s="189" t="s">
        <v>987</v>
      </c>
      <c r="G897" s="485" t="s">
        <v>988</v>
      </c>
      <c r="H897" s="193" t="s">
        <v>952</v>
      </c>
      <c r="I897" s="256">
        <v>16</v>
      </c>
      <c r="J897" s="256">
        <v>16600</v>
      </c>
      <c r="K897" s="38">
        <f t="shared" si="195"/>
        <v>265600</v>
      </c>
      <c r="L897" s="194" t="s">
        <v>265</v>
      </c>
      <c r="M897" s="194" t="s">
        <v>175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853"/>
      <c r="AB897" s="812"/>
      <c r="AC897" s="594"/>
    </row>
    <row r="898" spans="1:29" ht="15.75" customHeight="1">
      <c r="A898" s="204" t="str">
        <f>IF(B898&lt;&gt;"",IF(AND(B898&gt;=_TM1,B898&lt;=_TM2,OR(TH!L898="1111",TH!M898="1111")),TH!D898,""),"")</f>
        <v/>
      </c>
      <c r="B898" s="36">
        <f t="shared" si="187"/>
        <v>10</v>
      </c>
      <c r="C898" s="191">
        <f t="shared" si="189"/>
        <v>41568</v>
      </c>
      <c r="D898" s="184" t="s">
        <v>1065</v>
      </c>
      <c r="E898" s="184">
        <v>41568</v>
      </c>
      <c r="F898" s="189" t="s">
        <v>989</v>
      </c>
      <c r="G898" s="189" t="s">
        <v>990</v>
      </c>
      <c r="H898" s="193" t="s">
        <v>952</v>
      </c>
      <c r="I898" s="256">
        <v>13</v>
      </c>
      <c r="J898" s="256">
        <v>16300</v>
      </c>
      <c r="K898" s="38">
        <f t="shared" si="195"/>
        <v>211900</v>
      </c>
      <c r="L898" s="194" t="s">
        <v>265</v>
      </c>
      <c r="M898" s="194" t="s">
        <v>175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853"/>
      <c r="AB898" s="812"/>
      <c r="AC898" s="594"/>
    </row>
    <row r="899" spans="1:29" ht="15.75" customHeight="1">
      <c r="A899" s="204" t="str">
        <f>IF(B899&lt;&gt;"",IF(AND(B899&gt;=_TM1,B899&lt;=_TM2,OR(TH!L899="1111",TH!M899="1111")),TH!D899,""),"")</f>
        <v/>
      </c>
      <c r="B899" s="36">
        <f t="shared" si="187"/>
        <v>10</v>
      </c>
      <c r="C899" s="191">
        <f t="shared" si="189"/>
        <v>41568</v>
      </c>
      <c r="D899" s="184" t="s">
        <v>1065</v>
      </c>
      <c r="E899" s="184">
        <v>41568</v>
      </c>
      <c r="F899" s="189" t="s">
        <v>991</v>
      </c>
      <c r="G899" s="189" t="s">
        <v>992</v>
      </c>
      <c r="H899" s="193" t="s">
        <v>952</v>
      </c>
      <c r="I899" s="256">
        <v>13</v>
      </c>
      <c r="J899" s="256">
        <v>23850</v>
      </c>
      <c r="K899" s="38">
        <f t="shared" si="195"/>
        <v>310050</v>
      </c>
      <c r="L899" s="194" t="s">
        <v>265</v>
      </c>
      <c r="M899" s="194" t="s">
        <v>175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853"/>
      <c r="AB899" s="812"/>
      <c r="AC899" s="594"/>
    </row>
    <row r="900" spans="1:29" ht="15.75" customHeight="1">
      <c r="A900" s="204" t="str">
        <f>IF(B900&lt;&gt;"",IF(AND(B900&gt;=_TM1,B900&lt;=_TM2,OR(TH!L900="1111",TH!M900="1111")),TH!D900,""),"")</f>
        <v/>
      </c>
      <c r="B900" s="36">
        <f t="shared" si="187"/>
        <v>10</v>
      </c>
      <c r="C900" s="191">
        <f t="shared" si="189"/>
        <v>41568</v>
      </c>
      <c r="D900" s="184" t="s">
        <v>1065</v>
      </c>
      <c r="E900" s="184">
        <v>41568</v>
      </c>
      <c r="F900" s="189" t="s">
        <v>726</v>
      </c>
      <c r="G900" s="189" t="s">
        <v>981</v>
      </c>
      <c r="H900" s="193" t="s">
        <v>952</v>
      </c>
      <c r="I900" s="256"/>
      <c r="J900" s="256"/>
      <c r="K900" s="602">
        <v>316215</v>
      </c>
      <c r="L900" s="194" t="s">
        <v>265</v>
      </c>
      <c r="M900" s="194" t="s">
        <v>430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853"/>
      <c r="AB900" s="812"/>
      <c r="AC900" s="594" t="str">
        <f t="shared" ref="AC900:AC963" si="196">IF(VLOOKUP(H900,DS_131,1,0)&lt;&gt;"","","x")</f>
        <v/>
      </c>
    </row>
    <row r="901" spans="1:29" ht="15.75" customHeight="1">
      <c r="A901" s="204" t="str">
        <f>IF(B901&lt;&gt;"",IF(AND(B901&gt;=_TM1,B901&lt;=_TM2,OR(TH!L901="1111",TH!M901="1111")),TH!D901,""),"")</f>
        <v/>
      </c>
      <c r="B901" s="36">
        <f t="shared" si="187"/>
        <v>10</v>
      </c>
      <c r="C901" s="191">
        <f t="shared" si="189"/>
        <v>41568</v>
      </c>
      <c r="D901" s="184" t="s">
        <v>1066</v>
      </c>
      <c r="E901" s="184">
        <v>41568</v>
      </c>
      <c r="F901" s="189" t="s">
        <v>1155</v>
      </c>
      <c r="G901" s="485" t="s">
        <v>983</v>
      </c>
      <c r="H901" s="193" t="s">
        <v>952</v>
      </c>
      <c r="I901" s="256">
        <v>200</v>
      </c>
      <c r="J901" s="256">
        <v>3900</v>
      </c>
      <c r="K901" s="38">
        <f>ROUND(I901*J901,0)</f>
        <v>780000</v>
      </c>
      <c r="L901" s="194" t="s">
        <v>265</v>
      </c>
      <c r="M901" s="194" t="s">
        <v>175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853"/>
      <c r="AB901" s="812"/>
      <c r="AC901" s="594"/>
    </row>
    <row r="902" spans="1:29" ht="15.75" customHeight="1">
      <c r="A902" s="204" t="str">
        <f>IF(B902&lt;&gt;"",IF(AND(B902&gt;=_TM1,B902&lt;=_TM2,OR(TH!L902="1111",TH!M902="1111")),TH!D902,""),"")</f>
        <v/>
      </c>
      <c r="B902" s="36">
        <f t="shared" si="187"/>
        <v>10</v>
      </c>
      <c r="C902" s="191">
        <f t="shared" si="189"/>
        <v>41568</v>
      </c>
      <c r="D902" s="184" t="s">
        <v>1066</v>
      </c>
      <c r="E902" s="184">
        <v>41568</v>
      </c>
      <c r="F902" s="189" t="s">
        <v>726</v>
      </c>
      <c r="G902" s="189" t="s">
        <v>983</v>
      </c>
      <c r="H902" s="193" t="s">
        <v>952</v>
      </c>
      <c r="I902" s="256"/>
      <c r="J902" s="256"/>
      <c r="K902" s="602">
        <v>78000</v>
      </c>
      <c r="L902" s="194" t="s">
        <v>265</v>
      </c>
      <c r="M902" s="194" t="s">
        <v>430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853"/>
      <c r="AB902" s="812"/>
      <c r="AC902" s="594" t="str">
        <f t="shared" si="196"/>
        <v/>
      </c>
    </row>
    <row r="903" spans="1:29" ht="15.75" customHeight="1">
      <c r="A903" s="204" t="str">
        <f>IF(B903&lt;&gt;"",IF(AND(B903&gt;=_TM1,B903&lt;=_TM2,OR(TH!L903="1111",TH!M903="1111")),TH!D903,""),"")</f>
        <v/>
      </c>
      <c r="B903" s="36">
        <f t="shared" si="187"/>
        <v>10</v>
      </c>
      <c r="C903" s="191">
        <f t="shared" si="189"/>
        <v>41568</v>
      </c>
      <c r="D903" s="184" t="s">
        <v>1067</v>
      </c>
      <c r="E903" s="184">
        <v>41568</v>
      </c>
      <c r="F903" s="189" t="s">
        <v>993</v>
      </c>
      <c r="G903" s="485" t="s">
        <v>988</v>
      </c>
      <c r="H903" s="7" t="s">
        <v>879</v>
      </c>
      <c r="I903" s="256">
        <v>50</v>
      </c>
      <c r="J903" s="256">
        <v>70000</v>
      </c>
      <c r="K903" s="38">
        <f t="shared" ref="K903:K904" si="197">ROUND(I903*J903,0)</f>
        <v>3500000</v>
      </c>
      <c r="L903" s="194" t="s">
        <v>265</v>
      </c>
      <c r="M903" s="194" t="s">
        <v>175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853"/>
      <c r="AB903" s="812"/>
      <c r="AC903" s="594"/>
    </row>
    <row r="904" spans="1:29" ht="15.75" customHeight="1">
      <c r="A904" s="204" t="str">
        <f>IF(B904&lt;&gt;"",IF(AND(B904&gt;=_TM1,B904&lt;=_TM2,OR(TH!L904="1111",TH!M904="1111")),TH!D904,""),"")</f>
        <v/>
      </c>
      <c r="B904" s="36">
        <f t="shared" si="187"/>
        <v>10</v>
      </c>
      <c r="C904" s="191">
        <f t="shared" si="189"/>
        <v>41568</v>
      </c>
      <c r="D904" s="184" t="s">
        <v>1067</v>
      </c>
      <c r="E904" s="184">
        <v>41568</v>
      </c>
      <c r="F904" s="189" t="s">
        <v>994</v>
      </c>
      <c r="G904" s="189" t="s">
        <v>988</v>
      </c>
      <c r="H904" s="7" t="s">
        <v>879</v>
      </c>
      <c r="I904" s="256">
        <v>50</v>
      </c>
      <c r="J904" s="256">
        <v>80000</v>
      </c>
      <c r="K904" s="38">
        <f t="shared" si="197"/>
        <v>4000000</v>
      </c>
      <c r="L904" s="194" t="s">
        <v>265</v>
      </c>
      <c r="M904" s="194" t="s">
        <v>175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853"/>
      <c r="AB904" s="812"/>
      <c r="AC904" s="594"/>
    </row>
    <row r="905" spans="1:29" ht="15.75" customHeight="1">
      <c r="A905" s="204" t="str">
        <f>IF(B905&lt;&gt;"",IF(AND(B905&gt;=_TM1,B905&lt;=_TM2,OR(TH!L905="1111",TH!M905="1111")),TH!D905,""),"")</f>
        <v/>
      </c>
      <c r="B905" s="36">
        <f t="shared" ref="B905:B968" si="198">IF(C905&lt;&gt;"",MONTH(C905),"")</f>
        <v>10</v>
      </c>
      <c r="C905" s="191">
        <f t="shared" si="189"/>
        <v>41568</v>
      </c>
      <c r="D905" s="184" t="s">
        <v>1067</v>
      </c>
      <c r="E905" s="184">
        <v>41568</v>
      </c>
      <c r="F905" s="189" t="s">
        <v>726</v>
      </c>
      <c r="G905" s="485" t="s">
        <v>988</v>
      </c>
      <c r="H905" s="7" t="s">
        <v>879</v>
      </c>
      <c r="I905" s="256"/>
      <c r="J905" s="256"/>
      <c r="K905" s="602">
        <v>750000</v>
      </c>
      <c r="L905" s="194" t="s">
        <v>265</v>
      </c>
      <c r="M905" s="194" t="s">
        <v>430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853"/>
      <c r="AB905" s="812"/>
      <c r="AC905" s="594" t="str">
        <f t="shared" si="196"/>
        <v/>
      </c>
    </row>
    <row r="906" spans="1:29" ht="15.75" customHeight="1">
      <c r="A906" s="204" t="str">
        <f>IF(B906&lt;&gt;"",IF(AND(B906&gt;=_TM1,B906&lt;=_TM2,OR(TH!L906="1111",TH!M906="1111")),TH!D906,""),"")</f>
        <v/>
      </c>
      <c r="B906" s="36">
        <f t="shared" si="198"/>
        <v>10</v>
      </c>
      <c r="C906" s="191">
        <f t="shared" si="189"/>
        <v>41569</v>
      </c>
      <c r="D906" s="184" t="s">
        <v>1068</v>
      </c>
      <c r="E906" s="184">
        <v>41569</v>
      </c>
      <c r="F906" s="189" t="s">
        <v>1154</v>
      </c>
      <c r="G906" s="189" t="s">
        <v>990</v>
      </c>
      <c r="H906" s="7" t="s">
        <v>916</v>
      </c>
      <c r="I906" s="256">
        <v>1980</v>
      </c>
      <c r="J906" s="256">
        <v>5300</v>
      </c>
      <c r="K906" s="38">
        <f>ROUND(I906*J906,0)</f>
        <v>10494000</v>
      </c>
      <c r="L906" s="194" t="s">
        <v>265</v>
      </c>
      <c r="M906" s="194" t="s">
        <v>175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853"/>
      <c r="AB906" s="812"/>
      <c r="AC906" s="594"/>
    </row>
    <row r="907" spans="1:29" ht="15.75" customHeight="1">
      <c r="A907" s="204" t="str">
        <f>IF(B907&lt;&gt;"",IF(AND(B907&gt;=_TM1,B907&lt;=_TM2,OR(TH!L907="1111",TH!M907="1111")),TH!D907,""),"")</f>
        <v/>
      </c>
      <c r="B907" s="36">
        <f t="shared" si="198"/>
        <v>10</v>
      </c>
      <c r="C907" s="191">
        <f t="shared" si="189"/>
        <v>41569</v>
      </c>
      <c r="D907" s="184" t="s">
        <v>1068</v>
      </c>
      <c r="E907" s="184">
        <v>41569</v>
      </c>
      <c r="F907" s="189" t="s">
        <v>726</v>
      </c>
      <c r="G907" s="485" t="s">
        <v>990</v>
      </c>
      <c r="H907" s="7" t="s">
        <v>916</v>
      </c>
      <c r="I907" s="256"/>
      <c r="J907" s="256"/>
      <c r="K907" s="602">
        <v>1049400</v>
      </c>
      <c r="L907" s="194" t="s">
        <v>265</v>
      </c>
      <c r="M907" s="194" t="s">
        <v>430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853"/>
      <c r="AB907" s="812"/>
      <c r="AC907" s="594" t="str">
        <f t="shared" si="196"/>
        <v/>
      </c>
    </row>
    <row r="908" spans="1:29" ht="15.75" customHeight="1">
      <c r="A908" s="204" t="str">
        <f>IF(B908&lt;&gt;"",IF(AND(B908&gt;=_TM1,B908&lt;=_TM2,OR(TH!L908="1111",TH!M908="1111")),TH!D908,""),"")</f>
        <v/>
      </c>
      <c r="B908" s="36">
        <f t="shared" si="198"/>
        <v>10</v>
      </c>
      <c r="C908" s="191">
        <f t="shared" ref="C908:C971" si="199">E908</f>
        <v>41571</v>
      </c>
      <c r="D908" s="184" t="s">
        <v>1069</v>
      </c>
      <c r="E908" s="184">
        <v>41571</v>
      </c>
      <c r="F908" s="192" t="s">
        <v>1131</v>
      </c>
      <c r="G908" s="189" t="s">
        <v>992</v>
      </c>
      <c r="H908" s="7" t="s">
        <v>543</v>
      </c>
      <c r="I908" s="256">
        <v>100</v>
      </c>
      <c r="J908" s="256">
        <v>6400</v>
      </c>
      <c r="K908" s="38">
        <f t="shared" ref="K908:K910" si="200">ROUND(I908*J908,0)</f>
        <v>640000</v>
      </c>
      <c r="L908" s="194" t="s">
        <v>265</v>
      </c>
      <c r="M908" s="194" t="s">
        <v>175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853"/>
      <c r="AB908" s="812"/>
      <c r="AC908" s="594"/>
    </row>
    <row r="909" spans="1:29" ht="15.75" customHeight="1">
      <c r="A909" s="204" t="str">
        <f>IF(B909&lt;&gt;"",IF(AND(B909&gt;=_TM1,B909&lt;=_TM2,OR(TH!L909="1111",TH!M909="1111")),TH!D909,""),"")</f>
        <v/>
      </c>
      <c r="B909" s="36">
        <f t="shared" si="198"/>
        <v>10</v>
      </c>
      <c r="C909" s="191">
        <f t="shared" si="199"/>
        <v>41571</v>
      </c>
      <c r="D909" s="184" t="s">
        <v>1069</v>
      </c>
      <c r="E909" s="184">
        <v>41571</v>
      </c>
      <c r="F909" s="189" t="s">
        <v>814</v>
      </c>
      <c r="G909" s="485" t="s">
        <v>992</v>
      </c>
      <c r="H909" s="7" t="s">
        <v>543</v>
      </c>
      <c r="I909" s="256">
        <v>200</v>
      </c>
      <c r="J909" s="256">
        <v>9800</v>
      </c>
      <c r="K909" s="38">
        <f t="shared" si="200"/>
        <v>1960000</v>
      </c>
      <c r="L909" s="194" t="s">
        <v>265</v>
      </c>
      <c r="M909" s="194" t="s">
        <v>175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853"/>
      <c r="AB909" s="812"/>
      <c r="AC909" s="594"/>
    </row>
    <row r="910" spans="1:29" ht="15.75" customHeight="1">
      <c r="A910" s="204" t="str">
        <f>IF(B910&lt;&gt;"",IF(AND(B910&gt;=_TM1,B910&lt;=_TM2,OR(TH!L910="1111",TH!M910="1111")),TH!D910,""),"")</f>
        <v/>
      </c>
      <c r="B910" s="36">
        <f t="shared" si="198"/>
        <v>10</v>
      </c>
      <c r="C910" s="191">
        <f t="shared" si="199"/>
        <v>41571</v>
      </c>
      <c r="D910" s="184" t="s">
        <v>1069</v>
      </c>
      <c r="E910" s="184">
        <v>41571</v>
      </c>
      <c r="F910" s="192" t="s">
        <v>1131</v>
      </c>
      <c r="G910" s="189" t="s">
        <v>992</v>
      </c>
      <c r="H910" s="7" t="s">
        <v>543</v>
      </c>
      <c r="I910" s="256">
        <v>200</v>
      </c>
      <c r="J910" s="256">
        <v>6400</v>
      </c>
      <c r="K910" s="38">
        <f t="shared" si="200"/>
        <v>1280000</v>
      </c>
      <c r="L910" s="194" t="s">
        <v>265</v>
      </c>
      <c r="M910" s="194" t="s">
        <v>175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853"/>
      <c r="AB910" s="812"/>
      <c r="AC910" s="594"/>
    </row>
    <row r="911" spans="1:29" ht="15.75" customHeight="1">
      <c r="A911" s="204" t="str">
        <f>IF(B911&lt;&gt;"",IF(AND(B911&gt;=_TM1,B911&lt;=_TM2,OR(TH!L911="1111",TH!M911="1111")),TH!D911,""),"")</f>
        <v/>
      </c>
      <c r="B911" s="36">
        <f t="shared" si="198"/>
        <v>10</v>
      </c>
      <c r="C911" s="191">
        <f t="shared" si="199"/>
        <v>41571</v>
      </c>
      <c r="D911" s="184" t="s">
        <v>1069</v>
      </c>
      <c r="E911" s="184">
        <v>41571</v>
      </c>
      <c r="F911" s="189" t="s">
        <v>726</v>
      </c>
      <c r="G911" s="485" t="s">
        <v>992</v>
      </c>
      <c r="H911" s="7" t="s">
        <v>543</v>
      </c>
      <c r="I911" s="256"/>
      <c r="J911" s="256"/>
      <c r="K911" s="602">
        <v>388000</v>
      </c>
      <c r="L911" s="194" t="s">
        <v>265</v>
      </c>
      <c r="M911" s="194" t="s">
        <v>430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853"/>
      <c r="AB911" s="812"/>
      <c r="AC911" s="594" t="str">
        <f t="shared" si="196"/>
        <v/>
      </c>
    </row>
    <row r="912" spans="1:29" ht="15.75" customHeight="1">
      <c r="A912" s="204" t="str">
        <f>IF(B912&lt;&gt;"",IF(AND(B912&gt;=_TM1,B912&lt;=_TM2,OR(TH!L912="1111",TH!M912="1111")),TH!D912,""),"")</f>
        <v/>
      </c>
      <c r="B912" s="36">
        <f t="shared" si="198"/>
        <v>10</v>
      </c>
      <c r="C912" s="191">
        <f t="shared" si="199"/>
        <v>41571</v>
      </c>
      <c r="D912" s="184" t="s">
        <v>1070</v>
      </c>
      <c r="E912" s="184">
        <v>41571</v>
      </c>
      <c r="F912" s="189" t="s">
        <v>940</v>
      </c>
      <c r="G912" s="189" t="s">
        <v>995</v>
      </c>
      <c r="H912" s="193" t="s">
        <v>550</v>
      </c>
      <c r="I912" s="256">
        <v>585</v>
      </c>
      <c r="J912" s="256">
        <v>18600</v>
      </c>
      <c r="K912" s="38">
        <f>ROUND(I912*J912,0)</f>
        <v>10881000</v>
      </c>
      <c r="L912" s="194" t="s">
        <v>265</v>
      </c>
      <c r="M912" s="194" t="s">
        <v>175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853"/>
      <c r="AB912" s="812"/>
      <c r="AC912" s="594"/>
    </row>
    <row r="913" spans="1:29" ht="15.75" customHeight="1">
      <c r="A913" s="204" t="str">
        <f>IF(B913&lt;&gt;"",IF(AND(B913&gt;=_TM1,B913&lt;=_TM2,OR(TH!L913="1111",TH!M913="1111")),TH!D913,""),"")</f>
        <v/>
      </c>
      <c r="B913" s="36">
        <f t="shared" si="198"/>
        <v>10</v>
      </c>
      <c r="C913" s="191">
        <f t="shared" si="199"/>
        <v>41571</v>
      </c>
      <c r="D913" s="184" t="s">
        <v>1070</v>
      </c>
      <c r="E913" s="191">
        <v>41571</v>
      </c>
      <c r="F913" s="192" t="s">
        <v>726</v>
      </c>
      <c r="G913" s="664" t="s">
        <v>995</v>
      </c>
      <c r="H913" s="193" t="s">
        <v>550</v>
      </c>
      <c r="I913" s="256"/>
      <c r="J913" s="882"/>
      <c r="K913" s="38">
        <v>1088100</v>
      </c>
      <c r="L913" s="194" t="s">
        <v>265</v>
      </c>
      <c r="M913" s="194" t="s">
        <v>430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853"/>
      <c r="AB913" s="812"/>
      <c r="AC913" s="594" t="str">
        <f t="shared" si="196"/>
        <v/>
      </c>
    </row>
    <row r="914" spans="1:29" ht="15.75" customHeight="1">
      <c r="A914" s="204" t="str">
        <f>IF(B914&lt;&gt;"",IF(AND(B914&gt;=_TM1,B914&lt;=_TM2,OR(TH!L914="1111",TH!M914="1111")),TH!D914,""),"")</f>
        <v/>
      </c>
      <c r="B914" s="36">
        <f t="shared" si="198"/>
        <v>10</v>
      </c>
      <c r="C914" s="191">
        <f t="shared" si="199"/>
        <v>41573</v>
      </c>
      <c r="D914" s="184" t="s">
        <v>1071</v>
      </c>
      <c r="E914" s="191">
        <v>41573</v>
      </c>
      <c r="F914" s="192" t="s">
        <v>1150</v>
      </c>
      <c r="G914" s="192" t="s">
        <v>996</v>
      </c>
      <c r="H914" s="193" t="s">
        <v>896</v>
      </c>
      <c r="I914" s="256">
        <v>49</v>
      </c>
      <c r="J914" s="256">
        <v>4700</v>
      </c>
      <c r="K914" s="38">
        <f t="shared" ref="K914:K915" si="201">ROUND(I914*J914,0)</f>
        <v>230300</v>
      </c>
      <c r="L914" s="194" t="s">
        <v>265</v>
      </c>
      <c r="M914" s="194" t="s">
        <v>175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853"/>
      <c r="AB914" s="812"/>
      <c r="AC914" s="594"/>
    </row>
    <row r="915" spans="1:29" ht="15.75" customHeight="1">
      <c r="A915" s="204" t="str">
        <f>IF(B915&lt;&gt;"",IF(AND(B915&gt;=_TM1,B915&lt;=_TM2,OR(TH!L915="1111",TH!M915="1111")),TH!D915,""),"")</f>
        <v/>
      </c>
      <c r="B915" s="36">
        <f t="shared" si="198"/>
        <v>10</v>
      </c>
      <c r="C915" s="191">
        <f t="shared" si="199"/>
        <v>41573</v>
      </c>
      <c r="D915" s="184" t="s">
        <v>1071</v>
      </c>
      <c r="E915" s="191">
        <v>41573</v>
      </c>
      <c r="F915" s="192" t="s">
        <v>1149</v>
      </c>
      <c r="G915" s="192" t="s">
        <v>996</v>
      </c>
      <c r="H915" s="193" t="s">
        <v>896</v>
      </c>
      <c r="I915" s="256">
        <v>3191</v>
      </c>
      <c r="J915" s="256">
        <v>4210</v>
      </c>
      <c r="K915" s="38">
        <f t="shared" si="201"/>
        <v>13434110</v>
      </c>
      <c r="L915" s="194" t="s">
        <v>265</v>
      </c>
      <c r="M915" s="194" t="s">
        <v>175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853"/>
      <c r="AB915" s="812"/>
      <c r="AC915" s="594"/>
    </row>
    <row r="916" spans="1:29" ht="15.75" customHeight="1">
      <c r="A916" s="204" t="str">
        <f>IF(B916&lt;&gt;"",IF(AND(B916&gt;=_TM1,B916&lt;=_TM2,OR(TH!L916="1111",TH!M916="1111")),TH!D916,""),"")</f>
        <v/>
      </c>
      <c r="B916" s="36">
        <f t="shared" si="198"/>
        <v>10</v>
      </c>
      <c r="C916" s="191">
        <f t="shared" si="199"/>
        <v>41573</v>
      </c>
      <c r="D916" s="184" t="s">
        <v>1071</v>
      </c>
      <c r="E916" s="191">
        <v>41573</v>
      </c>
      <c r="F916" s="192" t="s">
        <v>726</v>
      </c>
      <c r="G916" s="192" t="s">
        <v>996</v>
      </c>
      <c r="H916" s="7" t="s">
        <v>896</v>
      </c>
      <c r="I916" s="256"/>
      <c r="J916" s="256"/>
      <c r="K916" s="38">
        <v>1366441</v>
      </c>
      <c r="L916" s="194" t="s">
        <v>265</v>
      </c>
      <c r="M916" s="194" t="s">
        <v>430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853"/>
      <c r="AB916" s="812"/>
      <c r="AC916" s="594" t="str">
        <f t="shared" si="196"/>
        <v/>
      </c>
    </row>
    <row r="917" spans="1:29" ht="15.75" customHeight="1">
      <c r="A917" s="204" t="str">
        <f>IF(B917&lt;&gt;"",IF(AND(B917&gt;=_TM1,B917&lt;=_TM2,OR(TH!L917="1111",TH!M917="1111")),TH!D917,""),"")</f>
        <v/>
      </c>
      <c r="B917" s="36">
        <f t="shared" si="198"/>
        <v>10</v>
      </c>
      <c r="C917" s="191">
        <f t="shared" si="199"/>
        <v>41577</v>
      </c>
      <c r="D917" s="184" t="s">
        <v>1072</v>
      </c>
      <c r="E917" s="191">
        <v>41577</v>
      </c>
      <c r="F917" s="192" t="s">
        <v>942</v>
      </c>
      <c r="G917" s="192" t="s">
        <v>997</v>
      </c>
      <c r="H917" s="7" t="s">
        <v>550</v>
      </c>
      <c r="I917" s="256">
        <v>371</v>
      </c>
      <c r="J917" s="256">
        <v>16300</v>
      </c>
      <c r="K917" s="38">
        <f>ROUND(I917*J917,0)</f>
        <v>6047300</v>
      </c>
      <c r="L917" s="194" t="s">
        <v>265</v>
      </c>
      <c r="M917" s="194" t="s">
        <v>175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853"/>
      <c r="AB917" s="812"/>
      <c r="AC917" s="594"/>
    </row>
    <row r="918" spans="1:29" ht="15.75" customHeight="1">
      <c r="A918" s="204" t="str">
        <f>IF(B918&lt;&gt;"",IF(AND(B918&gt;=_TM1,B918&lt;=_TM2,OR(TH!L918="1111",TH!M918="1111")),TH!D918,""),"")</f>
        <v/>
      </c>
      <c r="B918" s="36">
        <f t="shared" si="198"/>
        <v>10</v>
      </c>
      <c r="C918" s="191">
        <f t="shared" si="199"/>
        <v>41577</v>
      </c>
      <c r="D918" s="184" t="s">
        <v>1072</v>
      </c>
      <c r="E918" s="191">
        <v>41577</v>
      </c>
      <c r="F918" s="192" t="s">
        <v>726</v>
      </c>
      <c r="G918" s="192" t="s">
        <v>997</v>
      </c>
      <c r="H918" s="7" t="s">
        <v>550</v>
      </c>
      <c r="I918" s="256"/>
      <c r="J918" s="256"/>
      <c r="K918" s="38">
        <v>604730</v>
      </c>
      <c r="L918" s="194" t="s">
        <v>265</v>
      </c>
      <c r="M918" s="194" t="s">
        <v>430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853"/>
      <c r="AB918" s="812"/>
      <c r="AC918" s="594" t="str">
        <f t="shared" si="196"/>
        <v/>
      </c>
    </row>
    <row r="919" spans="1:29" ht="15.75" customHeight="1">
      <c r="A919" s="204" t="str">
        <f>IF(B919&lt;&gt;"",IF(AND(B919&gt;=_TM1,B919&lt;=_TM2,OR(TH!L919="1111",TH!M919="1111")),TH!D919,""),"")</f>
        <v/>
      </c>
      <c r="B919" s="36">
        <f t="shared" si="198"/>
        <v>10</v>
      </c>
      <c r="C919" s="191">
        <f t="shared" si="199"/>
        <v>41578</v>
      </c>
      <c r="D919" s="184" t="s">
        <v>1073</v>
      </c>
      <c r="E919" s="191">
        <v>41578</v>
      </c>
      <c r="F919" s="192" t="s">
        <v>731</v>
      </c>
      <c r="G919" s="487" t="s">
        <v>998</v>
      </c>
      <c r="H919" s="193" t="s">
        <v>503</v>
      </c>
      <c r="I919" s="256">
        <v>999</v>
      </c>
      <c r="J919" s="256">
        <v>8740</v>
      </c>
      <c r="K919" s="38">
        <f>ROUND(I919*J919,0)</f>
        <v>8731260</v>
      </c>
      <c r="L919" s="194" t="s">
        <v>265</v>
      </c>
      <c r="M919" s="194" t="s">
        <v>175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853"/>
      <c r="AB919" s="812"/>
      <c r="AC919" s="594"/>
    </row>
    <row r="920" spans="1:29" ht="15.75" customHeight="1">
      <c r="A920" s="204" t="str">
        <f>IF(B920&lt;&gt;"",IF(AND(B920&gt;=_TM1,B920&lt;=_TM2,OR(TH!L920="1111",TH!M920="1111")),TH!D920,""),"")</f>
        <v/>
      </c>
      <c r="B920" s="36">
        <f t="shared" si="198"/>
        <v>10</v>
      </c>
      <c r="C920" s="191">
        <f t="shared" si="199"/>
        <v>41578</v>
      </c>
      <c r="D920" s="184" t="s">
        <v>1073</v>
      </c>
      <c r="E920" s="191">
        <v>41578</v>
      </c>
      <c r="F920" s="192" t="s">
        <v>726</v>
      </c>
      <c r="G920" s="487" t="s">
        <v>998</v>
      </c>
      <c r="H920" s="193" t="s">
        <v>503</v>
      </c>
      <c r="I920" s="256"/>
      <c r="J920" s="256"/>
      <c r="K920" s="38">
        <v>873126</v>
      </c>
      <c r="L920" s="194" t="s">
        <v>265</v>
      </c>
      <c r="M920" s="194" t="s">
        <v>430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853"/>
      <c r="AB920" s="812"/>
      <c r="AC920" s="594" t="str">
        <f t="shared" si="196"/>
        <v/>
      </c>
    </row>
    <row r="921" spans="1:29" ht="15.75" customHeight="1">
      <c r="A921" s="204" t="str">
        <f>IF(B921&lt;&gt;"",IF(AND(B921&gt;=_TM1,B921&lt;=_TM2,OR(TH!L921="1111",TH!M921="1111")),TH!D921,""),"")</f>
        <v/>
      </c>
      <c r="B921" s="36">
        <f t="shared" si="198"/>
        <v>10</v>
      </c>
      <c r="C921" s="191">
        <f t="shared" si="199"/>
        <v>41578</v>
      </c>
      <c r="D921" s="184" t="s">
        <v>1074</v>
      </c>
      <c r="E921" s="191">
        <v>41578</v>
      </c>
      <c r="F921" s="192" t="s">
        <v>838</v>
      </c>
      <c r="G921" s="487" t="s">
        <v>999</v>
      </c>
      <c r="H921" s="193" t="s">
        <v>743</v>
      </c>
      <c r="I921" s="256">
        <v>397</v>
      </c>
      <c r="J921" s="256">
        <v>10500</v>
      </c>
      <c r="K921" s="38">
        <f>ROUND(I921*J921,0)</f>
        <v>4168500</v>
      </c>
      <c r="L921" s="194" t="s">
        <v>265</v>
      </c>
      <c r="M921" s="194" t="s">
        <v>175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853"/>
      <c r="AB921" s="812"/>
      <c r="AC921" s="594"/>
    </row>
    <row r="922" spans="1:29" ht="15.75" customHeight="1">
      <c r="A922" s="204" t="str">
        <f>IF(B922&lt;&gt;"",IF(AND(B922&gt;=_TM1,B922&lt;=_TM2,OR(TH!L922="1111",TH!M922="1111")),TH!D922,""),"")</f>
        <v/>
      </c>
      <c r="B922" s="36">
        <f t="shared" si="198"/>
        <v>10</v>
      </c>
      <c r="C922" s="191">
        <f t="shared" si="199"/>
        <v>41578</v>
      </c>
      <c r="D922" s="184" t="s">
        <v>1074</v>
      </c>
      <c r="E922" s="191">
        <v>41578</v>
      </c>
      <c r="F922" s="192" t="s">
        <v>726</v>
      </c>
      <c r="G922" s="487" t="s">
        <v>999</v>
      </c>
      <c r="H922" s="193" t="s">
        <v>743</v>
      </c>
      <c r="I922" s="256"/>
      <c r="J922" s="256"/>
      <c r="K922" s="38">
        <v>416850</v>
      </c>
      <c r="L922" s="194" t="s">
        <v>265</v>
      </c>
      <c r="M922" s="194" t="s">
        <v>430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853"/>
      <c r="AB922" s="812"/>
      <c r="AC922" s="594" t="str">
        <f t="shared" si="196"/>
        <v/>
      </c>
    </row>
    <row r="923" spans="1:29" ht="15.75" customHeight="1">
      <c r="A923" s="204" t="str">
        <f>IF(B923&lt;&gt;"",IF(AND(B923&gt;=_TM1,B923&lt;=_TM2,OR(TH!L923="1111",TH!M923="1111")),TH!D923,""),"")</f>
        <v/>
      </c>
      <c r="B923" s="36">
        <f t="shared" si="198"/>
        <v>10</v>
      </c>
      <c r="C923" s="191">
        <f t="shared" si="199"/>
        <v>41578</v>
      </c>
      <c r="D923" s="184" t="s">
        <v>1075</v>
      </c>
      <c r="E923" s="191">
        <v>41578</v>
      </c>
      <c r="F923" s="192" t="s">
        <v>885</v>
      </c>
      <c r="G923" s="487" t="s">
        <v>1000</v>
      </c>
      <c r="H923" s="7" t="s">
        <v>543</v>
      </c>
      <c r="I923" s="256">
        <v>497</v>
      </c>
      <c r="J923" s="256">
        <v>8600</v>
      </c>
      <c r="K923" s="38">
        <f>ROUND(I923*J923,0)</f>
        <v>4274200</v>
      </c>
      <c r="L923" s="194" t="s">
        <v>265</v>
      </c>
      <c r="M923" s="194" t="s">
        <v>175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853"/>
      <c r="AB923" s="812"/>
      <c r="AC923" s="594"/>
    </row>
    <row r="924" spans="1:29" ht="15.75" customHeight="1">
      <c r="A924" s="204" t="str">
        <f>IF(B924&lt;&gt;"",IF(AND(B924&gt;=_TM1,B924&lt;=_TM2,OR(TH!L924="1111",TH!M924="1111")),TH!D924,""),"")</f>
        <v/>
      </c>
      <c r="B924" s="36">
        <f t="shared" si="198"/>
        <v>10</v>
      </c>
      <c r="C924" s="191">
        <f t="shared" si="199"/>
        <v>41578</v>
      </c>
      <c r="D924" s="184" t="s">
        <v>1075</v>
      </c>
      <c r="E924" s="191">
        <v>41578</v>
      </c>
      <c r="F924" s="192" t="s">
        <v>726</v>
      </c>
      <c r="G924" s="487" t="s">
        <v>1000</v>
      </c>
      <c r="H924" s="7" t="s">
        <v>543</v>
      </c>
      <c r="I924" s="256"/>
      <c r="J924" s="256"/>
      <c r="K924" s="38">
        <v>427420</v>
      </c>
      <c r="L924" s="194" t="s">
        <v>265</v>
      </c>
      <c r="M924" s="194" t="s">
        <v>430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853"/>
      <c r="AB924" s="812"/>
      <c r="AC924" s="594" t="str">
        <f t="shared" si="196"/>
        <v/>
      </c>
    </row>
    <row r="925" spans="1:29" ht="15.75" customHeight="1">
      <c r="A925" s="204" t="str">
        <f>IF(B925&lt;&gt;"",IF(AND(B925&gt;=_TM1,B925&lt;=_TM2,OR(TH!L925="1111",TH!M925="1111")),TH!D925,""),"")</f>
        <v/>
      </c>
      <c r="B925" s="36">
        <f t="shared" si="198"/>
        <v>10</v>
      </c>
      <c r="C925" s="191">
        <f t="shared" si="199"/>
        <v>41578</v>
      </c>
      <c r="D925" s="184" t="s">
        <v>1076</v>
      </c>
      <c r="E925" s="191">
        <v>41578</v>
      </c>
      <c r="F925" s="192" t="s">
        <v>808</v>
      </c>
      <c r="G925" s="487" t="s">
        <v>1001</v>
      </c>
      <c r="H925" s="193" t="s">
        <v>807</v>
      </c>
      <c r="I925" s="256">
        <v>292</v>
      </c>
      <c r="J925" s="256">
        <v>9200</v>
      </c>
      <c r="K925" s="38">
        <f>ROUND(I925*J925,0)</f>
        <v>2686400</v>
      </c>
      <c r="L925" s="194" t="s">
        <v>265</v>
      </c>
      <c r="M925" s="194" t="s">
        <v>175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853"/>
      <c r="AB925" s="812"/>
      <c r="AC925" s="594"/>
    </row>
    <row r="926" spans="1:29" ht="15.75" customHeight="1">
      <c r="A926" s="204" t="str">
        <f>IF(B926&lt;&gt;"",IF(AND(B926&gt;=_TM1,B926&lt;=_TM2,OR(TH!L926="1111",TH!M926="1111")),TH!D926,""),"")</f>
        <v/>
      </c>
      <c r="B926" s="36">
        <f t="shared" si="198"/>
        <v>10</v>
      </c>
      <c r="C926" s="191">
        <f t="shared" si="199"/>
        <v>41578</v>
      </c>
      <c r="D926" s="184" t="s">
        <v>1076</v>
      </c>
      <c r="E926" s="191">
        <v>41578</v>
      </c>
      <c r="F926" s="192" t="s">
        <v>726</v>
      </c>
      <c r="G926" s="192" t="s">
        <v>1001</v>
      </c>
      <c r="H926" s="193" t="s">
        <v>807</v>
      </c>
      <c r="I926" s="256"/>
      <c r="J926" s="256"/>
      <c r="K926" s="38">
        <v>268640</v>
      </c>
      <c r="L926" s="194" t="s">
        <v>265</v>
      </c>
      <c r="M926" s="194" t="s">
        <v>430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853"/>
      <c r="AB926" s="812"/>
      <c r="AC926" s="594" t="str">
        <f t="shared" si="196"/>
        <v/>
      </c>
    </row>
    <row r="927" spans="1:29" ht="15.75" customHeight="1">
      <c r="A927" s="204" t="str">
        <f>IF(B927&lt;&gt;"",IF(AND(B927&gt;=_TM1,B927&lt;=_TM2,OR(TH!L927="1111",TH!M927="1111")),TH!D927,""),"")</f>
        <v/>
      </c>
      <c r="B927" s="36">
        <f t="shared" si="198"/>
        <v>11</v>
      </c>
      <c r="C927" s="191">
        <f t="shared" si="199"/>
        <v>41582</v>
      </c>
      <c r="D927" s="184" t="s">
        <v>1077</v>
      </c>
      <c r="E927" s="191">
        <v>41582</v>
      </c>
      <c r="F927" s="192" t="s">
        <v>817</v>
      </c>
      <c r="G927" s="487" t="s">
        <v>1002</v>
      </c>
      <c r="H927" s="7" t="s">
        <v>1113</v>
      </c>
      <c r="I927" s="256">
        <v>500</v>
      </c>
      <c r="J927" s="256">
        <v>17300</v>
      </c>
      <c r="K927" s="38">
        <f t="shared" ref="K927:K928" si="202">ROUND(I927*J927,0)</f>
        <v>8650000</v>
      </c>
      <c r="L927" s="194" t="s">
        <v>265</v>
      </c>
      <c r="M927" s="194" t="s">
        <v>175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853"/>
      <c r="AB927" s="812"/>
      <c r="AC927" s="594"/>
    </row>
    <row r="928" spans="1:29" ht="15.75" customHeight="1">
      <c r="A928" s="204" t="str">
        <f>IF(B928&lt;&gt;"",IF(AND(B928&gt;=_TM1,B928&lt;=_TM2,OR(TH!L928="1111",TH!M928="1111")),TH!D928,""),"")</f>
        <v/>
      </c>
      <c r="B928" s="36">
        <f t="shared" si="198"/>
        <v>11</v>
      </c>
      <c r="C928" s="191">
        <f t="shared" si="199"/>
        <v>41582</v>
      </c>
      <c r="D928" s="184" t="s">
        <v>1077</v>
      </c>
      <c r="E928" s="191">
        <v>41582</v>
      </c>
      <c r="F928" s="192" t="s">
        <v>819</v>
      </c>
      <c r="G928" s="487" t="s">
        <v>1002</v>
      </c>
      <c r="H928" s="7" t="s">
        <v>1113</v>
      </c>
      <c r="I928" s="256">
        <v>1000</v>
      </c>
      <c r="J928" s="256">
        <v>1500</v>
      </c>
      <c r="K928" s="38">
        <f t="shared" si="202"/>
        <v>1500000</v>
      </c>
      <c r="L928" s="194" t="s">
        <v>265</v>
      </c>
      <c r="M928" s="194" t="s">
        <v>175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853"/>
      <c r="AC928" s="594"/>
    </row>
    <row r="929" spans="1:29" ht="15.75" customHeight="1">
      <c r="A929" s="204" t="str">
        <f>IF(B929&lt;&gt;"",IF(AND(B929&gt;=_TM1,B929&lt;=_TM2,OR(TH!L929="1111",TH!M929="1111")),TH!D929,""),"")</f>
        <v/>
      </c>
      <c r="B929" s="36">
        <f t="shared" si="198"/>
        <v>11</v>
      </c>
      <c r="C929" s="191">
        <f t="shared" si="199"/>
        <v>41582</v>
      </c>
      <c r="D929" s="184" t="s">
        <v>1077</v>
      </c>
      <c r="E929" s="191">
        <v>41582</v>
      </c>
      <c r="F929" s="192" t="s">
        <v>726</v>
      </c>
      <c r="G929" s="487" t="s">
        <v>1002</v>
      </c>
      <c r="H929" s="7" t="s">
        <v>1113</v>
      </c>
      <c r="I929" s="256"/>
      <c r="J929" s="256"/>
      <c r="K929" s="38">
        <v>1015000</v>
      </c>
      <c r="L929" s="194" t="s">
        <v>265</v>
      </c>
      <c r="M929" s="194" t="s">
        <v>430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853"/>
      <c r="AC929" s="594" t="str">
        <f t="shared" si="196"/>
        <v/>
      </c>
    </row>
    <row r="930" spans="1:29" ht="15.75" customHeight="1">
      <c r="A930" s="204" t="str">
        <f>IF(B930&lt;&gt;"",IF(AND(B930&gt;=_TM1,B930&lt;=_TM2,OR(TH!L930="1111",TH!M930="1111")),TH!D930,""),"")</f>
        <v/>
      </c>
      <c r="B930" s="36">
        <f t="shared" si="198"/>
        <v>11</v>
      </c>
      <c r="C930" s="191">
        <f t="shared" si="199"/>
        <v>41583</v>
      </c>
      <c r="D930" s="184" t="s">
        <v>1078</v>
      </c>
      <c r="E930" s="191">
        <v>41583</v>
      </c>
      <c r="F930" s="192" t="s">
        <v>1003</v>
      </c>
      <c r="G930" s="487" t="s">
        <v>1004</v>
      </c>
      <c r="H930" s="7" t="s">
        <v>544</v>
      </c>
      <c r="I930" s="256">
        <v>1005</v>
      </c>
      <c r="J930" s="256">
        <v>5570</v>
      </c>
      <c r="K930" s="38">
        <f>ROUND(I930*J930,0)</f>
        <v>5597850</v>
      </c>
      <c r="L930" s="194" t="s">
        <v>265</v>
      </c>
      <c r="M930" s="194" t="s">
        <v>175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853"/>
      <c r="AC930" s="594"/>
    </row>
    <row r="931" spans="1:29" ht="15.75" customHeight="1">
      <c r="A931" s="204" t="str">
        <f>IF(B931&lt;&gt;"",IF(AND(B931&gt;=_TM1,B931&lt;=_TM2,OR(TH!L931="1111",TH!M931="1111")),TH!D931,""),"")</f>
        <v/>
      </c>
      <c r="B931" s="36">
        <f t="shared" si="198"/>
        <v>11</v>
      </c>
      <c r="C931" s="191">
        <f t="shared" si="199"/>
        <v>41583</v>
      </c>
      <c r="D931" s="184" t="s">
        <v>1078</v>
      </c>
      <c r="E931" s="191">
        <v>41583</v>
      </c>
      <c r="F931" s="192" t="s">
        <v>726</v>
      </c>
      <c r="G931" s="487" t="s">
        <v>1004</v>
      </c>
      <c r="H931" s="7" t="s">
        <v>544</v>
      </c>
      <c r="I931" s="256"/>
      <c r="J931" s="256"/>
      <c r="K931" s="38">
        <v>559785</v>
      </c>
      <c r="L931" s="194" t="s">
        <v>265</v>
      </c>
      <c r="M931" s="194" t="s">
        <v>430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853"/>
      <c r="AC931" s="594" t="str">
        <f t="shared" si="196"/>
        <v/>
      </c>
    </row>
    <row r="932" spans="1:29" ht="15.75" customHeight="1">
      <c r="A932" s="204" t="str">
        <f>IF(B932&lt;&gt;"",IF(AND(B932&gt;=_TM1,B932&lt;=_TM2,OR(TH!L932="1111",TH!M932="1111")),TH!D932,""),"")</f>
        <v/>
      </c>
      <c r="B932" s="36">
        <f t="shared" si="198"/>
        <v>11</v>
      </c>
      <c r="C932" s="191">
        <f t="shared" si="199"/>
        <v>41584</v>
      </c>
      <c r="D932" s="184" t="s">
        <v>1079</v>
      </c>
      <c r="E932" s="191">
        <v>41584</v>
      </c>
      <c r="F932" s="192" t="s">
        <v>861</v>
      </c>
      <c r="G932" s="487" t="s">
        <v>1005</v>
      </c>
      <c r="H932" s="7" t="s">
        <v>433</v>
      </c>
      <c r="I932" s="256">
        <v>995</v>
      </c>
      <c r="J932" s="256">
        <v>19200</v>
      </c>
      <c r="K932" s="38">
        <f>ROUND(I932*J932,0)</f>
        <v>19104000</v>
      </c>
      <c r="L932" s="194" t="s">
        <v>265</v>
      </c>
      <c r="M932" s="194" t="s">
        <v>175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853"/>
      <c r="AC932" s="594"/>
    </row>
    <row r="933" spans="1:29" ht="15.75" customHeight="1">
      <c r="A933" s="204" t="str">
        <f>IF(B933&lt;&gt;"",IF(AND(B933&gt;=_TM1,B933&lt;=_TM2,OR(TH!L933="1111",TH!M933="1111")),TH!D933,""),"")</f>
        <v/>
      </c>
      <c r="B933" s="36">
        <f t="shared" si="198"/>
        <v>11</v>
      </c>
      <c r="C933" s="191">
        <f t="shared" si="199"/>
        <v>41584</v>
      </c>
      <c r="D933" s="184" t="s">
        <v>1079</v>
      </c>
      <c r="E933" s="191">
        <v>41584</v>
      </c>
      <c r="F933" s="192" t="s">
        <v>726</v>
      </c>
      <c r="G933" s="487" t="s">
        <v>1005</v>
      </c>
      <c r="H933" s="7" t="s">
        <v>433</v>
      </c>
      <c r="I933" s="256"/>
      <c r="J933" s="256"/>
      <c r="K933" s="38">
        <v>1910400</v>
      </c>
      <c r="L933" s="194" t="s">
        <v>265</v>
      </c>
      <c r="M933" s="194" t="s">
        <v>430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853"/>
      <c r="AC933" s="594" t="str">
        <f t="shared" si="196"/>
        <v/>
      </c>
    </row>
    <row r="934" spans="1:29" ht="15.75" customHeight="1">
      <c r="A934" s="204" t="str">
        <f>IF(B934&lt;&gt;"",IF(AND(B934&gt;=_TM1,B934&lt;=_TM2,OR(TH!L934="1111",TH!M934="1111")),TH!D934,""),"")</f>
        <v/>
      </c>
      <c r="B934" s="36">
        <f t="shared" si="198"/>
        <v>11</v>
      </c>
      <c r="C934" s="191">
        <f t="shared" si="199"/>
        <v>41586</v>
      </c>
      <c r="D934" s="184" t="s">
        <v>1080</v>
      </c>
      <c r="E934" s="191">
        <v>41586</v>
      </c>
      <c r="F934" s="192" t="s">
        <v>1135</v>
      </c>
      <c r="G934" s="487" t="s">
        <v>649</v>
      </c>
      <c r="H934" s="7" t="s">
        <v>543</v>
      </c>
      <c r="I934" s="256">
        <v>200</v>
      </c>
      <c r="J934" s="256">
        <v>7000</v>
      </c>
      <c r="K934" s="38">
        <f t="shared" ref="K934:K935" si="203">ROUND(I934*J934,0)</f>
        <v>1400000</v>
      </c>
      <c r="L934" s="194" t="s">
        <v>265</v>
      </c>
      <c r="M934" s="194" t="s">
        <v>175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853"/>
      <c r="AB934" s="812"/>
      <c r="AC934" s="594"/>
    </row>
    <row r="935" spans="1:29" ht="15.75" customHeight="1">
      <c r="A935" s="204" t="str">
        <f>IF(B935&lt;&gt;"",IF(AND(B935&gt;=_TM1,B935&lt;=_TM2,OR(TH!L935="1111",TH!M935="1111")),TH!D935,""),"")</f>
        <v/>
      </c>
      <c r="B935" s="36">
        <f t="shared" si="198"/>
        <v>11</v>
      </c>
      <c r="C935" s="191">
        <f t="shared" si="199"/>
        <v>41586</v>
      </c>
      <c r="D935" s="184" t="s">
        <v>1080</v>
      </c>
      <c r="E935" s="191">
        <v>41586</v>
      </c>
      <c r="F935" s="192" t="s">
        <v>1136</v>
      </c>
      <c r="G935" s="487" t="s">
        <v>649</v>
      </c>
      <c r="H935" s="7" t="s">
        <v>543</v>
      </c>
      <c r="I935" s="256">
        <v>157</v>
      </c>
      <c r="J935" s="256">
        <v>21150</v>
      </c>
      <c r="K935" s="38">
        <f t="shared" si="203"/>
        <v>3320550</v>
      </c>
      <c r="L935" s="194" t="s">
        <v>265</v>
      </c>
      <c r="M935" s="194" t="s">
        <v>175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853"/>
      <c r="AB935" s="812"/>
      <c r="AC935" s="594"/>
    </row>
    <row r="936" spans="1:29" ht="15.75" customHeight="1">
      <c r="A936" s="204" t="str">
        <f>IF(B936&lt;&gt;"",IF(AND(B936&gt;=_TM1,B936&lt;=_TM2,OR(TH!L936="1111",TH!M936="1111")),TH!D936,""),"")</f>
        <v/>
      </c>
      <c r="B936" s="36">
        <f t="shared" si="198"/>
        <v>11</v>
      </c>
      <c r="C936" s="191">
        <f t="shared" si="199"/>
        <v>41586</v>
      </c>
      <c r="D936" s="184" t="s">
        <v>1080</v>
      </c>
      <c r="E936" s="191">
        <v>41586</v>
      </c>
      <c r="F936" s="192" t="s">
        <v>726</v>
      </c>
      <c r="G936" s="487" t="s">
        <v>649</v>
      </c>
      <c r="H936" s="7" t="s">
        <v>543</v>
      </c>
      <c r="I936" s="256"/>
      <c r="J936" s="256"/>
      <c r="K936" s="38">
        <v>472055</v>
      </c>
      <c r="L936" s="194" t="s">
        <v>265</v>
      </c>
      <c r="M936" s="194" t="s">
        <v>430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853"/>
      <c r="AB936" s="812"/>
      <c r="AC936" s="594" t="str">
        <f t="shared" si="196"/>
        <v/>
      </c>
    </row>
    <row r="937" spans="1:29" ht="15.75" customHeight="1">
      <c r="A937" s="204" t="str">
        <f>IF(B937&lt;&gt;"",IF(AND(B937&gt;=_TM1,B937&lt;=_TM2,OR(TH!L937="1111",TH!M937="1111")),TH!D937,""),"")</f>
        <v/>
      </c>
      <c r="B937" s="36">
        <f t="shared" si="198"/>
        <v>11</v>
      </c>
      <c r="C937" s="191">
        <f t="shared" si="199"/>
        <v>41586</v>
      </c>
      <c r="D937" s="184" t="s">
        <v>1081</v>
      </c>
      <c r="E937" s="191">
        <v>41586</v>
      </c>
      <c r="F937" s="192" t="s">
        <v>1006</v>
      </c>
      <c r="G937" s="487" t="s">
        <v>1007</v>
      </c>
      <c r="H937" s="7" t="s">
        <v>1008</v>
      </c>
      <c r="I937" s="256">
        <v>200</v>
      </c>
      <c r="J937" s="256">
        <v>8000</v>
      </c>
      <c r="K937" s="38">
        <f t="shared" ref="K937:K939" si="204">ROUND(I937*J937,0)</f>
        <v>1600000</v>
      </c>
      <c r="L937" s="194" t="s">
        <v>265</v>
      </c>
      <c r="M937" s="194" t="s">
        <v>175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853"/>
      <c r="AB937" s="812"/>
      <c r="AC937" s="594"/>
    </row>
    <row r="938" spans="1:29" ht="15.75" customHeight="1">
      <c r="A938" s="204" t="str">
        <f>IF(B938&lt;&gt;"",IF(AND(B938&gt;=_TM1,B938&lt;=_TM2,OR(TH!L938="1111",TH!M938="1111")),TH!D938,""),"")</f>
        <v/>
      </c>
      <c r="B938" s="36">
        <f t="shared" si="198"/>
        <v>11</v>
      </c>
      <c r="C938" s="191">
        <f t="shared" si="199"/>
        <v>41586</v>
      </c>
      <c r="D938" s="184" t="s">
        <v>1081</v>
      </c>
      <c r="E938" s="191">
        <v>41586</v>
      </c>
      <c r="F938" s="192" t="s">
        <v>1009</v>
      </c>
      <c r="G938" s="487" t="s">
        <v>1007</v>
      </c>
      <c r="H938" s="7" t="s">
        <v>1008</v>
      </c>
      <c r="I938" s="256">
        <v>100</v>
      </c>
      <c r="J938" s="256">
        <v>14200</v>
      </c>
      <c r="K938" s="38">
        <f t="shared" si="204"/>
        <v>1420000</v>
      </c>
      <c r="L938" s="194" t="s">
        <v>265</v>
      </c>
      <c r="M938" s="194" t="s">
        <v>175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853"/>
      <c r="AB938" s="812"/>
      <c r="AC938" s="594"/>
    </row>
    <row r="939" spans="1:29" ht="15.75" customHeight="1">
      <c r="A939" s="204" t="str">
        <f>IF(B939&lt;&gt;"",IF(AND(B939&gt;=_TM1,B939&lt;=_TM2,OR(TH!L939="1111",TH!M939="1111")),TH!D939,""),"")</f>
        <v/>
      </c>
      <c r="B939" s="36">
        <f t="shared" si="198"/>
        <v>11</v>
      </c>
      <c r="C939" s="191">
        <f t="shared" si="199"/>
        <v>41586</v>
      </c>
      <c r="D939" s="184" t="s">
        <v>1081</v>
      </c>
      <c r="E939" s="191">
        <v>41586</v>
      </c>
      <c r="F939" s="883" t="s">
        <v>1010</v>
      </c>
      <c r="G939" s="487" t="s">
        <v>1007</v>
      </c>
      <c r="H939" s="7" t="s">
        <v>1008</v>
      </c>
      <c r="I939" s="256">
        <v>150</v>
      </c>
      <c r="J939" s="256">
        <v>13000</v>
      </c>
      <c r="K939" s="38">
        <f t="shared" si="204"/>
        <v>1950000</v>
      </c>
      <c r="L939" s="194" t="s">
        <v>265</v>
      </c>
      <c r="M939" s="194" t="s">
        <v>175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853"/>
      <c r="AB939" s="812"/>
      <c r="AC939" s="594"/>
    </row>
    <row r="940" spans="1:29" ht="15.75" customHeight="1">
      <c r="A940" s="204" t="str">
        <f>IF(B940&lt;&gt;"",IF(AND(B940&gt;=_TM1,B940&lt;=_TM2,OR(TH!L940="1111",TH!M940="1111")),TH!D940,""),"")</f>
        <v/>
      </c>
      <c r="B940" s="36">
        <f t="shared" si="198"/>
        <v>11</v>
      </c>
      <c r="C940" s="191">
        <f t="shared" si="199"/>
        <v>41586</v>
      </c>
      <c r="D940" s="184" t="s">
        <v>1081</v>
      </c>
      <c r="E940" s="191">
        <v>41586</v>
      </c>
      <c r="F940" s="883" t="s">
        <v>726</v>
      </c>
      <c r="G940" s="487" t="s">
        <v>1007</v>
      </c>
      <c r="H940" s="7" t="s">
        <v>1008</v>
      </c>
      <c r="I940" s="256"/>
      <c r="J940" s="256"/>
      <c r="K940" s="38">
        <v>497000</v>
      </c>
      <c r="L940" s="194" t="s">
        <v>265</v>
      </c>
      <c r="M940" s="194" t="s">
        <v>430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853"/>
      <c r="AB940" s="812"/>
      <c r="AC940" s="594" t="str">
        <f t="shared" si="196"/>
        <v/>
      </c>
    </row>
    <row r="941" spans="1:29" ht="15.75" customHeight="1">
      <c r="A941" s="204" t="str">
        <f>IF(B941&lt;&gt;"",IF(AND(B941&gt;=_TM1,B941&lt;=_TM2,OR(TH!L941="1111",TH!M941="1111")),TH!D941,""),"")</f>
        <v/>
      </c>
      <c r="B941" s="36">
        <f t="shared" si="198"/>
        <v>11</v>
      </c>
      <c r="C941" s="191">
        <f t="shared" si="199"/>
        <v>41591</v>
      </c>
      <c r="D941" s="184" t="s">
        <v>1082</v>
      </c>
      <c r="E941" s="191">
        <v>41591</v>
      </c>
      <c r="F941" s="192" t="s">
        <v>838</v>
      </c>
      <c r="G941" s="487" t="s">
        <v>1011</v>
      </c>
      <c r="H941" s="7" t="s">
        <v>743</v>
      </c>
      <c r="I941" s="256">
        <v>395</v>
      </c>
      <c r="J941" s="256">
        <v>10500</v>
      </c>
      <c r="K941" s="38">
        <f>ROUND(I941*J941,0)</f>
        <v>4147500</v>
      </c>
      <c r="L941" s="194" t="s">
        <v>265</v>
      </c>
      <c r="M941" s="194" t="s">
        <v>175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853"/>
      <c r="AB941" s="812"/>
      <c r="AC941" s="594"/>
    </row>
    <row r="942" spans="1:29" ht="15.75" customHeight="1">
      <c r="A942" s="204" t="str">
        <f>IF(B942&lt;&gt;"",IF(AND(B942&gt;=_TM1,B942&lt;=_TM2,OR(TH!L942="1111",TH!M942="1111")),TH!D942,""),"")</f>
        <v/>
      </c>
      <c r="B942" s="36">
        <f t="shared" si="198"/>
        <v>11</v>
      </c>
      <c r="C942" s="191">
        <f t="shared" si="199"/>
        <v>41591</v>
      </c>
      <c r="D942" s="184" t="s">
        <v>1082</v>
      </c>
      <c r="E942" s="191">
        <v>41591</v>
      </c>
      <c r="F942" s="883" t="s">
        <v>726</v>
      </c>
      <c r="G942" s="487" t="s">
        <v>1011</v>
      </c>
      <c r="H942" s="7" t="s">
        <v>743</v>
      </c>
      <c r="I942" s="256"/>
      <c r="J942" s="256"/>
      <c r="K942" s="38">
        <v>414750</v>
      </c>
      <c r="L942" s="194" t="s">
        <v>265</v>
      </c>
      <c r="M942" s="194" t="s">
        <v>430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853"/>
      <c r="AB942" s="812"/>
      <c r="AC942" s="594" t="str">
        <f t="shared" si="196"/>
        <v/>
      </c>
    </row>
    <row r="943" spans="1:29" ht="15.75" customHeight="1">
      <c r="A943" s="204" t="str">
        <f>IF(B943&lt;&gt;"",IF(AND(B943&gt;=_TM1,B943&lt;=_TM2,OR(TH!L943="1111",TH!M943="1111")),TH!D943,""),"")</f>
        <v/>
      </c>
      <c r="B943" s="36">
        <f t="shared" si="198"/>
        <v>11</v>
      </c>
      <c r="C943" s="191">
        <f t="shared" si="199"/>
        <v>41592</v>
      </c>
      <c r="D943" s="184" t="s">
        <v>1083</v>
      </c>
      <c r="E943" s="191">
        <v>41592</v>
      </c>
      <c r="F943" s="192" t="s">
        <v>1129</v>
      </c>
      <c r="G943" s="487" t="s">
        <v>1012</v>
      </c>
      <c r="H943" s="7" t="s">
        <v>790</v>
      </c>
      <c r="I943" s="256">
        <v>500</v>
      </c>
      <c r="J943" s="256">
        <v>16380</v>
      </c>
      <c r="K943" s="38">
        <f>ROUND(I943*J943,0)</f>
        <v>8190000</v>
      </c>
      <c r="L943" s="194" t="s">
        <v>265</v>
      </c>
      <c r="M943" s="194" t="s">
        <v>175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853"/>
      <c r="AB943" s="812"/>
      <c r="AC943" s="594"/>
    </row>
    <row r="944" spans="1:29" ht="15.75" customHeight="1">
      <c r="A944" s="204" t="str">
        <f>IF(B944&lt;&gt;"",IF(AND(B944&gt;=_TM1,B944&lt;=_TM2,OR(TH!L944="1111",TH!M944="1111")),TH!D944,""),"")</f>
        <v/>
      </c>
      <c r="B944" s="36">
        <f t="shared" si="198"/>
        <v>11</v>
      </c>
      <c r="C944" s="191">
        <f t="shared" si="199"/>
        <v>41592</v>
      </c>
      <c r="D944" s="184" t="s">
        <v>1083</v>
      </c>
      <c r="E944" s="191">
        <v>41592</v>
      </c>
      <c r="F944" s="883" t="s">
        <v>726</v>
      </c>
      <c r="G944" s="487" t="s">
        <v>1012</v>
      </c>
      <c r="H944" s="7" t="s">
        <v>790</v>
      </c>
      <c r="I944" s="256"/>
      <c r="J944" s="256"/>
      <c r="K944" s="38">
        <v>819000</v>
      </c>
      <c r="L944" s="194" t="s">
        <v>265</v>
      </c>
      <c r="M944" s="194" t="s">
        <v>430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853"/>
      <c r="AB944" s="812"/>
      <c r="AC944" s="594" t="str">
        <f t="shared" si="196"/>
        <v/>
      </c>
    </row>
    <row r="945" spans="1:29" ht="15.75" customHeight="1">
      <c r="A945" s="204" t="str">
        <f>IF(B945&lt;&gt;"",IF(AND(B945&gt;=_TM1,B945&lt;=_TM2,OR(TH!L945="1111",TH!M945="1111")),TH!D945,""),"")</f>
        <v/>
      </c>
      <c r="B945" s="36">
        <f t="shared" si="198"/>
        <v>11</v>
      </c>
      <c r="C945" s="191">
        <f t="shared" si="199"/>
        <v>41592</v>
      </c>
      <c r="D945" s="184" t="s">
        <v>1084</v>
      </c>
      <c r="E945" s="191">
        <v>41592</v>
      </c>
      <c r="F945" s="192" t="s">
        <v>838</v>
      </c>
      <c r="G945" s="487" t="s">
        <v>1013</v>
      </c>
      <c r="H945" s="7" t="s">
        <v>743</v>
      </c>
      <c r="I945" s="256">
        <v>500</v>
      </c>
      <c r="J945" s="256">
        <v>10500</v>
      </c>
      <c r="K945" s="38">
        <f>ROUND(I945*J945,0)</f>
        <v>5250000</v>
      </c>
      <c r="L945" s="194" t="s">
        <v>265</v>
      </c>
      <c r="M945" s="194" t="s">
        <v>175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853"/>
      <c r="AB945" s="812"/>
      <c r="AC945" s="594"/>
    </row>
    <row r="946" spans="1:29" ht="15.75" customHeight="1">
      <c r="A946" s="204" t="str">
        <f>IF(B946&lt;&gt;"",IF(AND(B946&gt;=_TM1,B946&lt;=_TM2,OR(TH!L946="1111",TH!M946="1111")),TH!D946,""),"")</f>
        <v/>
      </c>
      <c r="B946" s="36">
        <f t="shared" si="198"/>
        <v>11</v>
      </c>
      <c r="C946" s="191">
        <f t="shared" si="199"/>
        <v>41592</v>
      </c>
      <c r="D946" s="184" t="s">
        <v>1084</v>
      </c>
      <c r="E946" s="191">
        <v>41592</v>
      </c>
      <c r="F946" s="192" t="s">
        <v>726</v>
      </c>
      <c r="G946" s="487" t="s">
        <v>1013</v>
      </c>
      <c r="H946" s="7" t="s">
        <v>743</v>
      </c>
      <c r="I946" s="256"/>
      <c r="J946" s="256"/>
      <c r="K946" s="38">
        <v>525000</v>
      </c>
      <c r="L946" s="194" t="s">
        <v>265</v>
      </c>
      <c r="M946" s="194" t="s">
        <v>430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853"/>
      <c r="AB946" s="812"/>
      <c r="AC946" s="594" t="str">
        <f t="shared" si="196"/>
        <v/>
      </c>
    </row>
    <row r="947" spans="1:29" ht="15.75" customHeight="1">
      <c r="A947" s="204" t="str">
        <f>IF(B947&lt;&gt;"",IF(AND(B947&gt;=_TM1,B947&lt;=_TM2,OR(TH!L947="1111",TH!M947="1111")),TH!D947,""),"")</f>
        <v/>
      </c>
      <c r="B947" s="36">
        <f t="shared" si="198"/>
        <v>11</v>
      </c>
      <c r="C947" s="191">
        <f t="shared" si="199"/>
        <v>41592</v>
      </c>
      <c r="D947" s="184" t="s">
        <v>1085</v>
      </c>
      <c r="E947" s="191">
        <v>41592</v>
      </c>
      <c r="F947" s="192" t="s">
        <v>1150</v>
      </c>
      <c r="G947" s="487" t="s">
        <v>1014</v>
      </c>
      <c r="H947" s="7" t="s">
        <v>896</v>
      </c>
      <c r="I947" s="256">
        <v>2642</v>
      </c>
      <c r="J947" s="256">
        <v>4700</v>
      </c>
      <c r="K947" s="38">
        <f>ROUND(I947*J947,0)</f>
        <v>12417400</v>
      </c>
      <c r="L947" s="194" t="s">
        <v>265</v>
      </c>
      <c r="M947" s="194" t="s">
        <v>175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853"/>
      <c r="AB947" s="812"/>
      <c r="AC947" s="594"/>
    </row>
    <row r="948" spans="1:29" ht="15.75" customHeight="1">
      <c r="A948" s="204" t="str">
        <f>IF(B948&lt;&gt;"",IF(AND(B948&gt;=_TM1,B948&lt;=_TM2,OR(TH!L948="1111",TH!M948="1111")),TH!D948,""),"")</f>
        <v/>
      </c>
      <c r="B948" s="36">
        <f t="shared" si="198"/>
        <v>11</v>
      </c>
      <c r="C948" s="191">
        <f t="shared" si="199"/>
        <v>41592</v>
      </c>
      <c r="D948" s="184" t="s">
        <v>1085</v>
      </c>
      <c r="E948" s="191">
        <v>41592</v>
      </c>
      <c r="F948" s="192" t="s">
        <v>726</v>
      </c>
      <c r="G948" s="487" t="s">
        <v>1014</v>
      </c>
      <c r="H948" s="193" t="s">
        <v>896</v>
      </c>
      <c r="I948" s="256"/>
      <c r="J948" s="256"/>
      <c r="K948" s="38">
        <v>1241740</v>
      </c>
      <c r="L948" s="194" t="s">
        <v>265</v>
      </c>
      <c r="M948" s="194" t="s">
        <v>430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853"/>
      <c r="AB948" s="812"/>
      <c r="AC948" s="594" t="str">
        <f t="shared" si="196"/>
        <v/>
      </c>
    </row>
    <row r="949" spans="1:29" ht="15.75" customHeight="1">
      <c r="A949" s="204" t="str">
        <f>IF(B949&lt;&gt;"",IF(AND(B949&gt;=_TM1,B949&lt;=_TM2,OR(TH!L949="1111",TH!M949="1111")),TH!D949,""),"")</f>
        <v/>
      </c>
      <c r="B949" s="36">
        <f t="shared" si="198"/>
        <v>11</v>
      </c>
      <c r="C949" s="191">
        <f t="shared" si="199"/>
        <v>41593</v>
      </c>
      <c r="D949" s="184" t="s">
        <v>1086</v>
      </c>
      <c r="E949" s="191">
        <v>41593</v>
      </c>
      <c r="F949" s="192" t="s">
        <v>1162</v>
      </c>
      <c r="G949" s="487" t="s">
        <v>1015</v>
      </c>
      <c r="H949" s="7" t="s">
        <v>544</v>
      </c>
      <c r="I949" s="256">
        <v>2330</v>
      </c>
      <c r="J949" s="256">
        <v>5860</v>
      </c>
      <c r="K949" s="38">
        <f>ROUND(I949*J949,0)</f>
        <v>13653800</v>
      </c>
      <c r="L949" s="194" t="s">
        <v>265</v>
      </c>
      <c r="M949" s="194" t="s">
        <v>175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853"/>
      <c r="AB949" s="812"/>
      <c r="AC949" s="594"/>
    </row>
    <row r="950" spans="1:29" ht="15.75" customHeight="1">
      <c r="A950" s="204" t="str">
        <f>IF(B950&lt;&gt;"",IF(AND(B950&gt;=_TM1,B950&lt;=_TM2,OR(TH!L950="1111",TH!M950="1111")),TH!D950,""),"")</f>
        <v/>
      </c>
      <c r="B950" s="36">
        <f t="shared" si="198"/>
        <v>11</v>
      </c>
      <c r="C950" s="191">
        <f t="shared" si="199"/>
        <v>41593</v>
      </c>
      <c r="D950" s="184" t="s">
        <v>1086</v>
      </c>
      <c r="E950" s="191">
        <v>41593</v>
      </c>
      <c r="F950" s="192" t="s">
        <v>726</v>
      </c>
      <c r="G950" s="487" t="s">
        <v>1015</v>
      </c>
      <c r="H950" s="193" t="s">
        <v>544</v>
      </c>
      <c r="I950" s="256"/>
      <c r="J950" s="256"/>
      <c r="K950" s="38">
        <v>1365380</v>
      </c>
      <c r="L950" s="194" t="s">
        <v>265</v>
      </c>
      <c r="M950" s="194" t="s">
        <v>430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853"/>
      <c r="AB950" s="812"/>
      <c r="AC950" s="594" t="str">
        <f t="shared" si="196"/>
        <v/>
      </c>
    </row>
    <row r="951" spans="1:29" ht="15.75" customHeight="1">
      <c r="A951" s="204" t="str">
        <f>IF(B951&lt;&gt;"",IF(AND(B951&gt;=_TM1,B951&lt;=_TM2,OR(TH!L951="1111",TH!M951="1111")),TH!D951,""),"")</f>
        <v/>
      </c>
      <c r="B951" s="36">
        <f t="shared" si="198"/>
        <v>11</v>
      </c>
      <c r="C951" s="191">
        <f t="shared" si="199"/>
        <v>41594</v>
      </c>
      <c r="D951" s="184" t="s">
        <v>1087</v>
      </c>
      <c r="E951" s="191">
        <v>41594</v>
      </c>
      <c r="F951" s="192" t="s">
        <v>838</v>
      </c>
      <c r="G951" s="487" t="s">
        <v>1016</v>
      </c>
      <c r="H951" s="193" t="s">
        <v>743</v>
      </c>
      <c r="I951" s="256">
        <v>428</v>
      </c>
      <c r="J951" s="256">
        <v>10500</v>
      </c>
      <c r="K951" s="38">
        <f>ROUND(I951*J951,0)</f>
        <v>4494000</v>
      </c>
      <c r="L951" s="194" t="s">
        <v>265</v>
      </c>
      <c r="M951" s="194" t="s">
        <v>175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853"/>
      <c r="AB951" s="812"/>
      <c r="AC951" s="594"/>
    </row>
    <row r="952" spans="1:29" ht="15.75" customHeight="1">
      <c r="A952" s="204" t="str">
        <f>IF(B952&lt;&gt;"",IF(AND(B952&gt;=_TM1,B952&lt;=_TM2,OR(TH!L952="1111",TH!M952="1111")),TH!D952,""),"")</f>
        <v/>
      </c>
      <c r="B952" s="36">
        <f t="shared" si="198"/>
        <v>11</v>
      </c>
      <c r="C952" s="191">
        <f t="shared" si="199"/>
        <v>41594</v>
      </c>
      <c r="D952" s="184" t="s">
        <v>1087</v>
      </c>
      <c r="E952" s="191">
        <v>41594</v>
      </c>
      <c r="F952" s="192" t="s">
        <v>726</v>
      </c>
      <c r="G952" s="487" t="s">
        <v>1016</v>
      </c>
      <c r="H952" s="193" t="s">
        <v>743</v>
      </c>
      <c r="I952" s="256"/>
      <c r="J952" s="256"/>
      <c r="K952" s="38">
        <v>449400</v>
      </c>
      <c r="L952" s="194" t="s">
        <v>265</v>
      </c>
      <c r="M952" s="194" t="s">
        <v>430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853"/>
      <c r="AB952" s="812"/>
      <c r="AC952" s="594" t="str">
        <f t="shared" si="196"/>
        <v/>
      </c>
    </row>
    <row r="953" spans="1:29" ht="15.75" customHeight="1">
      <c r="A953" s="204" t="str">
        <f>IF(B953&lt;&gt;"",IF(AND(B953&gt;=_TM1,B953&lt;=_TM2,OR(TH!L953="1111",TH!M953="1111")),TH!D953,""),"")</f>
        <v/>
      </c>
      <c r="B953" s="36">
        <f t="shared" si="198"/>
        <v>11</v>
      </c>
      <c r="C953" s="191">
        <f t="shared" si="199"/>
        <v>41596</v>
      </c>
      <c r="D953" s="184" t="s">
        <v>1088</v>
      </c>
      <c r="E953" s="191">
        <v>41596</v>
      </c>
      <c r="F953" s="192" t="s">
        <v>876</v>
      </c>
      <c r="G953" s="487" t="s">
        <v>1017</v>
      </c>
      <c r="H953" s="7" t="s">
        <v>540</v>
      </c>
      <c r="I953" s="256">
        <v>1017</v>
      </c>
      <c r="J953" s="256">
        <v>12000</v>
      </c>
      <c r="K953" s="38">
        <f>ROUND(I953*J953,0)</f>
        <v>12204000</v>
      </c>
      <c r="L953" s="194" t="s">
        <v>265</v>
      </c>
      <c r="M953" s="194" t="s">
        <v>175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853"/>
      <c r="AB953" s="812"/>
      <c r="AC953" s="594"/>
    </row>
    <row r="954" spans="1:29" ht="15.75" customHeight="1">
      <c r="A954" s="204" t="str">
        <f>IF(B954&lt;&gt;"",IF(AND(B954&gt;=_TM1,B954&lt;=_TM2,OR(TH!L954="1111",TH!M954="1111")),TH!D954,""),"")</f>
        <v/>
      </c>
      <c r="B954" s="36">
        <f t="shared" si="198"/>
        <v>11</v>
      </c>
      <c r="C954" s="191">
        <f t="shared" si="199"/>
        <v>41596</v>
      </c>
      <c r="D954" s="184" t="s">
        <v>1088</v>
      </c>
      <c r="E954" s="191">
        <v>41596</v>
      </c>
      <c r="F954" s="192" t="s">
        <v>726</v>
      </c>
      <c r="G954" s="487" t="s">
        <v>1017</v>
      </c>
      <c r="H954" s="7" t="s">
        <v>540</v>
      </c>
      <c r="I954" s="256"/>
      <c r="J954" s="256"/>
      <c r="K954" s="38">
        <v>1220400</v>
      </c>
      <c r="L954" s="194" t="s">
        <v>265</v>
      </c>
      <c r="M954" s="194" t="s">
        <v>430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853"/>
      <c r="AB954" s="812"/>
      <c r="AC954" s="594" t="str">
        <f t="shared" si="196"/>
        <v/>
      </c>
    </row>
    <row r="955" spans="1:29" ht="15.75" customHeight="1">
      <c r="A955" s="204" t="str">
        <f>IF(B955&lt;&gt;"",IF(AND(B955&gt;=_TM1,B955&lt;=_TM2,OR(TH!L955="1111",TH!M955="1111")),TH!D955,""),"")</f>
        <v/>
      </c>
      <c r="B955" s="36">
        <f t="shared" si="198"/>
        <v>11</v>
      </c>
      <c r="C955" s="191">
        <f t="shared" si="199"/>
        <v>41597</v>
      </c>
      <c r="D955" s="184" t="s">
        <v>1089</v>
      </c>
      <c r="E955" s="191">
        <v>41597</v>
      </c>
      <c r="F955" s="192" t="s">
        <v>1018</v>
      </c>
      <c r="G955" s="192" t="s">
        <v>1019</v>
      </c>
      <c r="H955" s="7" t="s">
        <v>879</v>
      </c>
      <c r="I955" s="256">
        <v>70</v>
      </c>
      <c r="J955" s="256">
        <v>42000</v>
      </c>
      <c r="K955" s="38">
        <f t="shared" ref="K955:K958" si="205">ROUND(I955*J955,0)</f>
        <v>2940000</v>
      </c>
      <c r="L955" s="194" t="s">
        <v>265</v>
      </c>
      <c r="M955" s="194" t="s">
        <v>175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853"/>
      <c r="AB955" s="812"/>
      <c r="AC955" s="594"/>
    </row>
    <row r="956" spans="1:29" ht="15.75" customHeight="1">
      <c r="A956" s="204" t="str">
        <f>IF(B956&lt;&gt;"",IF(AND(B956&gt;=_TM1,B956&lt;=_TM2,OR(TH!L956="1111",TH!M956="1111")),TH!D956,""),"")</f>
        <v/>
      </c>
      <c r="B956" s="36">
        <f t="shared" si="198"/>
        <v>11</v>
      </c>
      <c r="C956" s="191">
        <f t="shared" si="199"/>
        <v>41597</v>
      </c>
      <c r="D956" s="184" t="s">
        <v>1089</v>
      </c>
      <c r="E956" s="191">
        <v>41597</v>
      </c>
      <c r="F956" s="192" t="s">
        <v>880</v>
      </c>
      <c r="G956" s="192" t="s">
        <v>1019</v>
      </c>
      <c r="H956" s="7" t="s">
        <v>879</v>
      </c>
      <c r="I956" s="256">
        <v>70</v>
      </c>
      <c r="J956" s="256">
        <v>45000</v>
      </c>
      <c r="K956" s="38">
        <f t="shared" si="205"/>
        <v>3150000</v>
      </c>
      <c r="L956" s="194" t="s">
        <v>265</v>
      </c>
      <c r="M956" s="194" t="s">
        <v>175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853"/>
      <c r="AB956" s="812"/>
      <c r="AC956" s="594"/>
    </row>
    <row r="957" spans="1:29" ht="15.75" customHeight="1">
      <c r="A957" s="204" t="str">
        <f>IF(B957&lt;&gt;"",IF(AND(B957&gt;=_TM1,B957&lt;=_TM2,OR(TH!L957="1111",TH!M957="1111")),TH!D957,""),"")</f>
        <v/>
      </c>
      <c r="B957" s="36">
        <f t="shared" si="198"/>
        <v>11</v>
      </c>
      <c r="C957" s="191">
        <f t="shared" si="199"/>
        <v>41597</v>
      </c>
      <c r="D957" s="184" t="s">
        <v>1089</v>
      </c>
      <c r="E957" s="191">
        <v>41597</v>
      </c>
      <c r="F957" s="192" t="s">
        <v>1020</v>
      </c>
      <c r="G957" s="192" t="s">
        <v>1019</v>
      </c>
      <c r="H957" s="7" t="s">
        <v>879</v>
      </c>
      <c r="I957" s="256">
        <v>50</v>
      </c>
      <c r="J957" s="256">
        <v>45300</v>
      </c>
      <c r="K957" s="38">
        <f t="shared" si="205"/>
        <v>2265000</v>
      </c>
      <c r="L957" s="194" t="s">
        <v>265</v>
      </c>
      <c r="M957" s="194" t="s">
        <v>175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853"/>
      <c r="AB957" s="812"/>
      <c r="AC957" s="594"/>
    </row>
    <row r="958" spans="1:29" ht="15.75" customHeight="1">
      <c r="A958" s="204" t="str">
        <f>IF(B958&lt;&gt;"",IF(AND(B958&gt;=_TM1,B958&lt;=_TM2,OR(TH!L958="1111",TH!M958="1111")),TH!D958,""),"")</f>
        <v/>
      </c>
      <c r="B958" s="36">
        <f t="shared" si="198"/>
        <v>11</v>
      </c>
      <c r="C958" s="191">
        <f t="shared" si="199"/>
        <v>41597</v>
      </c>
      <c r="D958" s="184" t="s">
        <v>1089</v>
      </c>
      <c r="E958" s="191">
        <v>41597</v>
      </c>
      <c r="F958" s="192" t="s">
        <v>881</v>
      </c>
      <c r="G958" s="192" t="s">
        <v>1019</v>
      </c>
      <c r="H958" s="7" t="s">
        <v>879</v>
      </c>
      <c r="I958" s="257">
        <v>50</v>
      </c>
      <c r="J958" s="257">
        <v>50400</v>
      </c>
      <c r="K958" s="38">
        <f t="shared" si="205"/>
        <v>2520000</v>
      </c>
      <c r="L958" s="194" t="s">
        <v>265</v>
      </c>
      <c r="M958" s="194" t="s">
        <v>175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853"/>
      <c r="AB958" s="812"/>
      <c r="AC958" s="594"/>
    </row>
    <row r="959" spans="1:29" ht="15.75" customHeight="1">
      <c r="A959" s="204" t="str">
        <f>IF(B959&lt;&gt;"",IF(AND(B959&gt;=_TM1,B959&lt;=_TM2,OR(TH!L959="1111",TH!M959="1111")),TH!D959,""),"")</f>
        <v/>
      </c>
      <c r="B959" s="36">
        <f t="shared" si="198"/>
        <v>11</v>
      </c>
      <c r="C959" s="191">
        <f t="shared" si="199"/>
        <v>41597</v>
      </c>
      <c r="D959" s="184" t="s">
        <v>1089</v>
      </c>
      <c r="E959" s="191">
        <v>41597</v>
      </c>
      <c r="F959" s="192" t="s">
        <v>726</v>
      </c>
      <c r="G959" s="192" t="s">
        <v>1019</v>
      </c>
      <c r="H959" s="7" t="s">
        <v>879</v>
      </c>
      <c r="I959" s="256"/>
      <c r="J959" s="256"/>
      <c r="K959" s="38">
        <v>1087500</v>
      </c>
      <c r="L959" s="194" t="s">
        <v>265</v>
      </c>
      <c r="M959" s="194" t="s">
        <v>430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853"/>
      <c r="AB959" s="812"/>
      <c r="AC959" s="594" t="str">
        <f t="shared" si="196"/>
        <v/>
      </c>
    </row>
    <row r="960" spans="1:29" ht="15.75" customHeight="1">
      <c r="A960" s="204" t="str">
        <f>IF(B960&lt;&gt;"",IF(AND(B960&gt;=_TM1,B960&lt;=_TM2,OR(TH!L960="1111",TH!M960="1111")),TH!D960,""),"")</f>
        <v/>
      </c>
      <c r="B960" s="36">
        <f t="shared" si="198"/>
        <v>11</v>
      </c>
      <c r="C960" s="191">
        <f t="shared" si="199"/>
        <v>41598</v>
      </c>
      <c r="D960" s="184" t="s">
        <v>1090</v>
      </c>
      <c r="E960" s="191">
        <v>41598</v>
      </c>
      <c r="F960" s="192" t="s">
        <v>882</v>
      </c>
      <c r="G960" s="192" t="s">
        <v>1021</v>
      </c>
      <c r="H960" s="7" t="s">
        <v>879</v>
      </c>
      <c r="I960" s="256">
        <v>50</v>
      </c>
      <c r="J960" s="256">
        <v>53500</v>
      </c>
      <c r="K960" s="38">
        <f t="shared" ref="K960:K962" si="206">ROUND(I960*J960,0)</f>
        <v>2675000</v>
      </c>
      <c r="L960" s="194" t="s">
        <v>265</v>
      </c>
      <c r="M960" s="194" t="s">
        <v>175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853"/>
      <c r="AB960" s="812"/>
      <c r="AC960" s="594"/>
    </row>
    <row r="961" spans="1:29" ht="15.75" customHeight="1">
      <c r="A961" s="204" t="str">
        <f>IF(B961&lt;&gt;"",IF(AND(B961&gt;=_TM1,B961&lt;=_TM2,OR(TH!L961="1111",TH!M961="1111")),TH!D961,""),"")</f>
        <v/>
      </c>
      <c r="B961" s="36">
        <f t="shared" si="198"/>
        <v>11</v>
      </c>
      <c r="C961" s="191">
        <f t="shared" si="199"/>
        <v>41598</v>
      </c>
      <c r="D961" s="184" t="s">
        <v>1090</v>
      </c>
      <c r="E961" s="191">
        <v>41598</v>
      </c>
      <c r="F961" s="192" t="s">
        <v>1022</v>
      </c>
      <c r="G961" s="487" t="s">
        <v>1021</v>
      </c>
      <c r="H961" s="7" t="s">
        <v>879</v>
      </c>
      <c r="I961" s="256">
        <v>50</v>
      </c>
      <c r="J961" s="256">
        <v>59700</v>
      </c>
      <c r="K961" s="38">
        <f t="shared" si="206"/>
        <v>2985000</v>
      </c>
      <c r="L961" s="194" t="s">
        <v>265</v>
      </c>
      <c r="M961" s="194" t="s">
        <v>175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853"/>
      <c r="AB961" s="812"/>
      <c r="AC961" s="594"/>
    </row>
    <row r="962" spans="1:29" ht="15.75" customHeight="1">
      <c r="A962" s="204" t="str">
        <f>IF(B962&lt;&gt;"",IF(AND(B962&gt;=_TM1,B962&lt;=_TM2,OR(TH!L962="1111",TH!M962="1111")),TH!D962,""),"")</f>
        <v/>
      </c>
      <c r="B962" s="36">
        <f t="shared" si="198"/>
        <v>11</v>
      </c>
      <c r="C962" s="191">
        <f t="shared" si="199"/>
        <v>41598</v>
      </c>
      <c r="D962" s="184" t="s">
        <v>1090</v>
      </c>
      <c r="E962" s="191">
        <v>41598</v>
      </c>
      <c r="F962" s="192" t="s">
        <v>1023</v>
      </c>
      <c r="G962" s="487" t="s">
        <v>1021</v>
      </c>
      <c r="H962" s="7" t="s">
        <v>879</v>
      </c>
      <c r="I962" s="256">
        <v>50</v>
      </c>
      <c r="J962" s="256">
        <v>65000</v>
      </c>
      <c r="K962" s="38">
        <f t="shared" si="206"/>
        <v>3250000</v>
      </c>
      <c r="L962" s="194" t="s">
        <v>265</v>
      </c>
      <c r="M962" s="194" t="s">
        <v>175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853"/>
      <c r="AB962" s="812"/>
      <c r="AC962" s="594"/>
    </row>
    <row r="963" spans="1:29" ht="15.75" customHeight="1">
      <c r="A963" s="204" t="str">
        <f>IF(B963&lt;&gt;"",IF(AND(B963&gt;=_TM1,B963&lt;=_TM2,OR(TH!L963="1111",TH!M963="1111")),TH!D963,""),"")</f>
        <v/>
      </c>
      <c r="B963" s="36">
        <f t="shared" si="198"/>
        <v>11</v>
      </c>
      <c r="C963" s="191">
        <f t="shared" si="199"/>
        <v>41598</v>
      </c>
      <c r="D963" s="184" t="s">
        <v>1090</v>
      </c>
      <c r="E963" s="191">
        <v>41598</v>
      </c>
      <c r="F963" s="192" t="s">
        <v>726</v>
      </c>
      <c r="G963" s="487" t="s">
        <v>1021</v>
      </c>
      <c r="H963" s="7" t="s">
        <v>879</v>
      </c>
      <c r="I963" s="256"/>
      <c r="J963" s="256"/>
      <c r="K963" s="38">
        <v>891000</v>
      </c>
      <c r="L963" s="194" t="s">
        <v>265</v>
      </c>
      <c r="M963" s="194" t="s">
        <v>430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853"/>
      <c r="AB963" s="812"/>
      <c r="AC963" s="594" t="str">
        <f t="shared" si="196"/>
        <v/>
      </c>
    </row>
    <row r="964" spans="1:29" ht="15.75" customHeight="1">
      <c r="A964" s="204" t="str">
        <f>IF(B964&lt;&gt;"",IF(AND(B964&gt;=_TM1,B964&lt;=_TM2,OR(TH!L964="1111",TH!M964="1111")),TH!D964,""),"")</f>
        <v/>
      </c>
      <c r="B964" s="36">
        <f t="shared" si="198"/>
        <v>11</v>
      </c>
      <c r="C964" s="191">
        <f t="shared" si="199"/>
        <v>41603</v>
      </c>
      <c r="D964" s="184" t="s">
        <v>1091</v>
      </c>
      <c r="E964" s="191">
        <v>41603</v>
      </c>
      <c r="F964" s="192" t="s">
        <v>723</v>
      </c>
      <c r="G964" s="487" t="s">
        <v>1024</v>
      </c>
      <c r="H964" s="193" t="s">
        <v>1025</v>
      </c>
      <c r="I964" s="256">
        <v>500</v>
      </c>
      <c r="J964" s="256">
        <v>5700</v>
      </c>
      <c r="K964" s="38">
        <f>ROUND(I964*J964,0)</f>
        <v>2850000</v>
      </c>
      <c r="L964" s="194" t="s">
        <v>265</v>
      </c>
      <c r="M964" s="194" t="s">
        <v>175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853"/>
      <c r="AB964" s="812"/>
      <c r="AC964" s="594"/>
    </row>
    <row r="965" spans="1:29" ht="15.75" customHeight="1">
      <c r="A965" s="204" t="str">
        <f>IF(B965&lt;&gt;"",IF(AND(B965&gt;=_TM1,B965&lt;=_TM2,OR(TH!L965="1111",TH!M965="1111")),TH!D965,""),"")</f>
        <v/>
      </c>
      <c r="B965" s="36">
        <f t="shared" si="198"/>
        <v>11</v>
      </c>
      <c r="C965" s="191">
        <f t="shared" si="199"/>
        <v>41603</v>
      </c>
      <c r="D965" s="184" t="s">
        <v>1091</v>
      </c>
      <c r="E965" s="191">
        <v>41603</v>
      </c>
      <c r="F965" s="192" t="s">
        <v>726</v>
      </c>
      <c r="G965" s="487" t="s">
        <v>1024</v>
      </c>
      <c r="H965" s="193" t="s">
        <v>1025</v>
      </c>
      <c r="I965" s="256"/>
      <c r="J965" s="256"/>
      <c r="K965" s="38">
        <v>285000</v>
      </c>
      <c r="L965" s="194" t="s">
        <v>265</v>
      </c>
      <c r="M965" s="194" t="s">
        <v>430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853"/>
      <c r="AB965" s="812"/>
      <c r="AC965" s="594" t="str">
        <f t="shared" ref="AC965:AC1019" si="207">IF(VLOOKUP(H965,DS_131,1,0)&lt;&gt;"","","x")</f>
        <v/>
      </c>
    </row>
    <row r="966" spans="1:29" ht="15.75" customHeight="1">
      <c r="A966" s="204" t="str">
        <f>IF(B966&lt;&gt;"",IF(AND(B966&gt;=_TM1,B966&lt;=_TM2,OR(TH!L966="1111",TH!M966="1111")),TH!D966,""),"")</f>
        <v/>
      </c>
      <c r="B966" s="36">
        <f t="shared" si="198"/>
        <v>11</v>
      </c>
      <c r="C966" s="191">
        <f t="shared" si="199"/>
        <v>41604</v>
      </c>
      <c r="D966" s="184" t="s">
        <v>1092</v>
      </c>
      <c r="E966" s="191">
        <v>41604</v>
      </c>
      <c r="F966" s="192" t="s">
        <v>838</v>
      </c>
      <c r="G966" s="487" t="s">
        <v>654</v>
      </c>
      <c r="H966" s="7" t="s">
        <v>743</v>
      </c>
      <c r="I966" s="256">
        <v>500</v>
      </c>
      <c r="J966" s="256">
        <v>10500</v>
      </c>
      <c r="K966" s="38">
        <f t="shared" ref="K966:K968" si="208">ROUND(I966*J966,0)</f>
        <v>5250000</v>
      </c>
      <c r="L966" s="194" t="s">
        <v>265</v>
      </c>
      <c r="M966" s="194" t="s">
        <v>175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853"/>
      <c r="AB966" s="812"/>
      <c r="AC966" s="594"/>
    </row>
    <row r="967" spans="1:29" ht="15.75" customHeight="1">
      <c r="A967" s="204" t="str">
        <f>IF(B967&lt;&gt;"",IF(AND(B967&gt;=_TM1,B967&lt;=_TM2,OR(TH!L967="1111",TH!M967="1111")),TH!D967,""),"")</f>
        <v/>
      </c>
      <c r="B967" s="36">
        <f t="shared" si="198"/>
        <v>11</v>
      </c>
      <c r="C967" s="191">
        <f t="shared" si="199"/>
        <v>41604</v>
      </c>
      <c r="D967" s="184" t="s">
        <v>1092</v>
      </c>
      <c r="E967" s="191">
        <v>41604</v>
      </c>
      <c r="F967" s="192" t="s">
        <v>838</v>
      </c>
      <c r="G967" s="487" t="s">
        <v>654</v>
      </c>
      <c r="H967" s="7" t="s">
        <v>743</v>
      </c>
      <c r="I967" s="256">
        <v>500</v>
      </c>
      <c r="J967" s="256">
        <v>10500</v>
      </c>
      <c r="K967" s="38">
        <f t="shared" si="208"/>
        <v>5250000</v>
      </c>
      <c r="L967" s="194" t="s">
        <v>265</v>
      </c>
      <c r="M967" s="194" t="s">
        <v>175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853"/>
      <c r="AB967" s="812"/>
      <c r="AC967" s="594"/>
    </row>
    <row r="968" spans="1:29" ht="15.75" customHeight="1">
      <c r="A968" s="204" t="str">
        <f>IF(B968&lt;&gt;"",IF(AND(B968&gt;=_TM1,B968&lt;=_TM2,OR(TH!L968="1111",TH!M968="1111")),TH!D968,""),"")</f>
        <v/>
      </c>
      <c r="B968" s="36">
        <f t="shared" si="198"/>
        <v>11</v>
      </c>
      <c r="C968" s="191">
        <f t="shared" si="199"/>
        <v>41604</v>
      </c>
      <c r="D968" s="184" t="s">
        <v>1092</v>
      </c>
      <c r="E968" s="191">
        <v>41604</v>
      </c>
      <c r="F968" s="192" t="s">
        <v>838</v>
      </c>
      <c r="G968" s="487" t="s">
        <v>654</v>
      </c>
      <c r="H968" s="193" t="s">
        <v>743</v>
      </c>
      <c r="I968" s="256">
        <v>500</v>
      </c>
      <c r="J968" s="256">
        <v>10500</v>
      </c>
      <c r="K968" s="38">
        <f t="shared" si="208"/>
        <v>5250000</v>
      </c>
      <c r="L968" s="194" t="s">
        <v>265</v>
      </c>
      <c r="M968" s="194" t="s">
        <v>175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853"/>
      <c r="AB968" s="812"/>
      <c r="AC968" s="594"/>
    </row>
    <row r="969" spans="1:29" ht="15.75" customHeight="1">
      <c r="A969" s="204" t="str">
        <f>IF(B969&lt;&gt;"",IF(AND(B969&gt;=_TM1,B969&lt;=_TM2,OR(TH!L969="1111",TH!M969="1111")),TH!D969,""),"")</f>
        <v/>
      </c>
      <c r="B969" s="36">
        <f t="shared" ref="B969:B1029" si="209">IF(C969&lt;&gt;"",MONTH(C969),"")</f>
        <v>11</v>
      </c>
      <c r="C969" s="191">
        <f t="shared" si="199"/>
        <v>41604</v>
      </c>
      <c r="D969" s="184" t="s">
        <v>1092</v>
      </c>
      <c r="E969" s="191">
        <v>41604</v>
      </c>
      <c r="F969" s="192" t="s">
        <v>726</v>
      </c>
      <c r="G969" s="487" t="s">
        <v>654</v>
      </c>
      <c r="H969" s="193" t="s">
        <v>743</v>
      </c>
      <c r="I969" s="256"/>
      <c r="J969" s="256"/>
      <c r="K969" s="38">
        <v>1575000</v>
      </c>
      <c r="L969" s="194" t="s">
        <v>265</v>
      </c>
      <c r="M969" s="194" t="s">
        <v>430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853"/>
      <c r="AB969" s="812"/>
      <c r="AC969" s="594" t="str">
        <f t="shared" si="207"/>
        <v/>
      </c>
    </row>
    <row r="970" spans="1:29" ht="15.75" customHeight="1">
      <c r="A970" s="204" t="str">
        <f>IF(B970&lt;&gt;"",IF(AND(B970&gt;=_TM1,B970&lt;=_TM2,OR(TH!L970="1111",TH!M970="1111")),TH!D970,""),"")</f>
        <v/>
      </c>
      <c r="B970" s="36">
        <f t="shared" si="209"/>
        <v>11</v>
      </c>
      <c r="C970" s="191">
        <f t="shared" si="199"/>
        <v>41606</v>
      </c>
      <c r="D970" s="184" t="s">
        <v>1093</v>
      </c>
      <c r="E970" s="191">
        <v>41606</v>
      </c>
      <c r="F970" s="192" t="s">
        <v>838</v>
      </c>
      <c r="G970" s="487" t="s">
        <v>1026</v>
      </c>
      <c r="H970" s="193" t="s">
        <v>743</v>
      </c>
      <c r="I970" s="256">
        <v>500</v>
      </c>
      <c r="J970" s="256">
        <v>10500</v>
      </c>
      <c r="K970" s="38">
        <f t="shared" ref="K970:K971" si="210">ROUND(I970*J970,0)</f>
        <v>5250000</v>
      </c>
      <c r="L970" s="194" t="s">
        <v>265</v>
      </c>
      <c r="M970" s="194" t="s">
        <v>175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853"/>
      <c r="AB970" s="812"/>
      <c r="AC970" s="594"/>
    </row>
    <row r="971" spans="1:29" ht="15.75" customHeight="1">
      <c r="A971" s="204" t="str">
        <f>IF(B971&lt;&gt;"",IF(AND(B971&gt;=_TM1,B971&lt;=_TM2,OR(TH!L971="1111",TH!M971="1111")),TH!D971,""),"")</f>
        <v/>
      </c>
      <c r="B971" s="36">
        <f t="shared" si="209"/>
        <v>11</v>
      </c>
      <c r="C971" s="191">
        <f t="shared" si="199"/>
        <v>41606</v>
      </c>
      <c r="D971" s="184" t="s">
        <v>1093</v>
      </c>
      <c r="E971" s="191">
        <v>41606</v>
      </c>
      <c r="F971" s="192" t="s">
        <v>741</v>
      </c>
      <c r="G971" s="487" t="s">
        <v>1026</v>
      </c>
      <c r="H971" s="193" t="s">
        <v>743</v>
      </c>
      <c r="I971" s="256">
        <v>500</v>
      </c>
      <c r="J971" s="256">
        <v>7500</v>
      </c>
      <c r="K971" s="38">
        <f t="shared" si="210"/>
        <v>3750000</v>
      </c>
      <c r="L971" s="194" t="s">
        <v>265</v>
      </c>
      <c r="M971" s="194" t="s">
        <v>175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853"/>
      <c r="AB971" s="812"/>
      <c r="AC971" s="594"/>
    </row>
    <row r="972" spans="1:29" ht="15.75" customHeight="1">
      <c r="A972" s="204" t="str">
        <f>IF(B972&lt;&gt;"",IF(AND(B972&gt;=_TM1,B972&lt;=_TM2,OR(TH!L972="1111",TH!M972="1111")),TH!D972,""),"")</f>
        <v/>
      </c>
      <c r="B972" s="36">
        <f t="shared" si="209"/>
        <v>11</v>
      </c>
      <c r="C972" s="191">
        <f t="shared" ref="C972:C1029" si="211">E972</f>
        <v>41606</v>
      </c>
      <c r="D972" s="184" t="s">
        <v>1093</v>
      </c>
      <c r="E972" s="191">
        <v>41606</v>
      </c>
      <c r="F972" s="192" t="s">
        <v>726</v>
      </c>
      <c r="G972" s="487" t="s">
        <v>1026</v>
      </c>
      <c r="H972" s="193" t="s">
        <v>743</v>
      </c>
      <c r="I972" s="256"/>
      <c r="J972" s="256"/>
      <c r="K972" s="38">
        <v>900000</v>
      </c>
      <c r="L972" s="194" t="s">
        <v>265</v>
      </c>
      <c r="M972" s="194" t="s">
        <v>430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853"/>
      <c r="AB972" s="812"/>
      <c r="AC972" s="594" t="str">
        <f t="shared" si="207"/>
        <v/>
      </c>
    </row>
    <row r="973" spans="1:29" ht="15.75" customHeight="1">
      <c r="A973" s="204" t="str">
        <f>IF(B973&lt;&gt;"",IF(AND(B973&gt;=_TM1,B973&lt;=_TM2,OR(TH!L973="1111",TH!M973="1111")),TH!D973,""),"")</f>
        <v/>
      </c>
      <c r="B973" s="36">
        <f t="shared" si="209"/>
        <v>11</v>
      </c>
      <c r="C973" s="191">
        <f t="shared" si="211"/>
        <v>41606</v>
      </c>
      <c r="D973" s="184" t="s">
        <v>1094</v>
      </c>
      <c r="E973" s="191">
        <v>41606</v>
      </c>
      <c r="F973" s="192" t="s">
        <v>847</v>
      </c>
      <c r="G973" s="487" t="s">
        <v>660</v>
      </c>
      <c r="H973" s="193" t="s">
        <v>849</v>
      </c>
      <c r="I973" s="256">
        <v>220</v>
      </c>
      <c r="J973" s="256">
        <v>19000</v>
      </c>
      <c r="K973" s="38">
        <f>ROUND(I973*J973,0)</f>
        <v>4180000</v>
      </c>
      <c r="L973" s="194" t="s">
        <v>265</v>
      </c>
      <c r="M973" s="194" t="s">
        <v>175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853"/>
      <c r="AB973" s="812"/>
      <c r="AC973" s="594"/>
    </row>
    <row r="974" spans="1:29" ht="15.75" customHeight="1">
      <c r="A974" s="204" t="str">
        <f>IF(B974&lt;&gt;"",IF(AND(B974&gt;=_TM1,B974&lt;=_TM2,OR(TH!L974="1111",TH!M974="1111")),TH!D974,""),"")</f>
        <v/>
      </c>
      <c r="B974" s="36">
        <f t="shared" si="209"/>
        <v>11</v>
      </c>
      <c r="C974" s="191">
        <f t="shared" si="211"/>
        <v>41606</v>
      </c>
      <c r="D974" s="184" t="s">
        <v>1094</v>
      </c>
      <c r="E974" s="191">
        <v>41606</v>
      </c>
      <c r="F974" s="192" t="s">
        <v>726</v>
      </c>
      <c r="G974" s="192" t="s">
        <v>660</v>
      </c>
      <c r="H974" s="7" t="s">
        <v>849</v>
      </c>
      <c r="I974" s="256"/>
      <c r="J974" s="256"/>
      <c r="K974" s="38">
        <v>418000</v>
      </c>
      <c r="L974" s="194" t="s">
        <v>265</v>
      </c>
      <c r="M974" s="194" t="s">
        <v>430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853"/>
      <c r="AB974" s="812"/>
      <c r="AC974" s="594" t="str">
        <f t="shared" si="207"/>
        <v/>
      </c>
    </row>
    <row r="975" spans="1:29" ht="15.75" customHeight="1">
      <c r="A975" s="204" t="str">
        <f>IF(B975&lt;&gt;"",IF(AND(B975&gt;=_TM1,B975&lt;=_TM2,OR(TH!L975="1111",TH!M975="1111")),TH!D975,""),"")</f>
        <v/>
      </c>
      <c r="B975" s="36">
        <f t="shared" si="209"/>
        <v>11</v>
      </c>
      <c r="C975" s="191">
        <f t="shared" si="211"/>
        <v>41608</v>
      </c>
      <c r="D975" s="184" t="s">
        <v>1095</v>
      </c>
      <c r="E975" s="191">
        <v>41608</v>
      </c>
      <c r="F975" s="192" t="s">
        <v>1010</v>
      </c>
      <c r="G975" s="192" t="s">
        <v>1027</v>
      </c>
      <c r="H975" s="45" t="s">
        <v>1008</v>
      </c>
      <c r="I975" s="256">
        <v>200</v>
      </c>
      <c r="J975" s="256">
        <v>13000</v>
      </c>
      <c r="K975" s="38">
        <f t="shared" ref="K975:K977" si="212">ROUND(I975*J975,0)</f>
        <v>2600000</v>
      </c>
      <c r="L975" s="194" t="s">
        <v>265</v>
      </c>
      <c r="M975" s="194" t="s">
        <v>175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853"/>
      <c r="AB975" s="812"/>
      <c r="AC975" s="594"/>
    </row>
    <row r="976" spans="1:29" ht="15.75" customHeight="1">
      <c r="A976" s="204" t="str">
        <f>IF(B976&lt;&gt;"",IF(AND(B976&gt;=_TM1,B976&lt;=_TM2,OR(TH!L976="1111",TH!M976="1111")),TH!D976,""),"")</f>
        <v/>
      </c>
      <c r="B976" s="36">
        <f t="shared" si="209"/>
        <v>11</v>
      </c>
      <c r="C976" s="191">
        <f t="shared" si="211"/>
        <v>41608</v>
      </c>
      <c r="D976" s="184" t="s">
        <v>1095</v>
      </c>
      <c r="E976" s="191">
        <v>41608</v>
      </c>
      <c r="F976" s="192" t="s">
        <v>1009</v>
      </c>
      <c r="G976" s="192" t="s">
        <v>1027</v>
      </c>
      <c r="H976" s="193" t="s">
        <v>1008</v>
      </c>
      <c r="I976" s="256">
        <v>150</v>
      </c>
      <c r="J976" s="256">
        <v>14200</v>
      </c>
      <c r="K976" s="38">
        <f t="shared" si="212"/>
        <v>2130000</v>
      </c>
      <c r="L976" s="194" t="s">
        <v>265</v>
      </c>
      <c r="M976" s="194" t="s">
        <v>175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853"/>
      <c r="AB976" s="812"/>
      <c r="AC976" s="594"/>
    </row>
    <row r="977" spans="1:29" ht="15.75" customHeight="1">
      <c r="A977" s="204" t="str">
        <f>IF(B977&lt;&gt;"",IF(AND(B977&gt;=_TM1,B977&lt;=_TM2,OR(TH!L977="1111",TH!M977="1111")),TH!D977,""),"")</f>
        <v/>
      </c>
      <c r="B977" s="36">
        <f t="shared" si="209"/>
        <v>11</v>
      </c>
      <c r="C977" s="191">
        <f t="shared" si="211"/>
        <v>41608</v>
      </c>
      <c r="D977" s="184" t="s">
        <v>1095</v>
      </c>
      <c r="E977" s="191">
        <v>41608</v>
      </c>
      <c r="F977" s="192" t="s">
        <v>1006</v>
      </c>
      <c r="G977" s="192" t="s">
        <v>1027</v>
      </c>
      <c r="H977" s="193" t="s">
        <v>1008</v>
      </c>
      <c r="I977" s="256">
        <v>100</v>
      </c>
      <c r="J977" s="256">
        <v>8000</v>
      </c>
      <c r="K977" s="38">
        <f t="shared" si="212"/>
        <v>800000</v>
      </c>
      <c r="L977" s="194" t="s">
        <v>265</v>
      </c>
      <c r="M977" s="194" t="s">
        <v>175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853"/>
      <c r="AB977" s="812"/>
      <c r="AC977" s="594"/>
    </row>
    <row r="978" spans="1:29" ht="15.75" customHeight="1">
      <c r="A978" s="204" t="str">
        <f>IF(B978&lt;&gt;"",IF(AND(B978&gt;=_TM1,B978&lt;=_TM2,OR(TH!L978="1111",TH!M978="1111")),TH!D978,""),"")</f>
        <v/>
      </c>
      <c r="B978" s="36">
        <f t="shared" si="209"/>
        <v>11</v>
      </c>
      <c r="C978" s="191">
        <f t="shared" si="211"/>
        <v>41608</v>
      </c>
      <c r="D978" s="184" t="s">
        <v>1095</v>
      </c>
      <c r="E978" s="191">
        <v>41608</v>
      </c>
      <c r="F978" s="192" t="s">
        <v>726</v>
      </c>
      <c r="G978" s="192" t="s">
        <v>1027</v>
      </c>
      <c r="H978" s="193" t="s">
        <v>1008</v>
      </c>
      <c r="I978" s="256"/>
      <c r="J978" s="256"/>
      <c r="K978" s="38">
        <v>553000</v>
      </c>
      <c r="L978" s="194" t="s">
        <v>265</v>
      </c>
      <c r="M978" s="194" t="s">
        <v>430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853"/>
      <c r="AB978" s="812"/>
      <c r="AC978" s="594" t="str">
        <f t="shared" si="207"/>
        <v/>
      </c>
    </row>
    <row r="979" spans="1:29" ht="15.75" customHeight="1">
      <c r="A979" s="204" t="str">
        <f>IF(B979&lt;&gt;"",IF(AND(B979&gt;=_TM1,B979&lt;=_TM2,OR(TH!L979="1111",TH!M979="1111")),TH!D979,""),"")</f>
        <v/>
      </c>
      <c r="B979" s="36">
        <f t="shared" si="209"/>
        <v>11</v>
      </c>
      <c r="C979" s="191">
        <f t="shared" si="211"/>
        <v>41608</v>
      </c>
      <c r="D979" s="184" t="s">
        <v>1096</v>
      </c>
      <c r="E979" s="191">
        <v>41608</v>
      </c>
      <c r="F979" s="192" t="s">
        <v>1028</v>
      </c>
      <c r="G979" s="192" t="s">
        <v>1029</v>
      </c>
      <c r="H979" s="7" t="s">
        <v>582</v>
      </c>
      <c r="I979" s="256">
        <v>1236</v>
      </c>
      <c r="J979" s="256">
        <v>17200</v>
      </c>
      <c r="K979" s="38">
        <f>ROUND(I979*J979,0)</f>
        <v>21259200</v>
      </c>
      <c r="L979" s="194" t="s">
        <v>265</v>
      </c>
      <c r="M979" s="194" t="s">
        <v>175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853"/>
      <c r="AB979" s="812"/>
      <c r="AC979" s="594"/>
    </row>
    <row r="980" spans="1:29" ht="15.75" customHeight="1">
      <c r="A980" s="204" t="str">
        <f>IF(B980&lt;&gt;"",IF(AND(B980&gt;=_TM1,B980&lt;=_TM2,OR(TH!L980="1111",TH!M980="1111")),TH!D980,""),"")</f>
        <v/>
      </c>
      <c r="B980" s="36">
        <f t="shared" si="209"/>
        <v>11</v>
      </c>
      <c r="C980" s="191">
        <f t="shared" si="211"/>
        <v>41608</v>
      </c>
      <c r="D980" s="184" t="s">
        <v>1096</v>
      </c>
      <c r="E980" s="191">
        <v>41608</v>
      </c>
      <c r="F980" s="192" t="s">
        <v>726</v>
      </c>
      <c r="G980" s="192" t="s">
        <v>1029</v>
      </c>
      <c r="H980" s="7" t="s">
        <v>582</v>
      </c>
      <c r="I980" s="256"/>
      <c r="J980" s="256"/>
      <c r="K980" s="38">
        <v>2125920</v>
      </c>
      <c r="L980" s="194" t="s">
        <v>265</v>
      </c>
      <c r="M980" s="194" t="s">
        <v>430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853"/>
      <c r="AB980" s="812"/>
      <c r="AC980" s="594" t="str">
        <f t="shared" si="207"/>
        <v/>
      </c>
    </row>
    <row r="981" spans="1:29" ht="15.75" customHeight="1">
      <c r="A981" s="204" t="str">
        <f>IF(B981&lt;&gt;"",IF(AND(B981&gt;=_TM1,B981&lt;=_TM2,OR(TH!L981="1111",TH!M981="1111")),TH!D981,""),"")</f>
        <v/>
      </c>
      <c r="B981" s="36">
        <f t="shared" si="209"/>
        <v>12</v>
      </c>
      <c r="C981" s="191">
        <f t="shared" si="211"/>
        <v>41612</v>
      </c>
      <c r="D981" s="184" t="s">
        <v>1097</v>
      </c>
      <c r="E981" s="191">
        <v>41612</v>
      </c>
      <c r="F981" s="192" t="s">
        <v>838</v>
      </c>
      <c r="G981" s="192" t="s">
        <v>1030</v>
      </c>
      <c r="H981" s="193" t="s">
        <v>743</v>
      </c>
      <c r="I981" s="256">
        <v>500</v>
      </c>
      <c r="J981" s="256">
        <v>10500</v>
      </c>
      <c r="K981" s="38">
        <f t="shared" ref="K981:K982" si="213">ROUND(I981*J981,0)</f>
        <v>5250000</v>
      </c>
      <c r="L981" s="194" t="s">
        <v>265</v>
      </c>
      <c r="M981" s="194" t="s">
        <v>175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853"/>
      <c r="AB981" s="812"/>
      <c r="AC981" s="594"/>
    </row>
    <row r="982" spans="1:29" ht="15.75" customHeight="1">
      <c r="A982" s="204" t="str">
        <f>IF(B982&lt;&gt;"",IF(AND(B982&gt;=_TM1,B982&lt;=_TM2,OR(TH!L982="1111",TH!M982="1111")),TH!D982,""),"")</f>
        <v/>
      </c>
      <c r="B982" s="36">
        <f t="shared" si="209"/>
        <v>12</v>
      </c>
      <c r="C982" s="191">
        <f t="shared" si="211"/>
        <v>41612</v>
      </c>
      <c r="D982" s="184" t="s">
        <v>1097</v>
      </c>
      <c r="E982" s="191">
        <v>41612</v>
      </c>
      <c r="F982" s="192" t="s">
        <v>838</v>
      </c>
      <c r="G982" s="192" t="s">
        <v>1030</v>
      </c>
      <c r="H982" s="193" t="s">
        <v>743</v>
      </c>
      <c r="I982" s="256">
        <v>500</v>
      </c>
      <c r="J982" s="256">
        <v>10500</v>
      </c>
      <c r="K982" s="38">
        <f t="shared" si="213"/>
        <v>5250000</v>
      </c>
      <c r="L982" s="194" t="s">
        <v>265</v>
      </c>
      <c r="M982" s="194" t="s">
        <v>175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853"/>
      <c r="AB982" s="812"/>
      <c r="AC982" s="594"/>
    </row>
    <row r="983" spans="1:29" ht="15.75" customHeight="1">
      <c r="A983" s="204" t="str">
        <f>IF(B983&lt;&gt;"",IF(AND(B983&gt;=_TM1,B983&lt;=_TM2,OR(TH!L983="1111",TH!M983="1111")),TH!D983,""),"")</f>
        <v/>
      </c>
      <c r="B983" s="36">
        <f t="shared" si="209"/>
        <v>12</v>
      </c>
      <c r="C983" s="191">
        <f t="shared" si="211"/>
        <v>41612</v>
      </c>
      <c r="D983" s="184" t="s">
        <v>1097</v>
      </c>
      <c r="E983" s="191">
        <v>41612</v>
      </c>
      <c r="F983" s="192" t="s">
        <v>726</v>
      </c>
      <c r="G983" s="192" t="s">
        <v>1030</v>
      </c>
      <c r="H983" s="7" t="s">
        <v>743</v>
      </c>
      <c r="I983" s="257"/>
      <c r="J983" s="257"/>
      <c r="K983" s="38">
        <v>1050000</v>
      </c>
      <c r="L983" s="194" t="s">
        <v>265</v>
      </c>
      <c r="M983" s="194" t="s">
        <v>430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853"/>
      <c r="AB983" s="812"/>
      <c r="AC983" s="594" t="str">
        <f t="shared" si="207"/>
        <v/>
      </c>
    </row>
    <row r="984" spans="1:29" ht="15.75" customHeight="1">
      <c r="A984" s="204" t="str">
        <f>IF(B984&lt;&gt;"",IF(AND(B984&gt;=_TM1,B984&lt;=_TM2,OR(TH!L984="1111",TH!M984="1111")),TH!D984,""),"")</f>
        <v/>
      </c>
      <c r="B984" s="36">
        <f t="shared" si="209"/>
        <v>12</v>
      </c>
      <c r="C984" s="191">
        <f t="shared" si="211"/>
        <v>41613</v>
      </c>
      <c r="D984" s="184" t="s">
        <v>1098</v>
      </c>
      <c r="E984" s="191">
        <v>41613</v>
      </c>
      <c r="F984" s="192" t="s">
        <v>885</v>
      </c>
      <c r="G984" s="192" t="s">
        <v>1031</v>
      </c>
      <c r="H984" s="7" t="s">
        <v>543</v>
      </c>
      <c r="I984" s="256">
        <v>202</v>
      </c>
      <c r="J984" s="256">
        <v>8600</v>
      </c>
      <c r="K984" s="38">
        <f t="shared" ref="K984:K985" si="214">ROUND(I984*J984,0)</f>
        <v>1737200</v>
      </c>
      <c r="L984" s="194" t="s">
        <v>265</v>
      </c>
      <c r="M984" s="194" t="s">
        <v>175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853"/>
      <c r="AB984" s="812"/>
      <c r="AC984" s="594"/>
    </row>
    <row r="985" spans="1:29" ht="15.75" customHeight="1">
      <c r="A985" s="204" t="str">
        <f>IF(B985&lt;&gt;"",IF(AND(B985&gt;=_TM1,B985&lt;=_TM2,OR(TH!L985="1111",TH!M985="1111")),TH!D985,""),"")</f>
        <v/>
      </c>
      <c r="B985" s="36">
        <f t="shared" si="209"/>
        <v>12</v>
      </c>
      <c r="C985" s="191">
        <f t="shared" si="211"/>
        <v>41613</v>
      </c>
      <c r="D985" s="184" t="s">
        <v>1098</v>
      </c>
      <c r="E985" s="191">
        <v>41613</v>
      </c>
      <c r="F985" s="192" t="s">
        <v>843</v>
      </c>
      <c r="G985" s="192" t="s">
        <v>1031</v>
      </c>
      <c r="H985" s="7" t="s">
        <v>543</v>
      </c>
      <c r="I985" s="256">
        <v>85</v>
      </c>
      <c r="J985" s="256">
        <v>11000</v>
      </c>
      <c r="K985" s="38">
        <f t="shared" si="214"/>
        <v>935000</v>
      </c>
      <c r="L985" s="194" t="s">
        <v>265</v>
      </c>
      <c r="M985" s="194" t="s">
        <v>175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853"/>
      <c r="AB985" s="812"/>
      <c r="AC985" s="594"/>
    </row>
    <row r="986" spans="1:29" ht="15.75" customHeight="1">
      <c r="A986" s="204" t="str">
        <f>IF(B986&lt;&gt;"",IF(AND(B986&gt;=_TM1,B986&lt;=_TM2,OR(TH!L986="1111",TH!M986="1111")),TH!D986,""),"")</f>
        <v/>
      </c>
      <c r="B986" s="36">
        <f t="shared" si="209"/>
        <v>12</v>
      </c>
      <c r="C986" s="191">
        <f t="shared" si="211"/>
        <v>41613</v>
      </c>
      <c r="D986" s="184" t="s">
        <v>1098</v>
      </c>
      <c r="E986" s="191">
        <v>41613</v>
      </c>
      <c r="F986" s="192" t="s">
        <v>726</v>
      </c>
      <c r="G986" s="192" t="s">
        <v>1031</v>
      </c>
      <c r="H986" s="7" t="s">
        <v>543</v>
      </c>
      <c r="I986" s="257"/>
      <c r="J986" s="257"/>
      <c r="K986" s="38">
        <v>267220</v>
      </c>
      <c r="L986" s="194" t="s">
        <v>265</v>
      </c>
      <c r="M986" s="194" t="s">
        <v>430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853"/>
      <c r="AB986" s="812"/>
      <c r="AC986" s="594" t="str">
        <f t="shared" si="207"/>
        <v/>
      </c>
    </row>
    <row r="987" spans="1:29" ht="15.75" customHeight="1">
      <c r="A987" s="204" t="str">
        <f>IF(B987&lt;&gt;"",IF(AND(B987&gt;=_TM1,B987&lt;=_TM2,OR(TH!L987="1111",TH!M987="1111")),TH!D987,""),"")</f>
        <v/>
      </c>
      <c r="B987" s="36">
        <f t="shared" si="209"/>
        <v>12</v>
      </c>
      <c r="C987" s="191">
        <f t="shared" si="211"/>
        <v>41615</v>
      </c>
      <c r="D987" s="184" t="s">
        <v>1099</v>
      </c>
      <c r="E987" s="191">
        <v>41615</v>
      </c>
      <c r="F987" s="192" t="s">
        <v>1150</v>
      </c>
      <c r="G987" s="192" t="s">
        <v>662</v>
      </c>
      <c r="H987" s="193" t="s">
        <v>896</v>
      </c>
      <c r="I987" s="256">
        <v>2700</v>
      </c>
      <c r="J987" s="256">
        <v>4700</v>
      </c>
      <c r="K987" s="38">
        <f>ROUND(I987*J987,0)</f>
        <v>12690000</v>
      </c>
      <c r="L987" s="194" t="s">
        <v>265</v>
      </c>
      <c r="M987" s="194" t="s">
        <v>175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853"/>
      <c r="AB987" s="812"/>
      <c r="AC987" s="594"/>
    </row>
    <row r="988" spans="1:29" ht="15.75" customHeight="1">
      <c r="A988" s="204" t="str">
        <f>IF(B988&lt;&gt;"",IF(AND(B988&gt;=_TM1,B988&lt;=_TM2,OR(TH!L988="1111",TH!M988="1111")),TH!D988,""),"")</f>
        <v/>
      </c>
      <c r="B988" s="36">
        <f t="shared" si="209"/>
        <v>12</v>
      </c>
      <c r="C988" s="191">
        <f t="shared" si="211"/>
        <v>41615</v>
      </c>
      <c r="D988" s="184" t="s">
        <v>1099</v>
      </c>
      <c r="E988" s="191">
        <v>41615</v>
      </c>
      <c r="F988" s="192" t="s">
        <v>726</v>
      </c>
      <c r="G988" s="192" t="s">
        <v>662</v>
      </c>
      <c r="H988" s="7" t="s">
        <v>896</v>
      </c>
      <c r="I988" s="256"/>
      <c r="J988" s="256"/>
      <c r="K988" s="38">
        <v>1269000</v>
      </c>
      <c r="L988" s="194" t="s">
        <v>265</v>
      </c>
      <c r="M988" s="194" t="s">
        <v>430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853"/>
      <c r="AB988" s="812"/>
      <c r="AC988" s="594" t="str">
        <f t="shared" si="207"/>
        <v/>
      </c>
    </row>
    <row r="989" spans="1:29" ht="15.75" customHeight="1">
      <c r="A989" s="204" t="str">
        <f>IF(B989&lt;&gt;"",IF(AND(B989&gt;=_TM1,B989&lt;=_TM2,OR(TH!L989="1111",TH!M989="1111")),TH!D989,""),"")</f>
        <v/>
      </c>
      <c r="B989" s="36">
        <f t="shared" si="209"/>
        <v>12</v>
      </c>
      <c r="C989" s="191">
        <f t="shared" si="211"/>
        <v>41620</v>
      </c>
      <c r="D989" s="184" t="s">
        <v>1100</v>
      </c>
      <c r="E989" s="191">
        <v>41620</v>
      </c>
      <c r="F989" s="189" t="s">
        <v>1142</v>
      </c>
      <c r="G989" s="487" t="s">
        <v>1032</v>
      </c>
      <c r="H989" s="193" t="s">
        <v>790</v>
      </c>
      <c r="I989" s="256">
        <v>1055</v>
      </c>
      <c r="J989" s="256">
        <v>4700</v>
      </c>
      <c r="K989" s="38">
        <f>ROUND(I989*J989,0)</f>
        <v>4958500</v>
      </c>
      <c r="L989" s="194" t="s">
        <v>265</v>
      </c>
      <c r="M989" s="194" t="s">
        <v>175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853"/>
      <c r="AB989" s="812"/>
      <c r="AC989" s="594"/>
    </row>
    <row r="990" spans="1:29" ht="15.75" customHeight="1">
      <c r="A990" s="204" t="str">
        <f>IF(B990&lt;&gt;"",IF(AND(B990&gt;=_TM1,B990&lt;=_TM2,OR(TH!L990="1111",TH!M990="1111")),TH!D990,""),"")</f>
        <v/>
      </c>
      <c r="B990" s="36">
        <f t="shared" si="209"/>
        <v>12</v>
      </c>
      <c r="C990" s="191">
        <f t="shared" si="211"/>
        <v>41620</v>
      </c>
      <c r="D990" s="184" t="s">
        <v>1100</v>
      </c>
      <c r="E990" s="191">
        <v>41620</v>
      </c>
      <c r="F990" s="192" t="s">
        <v>726</v>
      </c>
      <c r="G990" s="487" t="s">
        <v>1032</v>
      </c>
      <c r="H990" s="193" t="s">
        <v>790</v>
      </c>
      <c r="I990" s="256"/>
      <c r="J990" s="256"/>
      <c r="K990" s="38">
        <v>495850</v>
      </c>
      <c r="L990" s="194" t="s">
        <v>265</v>
      </c>
      <c r="M990" s="194" t="s">
        <v>430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853"/>
      <c r="AB990" s="812"/>
      <c r="AC990" s="594" t="str">
        <f t="shared" si="207"/>
        <v/>
      </c>
    </row>
    <row r="991" spans="1:29" ht="15.75" customHeight="1">
      <c r="A991" s="204" t="str">
        <f>IF(B991&lt;&gt;"",IF(AND(B991&gt;=_TM1,B991&lt;=_TM2,OR(TH!L991="1111",TH!M991="1111")),TH!D991,""),"")</f>
        <v/>
      </c>
      <c r="B991" s="36">
        <f t="shared" si="209"/>
        <v>12</v>
      </c>
      <c r="C991" s="191">
        <f t="shared" si="211"/>
        <v>41622</v>
      </c>
      <c r="D991" s="184" t="s">
        <v>1101</v>
      </c>
      <c r="E991" s="191">
        <v>41622</v>
      </c>
      <c r="F991" s="192" t="s">
        <v>1152</v>
      </c>
      <c r="G991" s="192" t="s">
        <v>1033</v>
      </c>
      <c r="H991" s="193" t="s">
        <v>896</v>
      </c>
      <c r="I991" s="256">
        <v>2700</v>
      </c>
      <c r="J991" s="256">
        <v>4550</v>
      </c>
      <c r="K991" s="38">
        <f>ROUND(I991*J991,0)</f>
        <v>12285000</v>
      </c>
      <c r="L991" s="194" t="s">
        <v>265</v>
      </c>
      <c r="M991" s="194" t="s">
        <v>175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853"/>
      <c r="AB991" s="812"/>
      <c r="AC991" s="594"/>
    </row>
    <row r="992" spans="1:29" ht="15.75" customHeight="1">
      <c r="A992" s="204" t="str">
        <f>IF(B992&lt;&gt;"",IF(AND(B992&gt;=_TM1,B992&lt;=_TM2,OR(TH!L992="1111",TH!M992="1111")),TH!D992,""),"")</f>
        <v/>
      </c>
      <c r="B992" s="36">
        <f t="shared" si="209"/>
        <v>12</v>
      </c>
      <c r="C992" s="191">
        <f t="shared" si="211"/>
        <v>41622</v>
      </c>
      <c r="D992" s="184" t="s">
        <v>1101</v>
      </c>
      <c r="E992" s="191">
        <v>41622</v>
      </c>
      <c r="F992" s="192" t="s">
        <v>726</v>
      </c>
      <c r="G992" s="192" t="s">
        <v>1033</v>
      </c>
      <c r="H992" s="193" t="s">
        <v>896</v>
      </c>
      <c r="I992" s="256"/>
      <c r="J992" s="256"/>
      <c r="K992" s="38">
        <v>1228500</v>
      </c>
      <c r="L992" s="194" t="s">
        <v>265</v>
      </c>
      <c r="M992" s="194" t="s">
        <v>430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853"/>
      <c r="AB992" s="812"/>
      <c r="AC992" s="594" t="str">
        <f t="shared" si="207"/>
        <v/>
      </c>
    </row>
    <row r="993" spans="1:29" ht="15.75" customHeight="1">
      <c r="A993" s="204" t="str">
        <f>IF(B993&lt;&gt;"",IF(AND(B993&gt;=_TM1,B993&lt;=_TM2,OR(TH!L993="1111",TH!M993="1111")),TH!D993,""),"")</f>
        <v/>
      </c>
      <c r="B993" s="36">
        <f t="shared" si="209"/>
        <v>12</v>
      </c>
      <c r="C993" s="191">
        <f t="shared" si="211"/>
        <v>41624</v>
      </c>
      <c r="D993" s="184" t="s">
        <v>1102</v>
      </c>
      <c r="E993" s="191">
        <v>41624</v>
      </c>
      <c r="F993" s="192" t="s">
        <v>838</v>
      </c>
      <c r="G993" s="192" t="s">
        <v>1034</v>
      </c>
      <c r="H993" s="193" t="s">
        <v>743</v>
      </c>
      <c r="I993" s="256">
        <v>1030</v>
      </c>
      <c r="J993" s="256">
        <v>10500</v>
      </c>
      <c r="K993" s="38">
        <f>ROUND(I993*J993,0)</f>
        <v>10815000</v>
      </c>
      <c r="L993" s="194" t="s">
        <v>265</v>
      </c>
      <c r="M993" s="194" t="s">
        <v>175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853"/>
      <c r="AB993" s="812"/>
      <c r="AC993" s="594"/>
    </row>
    <row r="994" spans="1:29" ht="15.75" customHeight="1">
      <c r="A994" s="204" t="str">
        <f>IF(B994&lt;&gt;"",IF(AND(B994&gt;=_TM1,B994&lt;=_TM2,OR(TH!L994="1111",TH!M994="1111")),TH!D994,""),"")</f>
        <v/>
      </c>
      <c r="B994" s="36">
        <f t="shared" si="209"/>
        <v>12</v>
      </c>
      <c r="C994" s="191">
        <f t="shared" si="211"/>
        <v>41624</v>
      </c>
      <c r="D994" s="184" t="s">
        <v>1102</v>
      </c>
      <c r="E994" s="191">
        <v>41624</v>
      </c>
      <c r="F994" s="192" t="s">
        <v>726</v>
      </c>
      <c r="G994" s="487" t="s">
        <v>1034</v>
      </c>
      <c r="H994" s="210" t="s">
        <v>743</v>
      </c>
      <c r="I994" s="257"/>
      <c r="J994" s="257"/>
      <c r="K994" s="38">
        <v>1081500</v>
      </c>
      <c r="L994" s="194" t="s">
        <v>265</v>
      </c>
      <c r="M994" s="194" t="s">
        <v>430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853"/>
      <c r="AB994" s="812"/>
      <c r="AC994" s="594" t="str">
        <f t="shared" si="207"/>
        <v/>
      </c>
    </row>
    <row r="995" spans="1:29" ht="15.75" customHeight="1">
      <c r="A995" s="204" t="str">
        <f>IF(B995&lt;&gt;"",IF(AND(B995&gt;=_TM1,B995&lt;=_TM2,OR(TH!L995="1111",TH!M995="1111")),TH!D995,""),"")</f>
        <v/>
      </c>
      <c r="B995" s="36">
        <f t="shared" si="209"/>
        <v>12</v>
      </c>
      <c r="C995" s="191">
        <f t="shared" si="211"/>
        <v>41625</v>
      </c>
      <c r="D995" s="184" t="s">
        <v>1103</v>
      </c>
      <c r="E995" s="191">
        <v>41625</v>
      </c>
      <c r="F995" s="192" t="s">
        <v>1152</v>
      </c>
      <c r="G995" s="487" t="s">
        <v>1035</v>
      </c>
      <c r="H995" s="210" t="s">
        <v>896</v>
      </c>
      <c r="I995" s="257">
        <v>2700</v>
      </c>
      <c r="J995" s="257">
        <v>4550</v>
      </c>
      <c r="K995" s="38">
        <f>ROUND(I995*J995,0)</f>
        <v>12285000</v>
      </c>
      <c r="L995" s="194" t="s">
        <v>265</v>
      </c>
      <c r="M995" s="194" t="s">
        <v>175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853"/>
      <c r="AB995" s="812"/>
      <c r="AC995" s="594"/>
    </row>
    <row r="996" spans="1:29" ht="15.75" customHeight="1">
      <c r="A996" s="204" t="str">
        <f>IF(B996&lt;&gt;"",IF(AND(B996&gt;=_TM1,B996&lt;=_TM2,OR(TH!L996="1111",TH!M996="1111")),TH!D996,""),"")</f>
        <v/>
      </c>
      <c r="B996" s="36">
        <f t="shared" si="209"/>
        <v>12</v>
      </c>
      <c r="C996" s="191">
        <f t="shared" si="211"/>
        <v>41625</v>
      </c>
      <c r="D996" s="184" t="s">
        <v>1103</v>
      </c>
      <c r="E996" s="191">
        <v>41625</v>
      </c>
      <c r="F996" s="192" t="s">
        <v>726</v>
      </c>
      <c r="G996" s="192" t="s">
        <v>1035</v>
      </c>
      <c r="H996" s="193" t="s">
        <v>896</v>
      </c>
      <c r="I996" s="256"/>
      <c r="J996" s="256"/>
      <c r="K996" s="38">
        <v>1228500</v>
      </c>
      <c r="L996" s="194" t="s">
        <v>265</v>
      </c>
      <c r="M996" s="194" t="s">
        <v>430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853"/>
      <c r="AB996" s="812"/>
      <c r="AC996" s="594" t="str">
        <f t="shared" si="207"/>
        <v/>
      </c>
    </row>
    <row r="997" spans="1:29" ht="15.75" customHeight="1">
      <c r="A997" s="204" t="str">
        <f>IF(B997&lt;&gt;"",IF(AND(B997&gt;=_TM1,B997&lt;=_TM2,OR(TH!L997="1111",TH!M997="1111")),TH!D997,""),"")</f>
        <v/>
      </c>
      <c r="B997" s="36">
        <f t="shared" si="209"/>
        <v>12</v>
      </c>
      <c r="C997" s="191">
        <f t="shared" si="211"/>
        <v>41626</v>
      </c>
      <c r="D997" s="184" t="s">
        <v>1104</v>
      </c>
      <c r="E997" s="191">
        <v>41626</v>
      </c>
      <c r="F997" s="192" t="s">
        <v>838</v>
      </c>
      <c r="G997" s="192" t="s">
        <v>1036</v>
      </c>
      <c r="H997" s="193" t="s">
        <v>743</v>
      </c>
      <c r="I997" s="256">
        <v>505</v>
      </c>
      <c r="J997" s="256">
        <v>10500</v>
      </c>
      <c r="K997" s="38">
        <f>ROUND(I997*J997,0)</f>
        <v>5302500</v>
      </c>
      <c r="L997" s="194" t="s">
        <v>265</v>
      </c>
      <c r="M997" s="194" t="s">
        <v>175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853"/>
      <c r="AB997" s="812"/>
      <c r="AC997" s="594"/>
    </row>
    <row r="998" spans="1:29" ht="15.75" customHeight="1">
      <c r="A998" s="204" t="str">
        <f>IF(B998&lt;&gt;"",IF(AND(B998&gt;=_TM1,B998&lt;=_TM2,OR(TH!L998="1111",TH!M998="1111")),TH!D998,""),"")</f>
        <v/>
      </c>
      <c r="B998" s="36">
        <f t="shared" si="209"/>
        <v>12</v>
      </c>
      <c r="C998" s="191">
        <f t="shared" si="211"/>
        <v>41626</v>
      </c>
      <c r="D998" s="184" t="s">
        <v>1104</v>
      </c>
      <c r="E998" s="191">
        <v>41626</v>
      </c>
      <c r="F998" s="192" t="s">
        <v>726</v>
      </c>
      <c r="G998" s="192" t="s">
        <v>1036</v>
      </c>
      <c r="H998" s="193" t="s">
        <v>743</v>
      </c>
      <c r="I998" s="256"/>
      <c r="J998" s="256"/>
      <c r="K998" s="38">
        <v>530250</v>
      </c>
      <c r="L998" s="194" t="s">
        <v>265</v>
      </c>
      <c r="M998" s="194" t="s">
        <v>430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853"/>
      <c r="AB998" s="812"/>
      <c r="AC998" s="594" t="str">
        <f t="shared" si="207"/>
        <v/>
      </c>
    </row>
    <row r="999" spans="1:29" ht="15.75" customHeight="1">
      <c r="A999" s="204" t="str">
        <f>IF(B999&lt;&gt;"",IF(AND(B999&gt;=_TM1,B999&lt;=_TM2,OR(TH!L999="1111",TH!M999="1111")),TH!D999,""),"")</f>
        <v/>
      </c>
      <c r="B999" s="36">
        <f t="shared" si="209"/>
        <v>12</v>
      </c>
      <c r="C999" s="191">
        <f t="shared" si="211"/>
        <v>41628</v>
      </c>
      <c r="D999" s="184" t="s">
        <v>1105</v>
      </c>
      <c r="E999" s="191">
        <v>41628</v>
      </c>
      <c r="F999" s="192" t="s">
        <v>1131</v>
      </c>
      <c r="G999" s="192" t="s">
        <v>1037</v>
      </c>
      <c r="H999" s="7" t="s">
        <v>543</v>
      </c>
      <c r="I999" s="256">
        <v>259</v>
      </c>
      <c r="J999" s="256">
        <v>6400</v>
      </c>
      <c r="K999" s="38">
        <f t="shared" ref="K999:K1006" si="215">ROUND(I999*J999,0)</f>
        <v>1657600</v>
      </c>
      <c r="L999" s="194" t="s">
        <v>265</v>
      </c>
      <c r="M999" s="194" t="s">
        <v>175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853"/>
      <c r="AB999" s="812"/>
      <c r="AC999" s="594"/>
    </row>
    <row r="1000" spans="1:29" ht="15.75" customHeight="1">
      <c r="A1000" s="204" t="str">
        <f>IF(B1000&lt;&gt;"",IF(AND(B1000&gt;=_TM1,B1000&lt;=_TM2,OR(TH!L1000="1111",TH!M1000="1111")),TH!D1000,""),"")</f>
        <v/>
      </c>
      <c r="B1000" s="36">
        <f t="shared" si="209"/>
        <v>12</v>
      </c>
      <c r="C1000" s="191">
        <f t="shared" si="211"/>
        <v>41628</v>
      </c>
      <c r="D1000" s="184" t="s">
        <v>1105</v>
      </c>
      <c r="E1000" s="191">
        <v>41628</v>
      </c>
      <c r="F1000" s="192" t="s">
        <v>1132</v>
      </c>
      <c r="G1000" s="192" t="s">
        <v>1037</v>
      </c>
      <c r="H1000" s="7" t="s">
        <v>543</v>
      </c>
      <c r="I1000" s="256">
        <v>103</v>
      </c>
      <c r="J1000" s="256">
        <v>13500</v>
      </c>
      <c r="K1000" s="38">
        <f t="shared" si="215"/>
        <v>1390500</v>
      </c>
      <c r="L1000" s="194" t="s">
        <v>265</v>
      </c>
      <c r="M1000" s="194" t="s">
        <v>175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853"/>
      <c r="AB1000" s="812"/>
      <c r="AC1000" s="594"/>
    </row>
    <row r="1001" spans="1:29" ht="15.75" customHeight="1">
      <c r="A1001" s="204" t="str">
        <f>IF(B1001&lt;&gt;"",IF(AND(B1001&gt;=_TM1,B1001&lt;=_TM2,OR(TH!L1001="1111",TH!M1001="1111")),TH!D1001,""),"")</f>
        <v/>
      </c>
      <c r="B1001" s="36">
        <f t="shared" si="209"/>
        <v>12</v>
      </c>
      <c r="C1001" s="191">
        <f t="shared" si="211"/>
        <v>41628</v>
      </c>
      <c r="D1001" s="184" t="s">
        <v>1105</v>
      </c>
      <c r="E1001" s="191">
        <v>41628</v>
      </c>
      <c r="F1001" s="192" t="s">
        <v>1133</v>
      </c>
      <c r="G1001" s="192" t="s">
        <v>1037</v>
      </c>
      <c r="H1001" s="7" t="s">
        <v>543</v>
      </c>
      <c r="I1001" s="256">
        <v>283</v>
      </c>
      <c r="J1001" s="256">
        <v>9400</v>
      </c>
      <c r="K1001" s="38">
        <f t="shared" si="215"/>
        <v>2660200</v>
      </c>
      <c r="L1001" s="194" t="s">
        <v>265</v>
      </c>
      <c r="M1001" s="194" t="s">
        <v>175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853"/>
      <c r="AB1001" s="812"/>
      <c r="AC1001" s="594"/>
    </row>
    <row r="1002" spans="1:29" ht="15.75" customHeight="1">
      <c r="A1002" s="204" t="str">
        <f>IF(B1002&lt;&gt;"",IF(AND(B1002&gt;=_TM1,B1002&lt;=_TM2,OR(TH!L1002="1111",TH!M1002="1111")),TH!D1002,""),"")</f>
        <v/>
      </c>
      <c r="B1002" s="36">
        <f t="shared" si="209"/>
        <v>12</v>
      </c>
      <c r="C1002" s="191">
        <f t="shared" si="211"/>
        <v>41628</v>
      </c>
      <c r="D1002" s="184" t="s">
        <v>1105</v>
      </c>
      <c r="E1002" s="191">
        <v>41628</v>
      </c>
      <c r="F1002" s="192" t="s">
        <v>1134</v>
      </c>
      <c r="G1002" s="192" t="s">
        <v>1037</v>
      </c>
      <c r="H1002" s="7" t="s">
        <v>543</v>
      </c>
      <c r="I1002" s="256">
        <v>203</v>
      </c>
      <c r="J1002" s="256">
        <v>12900</v>
      </c>
      <c r="K1002" s="38">
        <f t="shared" si="215"/>
        <v>2618700</v>
      </c>
      <c r="L1002" s="194" t="s">
        <v>265</v>
      </c>
      <c r="M1002" s="194" t="s">
        <v>175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853"/>
      <c r="AB1002" s="812"/>
      <c r="AC1002" s="594"/>
    </row>
    <row r="1003" spans="1:29" ht="15.75" customHeight="1">
      <c r="A1003" s="204" t="str">
        <f>IF(B1003&lt;&gt;"",IF(AND(B1003&gt;=_TM1,B1003&lt;=_TM2,OR(TH!L1003="1111",TH!M1003="1111")),TH!D1003,""),"")</f>
        <v/>
      </c>
      <c r="B1003" s="36">
        <f t="shared" si="209"/>
        <v>12</v>
      </c>
      <c r="C1003" s="191">
        <f t="shared" si="211"/>
        <v>41628</v>
      </c>
      <c r="D1003" s="184" t="s">
        <v>1105</v>
      </c>
      <c r="E1003" s="191">
        <v>41628</v>
      </c>
      <c r="F1003" s="192" t="s">
        <v>1135</v>
      </c>
      <c r="G1003" s="192" t="s">
        <v>1037</v>
      </c>
      <c r="H1003" s="7" t="s">
        <v>543</v>
      </c>
      <c r="I1003" s="256">
        <v>238</v>
      </c>
      <c r="J1003" s="256">
        <v>7000</v>
      </c>
      <c r="K1003" s="38">
        <f t="shared" si="215"/>
        <v>1666000</v>
      </c>
      <c r="L1003" s="194" t="s">
        <v>265</v>
      </c>
      <c r="M1003" s="194" t="s">
        <v>175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853"/>
      <c r="AC1003" s="594"/>
    </row>
    <row r="1004" spans="1:29" ht="15.75" customHeight="1">
      <c r="A1004" s="204" t="str">
        <f>IF(B1004&lt;&gt;"",IF(AND(B1004&gt;=_TM1,B1004&lt;=_TM2,OR(TH!L1004="1111",TH!M1004="1111")),TH!D1004,""),"")</f>
        <v/>
      </c>
      <c r="B1004" s="36">
        <f t="shared" si="209"/>
        <v>12</v>
      </c>
      <c r="C1004" s="191">
        <f t="shared" si="211"/>
        <v>41628</v>
      </c>
      <c r="D1004" s="184" t="s">
        <v>1105</v>
      </c>
      <c r="E1004" s="191">
        <v>41628</v>
      </c>
      <c r="F1004" s="192" t="s">
        <v>885</v>
      </c>
      <c r="G1004" s="192" t="s">
        <v>1037</v>
      </c>
      <c r="H1004" s="7" t="s">
        <v>543</v>
      </c>
      <c r="I1004" s="256">
        <v>441</v>
      </c>
      <c r="J1004" s="256">
        <v>8600</v>
      </c>
      <c r="K1004" s="38">
        <f t="shared" si="215"/>
        <v>3792600</v>
      </c>
      <c r="L1004" s="194" t="s">
        <v>265</v>
      </c>
      <c r="M1004" s="194" t="s">
        <v>175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853"/>
      <c r="AC1004" s="594"/>
    </row>
    <row r="1005" spans="1:29" ht="15.75" customHeight="1">
      <c r="A1005" s="204" t="str">
        <f>IF(B1005&lt;&gt;"",IF(AND(B1005&gt;=_TM1,B1005&lt;=_TM2,OR(TH!L1005="1111",TH!M1005="1111")),TH!D1005,""),"")</f>
        <v/>
      </c>
      <c r="B1005" s="36">
        <f t="shared" si="209"/>
        <v>12</v>
      </c>
      <c r="C1005" s="191">
        <f t="shared" si="211"/>
        <v>41628</v>
      </c>
      <c r="D1005" s="184" t="s">
        <v>1105</v>
      </c>
      <c r="E1005" s="191">
        <v>41628</v>
      </c>
      <c r="F1005" s="192" t="s">
        <v>1038</v>
      </c>
      <c r="G1005" s="192" t="s">
        <v>1037</v>
      </c>
      <c r="H1005" s="7" t="s">
        <v>543</v>
      </c>
      <c r="I1005" s="256">
        <v>104</v>
      </c>
      <c r="J1005" s="256">
        <v>8000</v>
      </c>
      <c r="K1005" s="38">
        <f t="shared" si="215"/>
        <v>832000</v>
      </c>
      <c r="L1005" s="194" t="s">
        <v>265</v>
      </c>
      <c r="M1005" s="194" t="s">
        <v>175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853"/>
      <c r="AC1005" s="594"/>
    </row>
    <row r="1006" spans="1:29" ht="15.75" customHeight="1">
      <c r="A1006" s="204" t="str">
        <f>IF(B1006&lt;&gt;"",IF(AND(B1006&gt;=_TM1,B1006&lt;=_TM2,OR(TH!L1006="1111",TH!M1006="1111")),TH!D1006,""),"")</f>
        <v/>
      </c>
      <c r="B1006" s="36">
        <f t="shared" si="209"/>
        <v>12</v>
      </c>
      <c r="C1006" s="191">
        <f t="shared" si="211"/>
        <v>41628</v>
      </c>
      <c r="D1006" s="184" t="s">
        <v>1105</v>
      </c>
      <c r="E1006" s="191">
        <v>41628</v>
      </c>
      <c r="F1006" s="192" t="s">
        <v>844</v>
      </c>
      <c r="G1006" s="192" t="s">
        <v>1037</v>
      </c>
      <c r="H1006" s="7" t="s">
        <v>543</v>
      </c>
      <c r="I1006" s="256">
        <v>102</v>
      </c>
      <c r="J1006" s="256">
        <v>10500</v>
      </c>
      <c r="K1006" s="38">
        <f t="shared" si="215"/>
        <v>1071000</v>
      </c>
      <c r="L1006" s="194" t="s">
        <v>265</v>
      </c>
      <c r="M1006" s="194" t="s">
        <v>175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853"/>
      <c r="AC1006" s="594"/>
    </row>
    <row r="1007" spans="1:29" ht="15.75" customHeight="1">
      <c r="A1007" s="204" t="str">
        <f>IF(B1007&lt;&gt;"",IF(AND(B1007&gt;=_TM1,B1007&lt;=_TM2,OR(TH!L1007="1111",TH!M1007="1111")),TH!D1007,""),"")</f>
        <v/>
      </c>
      <c r="B1007" s="36">
        <f t="shared" si="209"/>
        <v>12</v>
      </c>
      <c r="C1007" s="191">
        <f t="shared" si="211"/>
        <v>41628</v>
      </c>
      <c r="D1007" s="184" t="s">
        <v>1105</v>
      </c>
      <c r="E1007" s="191">
        <v>41628</v>
      </c>
      <c r="F1007" s="192" t="s">
        <v>726</v>
      </c>
      <c r="G1007" s="192" t="s">
        <v>1037</v>
      </c>
      <c r="H1007" s="7" t="s">
        <v>543</v>
      </c>
      <c r="I1007" s="256"/>
      <c r="J1007" s="256"/>
      <c r="K1007" s="38">
        <v>1568860</v>
      </c>
      <c r="L1007" s="194" t="s">
        <v>265</v>
      </c>
      <c r="M1007" s="194" t="s">
        <v>430</v>
      </c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853"/>
      <c r="AC1007" s="594" t="str">
        <f t="shared" si="207"/>
        <v/>
      </c>
    </row>
    <row r="1008" spans="1:29" ht="15.75" customHeight="1">
      <c r="A1008" s="204" t="str">
        <f>IF(B1008&lt;&gt;"",IF(AND(B1008&gt;=_TM1,B1008&lt;=_TM2,OR(TH!L1008="1111",TH!M1008="1111")),TH!D1008,""),"")</f>
        <v/>
      </c>
      <c r="B1008" s="36">
        <f t="shared" si="209"/>
        <v>12</v>
      </c>
      <c r="C1008" s="191">
        <f t="shared" si="211"/>
        <v>41631</v>
      </c>
      <c r="D1008" s="184" t="s">
        <v>1106</v>
      </c>
      <c r="E1008" s="191">
        <v>41631</v>
      </c>
      <c r="F1008" s="192" t="s">
        <v>1156</v>
      </c>
      <c r="G1008" s="192" t="s">
        <v>1039</v>
      </c>
      <c r="H1008" s="7" t="s">
        <v>540</v>
      </c>
      <c r="I1008" s="256">
        <v>1520</v>
      </c>
      <c r="J1008" s="256">
        <v>4650</v>
      </c>
      <c r="K1008" s="38">
        <f>ROUND(I1008*J1008,0)</f>
        <v>7068000</v>
      </c>
      <c r="L1008" s="194" t="s">
        <v>265</v>
      </c>
      <c r="M1008" s="194" t="s">
        <v>175</v>
      </c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853"/>
      <c r="AC1008" s="594"/>
    </row>
    <row r="1009" spans="1:29" ht="15.75" customHeight="1">
      <c r="A1009" s="204" t="str">
        <f>IF(B1009&lt;&gt;"",IF(AND(B1009&gt;=_TM1,B1009&lt;=_TM2,OR(TH!L1009="1111",TH!M1009="1111")),TH!D1009,""),"")</f>
        <v/>
      </c>
      <c r="B1009" s="36">
        <f t="shared" si="209"/>
        <v>12</v>
      </c>
      <c r="C1009" s="191">
        <f t="shared" si="211"/>
        <v>41631</v>
      </c>
      <c r="D1009" s="184" t="s">
        <v>1106</v>
      </c>
      <c r="E1009" s="191">
        <v>41631</v>
      </c>
      <c r="F1009" s="192" t="s">
        <v>726</v>
      </c>
      <c r="G1009" s="192" t="s">
        <v>1039</v>
      </c>
      <c r="H1009" s="7" t="s">
        <v>540</v>
      </c>
      <c r="I1009" s="256"/>
      <c r="J1009" s="256"/>
      <c r="K1009" s="38">
        <v>706800</v>
      </c>
      <c r="L1009" s="194" t="s">
        <v>265</v>
      </c>
      <c r="M1009" s="194" t="s">
        <v>430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853"/>
      <c r="AC1009" s="594" t="str">
        <f t="shared" si="207"/>
        <v/>
      </c>
    </row>
    <row r="1010" spans="1:29" ht="15.75" customHeight="1">
      <c r="A1010" s="204" t="str">
        <f>IF(B1010&lt;&gt;"",IF(AND(B1010&gt;=_TM1,B1010&lt;=_TM2,OR(TH!L1010="1111",TH!M1010="1111")),TH!D1010,""),"")</f>
        <v/>
      </c>
      <c r="B1010" s="36">
        <f t="shared" si="209"/>
        <v>12</v>
      </c>
      <c r="C1010" s="191">
        <f t="shared" si="211"/>
        <v>41633</v>
      </c>
      <c r="D1010" s="184" t="s">
        <v>1107</v>
      </c>
      <c r="E1010" s="191">
        <v>41633</v>
      </c>
      <c r="F1010" s="192" t="s">
        <v>731</v>
      </c>
      <c r="G1010" s="192" t="s">
        <v>1040</v>
      </c>
      <c r="H1010" s="193" t="s">
        <v>503</v>
      </c>
      <c r="I1010" s="256">
        <v>980</v>
      </c>
      <c r="J1010" s="256">
        <v>8740</v>
      </c>
      <c r="K1010" s="38">
        <f>ROUND(I1010*J1010,0)</f>
        <v>8565200</v>
      </c>
      <c r="L1010" s="194" t="s">
        <v>265</v>
      </c>
      <c r="M1010" s="194" t="s">
        <v>175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853"/>
      <c r="AC1010" s="594"/>
    </row>
    <row r="1011" spans="1:29" ht="15.75" customHeight="1">
      <c r="A1011" s="204" t="str">
        <f>IF(B1011&lt;&gt;"",IF(AND(B1011&gt;=_TM1,B1011&lt;=_TM2,OR(TH!L1011="1111",TH!M1011="1111")),TH!D1011,""),"")</f>
        <v/>
      </c>
      <c r="B1011" s="36">
        <f t="shared" si="209"/>
        <v>12</v>
      </c>
      <c r="C1011" s="191">
        <f t="shared" si="211"/>
        <v>41633</v>
      </c>
      <c r="D1011" s="184" t="s">
        <v>1107</v>
      </c>
      <c r="E1011" s="191">
        <v>41633</v>
      </c>
      <c r="F1011" s="192" t="s">
        <v>726</v>
      </c>
      <c r="G1011" s="192" t="s">
        <v>1040</v>
      </c>
      <c r="H1011" s="45" t="s">
        <v>503</v>
      </c>
      <c r="I1011" s="256"/>
      <c r="J1011" s="256"/>
      <c r="K1011" s="38">
        <v>856520</v>
      </c>
      <c r="L1011" s="194" t="s">
        <v>265</v>
      </c>
      <c r="M1011" s="194" t="s">
        <v>430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853"/>
      <c r="AC1011" s="594" t="str">
        <f t="shared" si="207"/>
        <v/>
      </c>
    </row>
    <row r="1012" spans="1:29" ht="15.75" customHeight="1">
      <c r="A1012" s="204" t="str">
        <f>IF(B1012&lt;&gt;"",IF(AND(B1012&gt;=_TM1,B1012&lt;=_TM2,OR(TH!L1012="1111",TH!M1012="1111")),TH!D1012,""),"")</f>
        <v/>
      </c>
      <c r="B1012" s="36">
        <f t="shared" si="209"/>
        <v>12</v>
      </c>
      <c r="C1012" s="191">
        <f t="shared" si="211"/>
        <v>41635</v>
      </c>
      <c r="D1012" s="184" t="s">
        <v>1108</v>
      </c>
      <c r="E1012" s="191">
        <v>41635</v>
      </c>
      <c r="F1012" s="192" t="s">
        <v>877</v>
      </c>
      <c r="G1012" s="192" t="s">
        <v>1041</v>
      </c>
      <c r="H1012" s="7" t="s">
        <v>879</v>
      </c>
      <c r="I1012" s="256">
        <v>60</v>
      </c>
      <c r="J1012" s="256">
        <v>38800</v>
      </c>
      <c r="K1012" s="38">
        <f t="shared" ref="K1012:K1014" si="216">ROUND(I1012*J1012,0)</f>
        <v>2328000</v>
      </c>
      <c r="L1012" s="194" t="s">
        <v>265</v>
      </c>
      <c r="M1012" s="194" t="s">
        <v>175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853"/>
      <c r="AC1012" s="594"/>
    </row>
    <row r="1013" spans="1:29" ht="15.75" customHeight="1">
      <c r="A1013" s="204" t="str">
        <f>IF(B1013&lt;&gt;"",IF(AND(B1013&gt;=_TM1,B1013&lt;=_TM2,OR(TH!L1013="1111",TH!M1013="1111")),TH!D1013,""),"")</f>
        <v/>
      </c>
      <c r="B1013" s="36">
        <f t="shared" si="209"/>
        <v>12</v>
      </c>
      <c r="C1013" s="191">
        <f t="shared" si="211"/>
        <v>41635</v>
      </c>
      <c r="D1013" s="184" t="s">
        <v>1108</v>
      </c>
      <c r="E1013" s="191">
        <v>41635</v>
      </c>
      <c r="F1013" s="192" t="s">
        <v>880</v>
      </c>
      <c r="G1013" s="487" t="s">
        <v>1041</v>
      </c>
      <c r="H1013" s="7" t="s">
        <v>879</v>
      </c>
      <c r="I1013" s="257">
        <v>10</v>
      </c>
      <c r="J1013" s="257">
        <v>45000</v>
      </c>
      <c r="K1013" s="38">
        <f t="shared" si="216"/>
        <v>450000</v>
      </c>
      <c r="L1013" s="194" t="s">
        <v>265</v>
      </c>
      <c r="M1013" s="194" t="s">
        <v>175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853"/>
      <c r="AC1013" s="594"/>
    </row>
    <row r="1014" spans="1:29" ht="15.75" customHeight="1">
      <c r="A1014" s="204" t="str">
        <f>IF(B1014&lt;&gt;"",IF(AND(B1014&gt;=_TM1,B1014&lt;=_TM2,OR(TH!L1014="1111",TH!M1014="1111")),TH!D1014,""),"")</f>
        <v/>
      </c>
      <c r="B1014" s="36">
        <f t="shared" si="209"/>
        <v>12</v>
      </c>
      <c r="C1014" s="191">
        <f t="shared" si="211"/>
        <v>41635</v>
      </c>
      <c r="D1014" s="184" t="s">
        <v>1108</v>
      </c>
      <c r="E1014" s="191">
        <v>41635</v>
      </c>
      <c r="F1014" s="192" t="s">
        <v>1020</v>
      </c>
      <c r="G1014" s="487" t="s">
        <v>1041</v>
      </c>
      <c r="H1014" s="7" t="s">
        <v>879</v>
      </c>
      <c r="I1014" s="257">
        <v>20</v>
      </c>
      <c r="J1014" s="257">
        <v>45300</v>
      </c>
      <c r="K1014" s="38">
        <f t="shared" si="216"/>
        <v>906000</v>
      </c>
      <c r="L1014" s="194" t="s">
        <v>265</v>
      </c>
      <c r="M1014" s="194" t="s">
        <v>175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853"/>
      <c r="AC1014" s="594"/>
    </row>
    <row r="1015" spans="1:29" ht="15.75" customHeight="1">
      <c r="A1015" s="204" t="str">
        <f>IF(B1015&lt;&gt;"",IF(AND(B1015&gt;=_TM1,B1015&lt;=_TM2,OR(TH!L1015="1111",TH!M1015="1111")),TH!D1015,""),"")</f>
        <v/>
      </c>
      <c r="B1015" s="36">
        <f t="shared" si="209"/>
        <v>12</v>
      </c>
      <c r="C1015" s="191">
        <f t="shared" si="211"/>
        <v>41635</v>
      </c>
      <c r="D1015" s="184" t="s">
        <v>1108</v>
      </c>
      <c r="E1015" s="191">
        <v>41635</v>
      </c>
      <c r="F1015" s="192" t="s">
        <v>726</v>
      </c>
      <c r="G1015" s="192" t="s">
        <v>1041</v>
      </c>
      <c r="H1015" s="7" t="s">
        <v>879</v>
      </c>
      <c r="I1015" s="256"/>
      <c r="J1015" s="256"/>
      <c r="K1015" s="38">
        <v>368400</v>
      </c>
      <c r="L1015" s="194" t="s">
        <v>265</v>
      </c>
      <c r="M1015" s="194" t="s">
        <v>430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853"/>
      <c r="AC1015" s="594" t="str">
        <f t="shared" si="207"/>
        <v/>
      </c>
    </row>
    <row r="1016" spans="1:29" ht="15.75" customHeight="1">
      <c r="A1016" s="204" t="str">
        <f>IF(B1016&lt;&gt;"",IF(AND(B1016&gt;=_TM1,B1016&lt;=_TM2,OR(TH!L1016="1111",TH!M1016="1111")),TH!D1016,""),"")</f>
        <v/>
      </c>
      <c r="B1016" s="36">
        <f t="shared" si="209"/>
        <v>12</v>
      </c>
      <c r="C1016" s="191">
        <f t="shared" si="211"/>
        <v>41635</v>
      </c>
      <c r="D1016" s="184" t="s">
        <v>1109</v>
      </c>
      <c r="E1016" s="191">
        <v>41635</v>
      </c>
      <c r="F1016" s="192" t="s">
        <v>1152</v>
      </c>
      <c r="G1016" s="192" t="s">
        <v>1042</v>
      </c>
      <c r="H1016" s="193" t="s">
        <v>896</v>
      </c>
      <c r="I1016" s="256">
        <v>2295</v>
      </c>
      <c r="J1016" s="256">
        <v>4550</v>
      </c>
      <c r="K1016" s="38">
        <f>ROUND(I1016*J1016,0)</f>
        <v>10442250</v>
      </c>
      <c r="L1016" s="194" t="s">
        <v>265</v>
      </c>
      <c r="M1016" s="194" t="s">
        <v>175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853"/>
      <c r="AC1016" s="594"/>
    </row>
    <row r="1017" spans="1:29" ht="15.75" customHeight="1">
      <c r="A1017" s="204" t="str">
        <f>IF(B1017&lt;&gt;"",IF(AND(B1017&gt;=_TM1,B1017&lt;=_TM2,OR(TH!L1017="1111",TH!M1017="1111")),TH!D1017,""),"")</f>
        <v/>
      </c>
      <c r="B1017" s="36">
        <f t="shared" si="209"/>
        <v>12</v>
      </c>
      <c r="C1017" s="191">
        <f t="shared" si="211"/>
        <v>41635</v>
      </c>
      <c r="D1017" s="184" t="s">
        <v>1109</v>
      </c>
      <c r="E1017" s="191">
        <v>41635</v>
      </c>
      <c r="F1017" s="192" t="s">
        <v>726</v>
      </c>
      <c r="G1017" s="192" t="s">
        <v>1042</v>
      </c>
      <c r="H1017" s="193" t="s">
        <v>896</v>
      </c>
      <c r="I1017" s="256"/>
      <c r="J1017" s="256"/>
      <c r="K1017" s="38">
        <v>1044225</v>
      </c>
      <c r="L1017" s="194" t="s">
        <v>265</v>
      </c>
      <c r="M1017" s="194" t="s">
        <v>430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853"/>
      <c r="AC1017" s="594" t="str">
        <f t="shared" si="207"/>
        <v/>
      </c>
    </row>
    <row r="1018" spans="1:29" ht="15.75" customHeight="1">
      <c r="A1018" s="204" t="str">
        <f>IF(B1018&lt;&gt;"",IF(AND(B1018&gt;=_TM1,B1018&lt;=_TM2,OR(TH!L1018="1111",TH!M1018="1111")),TH!D1018,""),"")</f>
        <v/>
      </c>
      <c r="B1018" s="36">
        <f t="shared" si="209"/>
        <v>12</v>
      </c>
      <c r="C1018" s="191">
        <f t="shared" si="211"/>
        <v>41636</v>
      </c>
      <c r="D1018" s="184" t="s">
        <v>1110</v>
      </c>
      <c r="E1018" s="191">
        <v>41636</v>
      </c>
      <c r="F1018" s="192" t="s">
        <v>1141</v>
      </c>
      <c r="G1018" s="192" t="s">
        <v>1043</v>
      </c>
      <c r="H1018" s="193" t="s">
        <v>790</v>
      </c>
      <c r="I1018" s="256">
        <v>112</v>
      </c>
      <c r="J1018" s="256">
        <v>15100</v>
      </c>
      <c r="K1018" s="38">
        <f>ROUND(I1018*J1018,0)</f>
        <v>1691200</v>
      </c>
      <c r="L1018" s="194" t="s">
        <v>265</v>
      </c>
      <c r="M1018" s="194" t="s">
        <v>175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853"/>
      <c r="AC1018" s="594"/>
    </row>
    <row r="1019" spans="1:29" ht="15.75" customHeight="1">
      <c r="A1019" s="204" t="str">
        <f>IF(B1019&lt;&gt;"",IF(AND(B1019&gt;=_TM1,B1019&lt;=_TM2,OR(TH!L1019="1111",TH!M1019="1111")),TH!D1019,""),"")</f>
        <v/>
      </c>
      <c r="B1019" s="36">
        <f t="shared" si="209"/>
        <v>12</v>
      </c>
      <c r="C1019" s="191">
        <f t="shared" si="211"/>
        <v>41636</v>
      </c>
      <c r="D1019" s="184" t="s">
        <v>1110</v>
      </c>
      <c r="E1019" s="191">
        <v>41636</v>
      </c>
      <c r="F1019" s="192" t="s">
        <v>726</v>
      </c>
      <c r="G1019" s="192" t="s">
        <v>1043</v>
      </c>
      <c r="H1019" s="193" t="s">
        <v>790</v>
      </c>
      <c r="I1019" s="256"/>
      <c r="J1019" s="256"/>
      <c r="K1019" s="38">
        <v>169120</v>
      </c>
      <c r="L1019" s="194" t="s">
        <v>265</v>
      </c>
      <c r="M1019" s="194" t="s">
        <v>430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853"/>
      <c r="AC1019" s="594" t="str">
        <f t="shared" si="207"/>
        <v/>
      </c>
    </row>
    <row r="1020" spans="1:29" ht="15.75" customHeight="1">
      <c r="A1020" s="204" t="str">
        <f>IF(B1020&lt;&gt;"",IF(AND(B1020&gt;=_TM1,B1020&lt;=_TM2,OR(TH!L1020="1111",TH!M1020="1111")),TH!D1020,""),"")</f>
        <v/>
      </c>
      <c r="B1020" s="36">
        <f t="shared" si="209"/>
        <v>9</v>
      </c>
      <c r="C1020" s="191">
        <f t="shared" si="211"/>
        <v>41547</v>
      </c>
      <c r="D1020" s="184" t="s">
        <v>343</v>
      </c>
      <c r="E1020" s="184">
        <v>41547</v>
      </c>
      <c r="F1020" s="189" t="s">
        <v>1044</v>
      </c>
      <c r="G1020" s="604"/>
      <c r="H1020" s="193" t="s">
        <v>1045</v>
      </c>
      <c r="I1020" s="256"/>
      <c r="J1020" s="256"/>
      <c r="K1020" s="602">
        <v>17002098</v>
      </c>
      <c r="L1020" s="603" t="s">
        <v>9</v>
      </c>
      <c r="M1020" s="603" t="s">
        <v>17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>x</v>
      </c>
      <c r="AA1020" s="853"/>
      <c r="AB1020" s="594">
        <v>9</v>
      </c>
    </row>
    <row r="1021" spans="1:29" ht="15.75" customHeight="1">
      <c r="A1021" s="204" t="str">
        <f>IF(B1021&lt;&gt;"",IF(AND(B1021&gt;=_TM1,B1021&lt;=_TM2,OR(TH!L1021="1111",TH!M1021="1111")),TH!D1021,""),"")</f>
        <v/>
      </c>
      <c r="B1021" s="36">
        <f t="shared" si="209"/>
        <v>12</v>
      </c>
      <c r="C1021" s="191">
        <f t="shared" si="211"/>
        <v>41639</v>
      </c>
      <c r="D1021" s="184" t="s">
        <v>343</v>
      </c>
      <c r="E1021" s="191">
        <v>41639</v>
      </c>
      <c r="F1021" s="189" t="s">
        <v>1046</v>
      </c>
      <c r="G1021" s="604"/>
      <c r="H1021" s="193" t="s">
        <v>1045</v>
      </c>
      <c r="I1021" s="256"/>
      <c r="J1021" s="256"/>
      <c r="K1021" s="602">
        <v>19239684</v>
      </c>
      <c r="L1021" s="603" t="s">
        <v>9</v>
      </c>
      <c r="M1021" s="603" t="s">
        <v>17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853"/>
      <c r="AB1021" s="594">
        <v>12</v>
      </c>
    </row>
    <row r="1022" spans="1:29" s="810" customFormat="1" ht="15.75" customHeight="1">
      <c r="A1022" s="204" t="str">
        <f>IF(B1022&lt;&gt;"",IF(AND(B1022&gt;=_TM1,B1022&lt;=_TM2,OR(TH!L1022="1111",TH!M1022="1111")),TH!D1022,""),"")</f>
        <v/>
      </c>
      <c r="B1022" s="700">
        <f t="shared" si="209"/>
        <v>1</v>
      </c>
      <c r="C1022" s="836">
        <f t="shared" si="211"/>
        <v>41276</v>
      </c>
      <c r="D1022" s="836" t="s">
        <v>1286</v>
      </c>
      <c r="E1022" s="1098">
        <v>41276</v>
      </c>
      <c r="F1022" s="1099" t="s">
        <v>374</v>
      </c>
      <c r="G1022" s="837"/>
      <c r="H1022" s="840" t="s">
        <v>1287</v>
      </c>
      <c r="I1022" s="254">
        <v>25</v>
      </c>
      <c r="J1022" s="254">
        <v>25000</v>
      </c>
      <c r="K1022" s="701">
        <f>ROUND(I1022*J1022,0)</f>
        <v>625000</v>
      </c>
      <c r="L1022" s="52" t="s">
        <v>165</v>
      </c>
      <c r="M1022" s="52" t="s">
        <v>161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52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>x</v>
      </c>
      <c r="Z1022" s="52" t="str">
        <f>IF(AND(B1022&lt;=NKC!$N$8,B1022&gt;=NKC!$M$8),"x","")</f>
        <v/>
      </c>
      <c r="AA1022" s="853"/>
    </row>
    <row r="1023" spans="1:29" s="810" customFormat="1" ht="15.75" customHeight="1">
      <c r="A1023" s="204" t="str">
        <f>IF(B1023&lt;&gt;"",IF(AND(B1023&gt;=_TM1,B1023&lt;=_TM2,OR(TH!L1023="1111",TH!M1023="1111")),TH!D1023,""),"")</f>
        <v/>
      </c>
      <c r="B1023" s="700">
        <f t="shared" si="209"/>
        <v>1</v>
      </c>
      <c r="C1023" s="836">
        <f t="shared" si="211"/>
        <v>41276</v>
      </c>
      <c r="D1023" s="836" t="s">
        <v>1286</v>
      </c>
      <c r="E1023" s="1098">
        <v>41276</v>
      </c>
      <c r="F1023" s="1099" t="s">
        <v>346</v>
      </c>
      <c r="G1023" s="837"/>
      <c r="H1023" s="840" t="s">
        <v>1287</v>
      </c>
      <c r="I1023" s="254">
        <v>24</v>
      </c>
      <c r="J1023" s="254">
        <v>42000</v>
      </c>
      <c r="K1023" s="701">
        <f t="shared" ref="K1023:K1030" si="217">ROUND(I1023*J1023,0)</f>
        <v>1008000</v>
      </c>
      <c r="L1023" s="52" t="s">
        <v>165</v>
      </c>
      <c r="M1023" s="52" t="s">
        <v>161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52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853"/>
    </row>
    <row r="1024" spans="1:29" s="810" customFormat="1" ht="15.75" customHeight="1">
      <c r="A1024" s="204" t="str">
        <f>IF(B1024&lt;&gt;"",IF(AND(B1024&gt;=_TM1,B1024&lt;=_TM2,OR(TH!L1024="1111",TH!M1024="1111")),TH!D1024,""),"")</f>
        <v/>
      </c>
      <c r="B1024" s="700">
        <f t="shared" si="209"/>
        <v>4</v>
      </c>
      <c r="C1024" s="836">
        <f t="shared" si="211"/>
        <v>41365</v>
      </c>
      <c r="D1024" s="836" t="s">
        <v>1286</v>
      </c>
      <c r="E1024" s="836">
        <v>41365</v>
      </c>
      <c r="F1024" s="1099" t="s">
        <v>374</v>
      </c>
      <c r="G1024" s="837"/>
      <c r="H1024" s="840" t="s">
        <v>1287</v>
      </c>
      <c r="I1024" s="254">
        <v>25</v>
      </c>
      <c r="J1024" s="254">
        <v>25000</v>
      </c>
      <c r="K1024" s="701">
        <f t="shared" si="217"/>
        <v>625000</v>
      </c>
      <c r="L1024" s="52" t="s">
        <v>165</v>
      </c>
      <c r="M1024" s="52" t="s">
        <v>161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52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>154</v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>x</v>
      </c>
      <c r="Z1024" s="52" t="str">
        <f>IF(AND(B1024&lt;=NKC!$N$8,B1024&gt;=NKC!$M$8),"x","")</f>
        <v/>
      </c>
      <c r="AA1024" s="853"/>
    </row>
    <row r="1025" spans="1:27" s="810" customFormat="1" ht="15.75" customHeight="1">
      <c r="A1025" s="204" t="str">
        <f>IF(B1025&lt;&gt;"",IF(AND(B1025&gt;=_TM1,B1025&lt;=_TM2,OR(TH!L1025="1111",TH!M1025="1111")),TH!D1025,""),"")</f>
        <v/>
      </c>
      <c r="B1025" s="700">
        <f t="shared" si="209"/>
        <v>4</v>
      </c>
      <c r="C1025" s="836">
        <f t="shared" si="211"/>
        <v>41365</v>
      </c>
      <c r="D1025" s="836" t="s">
        <v>1286</v>
      </c>
      <c r="E1025" s="836">
        <v>41365</v>
      </c>
      <c r="F1025" s="1099" t="s">
        <v>346</v>
      </c>
      <c r="G1025" s="837"/>
      <c r="H1025" s="840" t="s">
        <v>1287</v>
      </c>
      <c r="I1025" s="254">
        <v>24</v>
      </c>
      <c r="J1025" s="254">
        <v>44000</v>
      </c>
      <c r="K1025" s="701">
        <f t="shared" si="217"/>
        <v>1056000</v>
      </c>
      <c r="L1025" s="52" t="s">
        <v>165</v>
      </c>
      <c r="M1025" s="52" t="s">
        <v>161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52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>154</v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853"/>
    </row>
    <row r="1026" spans="1:27" s="810" customFormat="1" ht="15.75" customHeight="1">
      <c r="A1026" s="204" t="str">
        <f>IF(B1026&lt;&gt;"",IF(AND(B1026&gt;=_TM1,B1026&lt;=_TM2,OR(TH!L1026="1111",TH!M1026="1111")),TH!D1026,""),"")</f>
        <v/>
      </c>
      <c r="B1026" s="700">
        <f t="shared" si="209"/>
        <v>7</v>
      </c>
      <c r="C1026" s="836">
        <f t="shared" si="211"/>
        <v>41456</v>
      </c>
      <c r="D1026" s="836" t="s">
        <v>1286</v>
      </c>
      <c r="E1026" s="836">
        <v>41456</v>
      </c>
      <c r="F1026" s="1099" t="s">
        <v>374</v>
      </c>
      <c r="G1026" s="837"/>
      <c r="H1026" s="840" t="s">
        <v>1287</v>
      </c>
      <c r="I1026" s="254">
        <v>25</v>
      </c>
      <c r="J1026" s="254">
        <v>25000</v>
      </c>
      <c r="K1026" s="701">
        <f t="shared" si="217"/>
        <v>625000</v>
      </c>
      <c r="L1026" s="52" t="s">
        <v>165</v>
      </c>
      <c r="M1026" s="52" t="s">
        <v>161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52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>x</v>
      </c>
      <c r="Z1026" s="52" t="str">
        <f>IF(AND(B1026&lt;=NKC!$N$8,B1026&gt;=NKC!$M$8),"x","")</f>
        <v>x</v>
      </c>
      <c r="AA1026" s="853"/>
    </row>
    <row r="1027" spans="1:27" s="810" customFormat="1" ht="15.75" customHeight="1">
      <c r="A1027" s="204" t="str">
        <f>IF(B1027&lt;&gt;"",IF(AND(B1027&gt;=_TM1,B1027&lt;=_TM2,OR(TH!L1027="1111",TH!M1027="1111")),TH!D1027,""),"")</f>
        <v/>
      </c>
      <c r="B1027" s="700">
        <f t="shared" si="209"/>
        <v>7</v>
      </c>
      <c r="C1027" s="836">
        <f t="shared" si="211"/>
        <v>41456</v>
      </c>
      <c r="D1027" s="836" t="s">
        <v>1286</v>
      </c>
      <c r="E1027" s="836">
        <v>41456</v>
      </c>
      <c r="F1027" s="1099" t="s">
        <v>346</v>
      </c>
      <c r="G1027" s="837"/>
      <c r="H1027" s="840" t="s">
        <v>1287</v>
      </c>
      <c r="I1027" s="254">
        <v>24</v>
      </c>
      <c r="J1027" s="254">
        <v>44000</v>
      </c>
      <c r="K1027" s="701">
        <f t="shared" si="217"/>
        <v>1056000</v>
      </c>
      <c r="L1027" s="52" t="s">
        <v>165</v>
      </c>
      <c r="M1027" s="52" t="s">
        <v>161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52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>x</v>
      </c>
      <c r="AA1027" s="853"/>
    </row>
    <row r="1028" spans="1:27" s="810" customFormat="1" ht="15.75" customHeight="1">
      <c r="A1028" s="204" t="str">
        <f>IF(B1028&lt;&gt;"",IF(AND(B1028&gt;=_TM1,B1028&lt;=_TM2,OR(TH!L1028="1111",TH!M1028="1111")),TH!D1028,""),"")</f>
        <v/>
      </c>
      <c r="B1028" s="700">
        <f t="shared" si="209"/>
        <v>10</v>
      </c>
      <c r="C1028" s="836">
        <f t="shared" si="211"/>
        <v>41548</v>
      </c>
      <c r="D1028" s="836" t="s">
        <v>1286</v>
      </c>
      <c r="E1028" s="836">
        <v>41548</v>
      </c>
      <c r="F1028" s="1099" t="s">
        <v>374</v>
      </c>
      <c r="G1028" s="837"/>
      <c r="H1028" s="840" t="s">
        <v>1287</v>
      </c>
      <c r="I1028" s="254">
        <v>25</v>
      </c>
      <c r="J1028" s="254">
        <v>25000</v>
      </c>
      <c r="K1028" s="701">
        <f t="shared" si="217"/>
        <v>625000</v>
      </c>
      <c r="L1028" s="52" t="s">
        <v>165</v>
      </c>
      <c r="M1028" s="52" t="s">
        <v>161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52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>x</v>
      </c>
      <c r="Z1028" s="52" t="str">
        <f>IF(AND(B1028&lt;=NKC!$N$8,B1028&gt;=NKC!$M$8),"x","")</f>
        <v/>
      </c>
      <c r="AA1028" s="853"/>
    </row>
    <row r="1029" spans="1:27" s="810" customFormat="1" ht="15.75" customHeight="1">
      <c r="A1029" s="204" t="str">
        <f>IF(B1029&lt;&gt;"",IF(AND(B1029&gt;=_TM1,B1029&lt;=_TM2,OR(TH!L1029="1111",TH!M1029="1111")),TH!D1029,""),"")</f>
        <v/>
      </c>
      <c r="B1029" s="700">
        <f t="shared" si="209"/>
        <v>10</v>
      </c>
      <c r="C1029" s="836">
        <f t="shared" si="211"/>
        <v>41548</v>
      </c>
      <c r="D1029" s="836" t="s">
        <v>1286</v>
      </c>
      <c r="E1029" s="836">
        <v>41548</v>
      </c>
      <c r="F1029" s="1099" t="s">
        <v>346</v>
      </c>
      <c r="G1029" s="837"/>
      <c r="H1029" s="840" t="s">
        <v>1287</v>
      </c>
      <c r="I1029" s="254">
        <v>24</v>
      </c>
      <c r="J1029" s="254">
        <v>44000</v>
      </c>
      <c r="K1029" s="701">
        <f t="shared" si="217"/>
        <v>1056000</v>
      </c>
      <c r="L1029" s="52" t="s">
        <v>165</v>
      </c>
      <c r="M1029" s="52" t="s">
        <v>161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52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853"/>
    </row>
    <row r="1030" spans="1:27" s="843" customFormat="1" ht="15.75" customHeight="1">
      <c r="A1030" s="1106" t="str">
        <f>IF(B1030&lt;&gt;"",IF(AND(B1030&gt;=_TM1,B1030&lt;=_TM2,OR(TH!L1030="1111",TH!M1030="1111")),TH!D1030,""),"")</f>
        <v/>
      </c>
      <c r="B1030" s="841">
        <f t="shared" ref="B1030:B1056" si="218">IF(C1030&lt;&gt;"",MONTH(C1030),"")</f>
        <v>1</v>
      </c>
      <c r="C1030" s="1107">
        <f>E1030</f>
        <v>41275</v>
      </c>
      <c r="D1030" s="1107" t="s">
        <v>1294</v>
      </c>
      <c r="E1030" s="1108">
        <v>41275</v>
      </c>
      <c r="F1030" s="1109"/>
      <c r="G1030" s="1109" t="s">
        <v>724</v>
      </c>
      <c r="H1030" s="1110" t="s">
        <v>1287</v>
      </c>
      <c r="I1030" s="1111"/>
      <c r="J1030" s="1112"/>
      <c r="K1030" s="838">
        <f t="shared" si="217"/>
        <v>0</v>
      </c>
      <c r="L1030" s="831" t="s">
        <v>165</v>
      </c>
      <c r="M1030" s="1113" t="s">
        <v>159</v>
      </c>
      <c r="N1030" s="831" t="str">
        <f>IF(AND('331-CT'!$E$7=TH!H1030,OR(L1030="331",M1030="331")),"331",IF(AND(OR(L1030="131",M1030="131"),H1030='131-CT'!$E$7),"131",""))</f>
        <v/>
      </c>
      <c r="O1030" s="831" t="str">
        <f>IF(AND($B1030&gt;='111'!$N$11,$B1030&lt;='111'!$O$11,OR($L1030=$O$7,$M1030=$O$7)),"x","")</f>
        <v/>
      </c>
      <c r="P1030" s="831" t="str">
        <f>IF(AND($L1030=$O$7,$B1030&lt;'111'!$N$11),"x","")</f>
        <v/>
      </c>
      <c r="Q1030" s="831" t="str">
        <f>IF(AND($M1030=$O$7,$B1030&lt;'111'!$N$11),"x","")</f>
        <v/>
      </c>
      <c r="R1030" s="831" t="str">
        <f>IF(ISERROR(FIND('112'!$M$9,G1030,1)),"",IF((AND(FIND('112'!$M$9,G1030,1)&gt;=1,$B1030&gt;='112'!$N$8,$B1030&lt;='112'!$O$8,OR($L1030='112'!$I$6,$M1030='112'!$I$6))),"x",""))</f>
        <v/>
      </c>
      <c r="S1030" s="831" t="str">
        <f>IF(ISERROR(FIND('112'!$M$9,G1030,1)),"",IF((AND(LEFT(G1030,2)=LEFT('112'!$M$9,2),B1030&lt;'112'!$N$8,$L1030='112'!$I$6)),"x",""))</f>
        <v/>
      </c>
      <c r="T1030" s="831" t="str">
        <f>IF(ISERROR(FIND('112'!$M$9,G1030,1)),"",IF((AND(RIGHT(G1030,2)=RIGHT('112'!$M$9,2),B1030&lt;'112'!$N$8,$M1030='112'!$I$6)),"x",""))</f>
        <v/>
      </c>
      <c r="U1030" s="831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831" t="str">
        <f>IF(OR(TH!L1030=TH!$V$7,M1030=TH!$V$7),"x","")</f>
        <v/>
      </c>
      <c r="W1030" s="831" t="str">
        <f>IF(AND(B1030&gt;='IN-NX'!$P$3,B1030&lt;='IN-NX'!$Q$3,'IN-NX'!$D$7=D1030,OR(LEFT(L1030,2)="15",AND(LEFT(M1030,2)&lt;&gt;"15",LEFT(M1030,2)&lt;&gt;"33"))),"x","")</f>
        <v/>
      </c>
      <c r="X1030" s="831" t="str">
        <f>IF(AND(OR(LEFT(TH!L1030,2)="15",LEFT(TH!M1030,2)="15"),'152-CT'!$J$8=TH!F1030),"x","")</f>
        <v/>
      </c>
      <c r="Y1030" s="831" t="str">
        <f>IF(AND(OR(LEFT(TH!L1030,2)="15",LEFT(TH!M1030,2)="15"),TK!$E$7=TH!F1030),"x","")</f>
        <v/>
      </c>
      <c r="Z1030" s="831" t="str">
        <f>IF(AND(B1030&lt;=NKC!$N$8,B1030&gt;=NKC!$M$8),"x","")</f>
        <v/>
      </c>
      <c r="AA1030" s="1114"/>
    </row>
    <row r="1031" spans="1:27" s="211" customFormat="1" ht="15.75" customHeight="1">
      <c r="A1031" s="204" t="str">
        <f>IF(B1031&lt;&gt;"",IF(AND(B1031&gt;=_TM1,B1031&lt;=_TM2,OR(TH!L1031="1111",TH!M1031="1111")),TH!D1031,""),"")</f>
        <v/>
      </c>
      <c r="B1031" s="36">
        <f t="shared" si="218"/>
        <v>1</v>
      </c>
      <c r="C1031" s="191">
        <f t="shared" ref="C1031:C1094" si="219">E1031</f>
        <v>41275</v>
      </c>
      <c r="D1031" s="191" t="s">
        <v>1294</v>
      </c>
      <c r="E1031" s="37">
        <v>41275</v>
      </c>
      <c r="F1031" s="297"/>
      <c r="G1031" s="40" t="s">
        <v>724</v>
      </c>
      <c r="H1031" s="7" t="s">
        <v>1287</v>
      </c>
      <c r="I1031" s="305"/>
      <c r="J1031" s="753"/>
      <c r="K1031" s="602">
        <f t="shared" ref="K1031:K1094" si="220">ROUND(I1031*J1031,0)</f>
        <v>0</v>
      </c>
      <c r="L1031" s="39" t="s">
        <v>165</v>
      </c>
      <c r="M1031" s="603" t="s">
        <v>159</v>
      </c>
      <c r="N1031" s="39" t="str">
        <f>IF(AND('331-CT'!$E$7=TH!H1031,OR(L1031="331",M1031="331")),"331",IF(AND(OR(L1031="131",M1031="131"),H1031='131-CT'!$E$7),"131",""))</f>
        <v/>
      </c>
      <c r="O1031" s="39" t="str">
        <f>IF(AND($B1031&gt;='111'!$N$11,$B1031&lt;='111'!$O$11,OR($L1031=$O$7,$M1031=$O$7)),"x","")</f>
        <v/>
      </c>
      <c r="P1031" s="39" t="str">
        <f>IF(AND($L1031=$O$7,$B1031&lt;'111'!$N$11),"x","")</f>
        <v/>
      </c>
      <c r="Q1031" s="39" t="str">
        <f>IF(AND($M1031=$O$7,$B1031&lt;'111'!$N$11),"x","")</f>
        <v/>
      </c>
      <c r="R1031" s="39" t="str">
        <f>IF(ISERROR(FIND('112'!$M$9,G1031,1)),"",IF((AND(FIND('112'!$M$9,G1031,1)&gt;=1,$B1031&gt;='112'!$N$8,$B1031&lt;='112'!$O$8,OR($L1031='112'!$I$6,$M1031='112'!$I$6))),"x",""))</f>
        <v/>
      </c>
      <c r="S1031" s="39" t="str">
        <f>IF(ISERROR(FIND('112'!$M$9,G1031,1)),"",IF((AND(LEFT(G1031,2)=LEFT('112'!$M$9,2),B1031&lt;'112'!$N$8,$L1031='112'!$I$6)),"x",""))</f>
        <v/>
      </c>
      <c r="T1031" s="39" t="str">
        <f>IF(ISERROR(FIND('112'!$M$9,G1031,1)),"",IF((AND(RIGHT(G1031,2)=RIGHT('112'!$M$9,2),B1031&lt;'112'!$N$8,$M1031='112'!$I$6)),"x",""))</f>
        <v/>
      </c>
      <c r="U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39" t="str">
        <f>IF(OR(TH!L1031=TH!$V$7,M1031=TH!$V$7),"x","")</f>
        <v/>
      </c>
      <c r="W1031" s="39" t="str">
        <f>IF(AND(B1031&gt;='IN-NX'!$P$3,B1031&lt;='IN-NX'!$Q$3,'IN-NX'!$D$7=D1031,OR(LEFT(L1031,2)="15",AND(LEFT(M1031,2)&lt;&gt;"15",LEFT(M1031,2)&lt;&gt;"33"))),"x","")</f>
        <v/>
      </c>
      <c r="X1031" s="39" t="str">
        <f>IF(AND(OR(LEFT(TH!L1031,2)="15",LEFT(TH!M1031,2)="15"),'152-CT'!$J$8=TH!F1031),"x","")</f>
        <v/>
      </c>
      <c r="Y1031" s="39" t="str">
        <f>IF(AND(OR(LEFT(TH!L1031,2)="15",LEFT(TH!M1031,2)="15"),TK!$E$7=TH!F1031),"x","")</f>
        <v/>
      </c>
      <c r="Z1031" s="39" t="str">
        <f>IF(AND(B1031&lt;=NKC!$N$8,B1031&gt;=NKC!$M$8),"x","")</f>
        <v/>
      </c>
      <c r="AA1031" s="886"/>
    </row>
    <row r="1032" spans="1:27" s="211" customFormat="1" ht="15.75" customHeight="1">
      <c r="A1032" s="204" t="str">
        <f>IF(B1032&lt;&gt;"",IF(AND(B1032&gt;=_TM1,B1032&lt;=_TM2,OR(TH!L1032="1111",TH!M1032="1111")),TH!D1032,""),"")</f>
        <v/>
      </c>
      <c r="B1032" s="36">
        <f t="shared" si="218"/>
        <v>1</v>
      </c>
      <c r="C1032" s="191">
        <f t="shared" si="219"/>
        <v>41279</v>
      </c>
      <c r="D1032" s="191" t="s">
        <v>1294</v>
      </c>
      <c r="E1032" s="37">
        <v>41279</v>
      </c>
      <c r="F1032" s="189"/>
      <c r="G1032" s="40" t="s">
        <v>728</v>
      </c>
      <c r="H1032" s="7" t="s">
        <v>1287</v>
      </c>
      <c r="I1032" s="305"/>
      <c r="J1032" s="804"/>
      <c r="K1032" s="602">
        <f t="shared" si="220"/>
        <v>0</v>
      </c>
      <c r="L1032" s="39" t="s">
        <v>165</v>
      </c>
      <c r="M1032" s="603" t="s">
        <v>159</v>
      </c>
      <c r="N1032" s="39" t="str">
        <f>IF(AND('331-CT'!$E$7=TH!H1032,OR(L1032="331",M1032="331")),"331",IF(AND(OR(L1032="131",M1032="131"),H1032='131-CT'!$E$7),"131",""))</f>
        <v/>
      </c>
      <c r="O1032" s="39" t="str">
        <f>IF(AND($B1032&gt;='111'!$N$11,$B1032&lt;='111'!$O$11,OR($L1032=$O$7,$M1032=$O$7)),"x","")</f>
        <v/>
      </c>
      <c r="P1032" s="39" t="str">
        <f>IF(AND($L1032=$O$7,$B1032&lt;'111'!$N$11),"x","")</f>
        <v/>
      </c>
      <c r="Q1032" s="39" t="str">
        <f>IF(AND($M1032=$O$7,$B1032&lt;'111'!$N$11),"x","")</f>
        <v/>
      </c>
      <c r="R1032" s="39" t="str">
        <f>IF(ISERROR(FIND('112'!$M$9,G1032,1)),"",IF((AND(FIND('112'!$M$9,G1032,1)&gt;=1,$B1032&gt;='112'!$N$8,$B1032&lt;='112'!$O$8,OR($L1032='112'!$I$6,$M1032='112'!$I$6))),"x",""))</f>
        <v/>
      </c>
      <c r="S1032" s="39" t="str">
        <f>IF(ISERROR(FIND('112'!$M$9,G1032,1)),"",IF((AND(LEFT(G1032,2)=LEFT('112'!$M$9,2),B1032&lt;'112'!$N$8,$L1032='112'!$I$6)),"x",""))</f>
        <v/>
      </c>
      <c r="T1032" s="39" t="str">
        <f>IF(ISERROR(FIND('112'!$M$9,G1032,1)),"",IF((AND(RIGHT(G1032,2)=RIGHT('112'!$M$9,2),B1032&lt;'112'!$N$8,$M1032='112'!$I$6)),"x",""))</f>
        <v/>
      </c>
      <c r="U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39" t="str">
        <f>IF(OR(TH!L1032=TH!$V$7,M1032=TH!$V$7),"x","")</f>
        <v/>
      </c>
      <c r="W1032" s="39" t="str">
        <f>IF(AND(B1032&gt;='IN-NX'!$P$3,B1032&lt;='IN-NX'!$Q$3,'IN-NX'!$D$7=D1032,OR(LEFT(L1032,2)="15",AND(LEFT(M1032,2)&lt;&gt;"15",LEFT(M1032,2)&lt;&gt;"33"))),"x","")</f>
        <v/>
      </c>
      <c r="X1032" s="39" t="str">
        <f>IF(AND(OR(LEFT(TH!L1032,2)="15",LEFT(TH!M1032,2)="15"),'152-CT'!$J$8=TH!F1032),"x","")</f>
        <v/>
      </c>
      <c r="Y1032" s="39" t="str">
        <f>IF(AND(OR(LEFT(TH!L1032,2)="15",LEFT(TH!M1032,2)="15"),TK!$E$7=TH!F1032),"x","")</f>
        <v/>
      </c>
      <c r="Z1032" s="39" t="str">
        <f>IF(AND(B1032&lt;=NKC!$N$8,B1032&gt;=NKC!$M$8),"x","")</f>
        <v/>
      </c>
      <c r="AA1032" s="886"/>
    </row>
    <row r="1033" spans="1:27" s="211" customFormat="1" ht="15.75" customHeight="1">
      <c r="A1033" s="204" t="str">
        <f>IF(B1033&lt;&gt;"",IF(AND(B1033&gt;=_TM1,B1033&lt;=_TM2,OR(TH!L1033="1111",TH!M1033="1111")),TH!D1033,""),"")</f>
        <v/>
      </c>
      <c r="B1033" s="36">
        <f t="shared" si="218"/>
        <v>1</v>
      </c>
      <c r="C1033" s="191">
        <f t="shared" si="219"/>
        <v>41279</v>
      </c>
      <c r="D1033" s="191" t="s">
        <v>1294</v>
      </c>
      <c r="E1033" s="37">
        <v>41279</v>
      </c>
      <c r="F1033" s="189"/>
      <c r="G1033" s="40" t="s">
        <v>728</v>
      </c>
      <c r="H1033" s="7" t="s">
        <v>1287</v>
      </c>
      <c r="I1033" s="305"/>
      <c r="J1033" s="804"/>
      <c r="K1033" s="602">
        <f t="shared" si="220"/>
        <v>0</v>
      </c>
      <c r="L1033" s="39" t="s">
        <v>165</v>
      </c>
      <c r="M1033" s="603" t="s">
        <v>159</v>
      </c>
      <c r="N1033" s="39" t="str">
        <f>IF(AND('331-CT'!$E$7=TH!H1033,OR(L1033="331",M1033="331")),"331",IF(AND(OR(L1033="131",M1033="131"),H1033='131-CT'!$E$7),"131",""))</f>
        <v/>
      </c>
      <c r="O1033" s="39" t="str">
        <f>IF(AND($B1033&gt;='111'!$N$11,$B1033&lt;='111'!$O$11,OR($L1033=$O$7,$M1033=$O$7)),"x","")</f>
        <v/>
      </c>
      <c r="P1033" s="39" t="str">
        <f>IF(AND($L1033=$O$7,$B1033&lt;'111'!$N$11),"x","")</f>
        <v/>
      </c>
      <c r="Q1033" s="39" t="str">
        <f>IF(AND($M1033=$O$7,$B1033&lt;'111'!$N$11),"x","")</f>
        <v/>
      </c>
      <c r="R1033" s="39" t="str">
        <f>IF(ISERROR(FIND('112'!$M$9,G1033,1)),"",IF((AND(FIND('112'!$M$9,G1033,1)&gt;=1,$B1033&gt;='112'!$N$8,$B1033&lt;='112'!$O$8,OR($L1033='112'!$I$6,$M1033='112'!$I$6))),"x",""))</f>
        <v/>
      </c>
      <c r="S1033" s="39" t="str">
        <f>IF(ISERROR(FIND('112'!$M$9,G1033,1)),"",IF((AND(LEFT(G1033,2)=LEFT('112'!$M$9,2),B1033&lt;'112'!$N$8,$L1033='112'!$I$6)),"x",""))</f>
        <v/>
      </c>
      <c r="T1033" s="39" t="str">
        <f>IF(ISERROR(FIND('112'!$M$9,G1033,1)),"",IF((AND(RIGHT(G1033,2)=RIGHT('112'!$M$9,2),B1033&lt;'112'!$N$8,$M1033='112'!$I$6)),"x",""))</f>
        <v/>
      </c>
      <c r="U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39" t="str">
        <f>IF(OR(TH!L1033=TH!$V$7,M1033=TH!$V$7),"x","")</f>
        <v/>
      </c>
      <c r="W1033" s="39" t="str">
        <f>IF(AND(B1033&gt;='IN-NX'!$P$3,B1033&lt;='IN-NX'!$Q$3,'IN-NX'!$D$7=D1033,OR(LEFT(L1033,2)="15",AND(LEFT(M1033,2)&lt;&gt;"15",LEFT(M1033,2)&lt;&gt;"33"))),"x","")</f>
        <v/>
      </c>
      <c r="X1033" s="39" t="str">
        <f>IF(AND(OR(LEFT(TH!L1033,2)="15",LEFT(TH!M1033,2)="15"),'152-CT'!$J$8=TH!F1033),"x","")</f>
        <v/>
      </c>
      <c r="Y1033" s="39" t="str">
        <f>IF(AND(OR(LEFT(TH!L1033,2)="15",LEFT(TH!M1033,2)="15"),TK!$E$7=TH!F1033),"x","")</f>
        <v/>
      </c>
      <c r="Z1033" s="39" t="str">
        <f>IF(AND(B1033&lt;=NKC!$N$8,B1033&gt;=NKC!$M$8),"x","")</f>
        <v/>
      </c>
      <c r="AA1033" s="886"/>
    </row>
    <row r="1034" spans="1:27" s="211" customFormat="1" ht="15.75" customHeight="1">
      <c r="A1034" s="204" t="str">
        <f>IF(B1034&lt;&gt;"",IF(AND(B1034&gt;=_TM1,B1034&lt;=_TM2,OR(TH!L1034="1111",TH!M1034="1111")),TH!D1034,""),"")</f>
        <v/>
      </c>
      <c r="B1034" s="36">
        <f t="shared" si="218"/>
        <v>1</v>
      </c>
      <c r="C1034" s="191">
        <f t="shared" si="219"/>
        <v>41281</v>
      </c>
      <c r="D1034" s="191" t="s">
        <v>1294</v>
      </c>
      <c r="E1034" s="37">
        <v>41281</v>
      </c>
      <c r="F1034" s="40"/>
      <c r="G1034" s="40" t="s">
        <v>732</v>
      </c>
      <c r="H1034" s="7" t="s">
        <v>1287</v>
      </c>
      <c r="I1034" s="305"/>
      <c r="J1034" s="804"/>
      <c r="K1034" s="602">
        <f t="shared" si="220"/>
        <v>0</v>
      </c>
      <c r="L1034" s="39" t="s">
        <v>165</v>
      </c>
      <c r="M1034" s="603" t="s">
        <v>159</v>
      </c>
      <c r="N1034" s="39" t="str">
        <f>IF(AND('331-CT'!$E$7=TH!H1034,OR(L1034="331",M1034="331")),"331",IF(AND(OR(L1034="131",M1034="131"),H1034='131-CT'!$E$7),"131",""))</f>
        <v/>
      </c>
      <c r="O1034" s="39" t="str">
        <f>IF(AND($B1034&gt;='111'!$N$11,$B1034&lt;='111'!$O$11,OR($L1034=$O$7,$M1034=$O$7)),"x","")</f>
        <v/>
      </c>
      <c r="P1034" s="39" t="str">
        <f>IF(AND($L1034=$O$7,$B1034&lt;'111'!$N$11),"x","")</f>
        <v/>
      </c>
      <c r="Q1034" s="39" t="str">
        <f>IF(AND($M1034=$O$7,$B1034&lt;'111'!$N$11),"x","")</f>
        <v/>
      </c>
      <c r="R1034" s="39" t="str">
        <f>IF(ISERROR(FIND('112'!$M$9,G1034,1)),"",IF((AND(FIND('112'!$M$9,G1034,1)&gt;=1,$B1034&gt;='112'!$N$8,$B1034&lt;='112'!$O$8,OR($L1034='112'!$I$6,$M1034='112'!$I$6))),"x",""))</f>
        <v/>
      </c>
      <c r="S1034" s="39" t="str">
        <f>IF(ISERROR(FIND('112'!$M$9,G1034,1)),"",IF((AND(LEFT(G1034,2)=LEFT('112'!$M$9,2),B1034&lt;'112'!$N$8,$L1034='112'!$I$6)),"x",""))</f>
        <v/>
      </c>
      <c r="T1034" s="39" t="str">
        <f>IF(ISERROR(FIND('112'!$M$9,G1034,1)),"",IF((AND(RIGHT(G1034,2)=RIGHT('112'!$M$9,2),B1034&lt;'112'!$N$8,$M1034='112'!$I$6)),"x",""))</f>
        <v/>
      </c>
      <c r="U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39" t="str">
        <f>IF(OR(TH!L1034=TH!$V$7,M1034=TH!$V$7),"x","")</f>
        <v/>
      </c>
      <c r="W1034" s="39" t="str">
        <f>IF(AND(B1034&gt;='IN-NX'!$P$3,B1034&lt;='IN-NX'!$Q$3,'IN-NX'!$D$7=D1034,OR(LEFT(L1034,2)="15",AND(LEFT(M1034,2)&lt;&gt;"15",LEFT(M1034,2)&lt;&gt;"33"))),"x","")</f>
        <v/>
      </c>
      <c r="X1034" s="39" t="str">
        <f>IF(AND(OR(LEFT(TH!L1034,2)="15",LEFT(TH!M1034,2)="15"),'152-CT'!$J$8=TH!F1034),"x","")</f>
        <v/>
      </c>
      <c r="Y1034" s="39" t="str">
        <f>IF(AND(OR(LEFT(TH!L1034,2)="15",LEFT(TH!M1034,2)="15"),TK!$E$7=TH!F1034),"x","")</f>
        <v/>
      </c>
      <c r="Z1034" s="39" t="str">
        <f>IF(AND(B1034&lt;=NKC!$N$8,B1034&gt;=NKC!$M$8),"x","")</f>
        <v/>
      </c>
      <c r="AA1034" s="886"/>
    </row>
    <row r="1035" spans="1:27" s="211" customFormat="1" ht="15.75" customHeight="1">
      <c r="A1035" s="204" t="str">
        <f>IF(B1035&lt;&gt;"",IF(AND(B1035&gt;=_TM1,B1035&lt;=_TM2,OR(TH!L1035="1111",TH!M1035="1111")),TH!D1035,""),"")</f>
        <v/>
      </c>
      <c r="B1035" s="36">
        <f t="shared" si="218"/>
        <v>1</v>
      </c>
      <c r="C1035" s="191">
        <f t="shared" si="219"/>
        <v>41282</v>
      </c>
      <c r="D1035" s="191" t="s">
        <v>1294</v>
      </c>
      <c r="E1035" s="37">
        <v>41282</v>
      </c>
      <c r="F1035" s="297"/>
      <c r="G1035" s="40" t="s">
        <v>734</v>
      </c>
      <c r="H1035" s="7" t="s">
        <v>1287</v>
      </c>
      <c r="I1035" s="305"/>
      <c r="J1035" s="848"/>
      <c r="K1035" s="602">
        <f t="shared" si="220"/>
        <v>0</v>
      </c>
      <c r="L1035" s="39" t="s">
        <v>165</v>
      </c>
      <c r="M1035" s="603" t="s">
        <v>159</v>
      </c>
      <c r="N1035" s="39" t="str">
        <f>IF(AND('331-CT'!$E$7=TH!H1035,OR(L1035="331",M1035="331")),"331",IF(AND(OR(L1035="131",M1035="131"),H1035='131-CT'!$E$7),"131",""))</f>
        <v/>
      </c>
      <c r="O1035" s="39" t="str">
        <f>IF(AND($B1035&gt;='111'!$N$11,$B1035&lt;='111'!$O$11,OR($L1035=$O$7,$M1035=$O$7)),"x","")</f>
        <v/>
      </c>
      <c r="P1035" s="39" t="str">
        <f>IF(AND($L1035=$O$7,$B1035&lt;'111'!$N$11),"x","")</f>
        <v/>
      </c>
      <c r="Q1035" s="39" t="str">
        <f>IF(AND($M1035=$O$7,$B1035&lt;'111'!$N$11),"x","")</f>
        <v/>
      </c>
      <c r="R1035" s="39" t="str">
        <f>IF(ISERROR(FIND('112'!$M$9,G1035,1)),"",IF((AND(FIND('112'!$M$9,G1035,1)&gt;=1,$B1035&gt;='112'!$N$8,$B1035&lt;='112'!$O$8,OR($L1035='112'!$I$6,$M1035='112'!$I$6))),"x",""))</f>
        <v/>
      </c>
      <c r="S1035" s="39" t="str">
        <f>IF(ISERROR(FIND('112'!$M$9,G1035,1)),"",IF((AND(LEFT(G1035,2)=LEFT('112'!$M$9,2),B1035&lt;'112'!$N$8,$L1035='112'!$I$6)),"x",""))</f>
        <v/>
      </c>
      <c r="T1035" s="39" t="str">
        <f>IF(ISERROR(FIND('112'!$M$9,G1035,1)),"",IF((AND(RIGHT(G1035,2)=RIGHT('112'!$M$9,2),B1035&lt;'112'!$N$8,$M1035='112'!$I$6)),"x",""))</f>
        <v/>
      </c>
      <c r="U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39" t="str">
        <f>IF(OR(TH!L1035=TH!$V$7,M1035=TH!$V$7),"x","")</f>
        <v/>
      </c>
      <c r="W1035" s="39" t="str">
        <f>IF(AND(B1035&gt;='IN-NX'!$P$3,B1035&lt;='IN-NX'!$Q$3,'IN-NX'!$D$7=D1035,OR(LEFT(L1035,2)="15",AND(LEFT(M1035,2)&lt;&gt;"15",LEFT(M1035,2)&lt;&gt;"33"))),"x","")</f>
        <v/>
      </c>
      <c r="X1035" s="39" t="str">
        <f>IF(AND(OR(LEFT(TH!L1035,2)="15",LEFT(TH!M1035,2)="15"),'152-CT'!$J$8=TH!F1035),"x","")</f>
        <v/>
      </c>
      <c r="Y1035" s="39" t="str">
        <f>IF(AND(OR(LEFT(TH!L1035,2)="15",LEFT(TH!M1035,2)="15"),TK!$E$7=TH!F1035),"x","")</f>
        <v/>
      </c>
      <c r="Z1035" s="39" t="str">
        <f>IF(AND(B1035&lt;=NKC!$N$8,B1035&gt;=NKC!$M$8),"x","")</f>
        <v/>
      </c>
      <c r="AA1035" s="886"/>
    </row>
    <row r="1036" spans="1:27" s="211" customFormat="1" ht="15.75" customHeight="1">
      <c r="A1036" s="204" t="str">
        <f>IF(B1036&lt;&gt;"",IF(AND(B1036&gt;=_TM1,B1036&lt;=_TM2,OR(TH!L1036="1111",TH!M1036="1111")),TH!D1036,""),"")</f>
        <v/>
      </c>
      <c r="B1036" s="36">
        <f t="shared" si="218"/>
        <v>1</v>
      </c>
      <c r="C1036" s="191">
        <f t="shared" si="219"/>
        <v>41282</v>
      </c>
      <c r="D1036" s="191" t="s">
        <v>1294</v>
      </c>
      <c r="E1036" s="37">
        <v>41282</v>
      </c>
      <c r="F1036" s="40"/>
      <c r="G1036" s="40" t="s">
        <v>734</v>
      </c>
      <c r="H1036" s="7" t="s">
        <v>1287</v>
      </c>
      <c r="I1036" s="305"/>
      <c r="J1036" s="802"/>
      <c r="K1036" s="602">
        <f t="shared" si="220"/>
        <v>0</v>
      </c>
      <c r="L1036" s="39" t="s">
        <v>165</v>
      </c>
      <c r="M1036" s="603" t="s">
        <v>159</v>
      </c>
      <c r="N1036" s="39" t="str">
        <f>IF(AND('331-CT'!$E$7=TH!H1036,OR(L1036="331",M1036="331")),"331",IF(AND(OR(L1036="131",M1036="131"),H1036='131-CT'!$E$7),"131",""))</f>
        <v/>
      </c>
      <c r="O1036" s="39" t="str">
        <f>IF(AND($B1036&gt;='111'!$N$11,$B1036&lt;='111'!$O$11,OR($L1036=$O$7,$M1036=$O$7)),"x","")</f>
        <v/>
      </c>
      <c r="P1036" s="39" t="str">
        <f>IF(AND($L1036=$O$7,$B1036&lt;'111'!$N$11),"x","")</f>
        <v/>
      </c>
      <c r="Q1036" s="39" t="str">
        <f>IF(AND($M1036=$O$7,$B1036&lt;'111'!$N$11),"x","")</f>
        <v/>
      </c>
      <c r="R1036" s="39" t="str">
        <f>IF(ISERROR(FIND('112'!$M$9,G1036,1)),"",IF((AND(FIND('112'!$M$9,G1036,1)&gt;=1,$B1036&gt;='112'!$N$8,$B1036&lt;='112'!$O$8,OR($L1036='112'!$I$6,$M1036='112'!$I$6))),"x",""))</f>
        <v/>
      </c>
      <c r="S1036" s="39" t="str">
        <f>IF(ISERROR(FIND('112'!$M$9,G1036,1)),"",IF((AND(LEFT(G1036,2)=LEFT('112'!$M$9,2),B1036&lt;'112'!$N$8,$L1036='112'!$I$6)),"x",""))</f>
        <v/>
      </c>
      <c r="T1036" s="39" t="str">
        <f>IF(ISERROR(FIND('112'!$M$9,G1036,1)),"",IF((AND(RIGHT(G1036,2)=RIGHT('112'!$M$9,2),B1036&lt;'112'!$N$8,$M1036='112'!$I$6)),"x",""))</f>
        <v/>
      </c>
      <c r="U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39" t="str">
        <f>IF(OR(TH!L1036=TH!$V$7,M1036=TH!$V$7),"x","")</f>
        <v/>
      </c>
      <c r="W1036" s="39" t="str">
        <f>IF(AND(B1036&gt;='IN-NX'!$P$3,B1036&lt;='IN-NX'!$Q$3,'IN-NX'!$D$7=D1036,OR(LEFT(L1036,2)="15",AND(LEFT(M1036,2)&lt;&gt;"15",LEFT(M1036,2)&lt;&gt;"33"))),"x","")</f>
        <v/>
      </c>
      <c r="X1036" s="39" t="str">
        <f>IF(AND(OR(LEFT(TH!L1036,2)="15",LEFT(TH!M1036,2)="15"),'152-CT'!$J$8=TH!F1036),"x","")</f>
        <v/>
      </c>
      <c r="Y1036" s="39" t="str">
        <f>IF(AND(OR(LEFT(TH!L1036,2)="15",LEFT(TH!M1036,2)="15"),TK!$E$7=TH!F1036),"x","")</f>
        <v/>
      </c>
      <c r="Z1036" s="39" t="str">
        <f>IF(AND(B1036&lt;=NKC!$N$8,B1036&gt;=NKC!$M$8),"x","")</f>
        <v/>
      </c>
      <c r="AA1036" s="886"/>
    </row>
    <row r="1037" spans="1:27" s="211" customFormat="1" ht="15.75" customHeight="1">
      <c r="A1037" s="204" t="str">
        <f>IF(B1037&lt;&gt;"",IF(AND(B1037&gt;=_TM1,B1037&lt;=_TM2,OR(TH!L1037="1111",TH!M1037="1111")),TH!D1037,""),"")</f>
        <v/>
      </c>
      <c r="B1037" s="36">
        <f t="shared" si="218"/>
        <v>1</v>
      </c>
      <c r="C1037" s="191">
        <f t="shared" si="219"/>
        <v>41282</v>
      </c>
      <c r="D1037" s="191" t="s">
        <v>1294</v>
      </c>
      <c r="E1037" s="37">
        <v>41282</v>
      </c>
      <c r="F1037" s="40"/>
      <c r="G1037" s="40" t="s">
        <v>734</v>
      </c>
      <c r="H1037" s="7" t="s">
        <v>1287</v>
      </c>
      <c r="I1037" s="305"/>
      <c r="J1037" s="804"/>
      <c r="K1037" s="602">
        <f t="shared" si="220"/>
        <v>0</v>
      </c>
      <c r="L1037" s="39" t="s">
        <v>165</v>
      </c>
      <c r="M1037" s="603" t="s">
        <v>159</v>
      </c>
      <c r="N1037" s="39" t="str">
        <f>IF(AND('331-CT'!$E$7=TH!H1037,OR(L1037="331",M1037="331")),"331",IF(AND(OR(L1037="131",M1037="131"),H1037='131-CT'!$E$7),"131",""))</f>
        <v/>
      </c>
      <c r="O1037" s="39" t="str">
        <f>IF(AND($B1037&gt;='111'!$N$11,$B1037&lt;='111'!$O$11,OR($L1037=$O$7,$M1037=$O$7)),"x","")</f>
        <v/>
      </c>
      <c r="P1037" s="39" t="str">
        <f>IF(AND($L1037=$O$7,$B1037&lt;'111'!$N$11),"x","")</f>
        <v/>
      </c>
      <c r="Q1037" s="39" t="str">
        <f>IF(AND($M1037=$O$7,$B1037&lt;'111'!$N$11),"x","")</f>
        <v/>
      </c>
      <c r="R1037" s="39" t="str">
        <f>IF(ISERROR(FIND('112'!$M$9,G1037,1)),"",IF((AND(FIND('112'!$M$9,G1037,1)&gt;=1,$B1037&gt;='112'!$N$8,$B1037&lt;='112'!$O$8,OR($L1037='112'!$I$6,$M1037='112'!$I$6))),"x",""))</f>
        <v/>
      </c>
      <c r="S1037" s="39" t="str">
        <f>IF(ISERROR(FIND('112'!$M$9,G1037,1)),"",IF((AND(LEFT(G1037,2)=LEFT('112'!$M$9,2),B1037&lt;'112'!$N$8,$L1037='112'!$I$6)),"x",""))</f>
        <v/>
      </c>
      <c r="T1037" s="39" t="str">
        <f>IF(ISERROR(FIND('112'!$M$9,G1037,1)),"",IF((AND(RIGHT(G1037,2)=RIGHT('112'!$M$9,2),B1037&lt;'112'!$N$8,$M1037='112'!$I$6)),"x",""))</f>
        <v/>
      </c>
      <c r="U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39" t="str">
        <f>IF(OR(TH!L1037=TH!$V$7,M1037=TH!$V$7),"x","")</f>
        <v/>
      </c>
      <c r="W1037" s="39" t="str">
        <f>IF(AND(B1037&gt;='IN-NX'!$P$3,B1037&lt;='IN-NX'!$Q$3,'IN-NX'!$D$7=D1037,OR(LEFT(L1037,2)="15",AND(LEFT(M1037,2)&lt;&gt;"15",LEFT(M1037,2)&lt;&gt;"33"))),"x","")</f>
        <v/>
      </c>
      <c r="X1037" s="39" t="str">
        <f>IF(AND(OR(LEFT(TH!L1037,2)="15",LEFT(TH!M1037,2)="15"),'152-CT'!$J$8=TH!F1037),"x","")</f>
        <v/>
      </c>
      <c r="Y1037" s="39" t="str">
        <f>IF(AND(OR(LEFT(TH!L1037,2)="15",LEFT(TH!M1037,2)="15"),TK!$E$7=TH!F1037),"x","")</f>
        <v/>
      </c>
      <c r="Z1037" s="39" t="str">
        <f>IF(AND(B1037&lt;=NKC!$N$8,B1037&gt;=NKC!$M$8),"x","")</f>
        <v/>
      </c>
      <c r="AA1037" s="886"/>
    </row>
    <row r="1038" spans="1:27" s="211" customFormat="1" ht="15.75" customHeight="1">
      <c r="A1038" s="204" t="str">
        <f>IF(B1038&lt;&gt;"",IF(AND(B1038&gt;=_TM1,B1038&lt;=_TM2,OR(TH!L1038="1111",TH!M1038="1111")),TH!D1038,""),"")</f>
        <v/>
      </c>
      <c r="B1038" s="36">
        <f t="shared" si="218"/>
        <v>1</v>
      </c>
      <c r="C1038" s="191">
        <f t="shared" si="219"/>
        <v>41282</v>
      </c>
      <c r="D1038" s="191" t="s">
        <v>1294</v>
      </c>
      <c r="E1038" s="37">
        <v>41282</v>
      </c>
      <c r="F1038" s="449"/>
      <c r="G1038" s="40" t="s">
        <v>734</v>
      </c>
      <c r="H1038" s="7" t="s">
        <v>1287</v>
      </c>
      <c r="I1038" s="305"/>
      <c r="J1038" s="804"/>
      <c r="K1038" s="602">
        <f t="shared" si="220"/>
        <v>0</v>
      </c>
      <c r="L1038" s="39" t="s">
        <v>165</v>
      </c>
      <c r="M1038" s="603" t="s">
        <v>159</v>
      </c>
      <c r="N1038" s="39" t="str">
        <f>IF(AND('331-CT'!$E$7=TH!H1038,OR(L1038="331",M1038="331")),"331",IF(AND(OR(L1038="131",M1038="131"),H1038='131-CT'!$E$7),"131",""))</f>
        <v/>
      </c>
      <c r="O1038" s="39" t="str">
        <f>IF(AND($B1038&gt;='111'!$N$11,$B1038&lt;='111'!$O$11,OR($L1038=$O$7,$M1038=$O$7)),"x","")</f>
        <v/>
      </c>
      <c r="P1038" s="39" t="str">
        <f>IF(AND($L1038=$O$7,$B1038&lt;'111'!$N$11),"x","")</f>
        <v/>
      </c>
      <c r="Q1038" s="39" t="str">
        <f>IF(AND($M1038=$O$7,$B1038&lt;'111'!$N$11),"x","")</f>
        <v/>
      </c>
      <c r="R1038" s="39" t="str">
        <f>IF(ISERROR(FIND('112'!$M$9,G1038,1)),"",IF((AND(FIND('112'!$M$9,G1038,1)&gt;=1,$B1038&gt;='112'!$N$8,$B1038&lt;='112'!$O$8,OR($L1038='112'!$I$6,$M1038='112'!$I$6))),"x",""))</f>
        <v/>
      </c>
      <c r="S1038" s="39" t="str">
        <f>IF(ISERROR(FIND('112'!$M$9,G1038,1)),"",IF((AND(LEFT(G1038,2)=LEFT('112'!$M$9,2),B1038&lt;'112'!$N$8,$L1038='112'!$I$6)),"x",""))</f>
        <v/>
      </c>
      <c r="T1038" s="39" t="str">
        <f>IF(ISERROR(FIND('112'!$M$9,G1038,1)),"",IF((AND(RIGHT(G1038,2)=RIGHT('112'!$M$9,2),B1038&lt;'112'!$N$8,$M1038='112'!$I$6)),"x",""))</f>
        <v/>
      </c>
      <c r="U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39" t="str">
        <f>IF(OR(TH!L1038=TH!$V$7,M1038=TH!$V$7),"x","")</f>
        <v/>
      </c>
      <c r="W1038" s="39" t="str">
        <f>IF(AND(B1038&gt;='IN-NX'!$P$3,B1038&lt;='IN-NX'!$Q$3,'IN-NX'!$D$7=D1038,OR(LEFT(L1038,2)="15",AND(LEFT(M1038,2)&lt;&gt;"15",LEFT(M1038,2)&lt;&gt;"33"))),"x","")</f>
        <v/>
      </c>
      <c r="X1038" s="39" t="str">
        <f>IF(AND(OR(LEFT(TH!L1038,2)="15",LEFT(TH!M1038,2)="15"),'152-CT'!$J$8=TH!F1038),"x","")</f>
        <v/>
      </c>
      <c r="Y1038" s="39" t="str">
        <f>IF(AND(OR(LEFT(TH!L1038,2)="15",LEFT(TH!M1038,2)="15"),TK!$E$7=TH!F1038),"x","")</f>
        <v/>
      </c>
      <c r="Z1038" s="39" t="str">
        <f>IF(AND(B1038&lt;=NKC!$N$8,B1038&gt;=NKC!$M$8),"x","")</f>
        <v/>
      </c>
      <c r="AA1038" s="886"/>
    </row>
    <row r="1039" spans="1:27" s="211" customFormat="1" ht="15.75" customHeight="1">
      <c r="A1039" s="204" t="str">
        <f>IF(B1039&lt;&gt;"",IF(AND(B1039&gt;=_TM1,B1039&lt;=_TM2,OR(TH!L1039="1111",TH!M1039="1111")),TH!D1039,""),"")</f>
        <v/>
      </c>
      <c r="B1039" s="36">
        <f t="shared" si="218"/>
        <v>1</v>
      </c>
      <c r="C1039" s="191">
        <f t="shared" si="219"/>
        <v>41282</v>
      </c>
      <c r="D1039" s="191" t="s">
        <v>1294</v>
      </c>
      <c r="E1039" s="37">
        <v>41282</v>
      </c>
      <c r="F1039" s="297"/>
      <c r="G1039" s="40" t="s">
        <v>734</v>
      </c>
      <c r="H1039" s="7" t="s">
        <v>1287</v>
      </c>
      <c r="I1039" s="305"/>
      <c r="J1039" s="804"/>
      <c r="K1039" s="602">
        <f t="shared" si="220"/>
        <v>0</v>
      </c>
      <c r="L1039" s="39" t="s">
        <v>165</v>
      </c>
      <c r="M1039" s="603" t="s">
        <v>159</v>
      </c>
      <c r="N1039" s="39" t="str">
        <f>IF(AND('331-CT'!$E$7=TH!H1039,OR(L1039="331",M1039="331")),"331",IF(AND(OR(L1039="131",M1039="131"),H1039='131-CT'!$E$7),"131",""))</f>
        <v/>
      </c>
      <c r="O1039" s="39" t="str">
        <f>IF(AND($B1039&gt;='111'!$N$11,$B1039&lt;='111'!$O$11,OR($L1039=$O$7,$M1039=$O$7)),"x","")</f>
        <v/>
      </c>
      <c r="P1039" s="39" t="str">
        <f>IF(AND($L1039=$O$7,$B1039&lt;'111'!$N$11),"x","")</f>
        <v/>
      </c>
      <c r="Q1039" s="39" t="str">
        <f>IF(AND($M1039=$O$7,$B1039&lt;'111'!$N$11),"x","")</f>
        <v/>
      </c>
      <c r="R1039" s="39" t="str">
        <f>IF(ISERROR(FIND('112'!$M$9,G1039,1)),"",IF((AND(FIND('112'!$M$9,G1039,1)&gt;=1,$B1039&gt;='112'!$N$8,$B1039&lt;='112'!$O$8,OR($L1039='112'!$I$6,$M1039='112'!$I$6))),"x",""))</f>
        <v/>
      </c>
      <c r="S1039" s="39" t="str">
        <f>IF(ISERROR(FIND('112'!$M$9,G1039,1)),"",IF((AND(LEFT(G1039,2)=LEFT('112'!$M$9,2),B1039&lt;'112'!$N$8,$L1039='112'!$I$6)),"x",""))</f>
        <v/>
      </c>
      <c r="T1039" s="39" t="str">
        <f>IF(ISERROR(FIND('112'!$M$9,G1039,1)),"",IF((AND(RIGHT(G1039,2)=RIGHT('112'!$M$9,2),B1039&lt;'112'!$N$8,$M1039='112'!$I$6)),"x",""))</f>
        <v/>
      </c>
      <c r="U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39" t="str">
        <f>IF(OR(TH!L1039=TH!$V$7,M1039=TH!$V$7),"x","")</f>
        <v/>
      </c>
      <c r="W1039" s="39" t="str">
        <f>IF(AND(B1039&gt;='IN-NX'!$P$3,B1039&lt;='IN-NX'!$Q$3,'IN-NX'!$D$7=D1039,OR(LEFT(L1039,2)="15",AND(LEFT(M1039,2)&lt;&gt;"15",LEFT(M1039,2)&lt;&gt;"33"))),"x","")</f>
        <v/>
      </c>
      <c r="X1039" s="39" t="str">
        <f>IF(AND(OR(LEFT(TH!L1039,2)="15",LEFT(TH!M1039,2)="15"),'152-CT'!$J$8=TH!F1039),"x","")</f>
        <v/>
      </c>
      <c r="Y1039" s="39" t="str">
        <f>IF(AND(OR(LEFT(TH!L1039,2)="15",LEFT(TH!M1039,2)="15"),TK!$E$7=TH!F1039),"x","")</f>
        <v/>
      </c>
      <c r="Z1039" s="39" t="str">
        <f>IF(AND(B1039&lt;=NKC!$N$8,B1039&gt;=NKC!$M$8),"x","")</f>
        <v/>
      </c>
      <c r="AA1039" s="886"/>
    </row>
    <row r="1040" spans="1:27" s="211" customFormat="1" ht="15.75" customHeight="1">
      <c r="A1040" s="204" t="str">
        <f>IF(B1040&lt;&gt;"",IF(AND(B1040&gt;=_TM1,B1040&lt;=_TM2,OR(TH!L1040="1111",TH!M1040="1111")),TH!D1040,""),"")</f>
        <v/>
      </c>
      <c r="B1040" s="36">
        <f t="shared" si="218"/>
        <v>1</v>
      </c>
      <c r="C1040" s="191">
        <f t="shared" si="219"/>
        <v>41282</v>
      </c>
      <c r="D1040" s="191" t="s">
        <v>1294</v>
      </c>
      <c r="E1040" s="37">
        <v>41282</v>
      </c>
      <c r="F1040" s="40"/>
      <c r="G1040" s="40" t="s">
        <v>734</v>
      </c>
      <c r="H1040" s="7" t="s">
        <v>1287</v>
      </c>
      <c r="I1040" s="305"/>
      <c r="J1040" s="804"/>
      <c r="K1040" s="602">
        <f t="shared" si="220"/>
        <v>0</v>
      </c>
      <c r="L1040" s="39" t="s">
        <v>165</v>
      </c>
      <c r="M1040" s="603" t="s">
        <v>159</v>
      </c>
      <c r="N1040" s="39" t="str">
        <f>IF(AND('331-CT'!$E$7=TH!H1040,OR(L1040="331",M1040="331")),"331",IF(AND(OR(L1040="131",M1040="131"),H1040='131-CT'!$E$7),"131",""))</f>
        <v/>
      </c>
      <c r="O1040" s="39" t="str">
        <f>IF(AND($B1040&gt;='111'!$N$11,$B1040&lt;='111'!$O$11,OR($L1040=$O$7,$M1040=$O$7)),"x","")</f>
        <v/>
      </c>
      <c r="P1040" s="39" t="str">
        <f>IF(AND($L1040=$O$7,$B1040&lt;'111'!$N$11),"x","")</f>
        <v/>
      </c>
      <c r="Q1040" s="39" t="str">
        <f>IF(AND($M1040=$O$7,$B1040&lt;'111'!$N$11),"x","")</f>
        <v/>
      </c>
      <c r="R1040" s="39" t="str">
        <f>IF(ISERROR(FIND('112'!$M$9,G1040,1)),"",IF((AND(FIND('112'!$M$9,G1040,1)&gt;=1,$B1040&gt;='112'!$N$8,$B1040&lt;='112'!$O$8,OR($L1040='112'!$I$6,$M1040='112'!$I$6))),"x",""))</f>
        <v/>
      </c>
      <c r="S1040" s="39" t="str">
        <f>IF(ISERROR(FIND('112'!$M$9,G1040,1)),"",IF((AND(LEFT(G1040,2)=LEFT('112'!$M$9,2),B1040&lt;'112'!$N$8,$L1040='112'!$I$6)),"x",""))</f>
        <v/>
      </c>
      <c r="T1040" s="39" t="str">
        <f>IF(ISERROR(FIND('112'!$M$9,G1040,1)),"",IF((AND(RIGHT(G1040,2)=RIGHT('112'!$M$9,2),B1040&lt;'112'!$N$8,$M1040='112'!$I$6)),"x",""))</f>
        <v/>
      </c>
      <c r="U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39" t="str">
        <f>IF(OR(TH!L1040=TH!$V$7,M1040=TH!$V$7),"x","")</f>
        <v/>
      </c>
      <c r="W1040" s="39" t="str">
        <f>IF(AND(B1040&gt;='IN-NX'!$P$3,B1040&lt;='IN-NX'!$Q$3,'IN-NX'!$D$7=D1040,OR(LEFT(L1040,2)="15",AND(LEFT(M1040,2)&lt;&gt;"15",LEFT(M1040,2)&lt;&gt;"33"))),"x","")</f>
        <v/>
      </c>
      <c r="X1040" s="39" t="str">
        <f>IF(AND(OR(LEFT(TH!L1040,2)="15",LEFT(TH!M1040,2)="15"),'152-CT'!$J$8=TH!F1040),"x","")</f>
        <v/>
      </c>
      <c r="Y1040" s="39" t="str">
        <f>IF(AND(OR(LEFT(TH!L1040,2)="15",LEFT(TH!M1040,2)="15"),TK!$E$7=TH!F1040),"x","")</f>
        <v/>
      </c>
      <c r="Z1040" s="39" t="str">
        <f>IF(AND(B1040&lt;=NKC!$N$8,B1040&gt;=NKC!$M$8),"x","")</f>
        <v/>
      </c>
      <c r="AA1040" s="886"/>
    </row>
    <row r="1041" spans="1:27" s="211" customFormat="1" ht="15.75" customHeight="1">
      <c r="A1041" s="204" t="str">
        <f>IF(B1041&lt;&gt;"",IF(AND(B1041&gt;=_TM1,B1041&lt;=_TM2,OR(TH!L1041="1111",TH!M1041="1111")),TH!D1041,""),"")</f>
        <v/>
      </c>
      <c r="B1041" s="36">
        <f t="shared" si="218"/>
        <v>1</v>
      </c>
      <c r="C1041" s="191">
        <f t="shared" si="219"/>
        <v>41282</v>
      </c>
      <c r="D1041" s="191" t="s">
        <v>1294</v>
      </c>
      <c r="E1041" s="37">
        <v>41282</v>
      </c>
      <c r="F1041" s="847"/>
      <c r="G1041" s="40" t="s">
        <v>734</v>
      </c>
      <c r="H1041" s="7" t="s">
        <v>1287</v>
      </c>
      <c r="I1041" s="305"/>
      <c r="J1041" s="802"/>
      <c r="K1041" s="602">
        <f t="shared" si="220"/>
        <v>0</v>
      </c>
      <c r="L1041" s="39" t="s">
        <v>165</v>
      </c>
      <c r="M1041" s="603" t="s">
        <v>159</v>
      </c>
      <c r="N1041" s="39" t="str">
        <f>IF(AND('331-CT'!$E$7=TH!H1041,OR(L1041="331",M1041="331")),"331",IF(AND(OR(L1041="131",M1041="131"),H1041='131-CT'!$E$7),"131",""))</f>
        <v/>
      </c>
      <c r="O1041" s="39" t="str">
        <f>IF(AND($B1041&gt;='111'!$N$11,$B1041&lt;='111'!$O$11,OR($L1041=$O$7,$M1041=$O$7)),"x","")</f>
        <v/>
      </c>
      <c r="P1041" s="39" t="str">
        <f>IF(AND($L1041=$O$7,$B1041&lt;'111'!$N$11),"x","")</f>
        <v/>
      </c>
      <c r="Q1041" s="39" t="str">
        <f>IF(AND($M1041=$O$7,$B1041&lt;'111'!$N$11),"x","")</f>
        <v/>
      </c>
      <c r="R1041" s="39" t="str">
        <f>IF(ISERROR(FIND('112'!$M$9,G1041,1)),"",IF((AND(FIND('112'!$M$9,G1041,1)&gt;=1,$B1041&gt;='112'!$N$8,$B1041&lt;='112'!$O$8,OR($L1041='112'!$I$6,$M1041='112'!$I$6))),"x",""))</f>
        <v/>
      </c>
      <c r="S1041" s="39" t="str">
        <f>IF(ISERROR(FIND('112'!$M$9,G1041,1)),"",IF((AND(LEFT(G1041,2)=LEFT('112'!$M$9,2),B1041&lt;'112'!$N$8,$L1041='112'!$I$6)),"x",""))</f>
        <v/>
      </c>
      <c r="T1041" s="39" t="str">
        <f>IF(ISERROR(FIND('112'!$M$9,G1041,1)),"",IF((AND(RIGHT(G1041,2)=RIGHT('112'!$M$9,2),B1041&lt;'112'!$N$8,$M1041='112'!$I$6)),"x",""))</f>
        <v/>
      </c>
      <c r="U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39" t="str">
        <f>IF(OR(TH!L1041=TH!$V$7,M1041=TH!$V$7),"x","")</f>
        <v/>
      </c>
      <c r="W1041" s="39" t="str">
        <f>IF(AND(B1041&gt;='IN-NX'!$P$3,B1041&lt;='IN-NX'!$Q$3,'IN-NX'!$D$7=D1041,OR(LEFT(L1041,2)="15",AND(LEFT(M1041,2)&lt;&gt;"15",LEFT(M1041,2)&lt;&gt;"33"))),"x","")</f>
        <v/>
      </c>
      <c r="X1041" s="39" t="str">
        <f>IF(AND(OR(LEFT(TH!L1041,2)="15",LEFT(TH!M1041,2)="15"),'152-CT'!$J$8=TH!F1041),"x","")</f>
        <v/>
      </c>
      <c r="Y1041" s="39" t="str">
        <f>IF(AND(OR(LEFT(TH!L1041,2)="15",LEFT(TH!M1041,2)="15"),TK!$E$7=TH!F1041),"x","")</f>
        <v/>
      </c>
      <c r="Z1041" s="39" t="str">
        <f>IF(AND(B1041&lt;=NKC!$N$8,B1041&gt;=NKC!$M$8),"x","")</f>
        <v/>
      </c>
      <c r="AA1041" s="886"/>
    </row>
    <row r="1042" spans="1:27" s="211" customFormat="1" ht="15.75" customHeight="1">
      <c r="A1042" s="204" t="str">
        <f>IF(B1042&lt;&gt;"",IF(AND(B1042&gt;=_TM1,B1042&lt;=_TM2,OR(TH!L1042="1111",TH!M1042="1111")),TH!D1042,""),"")</f>
        <v/>
      </c>
      <c r="B1042" s="36">
        <f t="shared" si="218"/>
        <v>1</v>
      </c>
      <c r="C1042" s="191">
        <f t="shared" si="219"/>
        <v>41285</v>
      </c>
      <c r="D1042" s="191" t="s">
        <v>1294</v>
      </c>
      <c r="E1042" s="37">
        <v>41285</v>
      </c>
      <c r="F1042" s="40"/>
      <c r="G1042" s="40" t="s">
        <v>742</v>
      </c>
      <c r="H1042" s="7" t="s">
        <v>1287</v>
      </c>
      <c r="I1042" s="305"/>
      <c r="J1042" s="804"/>
      <c r="K1042" s="602">
        <f t="shared" si="220"/>
        <v>0</v>
      </c>
      <c r="L1042" s="39" t="s">
        <v>165</v>
      </c>
      <c r="M1042" s="603" t="s">
        <v>159</v>
      </c>
      <c r="N1042" s="39" t="str">
        <f>IF(AND('331-CT'!$E$7=TH!H1042,OR(L1042="331",M1042="331")),"331",IF(AND(OR(L1042="131",M1042="131"),H1042='131-CT'!$E$7),"131",""))</f>
        <v/>
      </c>
      <c r="O1042" s="39" t="str">
        <f>IF(AND($B1042&gt;='111'!$N$11,$B1042&lt;='111'!$O$11,OR($L1042=$O$7,$M1042=$O$7)),"x","")</f>
        <v/>
      </c>
      <c r="P1042" s="39" t="str">
        <f>IF(AND($L1042=$O$7,$B1042&lt;'111'!$N$11),"x","")</f>
        <v/>
      </c>
      <c r="Q1042" s="39" t="str">
        <f>IF(AND($M1042=$O$7,$B1042&lt;'111'!$N$11),"x","")</f>
        <v/>
      </c>
      <c r="R1042" s="39" t="str">
        <f>IF(ISERROR(FIND('112'!$M$9,G1042,1)),"",IF((AND(FIND('112'!$M$9,G1042,1)&gt;=1,$B1042&gt;='112'!$N$8,$B1042&lt;='112'!$O$8,OR($L1042='112'!$I$6,$M1042='112'!$I$6))),"x",""))</f>
        <v/>
      </c>
      <c r="S1042" s="39" t="str">
        <f>IF(ISERROR(FIND('112'!$M$9,G1042,1)),"",IF((AND(LEFT(G1042,2)=LEFT('112'!$M$9,2),B1042&lt;'112'!$N$8,$L1042='112'!$I$6)),"x",""))</f>
        <v/>
      </c>
      <c r="T1042" s="39" t="str">
        <f>IF(ISERROR(FIND('112'!$M$9,G1042,1)),"",IF((AND(RIGHT(G1042,2)=RIGHT('112'!$M$9,2),B1042&lt;'112'!$N$8,$M1042='112'!$I$6)),"x",""))</f>
        <v/>
      </c>
      <c r="U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39" t="str">
        <f>IF(OR(TH!L1042=TH!$V$7,M1042=TH!$V$7),"x","")</f>
        <v/>
      </c>
      <c r="W1042" s="39" t="str">
        <f>IF(AND(B1042&gt;='IN-NX'!$P$3,B1042&lt;='IN-NX'!$Q$3,'IN-NX'!$D$7=D1042,OR(LEFT(L1042,2)="15",AND(LEFT(M1042,2)&lt;&gt;"15",LEFT(M1042,2)&lt;&gt;"33"))),"x","")</f>
        <v/>
      </c>
      <c r="X1042" s="39" t="str">
        <f>IF(AND(OR(LEFT(TH!L1042,2)="15",LEFT(TH!M1042,2)="15"),'152-CT'!$J$8=TH!F1042),"x","")</f>
        <v/>
      </c>
      <c r="Y1042" s="39" t="str">
        <f>IF(AND(OR(LEFT(TH!L1042,2)="15",LEFT(TH!M1042,2)="15"),TK!$E$7=TH!F1042),"x","")</f>
        <v/>
      </c>
      <c r="Z1042" s="39" t="str">
        <f>IF(AND(B1042&lt;=NKC!$N$8,B1042&gt;=NKC!$M$8),"x","")</f>
        <v/>
      </c>
      <c r="AA1042" s="886"/>
    </row>
    <row r="1043" spans="1:27" s="211" customFormat="1" ht="15.75" customHeight="1">
      <c r="A1043" s="204" t="str">
        <f>IF(B1043&lt;&gt;"",IF(AND(B1043&gt;=_TM1,B1043&lt;=_TM2,OR(TH!L1043="1111",TH!M1043="1111")),TH!D1043,""),"")</f>
        <v/>
      </c>
      <c r="B1043" s="36">
        <f t="shared" si="218"/>
        <v>1</v>
      </c>
      <c r="C1043" s="191">
        <f t="shared" si="219"/>
        <v>41287</v>
      </c>
      <c r="D1043" s="191" t="s">
        <v>1294</v>
      </c>
      <c r="E1043" s="37">
        <v>41287</v>
      </c>
      <c r="F1043" s="189"/>
      <c r="G1043" s="40" t="s">
        <v>745</v>
      </c>
      <c r="H1043" s="7" t="s">
        <v>1287</v>
      </c>
      <c r="I1043" s="305"/>
      <c r="J1043" s="804"/>
      <c r="K1043" s="602">
        <f t="shared" si="220"/>
        <v>0</v>
      </c>
      <c r="L1043" s="39" t="s">
        <v>165</v>
      </c>
      <c r="M1043" s="603" t="s">
        <v>159</v>
      </c>
      <c r="N1043" s="39" t="str">
        <f>IF(AND('331-CT'!$E$7=TH!H1043,OR(L1043="331",M1043="331")),"331",IF(AND(OR(L1043="131",M1043="131"),H1043='131-CT'!$E$7),"131",""))</f>
        <v/>
      </c>
      <c r="O1043" s="39" t="str">
        <f>IF(AND($B1043&gt;='111'!$N$11,$B1043&lt;='111'!$O$11,OR($L1043=$O$7,$M1043=$O$7)),"x","")</f>
        <v/>
      </c>
      <c r="P1043" s="39" t="str">
        <f>IF(AND($L1043=$O$7,$B1043&lt;'111'!$N$11),"x","")</f>
        <v/>
      </c>
      <c r="Q1043" s="39" t="str">
        <f>IF(AND($M1043=$O$7,$B1043&lt;'111'!$N$11),"x","")</f>
        <v/>
      </c>
      <c r="R1043" s="39" t="str">
        <f>IF(ISERROR(FIND('112'!$M$9,G1043,1)),"",IF((AND(FIND('112'!$M$9,G1043,1)&gt;=1,$B1043&gt;='112'!$N$8,$B1043&lt;='112'!$O$8,OR($L1043='112'!$I$6,$M1043='112'!$I$6))),"x",""))</f>
        <v/>
      </c>
      <c r="S1043" s="39" t="str">
        <f>IF(ISERROR(FIND('112'!$M$9,G1043,1)),"",IF((AND(LEFT(G1043,2)=LEFT('112'!$M$9,2),B1043&lt;'112'!$N$8,$L1043='112'!$I$6)),"x",""))</f>
        <v/>
      </c>
      <c r="T1043" s="39" t="str">
        <f>IF(ISERROR(FIND('112'!$M$9,G1043,1)),"",IF((AND(RIGHT(G1043,2)=RIGHT('112'!$M$9,2),B1043&lt;'112'!$N$8,$M1043='112'!$I$6)),"x",""))</f>
        <v/>
      </c>
      <c r="U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39" t="str">
        <f>IF(OR(TH!L1043=TH!$V$7,M1043=TH!$V$7),"x","")</f>
        <v/>
      </c>
      <c r="W1043" s="39" t="str">
        <f>IF(AND(B1043&gt;='IN-NX'!$P$3,B1043&lt;='IN-NX'!$Q$3,'IN-NX'!$D$7=D1043,OR(LEFT(L1043,2)="15",AND(LEFT(M1043,2)&lt;&gt;"15",LEFT(M1043,2)&lt;&gt;"33"))),"x","")</f>
        <v/>
      </c>
      <c r="X1043" s="39" t="str">
        <f>IF(AND(OR(LEFT(TH!L1043,2)="15",LEFT(TH!M1043,2)="15"),'152-CT'!$J$8=TH!F1043),"x","")</f>
        <v/>
      </c>
      <c r="Y1043" s="39" t="str">
        <f>IF(AND(OR(LEFT(TH!L1043,2)="15",LEFT(TH!M1043,2)="15"),TK!$E$7=TH!F1043),"x","")</f>
        <v/>
      </c>
      <c r="Z1043" s="39" t="str">
        <f>IF(AND(B1043&lt;=NKC!$N$8,B1043&gt;=NKC!$M$8),"x","")</f>
        <v/>
      </c>
      <c r="AA1043" s="886"/>
    </row>
    <row r="1044" spans="1:27" s="211" customFormat="1" ht="15.75" customHeight="1">
      <c r="A1044" s="204" t="str">
        <f>IF(B1044&lt;&gt;"",IF(AND(B1044&gt;=_TM1,B1044&lt;=_TM2,OR(TH!L1044="1111",TH!M1044="1111")),TH!D1044,""),"")</f>
        <v/>
      </c>
      <c r="B1044" s="36">
        <f t="shared" si="218"/>
        <v>1</v>
      </c>
      <c r="C1044" s="191">
        <f t="shared" si="219"/>
        <v>41289</v>
      </c>
      <c r="D1044" s="191" t="s">
        <v>1294</v>
      </c>
      <c r="E1044" s="37">
        <v>41289</v>
      </c>
      <c r="F1044" s="40"/>
      <c r="G1044" s="40" t="s">
        <v>748</v>
      </c>
      <c r="H1044" s="7" t="s">
        <v>1287</v>
      </c>
      <c r="I1044" s="305"/>
      <c r="J1044" s="804"/>
      <c r="K1044" s="602">
        <f t="shared" si="220"/>
        <v>0</v>
      </c>
      <c r="L1044" s="39" t="s">
        <v>165</v>
      </c>
      <c r="M1044" s="603" t="s">
        <v>159</v>
      </c>
      <c r="N1044" s="39" t="str">
        <f>IF(AND('331-CT'!$E$7=TH!H1044,OR(L1044="331",M1044="331")),"331",IF(AND(OR(L1044="131",M1044="131"),H1044='131-CT'!$E$7),"131",""))</f>
        <v/>
      </c>
      <c r="O1044" s="39" t="str">
        <f>IF(AND($B1044&gt;='111'!$N$11,$B1044&lt;='111'!$O$11,OR($L1044=$O$7,$M1044=$O$7)),"x","")</f>
        <v/>
      </c>
      <c r="P1044" s="39" t="str">
        <f>IF(AND($L1044=$O$7,$B1044&lt;'111'!$N$11),"x","")</f>
        <v/>
      </c>
      <c r="Q1044" s="39" t="str">
        <f>IF(AND($M1044=$O$7,$B1044&lt;'111'!$N$11),"x","")</f>
        <v/>
      </c>
      <c r="R1044" s="39" t="str">
        <f>IF(ISERROR(FIND('112'!$M$9,G1044,1)),"",IF((AND(FIND('112'!$M$9,G1044,1)&gt;=1,$B1044&gt;='112'!$N$8,$B1044&lt;='112'!$O$8,OR($L1044='112'!$I$6,$M1044='112'!$I$6))),"x",""))</f>
        <v/>
      </c>
      <c r="S1044" s="39" t="str">
        <f>IF(ISERROR(FIND('112'!$M$9,G1044,1)),"",IF((AND(LEFT(G1044,2)=LEFT('112'!$M$9,2),B1044&lt;'112'!$N$8,$L1044='112'!$I$6)),"x",""))</f>
        <v/>
      </c>
      <c r="T1044" s="39" t="str">
        <f>IF(ISERROR(FIND('112'!$M$9,G1044,1)),"",IF((AND(RIGHT(G1044,2)=RIGHT('112'!$M$9,2),B1044&lt;'112'!$N$8,$M1044='112'!$I$6)),"x",""))</f>
        <v/>
      </c>
      <c r="U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39" t="str">
        <f>IF(OR(TH!L1044=TH!$V$7,M1044=TH!$V$7),"x","")</f>
        <v/>
      </c>
      <c r="W1044" s="39" t="str">
        <f>IF(AND(B1044&gt;='IN-NX'!$P$3,B1044&lt;='IN-NX'!$Q$3,'IN-NX'!$D$7=D1044,OR(LEFT(L1044,2)="15",AND(LEFT(M1044,2)&lt;&gt;"15",LEFT(M1044,2)&lt;&gt;"33"))),"x","")</f>
        <v/>
      </c>
      <c r="X1044" s="39" t="str">
        <f>IF(AND(OR(LEFT(TH!L1044,2)="15",LEFT(TH!M1044,2)="15"),'152-CT'!$J$8=TH!F1044),"x","")</f>
        <v/>
      </c>
      <c r="Y1044" s="39" t="str">
        <f>IF(AND(OR(LEFT(TH!L1044,2)="15",LEFT(TH!M1044,2)="15"),TK!$E$7=TH!F1044),"x","")</f>
        <v/>
      </c>
      <c r="Z1044" s="39" t="str">
        <f>IF(AND(B1044&lt;=NKC!$N$8,B1044&gt;=NKC!$M$8),"x","")</f>
        <v/>
      </c>
      <c r="AA1044" s="886"/>
    </row>
    <row r="1045" spans="1:27" s="211" customFormat="1" ht="15.75" customHeight="1">
      <c r="A1045" s="204" t="str">
        <f>IF(B1045&lt;&gt;"",IF(AND(B1045&gt;=_TM1,B1045&lt;=_TM2,OR(TH!L1045="1111",TH!M1045="1111")),TH!D1045,""),"")</f>
        <v/>
      </c>
      <c r="B1045" s="36">
        <f t="shared" si="218"/>
        <v>1</v>
      </c>
      <c r="C1045" s="191">
        <f t="shared" si="219"/>
        <v>41289</v>
      </c>
      <c r="D1045" s="191" t="s">
        <v>1294</v>
      </c>
      <c r="E1045" s="37">
        <v>41289</v>
      </c>
      <c r="F1045" s="295"/>
      <c r="G1045" s="40" t="s">
        <v>750</v>
      </c>
      <c r="H1045" s="7" t="s">
        <v>1287</v>
      </c>
      <c r="I1045" s="305"/>
      <c r="J1045" s="802"/>
      <c r="K1045" s="602">
        <f t="shared" si="220"/>
        <v>0</v>
      </c>
      <c r="L1045" s="39" t="s">
        <v>165</v>
      </c>
      <c r="M1045" s="603" t="s">
        <v>159</v>
      </c>
      <c r="N1045" s="39" t="str">
        <f>IF(AND('331-CT'!$E$7=TH!H1045,OR(L1045="331",M1045="331")),"331",IF(AND(OR(L1045="131",M1045="131"),H1045='131-CT'!$E$7),"131",""))</f>
        <v/>
      </c>
      <c r="O1045" s="39" t="str">
        <f>IF(AND($B1045&gt;='111'!$N$11,$B1045&lt;='111'!$O$11,OR($L1045=$O$7,$M1045=$O$7)),"x","")</f>
        <v/>
      </c>
      <c r="P1045" s="39" t="str">
        <f>IF(AND($L1045=$O$7,$B1045&lt;'111'!$N$11),"x","")</f>
        <v/>
      </c>
      <c r="Q1045" s="39" t="str">
        <f>IF(AND($M1045=$O$7,$B1045&lt;'111'!$N$11),"x","")</f>
        <v/>
      </c>
      <c r="R1045" s="39" t="str">
        <f>IF(ISERROR(FIND('112'!$M$9,G1045,1)),"",IF((AND(FIND('112'!$M$9,G1045,1)&gt;=1,$B1045&gt;='112'!$N$8,$B1045&lt;='112'!$O$8,OR($L1045='112'!$I$6,$M1045='112'!$I$6))),"x",""))</f>
        <v/>
      </c>
      <c r="S1045" s="39" t="str">
        <f>IF(ISERROR(FIND('112'!$M$9,G1045,1)),"",IF((AND(LEFT(G1045,2)=LEFT('112'!$M$9,2),B1045&lt;'112'!$N$8,$L1045='112'!$I$6)),"x",""))</f>
        <v/>
      </c>
      <c r="T1045" s="39" t="str">
        <f>IF(ISERROR(FIND('112'!$M$9,G1045,1)),"",IF((AND(RIGHT(G1045,2)=RIGHT('112'!$M$9,2),B1045&lt;'112'!$N$8,$M1045='112'!$I$6)),"x",""))</f>
        <v/>
      </c>
      <c r="U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39" t="str">
        <f>IF(OR(TH!L1045=TH!$V$7,M1045=TH!$V$7),"x","")</f>
        <v/>
      </c>
      <c r="W1045" s="39" t="str">
        <f>IF(AND(B1045&gt;='IN-NX'!$P$3,B1045&lt;='IN-NX'!$Q$3,'IN-NX'!$D$7=D1045,OR(LEFT(L1045,2)="15",AND(LEFT(M1045,2)&lt;&gt;"15",LEFT(M1045,2)&lt;&gt;"33"))),"x","")</f>
        <v/>
      </c>
      <c r="X1045" s="39" t="str">
        <f>IF(AND(OR(LEFT(TH!L1045,2)="15",LEFT(TH!M1045,2)="15"),'152-CT'!$J$8=TH!F1045),"x","")</f>
        <v/>
      </c>
      <c r="Y1045" s="39" t="str">
        <f>IF(AND(OR(LEFT(TH!L1045,2)="15",LEFT(TH!M1045,2)="15"),TK!$E$7=TH!F1045),"x","")</f>
        <v/>
      </c>
      <c r="Z1045" s="39" t="str">
        <f>IF(AND(B1045&lt;=NKC!$N$8,B1045&gt;=NKC!$M$8),"x","")</f>
        <v/>
      </c>
      <c r="AA1045" s="886"/>
    </row>
    <row r="1046" spans="1:27" s="211" customFormat="1" ht="15.75" customHeight="1">
      <c r="A1046" s="204" t="str">
        <f>IF(B1046&lt;&gt;"",IF(AND(B1046&gt;=_TM1,B1046&lt;=_TM2,OR(TH!L1046="1111",TH!M1046="1111")),TH!D1046,""),"")</f>
        <v/>
      </c>
      <c r="B1046" s="36">
        <f t="shared" si="218"/>
        <v>1</v>
      </c>
      <c r="C1046" s="191">
        <f t="shared" si="219"/>
        <v>41289</v>
      </c>
      <c r="D1046" s="191" t="s">
        <v>1294</v>
      </c>
      <c r="E1046" s="37">
        <v>41289</v>
      </c>
      <c r="F1046" s="40"/>
      <c r="G1046" s="40" t="s">
        <v>750</v>
      </c>
      <c r="H1046" s="7" t="s">
        <v>1287</v>
      </c>
      <c r="I1046" s="305"/>
      <c r="J1046" s="804"/>
      <c r="K1046" s="602">
        <f t="shared" si="220"/>
        <v>0</v>
      </c>
      <c r="L1046" s="39" t="s">
        <v>165</v>
      </c>
      <c r="M1046" s="603" t="s">
        <v>159</v>
      </c>
      <c r="N1046" s="39" t="str">
        <f>IF(AND('331-CT'!$E$7=TH!H1046,OR(L1046="331",M1046="331")),"331",IF(AND(OR(L1046="131",M1046="131"),H1046='131-CT'!$E$7),"131",""))</f>
        <v/>
      </c>
      <c r="O1046" s="39" t="str">
        <f>IF(AND($B1046&gt;='111'!$N$11,$B1046&lt;='111'!$O$11,OR($L1046=$O$7,$M1046=$O$7)),"x","")</f>
        <v/>
      </c>
      <c r="P1046" s="39" t="str">
        <f>IF(AND($L1046=$O$7,$B1046&lt;'111'!$N$11),"x","")</f>
        <v/>
      </c>
      <c r="Q1046" s="39" t="str">
        <f>IF(AND($M1046=$O$7,$B1046&lt;'111'!$N$11),"x","")</f>
        <v/>
      </c>
      <c r="R1046" s="39" t="str">
        <f>IF(ISERROR(FIND('112'!$M$9,G1046,1)),"",IF((AND(FIND('112'!$M$9,G1046,1)&gt;=1,$B1046&gt;='112'!$N$8,$B1046&lt;='112'!$O$8,OR($L1046='112'!$I$6,$M1046='112'!$I$6))),"x",""))</f>
        <v/>
      </c>
      <c r="S1046" s="39" t="str">
        <f>IF(ISERROR(FIND('112'!$M$9,G1046,1)),"",IF((AND(LEFT(G1046,2)=LEFT('112'!$M$9,2),B1046&lt;'112'!$N$8,$L1046='112'!$I$6)),"x",""))</f>
        <v/>
      </c>
      <c r="T1046" s="39" t="str">
        <f>IF(ISERROR(FIND('112'!$M$9,G1046,1)),"",IF((AND(RIGHT(G1046,2)=RIGHT('112'!$M$9,2),B1046&lt;'112'!$N$8,$M1046='112'!$I$6)),"x",""))</f>
        <v/>
      </c>
      <c r="U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39" t="str">
        <f>IF(OR(TH!L1046=TH!$V$7,M1046=TH!$V$7),"x","")</f>
        <v/>
      </c>
      <c r="W1046" s="39" t="str">
        <f>IF(AND(B1046&gt;='IN-NX'!$P$3,B1046&lt;='IN-NX'!$Q$3,'IN-NX'!$D$7=D1046,OR(LEFT(L1046,2)="15",AND(LEFT(M1046,2)&lt;&gt;"15",LEFT(M1046,2)&lt;&gt;"33"))),"x","")</f>
        <v/>
      </c>
      <c r="X1046" s="39" t="str">
        <f>IF(AND(OR(LEFT(TH!L1046,2)="15",LEFT(TH!M1046,2)="15"),'152-CT'!$J$8=TH!F1046),"x","")</f>
        <v/>
      </c>
      <c r="Y1046" s="39" t="str">
        <f>IF(AND(OR(LEFT(TH!L1046,2)="15",LEFT(TH!M1046,2)="15"),TK!$E$7=TH!F1046),"x","")</f>
        <v/>
      </c>
      <c r="Z1046" s="39" t="str">
        <f>IF(AND(B1046&lt;=NKC!$N$8,B1046&gt;=NKC!$M$8),"x","")</f>
        <v/>
      </c>
      <c r="AA1046" s="886"/>
    </row>
    <row r="1047" spans="1:27" s="211" customFormat="1" ht="15.75" customHeight="1">
      <c r="A1047" s="204" t="str">
        <f>IF(B1047&lt;&gt;"",IF(AND(B1047&gt;=_TM1,B1047&lt;=_TM2,OR(TH!L1047="1111",TH!M1047="1111")),TH!D1047,""),"")</f>
        <v/>
      </c>
      <c r="B1047" s="36">
        <f t="shared" si="218"/>
        <v>1</v>
      </c>
      <c r="C1047" s="191">
        <f t="shared" si="219"/>
        <v>41290</v>
      </c>
      <c r="D1047" s="191" t="s">
        <v>1294</v>
      </c>
      <c r="E1047" s="37">
        <v>41290</v>
      </c>
      <c r="F1047" s="189"/>
      <c r="G1047" s="40" t="s">
        <v>753</v>
      </c>
      <c r="H1047" s="7" t="s">
        <v>1287</v>
      </c>
      <c r="I1047" s="305"/>
      <c r="J1047" s="804"/>
      <c r="K1047" s="602">
        <f t="shared" si="220"/>
        <v>0</v>
      </c>
      <c r="L1047" s="39" t="s">
        <v>165</v>
      </c>
      <c r="M1047" s="603" t="s">
        <v>159</v>
      </c>
      <c r="N1047" s="39" t="str">
        <f>IF(AND('331-CT'!$E$7=TH!H1047,OR(L1047="331",M1047="331")),"331",IF(AND(OR(L1047="131",M1047="131"),H1047='131-CT'!$E$7),"131",""))</f>
        <v/>
      </c>
      <c r="O1047" s="39" t="str">
        <f>IF(AND($B1047&gt;='111'!$N$11,$B1047&lt;='111'!$O$11,OR($L1047=$O$7,$M1047=$O$7)),"x","")</f>
        <v/>
      </c>
      <c r="P1047" s="39" t="str">
        <f>IF(AND($L1047=$O$7,$B1047&lt;'111'!$N$11),"x","")</f>
        <v/>
      </c>
      <c r="Q1047" s="39" t="str">
        <f>IF(AND($M1047=$O$7,$B1047&lt;'111'!$N$11),"x","")</f>
        <v/>
      </c>
      <c r="R1047" s="39" t="str">
        <f>IF(ISERROR(FIND('112'!$M$9,G1047,1)),"",IF((AND(FIND('112'!$M$9,G1047,1)&gt;=1,$B1047&gt;='112'!$N$8,$B1047&lt;='112'!$O$8,OR($L1047='112'!$I$6,$M1047='112'!$I$6))),"x",""))</f>
        <v/>
      </c>
      <c r="S1047" s="39" t="str">
        <f>IF(ISERROR(FIND('112'!$M$9,G1047,1)),"",IF((AND(LEFT(G1047,2)=LEFT('112'!$M$9,2),B1047&lt;'112'!$N$8,$L1047='112'!$I$6)),"x",""))</f>
        <v/>
      </c>
      <c r="T1047" s="39" t="str">
        <f>IF(ISERROR(FIND('112'!$M$9,G1047,1)),"",IF((AND(RIGHT(G1047,2)=RIGHT('112'!$M$9,2),B1047&lt;'112'!$N$8,$M1047='112'!$I$6)),"x",""))</f>
        <v/>
      </c>
      <c r="U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39" t="str">
        <f>IF(OR(TH!L1047=TH!$V$7,M1047=TH!$V$7),"x","")</f>
        <v/>
      </c>
      <c r="W1047" s="39" t="str">
        <f>IF(AND(B1047&gt;='IN-NX'!$P$3,B1047&lt;='IN-NX'!$Q$3,'IN-NX'!$D$7=D1047,OR(LEFT(L1047,2)="15",AND(LEFT(M1047,2)&lt;&gt;"15",LEFT(M1047,2)&lt;&gt;"33"))),"x","")</f>
        <v/>
      </c>
      <c r="X1047" s="39" t="str">
        <f>IF(AND(OR(LEFT(TH!L1047,2)="15",LEFT(TH!M1047,2)="15"),'152-CT'!$J$8=TH!F1047),"x","")</f>
        <v/>
      </c>
      <c r="Y1047" s="39" t="str">
        <f>IF(AND(OR(LEFT(TH!L1047,2)="15",LEFT(TH!M1047,2)="15"),TK!$E$7=TH!F1047),"x","")</f>
        <v/>
      </c>
      <c r="Z1047" s="39" t="str">
        <f>IF(AND(B1047&lt;=NKC!$N$8,B1047&gt;=NKC!$M$8),"x","")</f>
        <v/>
      </c>
      <c r="AA1047" s="886"/>
    </row>
    <row r="1048" spans="1:27" s="211" customFormat="1" ht="15.75" customHeight="1">
      <c r="A1048" s="204" t="str">
        <f>IF(B1048&lt;&gt;"",IF(AND(B1048&gt;=_TM1,B1048&lt;=_TM2,OR(TH!L1048="1111",TH!M1048="1111")),TH!D1048,""),"")</f>
        <v/>
      </c>
      <c r="B1048" s="36">
        <f t="shared" si="218"/>
        <v>1</v>
      </c>
      <c r="C1048" s="191">
        <f t="shared" si="219"/>
        <v>41290</v>
      </c>
      <c r="D1048" s="191" t="s">
        <v>1294</v>
      </c>
      <c r="E1048" s="37">
        <v>41290</v>
      </c>
      <c r="F1048" s="189"/>
      <c r="G1048" s="40" t="s">
        <v>753</v>
      </c>
      <c r="H1048" s="7" t="s">
        <v>1287</v>
      </c>
      <c r="I1048" s="305"/>
      <c r="J1048" s="804"/>
      <c r="K1048" s="602">
        <f t="shared" si="220"/>
        <v>0</v>
      </c>
      <c r="L1048" s="39" t="s">
        <v>165</v>
      </c>
      <c r="M1048" s="603" t="s">
        <v>159</v>
      </c>
      <c r="N1048" s="39" t="str">
        <f>IF(AND('331-CT'!$E$7=TH!H1048,OR(L1048="331",M1048="331")),"331",IF(AND(OR(L1048="131",M1048="131"),H1048='131-CT'!$E$7),"131",""))</f>
        <v/>
      </c>
      <c r="O1048" s="39" t="str">
        <f>IF(AND($B1048&gt;='111'!$N$11,$B1048&lt;='111'!$O$11,OR($L1048=$O$7,$M1048=$O$7)),"x","")</f>
        <v/>
      </c>
      <c r="P1048" s="39" t="str">
        <f>IF(AND($L1048=$O$7,$B1048&lt;'111'!$N$11),"x","")</f>
        <v/>
      </c>
      <c r="Q1048" s="39" t="str">
        <f>IF(AND($M1048=$O$7,$B1048&lt;'111'!$N$11),"x","")</f>
        <v/>
      </c>
      <c r="R1048" s="39" t="str">
        <f>IF(ISERROR(FIND('112'!$M$9,G1048,1)),"",IF((AND(FIND('112'!$M$9,G1048,1)&gt;=1,$B1048&gt;='112'!$N$8,$B1048&lt;='112'!$O$8,OR($L1048='112'!$I$6,$M1048='112'!$I$6))),"x",""))</f>
        <v/>
      </c>
      <c r="S1048" s="39" t="str">
        <f>IF(ISERROR(FIND('112'!$M$9,G1048,1)),"",IF((AND(LEFT(G1048,2)=LEFT('112'!$M$9,2),B1048&lt;'112'!$N$8,$L1048='112'!$I$6)),"x",""))</f>
        <v/>
      </c>
      <c r="T1048" s="39" t="str">
        <f>IF(ISERROR(FIND('112'!$M$9,G1048,1)),"",IF((AND(RIGHT(G1048,2)=RIGHT('112'!$M$9,2),B1048&lt;'112'!$N$8,$M1048='112'!$I$6)),"x",""))</f>
        <v/>
      </c>
      <c r="U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39" t="str">
        <f>IF(OR(TH!L1048=TH!$V$7,M1048=TH!$V$7),"x","")</f>
        <v/>
      </c>
      <c r="W1048" s="39" t="str">
        <f>IF(AND(B1048&gt;='IN-NX'!$P$3,B1048&lt;='IN-NX'!$Q$3,'IN-NX'!$D$7=D1048,OR(LEFT(L1048,2)="15",AND(LEFT(M1048,2)&lt;&gt;"15",LEFT(M1048,2)&lt;&gt;"33"))),"x","")</f>
        <v/>
      </c>
      <c r="X1048" s="39" t="str">
        <f>IF(AND(OR(LEFT(TH!L1048,2)="15",LEFT(TH!M1048,2)="15"),'152-CT'!$J$8=TH!F1048),"x","")</f>
        <v/>
      </c>
      <c r="Y1048" s="39" t="str">
        <f>IF(AND(OR(LEFT(TH!L1048,2)="15",LEFT(TH!M1048,2)="15"),TK!$E$7=TH!F1048),"x","")</f>
        <v/>
      </c>
      <c r="Z1048" s="39" t="str">
        <f>IF(AND(B1048&lt;=NKC!$N$8,B1048&gt;=NKC!$M$8),"x","")</f>
        <v/>
      </c>
      <c r="AA1048" s="886"/>
    </row>
    <row r="1049" spans="1:27" s="211" customFormat="1" ht="15.75" customHeight="1">
      <c r="A1049" s="204" t="str">
        <f>IF(B1049&lt;&gt;"",IF(AND(B1049&gt;=_TM1,B1049&lt;=_TM2,OR(TH!L1049="1111",TH!M1049="1111")),TH!D1049,""),"")</f>
        <v/>
      </c>
      <c r="B1049" s="36">
        <f t="shared" si="218"/>
        <v>1</v>
      </c>
      <c r="C1049" s="191">
        <f t="shared" si="219"/>
        <v>41290</v>
      </c>
      <c r="D1049" s="191" t="s">
        <v>1294</v>
      </c>
      <c r="E1049" s="37">
        <v>41290</v>
      </c>
      <c r="F1049" s="189"/>
      <c r="G1049" s="40" t="s">
        <v>753</v>
      </c>
      <c r="H1049" s="7" t="s">
        <v>1287</v>
      </c>
      <c r="I1049" s="305"/>
      <c r="J1049" s="804"/>
      <c r="K1049" s="602">
        <f t="shared" si="220"/>
        <v>0</v>
      </c>
      <c r="L1049" s="39" t="s">
        <v>165</v>
      </c>
      <c r="M1049" s="603" t="s">
        <v>159</v>
      </c>
      <c r="N1049" s="39" t="str">
        <f>IF(AND('331-CT'!$E$7=TH!H1049,OR(L1049="331",M1049="331")),"331",IF(AND(OR(L1049="131",M1049="131"),H1049='131-CT'!$E$7),"131",""))</f>
        <v/>
      </c>
      <c r="O1049" s="39" t="str">
        <f>IF(AND($B1049&gt;='111'!$N$11,$B1049&lt;='111'!$O$11,OR($L1049=$O$7,$M1049=$O$7)),"x","")</f>
        <v/>
      </c>
      <c r="P1049" s="39" t="str">
        <f>IF(AND($L1049=$O$7,$B1049&lt;'111'!$N$11),"x","")</f>
        <v/>
      </c>
      <c r="Q1049" s="39" t="str">
        <f>IF(AND($M1049=$O$7,$B1049&lt;'111'!$N$11),"x","")</f>
        <v/>
      </c>
      <c r="R1049" s="39" t="str">
        <f>IF(ISERROR(FIND('112'!$M$9,G1049,1)),"",IF((AND(FIND('112'!$M$9,G1049,1)&gt;=1,$B1049&gt;='112'!$N$8,$B1049&lt;='112'!$O$8,OR($L1049='112'!$I$6,$M1049='112'!$I$6))),"x",""))</f>
        <v/>
      </c>
      <c r="S1049" s="39" t="str">
        <f>IF(ISERROR(FIND('112'!$M$9,G1049,1)),"",IF((AND(LEFT(G1049,2)=LEFT('112'!$M$9,2),B1049&lt;'112'!$N$8,$L1049='112'!$I$6)),"x",""))</f>
        <v/>
      </c>
      <c r="T1049" s="39" t="str">
        <f>IF(ISERROR(FIND('112'!$M$9,G1049,1)),"",IF((AND(RIGHT(G1049,2)=RIGHT('112'!$M$9,2),B1049&lt;'112'!$N$8,$M1049='112'!$I$6)),"x",""))</f>
        <v/>
      </c>
      <c r="U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39" t="str">
        <f>IF(OR(TH!L1049=TH!$V$7,M1049=TH!$V$7),"x","")</f>
        <v/>
      </c>
      <c r="W1049" s="39" t="str">
        <f>IF(AND(B1049&gt;='IN-NX'!$P$3,B1049&lt;='IN-NX'!$Q$3,'IN-NX'!$D$7=D1049,OR(LEFT(L1049,2)="15",AND(LEFT(M1049,2)&lt;&gt;"15",LEFT(M1049,2)&lt;&gt;"33"))),"x","")</f>
        <v/>
      </c>
      <c r="X1049" s="39" t="str">
        <f>IF(AND(OR(LEFT(TH!L1049,2)="15",LEFT(TH!M1049,2)="15"),'152-CT'!$J$8=TH!F1049),"x","")</f>
        <v/>
      </c>
      <c r="Y1049" s="39" t="str">
        <f>IF(AND(OR(LEFT(TH!L1049,2)="15",LEFT(TH!M1049,2)="15"),TK!$E$7=TH!F1049),"x","")</f>
        <v/>
      </c>
      <c r="Z1049" s="39" t="str">
        <f>IF(AND(B1049&lt;=NKC!$N$8,B1049&gt;=NKC!$M$8),"x","")</f>
        <v/>
      </c>
      <c r="AA1049" s="886"/>
    </row>
    <row r="1050" spans="1:27" s="211" customFormat="1" ht="15.75" customHeight="1">
      <c r="A1050" s="204" t="str">
        <f>IF(B1050&lt;&gt;"",IF(AND(B1050&gt;=_TM1,B1050&lt;=_TM2,OR(TH!L1050="1111",TH!M1050="1111")),TH!D1050,""),"")</f>
        <v/>
      </c>
      <c r="B1050" s="36">
        <f t="shared" si="218"/>
        <v>1</v>
      </c>
      <c r="C1050" s="191">
        <f t="shared" si="219"/>
        <v>41290</v>
      </c>
      <c r="D1050" s="191" t="s">
        <v>1294</v>
      </c>
      <c r="E1050" s="37">
        <v>41290</v>
      </c>
      <c r="F1050" s="189"/>
      <c r="G1050" s="40" t="s">
        <v>753</v>
      </c>
      <c r="H1050" s="7" t="s">
        <v>1287</v>
      </c>
      <c r="I1050" s="305"/>
      <c r="J1050" s="804"/>
      <c r="K1050" s="602">
        <f t="shared" si="220"/>
        <v>0</v>
      </c>
      <c r="L1050" s="39" t="s">
        <v>165</v>
      </c>
      <c r="M1050" s="603" t="s">
        <v>159</v>
      </c>
      <c r="N1050" s="39" t="str">
        <f>IF(AND('331-CT'!$E$7=TH!H1050,OR(L1050="331",M1050="331")),"331",IF(AND(OR(L1050="131",M1050="131"),H1050='131-CT'!$E$7),"131",""))</f>
        <v/>
      </c>
      <c r="O1050" s="39" t="str">
        <f>IF(AND($B1050&gt;='111'!$N$11,$B1050&lt;='111'!$O$11,OR($L1050=$O$7,$M1050=$O$7)),"x","")</f>
        <v/>
      </c>
      <c r="P1050" s="39" t="str">
        <f>IF(AND($L1050=$O$7,$B1050&lt;'111'!$N$11),"x","")</f>
        <v/>
      </c>
      <c r="Q1050" s="39" t="str">
        <f>IF(AND($M1050=$O$7,$B1050&lt;'111'!$N$11),"x","")</f>
        <v/>
      </c>
      <c r="R1050" s="39" t="str">
        <f>IF(ISERROR(FIND('112'!$M$9,G1050,1)),"",IF((AND(FIND('112'!$M$9,G1050,1)&gt;=1,$B1050&gt;='112'!$N$8,$B1050&lt;='112'!$O$8,OR($L1050='112'!$I$6,$M1050='112'!$I$6))),"x",""))</f>
        <v/>
      </c>
      <c r="S1050" s="39" t="str">
        <f>IF(ISERROR(FIND('112'!$M$9,G1050,1)),"",IF((AND(LEFT(G1050,2)=LEFT('112'!$M$9,2),B1050&lt;'112'!$N$8,$L1050='112'!$I$6)),"x",""))</f>
        <v/>
      </c>
      <c r="T1050" s="39" t="str">
        <f>IF(ISERROR(FIND('112'!$M$9,G1050,1)),"",IF((AND(RIGHT(G1050,2)=RIGHT('112'!$M$9,2),B1050&lt;'112'!$N$8,$M1050='112'!$I$6)),"x",""))</f>
        <v/>
      </c>
      <c r="U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39" t="str">
        <f>IF(OR(TH!L1050=TH!$V$7,M1050=TH!$V$7),"x","")</f>
        <v/>
      </c>
      <c r="W1050" s="39" t="str">
        <f>IF(AND(B1050&gt;='IN-NX'!$P$3,B1050&lt;='IN-NX'!$Q$3,'IN-NX'!$D$7=D1050,OR(LEFT(L1050,2)="15",AND(LEFT(M1050,2)&lt;&gt;"15",LEFT(M1050,2)&lt;&gt;"33"))),"x","")</f>
        <v/>
      </c>
      <c r="X1050" s="39" t="str">
        <f>IF(AND(OR(LEFT(TH!L1050,2)="15",LEFT(TH!M1050,2)="15"),'152-CT'!$J$8=TH!F1050),"x","")</f>
        <v/>
      </c>
      <c r="Y1050" s="39" t="str">
        <f>IF(AND(OR(LEFT(TH!L1050,2)="15",LEFT(TH!M1050,2)="15"),TK!$E$7=TH!F1050),"x","")</f>
        <v/>
      </c>
      <c r="Z1050" s="39" t="str">
        <f>IF(AND(B1050&lt;=NKC!$N$8,B1050&gt;=NKC!$M$8),"x","")</f>
        <v/>
      </c>
      <c r="AA1050" s="886"/>
    </row>
    <row r="1051" spans="1:27" s="211" customFormat="1" ht="15.75" customHeight="1">
      <c r="A1051" s="204" t="str">
        <f>IF(B1051&lt;&gt;"",IF(AND(B1051&gt;=_TM1,B1051&lt;=_TM2,OR(TH!L1051="1111",TH!M1051="1111")),TH!D1051,""),"")</f>
        <v/>
      </c>
      <c r="B1051" s="36">
        <f t="shared" si="218"/>
        <v>1</v>
      </c>
      <c r="C1051" s="191">
        <f t="shared" si="219"/>
        <v>41294</v>
      </c>
      <c r="D1051" s="191" t="s">
        <v>1294</v>
      </c>
      <c r="E1051" s="37">
        <v>41294</v>
      </c>
      <c r="F1051" s="192"/>
      <c r="G1051" s="40" t="s">
        <v>758</v>
      </c>
      <c r="H1051" s="7" t="s">
        <v>1287</v>
      </c>
      <c r="I1051" s="305"/>
      <c r="J1051" s="848"/>
      <c r="K1051" s="602">
        <f t="shared" si="220"/>
        <v>0</v>
      </c>
      <c r="L1051" s="39" t="s">
        <v>165</v>
      </c>
      <c r="M1051" s="603" t="s">
        <v>159</v>
      </c>
      <c r="N1051" s="39" t="str">
        <f>IF(AND('331-CT'!$E$7=TH!H1051,OR(L1051="331",M1051="331")),"331",IF(AND(OR(L1051="131",M1051="131"),H1051='131-CT'!$E$7),"131",""))</f>
        <v/>
      </c>
      <c r="O1051" s="39" t="str">
        <f>IF(AND($B1051&gt;='111'!$N$11,$B1051&lt;='111'!$O$11,OR($L1051=$O$7,$M1051=$O$7)),"x","")</f>
        <v/>
      </c>
      <c r="P1051" s="39" t="str">
        <f>IF(AND($L1051=$O$7,$B1051&lt;'111'!$N$11),"x","")</f>
        <v/>
      </c>
      <c r="Q1051" s="39" t="str">
        <f>IF(AND($M1051=$O$7,$B1051&lt;'111'!$N$11),"x","")</f>
        <v/>
      </c>
      <c r="R1051" s="39" t="str">
        <f>IF(ISERROR(FIND('112'!$M$9,G1051,1)),"",IF((AND(FIND('112'!$M$9,G1051,1)&gt;=1,$B1051&gt;='112'!$N$8,$B1051&lt;='112'!$O$8,OR($L1051='112'!$I$6,$M1051='112'!$I$6))),"x",""))</f>
        <v/>
      </c>
      <c r="S1051" s="39" t="str">
        <f>IF(ISERROR(FIND('112'!$M$9,G1051,1)),"",IF((AND(LEFT(G1051,2)=LEFT('112'!$M$9,2),B1051&lt;'112'!$N$8,$L1051='112'!$I$6)),"x",""))</f>
        <v/>
      </c>
      <c r="T1051" s="39" t="str">
        <f>IF(ISERROR(FIND('112'!$M$9,G1051,1)),"",IF((AND(RIGHT(G1051,2)=RIGHT('112'!$M$9,2),B1051&lt;'112'!$N$8,$M1051='112'!$I$6)),"x",""))</f>
        <v/>
      </c>
      <c r="U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39" t="str">
        <f>IF(OR(TH!L1051=TH!$V$7,M1051=TH!$V$7),"x","")</f>
        <v/>
      </c>
      <c r="W1051" s="39" t="str">
        <f>IF(AND(B1051&gt;='IN-NX'!$P$3,B1051&lt;='IN-NX'!$Q$3,'IN-NX'!$D$7=D1051,OR(LEFT(L1051,2)="15",AND(LEFT(M1051,2)&lt;&gt;"15",LEFT(M1051,2)&lt;&gt;"33"))),"x","")</f>
        <v/>
      </c>
      <c r="X1051" s="39" t="str">
        <f>IF(AND(OR(LEFT(TH!L1051,2)="15",LEFT(TH!M1051,2)="15"),'152-CT'!$J$8=TH!F1051),"x","")</f>
        <v/>
      </c>
      <c r="Y1051" s="39" t="str">
        <f>IF(AND(OR(LEFT(TH!L1051,2)="15",LEFT(TH!M1051,2)="15"),TK!$E$7=TH!F1051),"x","")</f>
        <v/>
      </c>
      <c r="Z1051" s="39" t="str">
        <f>IF(AND(B1051&lt;=NKC!$N$8,B1051&gt;=NKC!$M$8),"x","")</f>
        <v/>
      </c>
      <c r="AA1051" s="886"/>
    </row>
    <row r="1052" spans="1:27" s="211" customFormat="1" ht="15.75" customHeight="1">
      <c r="A1052" s="204" t="str">
        <f>IF(B1052&lt;&gt;"",IF(AND(B1052&gt;=_TM1,B1052&lt;=_TM2,OR(TH!L1052="1111",TH!M1052="1111")),TH!D1052,""),"")</f>
        <v/>
      </c>
      <c r="B1052" s="36">
        <f t="shared" si="218"/>
        <v>1</v>
      </c>
      <c r="C1052" s="191">
        <f t="shared" si="219"/>
        <v>41300</v>
      </c>
      <c r="D1052" s="191" t="s">
        <v>1294</v>
      </c>
      <c r="E1052" s="37">
        <v>41300</v>
      </c>
      <c r="F1052" s="189"/>
      <c r="G1052" s="40" t="s">
        <v>759</v>
      </c>
      <c r="H1052" s="7" t="s">
        <v>1287</v>
      </c>
      <c r="I1052" s="305"/>
      <c r="J1052" s="802"/>
      <c r="K1052" s="602">
        <f t="shared" si="220"/>
        <v>0</v>
      </c>
      <c r="L1052" s="39" t="s">
        <v>165</v>
      </c>
      <c r="M1052" s="603" t="s">
        <v>159</v>
      </c>
      <c r="N1052" s="39" t="str">
        <f>IF(AND('331-CT'!$E$7=TH!H1052,OR(L1052="331",M1052="331")),"331",IF(AND(OR(L1052="131",M1052="131"),H1052='131-CT'!$E$7),"131",""))</f>
        <v/>
      </c>
      <c r="O1052" s="39" t="str">
        <f>IF(AND($B1052&gt;='111'!$N$11,$B1052&lt;='111'!$O$11,OR($L1052=$O$7,$M1052=$O$7)),"x","")</f>
        <v/>
      </c>
      <c r="P1052" s="39" t="str">
        <f>IF(AND($L1052=$O$7,$B1052&lt;'111'!$N$11),"x","")</f>
        <v/>
      </c>
      <c r="Q1052" s="39" t="str">
        <f>IF(AND($M1052=$O$7,$B1052&lt;'111'!$N$11),"x","")</f>
        <v/>
      </c>
      <c r="R1052" s="39" t="str">
        <f>IF(ISERROR(FIND('112'!$M$9,G1052,1)),"",IF((AND(FIND('112'!$M$9,G1052,1)&gt;=1,$B1052&gt;='112'!$N$8,$B1052&lt;='112'!$O$8,OR($L1052='112'!$I$6,$M1052='112'!$I$6))),"x",""))</f>
        <v/>
      </c>
      <c r="S1052" s="39" t="str">
        <f>IF(ISERROR(FIND('112'!$M$9,G1052,1)),"",IF((AND(LEFT(G1052,2)=LEFT('112'!$M$9,2),B1052&lt;'112'!$N$8,$L1052='112'!$I$6)),"x",""))</f>
        <v/>
      </c>
      <c r="T1052" s="39" t="str">
        <f>IF(ISERROR(FIND('112'!$M$9,G1052,1)),"",IF((AND(RIGHT(G1052,2)=RIGHT('112'!$M$9,2),B1052&lt;'112'!$N$8,$M1052='112'!$I$6)),"x",""))</f>
        <v/>
      </c>
      <c r="U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39" t="str">
        <f>IF(OR(TH!L1052=TH!$V$7,M1052=TH!$V$7),"x","")</f>
        <v/>
      </c>
      <c r="W1052" s="39" t="str">
        <f>IF(AND(B1052&gt;='IN-NX'!$P$3,B1052&lt;='IN-NX'!$Q$3,'IN-NX'!$D$7=D1052,OR(LEFT(L1052,2)="15",AND(LEFT(M1052,2)&lt;&gt;"15",LEFT(M1052,2)&lt;&gt;"33"))),"x","")</f>
        <v/>
      </c>
      <c r="X1052" s="39" t="str">
        <f>IF(AND(OR(LEFT(TH!L1052,2)="15",LEFT(TH!M1052,2)="15"),'152-CT'!$J$8=TH!F1052),"x","")</f>
        <v/>
      </c>
      <c r="Y1052" s="39" t="str">
        <f>IF(AND(OR(LEFT(TH!L1052,2)="15",LEFT(TH!M1052,2)="15"),TK!$E$7=TH!F1052),"x","")</f>
        <v/>
      </c>
      <c r="Z1052" s="39" t="str">
        <f>IF(AND(B1052&lt;=NKC!$N$8,B1052&gt;=NKC!$M$8),"x","")</f>
        <v/>
      </c>
      <c r="AA1052" s="886"/>
    </row>
    <row r="1053" spans="1:27" s="211" customFormat="1" ht="15.75" customHeight="1">
      <c r="A1053" s="204" t="str">
        <f>IF(B1053&lt;&gt;"",IF(AND(B1053&gt;=_TM1,B1053&lt;=_TM2,OR(TH!L1053="1111",TH!M1053="1111")),TH!D1053,""),"")</f>
        <v/>
      </c>
      <c r="B1053" s="36">
        <f t="shared" si="218"/>
        <v>1</v>
      </c>
      <c r="C1053" s="191">
        <f t="shared" si="219"/>
        <v>41300</v>
      </c>
      <c r="D1053" s="191" t="s">
        <v>1294</v>
      </c>
      <c r="E1053" s="37">
        <v>41300</v>
      </c>
      <c r="F1053" s="297"/>
      <c r="G1053" s="40" t="s">
        <v>759</v>
      </c>
      <c r="H1053" s="7" t="s">
        <v>1287</v>
      </c>
      <c r="I1053" s="305"/>
      <c r="J1053" s="804"/>
      <c r="K1053" s="602">
        <f t="shared" si="220"/>
        <v>0</v>
      </c>
      <c r="L1053" s="39" t="s">
        <v>165</v>
      </c>
      <c r="M1053" s="603" t="s">
        <v>159</v>
      </c>
      <c r="N1053" s="39" t="str">
        <f>IF(AND('331-CT'!$E$7=TH!H1053,OR(L1053="331",M1053="331")),"331",IF(AND(OR(L1053="131",M1053="131"),H1053='131-CT'!$E$7),"131",""))</f>
        <v/>
      </c>
      <c r="O1053" s="39" t="str">
        <f>IF(AND($B1053&gt;='111'!$N$11,$B1053&lt;='111'!$O$11,OR($L1053=$O$7,$M1053=$O$7)),"x","")</f>
        <v/>
      </c>
      <c r="P1053" s="39" t="str">
        <f>IF(AND($L1053=$O$7,$B1053&lt;'111'!$N$11),"x","")</f>
        <v/>
      </c>
      <c r="Q1053" s="39" t="str">
        <f>IF(AND($M1053=$O$7,$B1053&lt;'111'!$N$11),"x","")</f>
        <v/>
      </c>
      <c r="R1053" s="39" t="str">
        <f>IF(ISERROR(FIND('112'!$M$9,G1053,1)),"",IF((AND(FIND('112'!$M$9,G1053,1)&gt;=1,$B1053&gt;='112'!$N$8,$B1053&lt;='112'!$O$8,OR($L1053='112'!$I$6,$M1053='112'!$I$6))),"x",""))</f>
        <v/>
      </c>
      <c r="S1053" s="39" t="str">
        <f>IF(ISERROR(FIND('112'!$M$9,G1053,1)),"",IF((AND(LEFT(G1053,2)=LEFT('112'!$M$9,2),B1053&lt;'112'!$N$8,$L1053='112'!$I$6)),"x",""))</f>
        <v/>
      </c>
      <c r="T1053" s="39" t="str">
        <f>IF(ISERROR(FIND('112'!$M$9,G1053,1)),"",IF((AND(RIGHT(G1053,2)=RIGHT('112'!$M$9,2),B1053&lt;'112'!$N$8,$M1053='112'!$I$6)),"x",""))</f>
        <v/>
      </c>
      <c r="U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39" t="str">
        <f>IF(OR(TH!L1053=TH!$V$7,M1053=TH!$V$7),"x","")</f>
        <v/>
      </c>
      <c r="W1053" s="39" t="str">
        <f>IF(AND(B1053&gt;='IN-NX'!$P$3,B1053&lt;='IN-NX'!$Q$3,'IN-NX'!$D$7=D1053,OR(LEFT(L1053,2)="15",AND(LEFT(M1053,2)&lt;&gt;"15",LEFT(M1053,2)&lt;&gt;"33"))),"x","")</f>
        <v/>
      </c>
      <c r="X1053" s="39" t="str">
        <f>IF(AND(OR(LEFT(TH!L1053,2)="15",LEFT(TH!M1053,2)="15"),'152-CT'!$J$8=TH!F1053),"x","")</f>
        <v/>
      </c>
      <c r="Y1053" s="39" t="str">
        <f>IF(AND(OR(LEFT(TH!L1053,2)="15",LEFT(TH!M1053,2)="15"),TK!$E$7=TH!F1053),"x","")</f>
        <v/>
      </c>
      <c r="Z1053" s="39" t="str">
        <f>IF(AND(B1053&lt;=NKC!$N$8,B1053&gt;=NKC!$M$8),"x","")</f>
        <v/>
      </c>
      <c r="AA1053" s="886"/>
    </row>
    <row r="1054" spans="1:27" s="211" customFormat="1" ht="15.75" customHeight="1">
      <c r="A1054" s="204" t="str">
        <f>IF(B1054&lt;&gt;"",IF(AND(B1054&gt;=_TM1,B1054&lt;=_TM2,OR(TH!L1054="1111",TH!M1054="1111")),TH!D1054,""),"")</f>
        <v/>
      </c>
      <c r="B1054" s="36">
        <f t="shared" si="218"/>
        <v>1</v>
      </c>
      <c r="C1054" s="191">
        <f t="shared" si="219"/>
        <v>41300</v>
      </c>
      <c r="D1054" s="191" t="s">
        <v>1294</v>
      </c>
      <c r="E1054" s="37">
        <v>41300</v>
      </c>
      <c r="F1054" s="189"/>
      <c r="G1054" s="40" t="s">
        <v>761</v>
      </c>
      <c r="H1054" s="7" t="s">
        <v>1287</v>
      </c>
      <c r="I1054" s="305"/>
      <c r="J1054" s="826"/>
      <c r="K1054" s="602">
        <f t="shared" si="220"/>
        <v>0</v>
      </c>
      <c r="L1054" s="39" t="s">
        <v>165</v>
      </c>
      <c r="M1054" s="603" t="s">
        <v>159</v>
      </c>
      <c r="N1054" s="39" t="str">
        <f>IF(AND('331-CT'!$E$7=TH!H1054,OR(L1054="331",M1054="331")),"331",IF(AND(OR(L1054="131",M1054="131"),H1054='131-CT'!$E$7),"131",""))</f>
        <v/>
      </c>
      <c r="O1054" s="39" t="str">
        <f>IF(AND($B1054&gt;='111'!$N$11,$B1054&lt;='111'!$O$11,OR($L1054=$O$7,$M1054=$O$7)),"x","")</f>
        <v/>
      </c>
      <c r="P1054" s="39" t="str">
        <f>IF(AND($L1054=$O$7,$B1054&lt;'111'!$N$11),"x","")</f>
        <v/>
      </c>
      <c r="Q1054" s="39" t="str">
        <f>IF(AND($M1054=$O$7,$B1054&lt;'111'!$N$11),"x","")</f>
        <v/>
      </c>
      <c r="R1054" s="39" t="str">
        <f>IF(ISERROR(FIND('112'!$M$9,G1054,1)),"",IF((AND(FIND('112'!$M$9,G1054,1)&gt;=1,$B1054&gt;='112'!$N$8,$B1054&lt;='112'!$O$8,OR($L1054='112'!$I$6,$M1054='112'!$I$6))),"x",""))</f>
        <v/>
      </c>
      <c r="S1054" s="39" t="str">
        <f>IF(ISERROR(FIND('112'!$M$9,G1054,1)),"",IF((AND(LEFT(G1054,2)=LEFT('112'!$M$9,2),B1054&lt;'112'!$N$8,$L1054='112'!$I$6)),"x",""))</f>
        <v/>
      </c>
      <c r="T1054" s="39" t="str">
        <f>IF(ISERROR(FIND('112'!$M$9,G1054,1)),"",IF((AND(RIGHT(G1054,2)=RIGHT('112'!$M$9,2),B1054&lt;'112'!$N$8,$M1054='112'!$I$6)),"x",""))</f>
        <v/>
      </c>
      <c r="U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39" t="str">
        <f>IF(OR(TH!L1054=TH!$V$7,M1054=TH!$V$7),"x","")</f>
        <v/>
      </c>
      <c r="W1054" s="39" t="str">
        <f>IF(AND(B1054&gt;='IN-NX'!$P$3,B1054&lt;='IN-NX'!$Q$3,'IN-NX'!$D$7=D1054,OR(LEFT(L1054,2)="15",AND(LEFT(M1054,2)&lt;&gt;"15",LEFT(M1054,2)&lt;&gt;"33"))),"x","")</f>
        <v/>
      </c>
      <c r="X1054" s="39" t="str">
        <f>IF(AND(OR(LEFT(TH!L1054,2)="15",LEFT(TH!M1054,2)="15"),'152-CT'!$J$8=TH!F1054),"x","")</f>
        <v/>
      </c>
      <c r="Y1054" s="39" t="str">
        <f>IF(AND(OR(LEFT(TH!L1054,2)="15",LEFT(TH!M1054,2)="15"),TK!$E$7=TH!F1054),"x","")</f>
        <v/>
      </c>
      <c r="Z1054" s="39" t="str">
        <f>IF(AND(B1054&lt;=NKC!$N$8,B1054&gt;=NKC!$M$8),"x","")</f>
        <v/>
      </c>
      <c r="AA1054" s="886"/>
    </row>
    <row r="1055" spans="1:27" s="211" customFormat="1" ht="15.75" customHeight="1">
      <c r="A1055" s="204" t="str">
        <f>IF(B1055&lt;&gt;"",IF(AND(B1055&gt;=_TM1,B1055&lt;=_TM2,OR(TH!L1055="1111",TH!M1055="1111")),TH!D1055,""),"")</f>
        <v/>
      </c>
      <c r="B1055" s="36">
        <f t="shared" si="218"/>
        <v>1</v>
      </c>
      <c r="C1055" s="191">
        <f t="shared" si="219"/>
        <v>41300</v>
      </c>
      <c r="D1055" s="191" t="s">
        <v>1294</v>
      </c>
      <c r="E1055" s="37">
        <v>41300</v>
      </c>
      <c r="F1055" s="297"/>
      <c r="G1055" s="40" t="s">
        <v>762</v>
      </c>
      <c r="H1055" s="7" t="s">
        <v>1287</v>
      </c>
      <c r="I1055" s="305"/>
      <c r="J1055" s="802"/>
      <c r="K1055" s="602">
        <f t="shared" si="220"/>
        <v>0</v>
      </c>
      <c r="L1055" s="39" t="s">
        <v>165</v>
      </c>
      <c r="M1055" s="603" t="s">
        <v>159</v>
      </c>
      <c r="N1055" s="39" t="str">
        <f>IF(AND('331-CT'!$E$7=TH!H1055,OR(L1055="331",M1055="331")),"331",IF(AND(OR(L1055="131",M1055="131"),H1055='131-CT'!$E$7),"131",""))</f>
        <v/>
      </c>
      <c r="O1055" s="39" t="str">
        <f>IF(AND($B1055&gt;='111'!$N$11,$B1055&lt;='111'!$O$11,OR($L1055=$O$7,$M1055=$O$7)),"x","")</f>
        <v/>
      </c>
      <c r="P1055" s="39" t="str">
        <f>IF(AND($L1055=$O$7,$B1055&lt;'111'!$N$11),"x","")</f>
        <v/>
      </c>
      <c r="Q1055" s="39" t="str">
        <f>IF(AND($M1055=$O$7,$B1055&lt;'111'!$N$11),"x","")</f>
        <v/>
      </c>
      <c r="R1055" s="39" t="str">
        <f>IF(ISERROR(FIND('112'!$M$9,G1055,1)),"",IF((AND(FIND('112'!$M$9,G1055,1)&gt;=1,$B1055&gt;='112'!$N$8,$B1055&lt;='112'!$O$8,OR($L1055='112'!$I$6,$M1055='112'!$I$6))),"x",""))</f>
        <v/>
      </c>
      <c r="S1055" s="39" t="str">
        <f>IF(ISERROR(FIND('112'!$M$9,G1055,1)),"",IF((AND(LEFT(G1055,2)=LEFT('112'!$M$9,2),B1055&lt;'112'!$N$8,$L1055='112'!$I$6)),"x",""))</f>
        <v/>
      </c>
      <c r="T1055" s="39" t="str">
        <f>IF(ISERROR(FIND('112'!$M$9,G1055,1)),"",IF((AND(RIGHT(G1055,2)=RIGHT('112'!$M$9,2),B1055&lt;'112'!$N$8,$M1055='112'!$I$6)),"x",""))</f>
        <v/>
      </c>
      <c r="U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39" t="str">
        <f>IF(OR(TH!L1055=TH!$V$7,M1055=TH!$V$7),"x","")</f>
        <v/>
      </c>
      <c r="W1055" s="39" t="str">
        <f>IF(AND(B1055&gt;='IN-NX'!$P$3,B1055&lt;='IN-NX'!$Q$3,'IN-NX'!$D$7=D1055,OR(LEFT(L1055,2)="15",AND(LEFT(M1055,2)&lt;&gt;"15",LEFT(M1055,2)&lt;&gt;"33"))),"x","")</f>
        <v/>
      </c>
      <c r="X1055" s="39" t="str">
        <f>IF(AND(OR(LEFT(TH!L1055,2)="15",LEFT(TH!M1055,2)="15"),'152-CT'!$J$8=TH!F1055),"x","")</f>
        <v/>
      </c>
      <c r="Y1055" s="39" t="str">
        <f>IF(AND(OR(LEFT(TH!L1055,2)="15",LEFT(TH!M1055,2)="15"),TK!$E$7=TH!F1055),"x","")</f>
        <v/>
      </c>
      <c r="Z1055" s="39" t="str">
        <f>IF(AND(B1055&lt;=NKC!$N$8,B1055&gt;=NKC!$M$8),"x","")</f>
        <v/>
      </c>
      <c r="AA1055" s="886"/>
    </row>
    <row r="1056" spans="1:27" s="211" customFormat="1" ht="15.75" customHeight="1">
      <c r="A1056" s="204" t="str">
        <f>IF(B1056&lt;&gt;"",IF(AND(B1056&gt;=_TM1,B1056&lt;=_TM2,OR(TH!L1056="1111",TH!M1056="1111")),TH!D1056,""),"")</f>
        <v/>
      </c>
      <c r="B1056" s="36">
        <f t="shared" si="218"/>
        <v>1</v>
      </c>
      <c r="C1056" s="191">
        <f t="shared" si="219"/>
        <v>41302</v>
      </c>
      <c r="D1056" s="191" t="s">
        <v>1294</v>
      </c>
      <c r="E1056" s="37">
        <v>41302</v>
      </c>
      <c r="F1056" s="297"/>
      <c r="G1056" s="40" t="s">
        <v>763</v>
      </c>
      <c r="H1056" s="7" t="s">
        <v>1287</v>
      </c>
      <c r="I1056" s="305"/>
      <c r="J1056" s="804"/>
      <c r="K1056" s="602">
        <f t="shared" si="220"/>
        <v>0</v>
      </c>
      <c r="L1056" s="39" t="s">
        <v>165</v>
      </c>
      <c r="M1056" s="603" t="s">
        <v>159</v>
      </c>
      <c r="N1056" s="39" t="str">
        <f>IF(AND('331-CT'!$E$7=TH!H1056,OR(L1056="331",M1056="331")),"331",IF(AND(OR(L1056="131",M1056="131"),H1056='131-CT'!$E$7),"131",""))</f>
        <v/>
      </c>
      <c r="O1056" s="39" t="str">
        <f>IF(AND($B1056&gt;='111'!$N$11,$B1056&lt;='111'!$O$11,OR($L1056=$O$7,$M1056=$O$7)),"x","")</f>
        <v/>
      </c>
      <c r="P1056" s="39" t="str">
        <f>IF(AND($L1056=$O$7,$B1056&lt;'111'!$N$11),"x","")</f>
        <v/>
      </c>
      <c r="Q1056" s="39" t="str">
        <f>IF(AND($M1056=$O$7,$B1056&lt;'111'!$N$11),"x","")</f>
        <v/>
      </c>
      <c r="R1056" s="39" t="str">
        <f>IF(ISERROR(FIND('112'!$M$9,G1056,1)),"",IF((AND(FIND('112'!$M$9,G1056,1)&gt;=1,$B1056&gt;='112'!$N$8,$B1056&lt;='112'!$O$8,OR($L1056='112'!$I$6,$M1056='112'!$I$6))),"x",""))</f>
        <v/>
      </c>
      <c r="S1056" s="39" t="str">
        <f>IF(ISERROR(FIND('112'!$M$9,G1056,1)),"",IF((AND(LEFT(G1056,2)=LEFT('112'!$M$9,2),B1056&lt;'112'!$N$8,$L1056='112'!$I$6)),"x",""))</f>
        <v/>
      </c>
      <c r="T1056" s="39" t="str">
        <f>IF(ISERROR(FIND('112'!$M$9,G1056,1)),"",IF((AND(RIGHT(G1056,2)=RIGHT('112'!$M$9,2),B1056&lt;'112'!$N$8,$M1056='112'!$I$6)),"x",""))</f>
        <v/>
      </c>
      <c r="U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39" t="str">
        <f>IF(OR(TH!L1056=TH!$V$7,M1056=TH!$V$7),"x","")</f>
        <v/>
      </c>
      <c r="W1056" s="39" t="str">
        <f>IF(AND(B1056&gt;='IN-NX'!$P$3,B1056&lt;='IN-NX'!$Q$3,'IN-NX'!$D$7=D1056,OR(LEFT(L1056,2)="15",AND(LEFT(M1056,2)&lt;&gt;"15",LEFT(M1056,2)&lt;&gt;"33"))),"x","")</f>
        <v/>
      </c>
      <c r="X1056" s="39" t="str">
        <f>IF(AND(OR(LEFT(TH!L1056,2)="15",LEFT(TH!M1056,2)="15"),'152-CT'!$J$8=TH!F1056),"x","")</f>
        <v/>
      </c>
      <c r="Y1056" s="39" t="str">
        <f>IF(AND(OR(LEFT(TH!L1056,2)="15",LEFT(TH!M1056,2)="15"),TK!$E$7=TH!F1056),"x","")</f>
        <v/>
      </c>
      <c r="Z1056" s="39" t="str">
        <f>IF(AND(B1056&lt;=NKC!$N$8,B1056&gt;=NKC!$M$8),"x","")</f>
        <v/>
      </c>
      <c r="AA1056" s="886"/>
    </row>
    <row r="1057" spans="1:30" s="211" customFormat="1" ht="15.75" customHeight="1">
      <c r="A1057" s="204" t="str">
        <f>IF(B1057&lt;&gt;"",IF(AND(B1057&gt;=_TM1,B1057&lt;=_TM2,OR(TH!L1057="1111",TH!M1057="1111")),TH!D1057,""),"")</f>
        <v/>
      </c>
      <c r="B1057" s="36">
        <f t="shared" ref="B1057:B1120" si="221">IF(C1057&lt;&gt;"",MONTH(C1057),"")</f>
        <v>1</v>
      </c>
      <c r="C1057" s="191">
        <f t="shared" si="219"/>
        <v>41302</v>
      </c>
      <c r="D1057" s="191" t="s">
        <v>1294</v>
      </c>
      <c r="E1057" s="37">
        <v>41302</v>
      </c>
      <c r="F1057" s="297"/>
      <c r="G1057" s="40" t="s">
        <v>765</v>
      </c>
      <c r="H1057" s="7" t="s">
        <v>1287</v>
      </c>
      <c r="I1057" s="305"/>
      <c r="J1057" s="804"/>
      <c r="K1057" s="602">
        <f t="shared" si="220"/>
        <v>0</v>
      </c>
      <c r="L1057" s="39" t="s">
        <v>165</v>
      </c>
      <c r="M1057" s="603" t="s">
        <v>159</v>
      </c>
      <c r="N1057" s="39" t="str">
        <f>IF(AND('331-CT'!$E$7=TH!H1057,OR(L1057="331",M1057="331")),"331",IF(AND(OR(L1057="131",M1057="131"),H1057='131-CT'!$E$7),"131",""))</f>
        <v/>
      </c>
      <c r="O1057" s="39" t="str">
        <f>IF(AND($B1057&gt;='111'!$N$11,$B1057&lt;='111'!$O$11,OR($L1057=$O$7,$M1057=$O$7)),"x","")</f>
        <v/>
      </c>
      <c r="P1057" s="39" t="str">
        <f>IF(AND($L1057=$O$7,$B1057&lt;'111'!$N$11),"x","")</f>
        <v/>
      </c>
      <c r="Q1057" s="39" t="str">
        <f>IF(AND($M1057=$O$7,$B1057&lt;'111'!$N$11),"x","")</f>
        <v/>
      </c>
      <c r="R1057" s="39" t="str">
        <f>IF(ISERROR(FIND('112'!$M$9,G1057,1)),"",IF((AND(FIND('112'!$M$9,G1057,1)&gt;=1,$B1057&gt;='112'!$N$8,$B1057&lt;='112'!$O$8,OR($L1057='112'!$I$6,$M1057='112'!$I$6))),"x",""))</f>
        <v/>
      </c>
      <c r="S1057" s="39" t="str">
        <f>IF(ISERROR(FIND('112'!$M$9,G1057,1)),"",IF((AND(LEFT(G1057,2)=LEFT('112'!$M$9,2),B1057&lt;'112'!$N$8,$L1057='112'!$I$6)),"x",""))</f>
        <v/>
      </c>
      <c r="T1057" s="39" t="str">
        <f>IF(ISERROR(FIND('112'!$M$9,G1057,1)),"",IF((AND(RIGHT(G1057,2)=RIGHT('112'!$M$9,2),B1057&lt;'112'!$N$8,$M1057='112'!$I$6)),"x",""))</f>
        <v/>
      </c>
      <c r="U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39" t="str">
        <f>IF(OR(TH!L1057=TH!$V$7,M1057=TH!$V$7),"x","")</f>
        <v/>
      </c>
      <c r="W1057" s="39" t="str">
        <f>IF(AND(B1057&gt;='IN-NX'!$P$3,B1057&lt;='IN-NX'!$Q$3,'IN-NX'!$D$7=D1057,OR(LEFT(L1057,2)="15",AND(LEFT(M1057,2)&lt;&gt;"15",LEFT(M1057,2)&lt;&gt;"33"))),"x","")</f>
        <v/>
      </c>
      <c r="X1057" s="39" t="str">
        <f>IF(AND(OR(LEFT(TH!L1057,2)="15",LEFT(TH!M1057,2)="15"),'152-CT'!$J$8=TH!F1057),"x","")</f>
        <v/>
      </c>
      <c r="Y1057" s="39" t="str">
        <f>IF(AND(OR(LEFT(TH!L1057,2)="15",LEFT(TH!M1057,2)="15"),TK!$E$7=TH!F1057),"x","")</f>
        <v/>
      </c>
      <c r="Z1057" s="39" t="str">
        <f>IF(AND(B1057&lt;=NKC!$N$8,B1057&gt;=NKC!$M$8),"x","")</f>
        <v/>
      </c>
      <c r="AA1057" s="886"/>
    </row>
    <row r="1058" spans="1:30" s="211" customFormat="1" ht="15.75" customHeight="1">
      <c r="A1058" s="204" t="str">
        <f>IF(B1058&lt;&gt;"",IF(AND(B1058&gt;=_TM1,B1058&lt;=_TM2,OR(TH!L1058="1111",TH!M1058="1111")),TH!D1058,""),"")</f>
        <v/>
      </c>
      <c r="B1058" s="36">
        <f t="shared" si="221"/>
        <v>2</v>
      </c>
      <c r="C1058" s="191">
        <f t="shared" si="219"/>
        <v>41325</v>
      </c>
      <c r="D1058" s="191" t="s">
        <v>1294</v>
      </c>
      <c r="E1058" s="37">
        <v>41325</v>
      </c>
      <c r="F1058" s="40"/>
      <c r="G1058" s="40" t="s">
        <v>767</v>
      </c>
      <c r="H1058" s="7" t="s">
        <v>1287</v>
      </c>
      <c r="I1058" s="305"/>
      <c r="J1058" s="804"/>
      <c r="K1058" s="602">
        <f t="shared" si="220"/>
        <v>0</v>
      </c>
      <c r="L1058" s="39" t="s">
        <v>165</v>
      </c>
      <c r="M1058" s="603" t="s">
        <v>159</v>
      </c>
      <c r="N1058" s="39" t="str">
        <f>IF(AND('331-CT'!$E$7=TH!H1058,OR(L1058="331",M1058="331")),"331",IF(AND(OR(L1058="131",M1058="131"),H1058='131-CT'!$E$7),"131",""))</f>
        <v/>
      </c>
      <c r="O1058" s="39" t="str">
        <f>IF(AND($B1058&gt;='111'!$N$11,$B1058&lt;='111'!$O$11,OR($L1058=$O$7,$M1058=$O$7)),"x","")</f>
        <v/>
      </c>
      <c r="P1058" s="39" t="str">
        <f>IF(AND($L1058=$O$7,$B1058&lt;'111'!$N$11),"x","")</f>
        <v/>
      </c>
      <c r="Q1058" s="39" t="str">
        <f>IF(AND($M1058=$O$7,$B1058&lt;'111'!$N$11),"x","")</f>
        <v/>
      </c>
      <c r="R1058" s="39" t="str">
        <f>IF(ISERROR(FIND('112'!$M$9,G1058,1)),"",IF((AND(FIND('112'!$M$9,G1058,1)&gt;=1,$B1058&gt;='112'!$N$8,$B1058&lt;='112'!$O$8,OR($L1058='112'!$I$6,$M1058='112'!$I$6))),"x",""))</f>
        <v/>
      </c>
      <c r="S1058" s="39" t="str">
        <f>IF(ISERROR(FIND('112'!$M$9,G1058,1)),"",IF((AND(LEFT(G1058,2)=LEFT('112'!$M$9,2),B1058&lt;'112'!$N$8,$L1058='112'!$I$6)),"x",""))</f>
        <v/>
      </c>
      <c r="T1058" s="39" t="str">
        <f>IF(ISERROR(FIND('112'!$M$9,G1058,1)),"",IF((AND(RIGHT(G1058,2)=RIGHT('112'!$M$9,2),B1058&lt;'112'!$N$8,$M1058='112'!$I$6)),"x",""))</f>
        <v/>
      </c>
      <c r="U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39" t="str">
        <f>IF(OR(TH!L1058=TH!$V$7,M1058=TH!$V$7),"x","")</f>
        <v/>
      </c>
      <c r="W1058" s="39" t="str">
        <f>IF(AND(B1058&gt;='IN-NX'!$P$3,B1058&lt;='IN-NX'!$Q$3,'IN-NX'!$D$7=D1058,OR(LEFT(L1058,2)="15",AND(LEFT(M1058,2)&lt;&gt;"15",LEFT(M1058,2)&lt;&gt;"33"))),"x","")</f>
        <v/>
      </c>
      <c r="X1058" s="39" t="str">
        <f>IF(AND(OR(LEFT(TH!L1058,2)="15",LEFT(TH!M1058,2)="15"),'152-CT'!$J$8=TH!F1058),"x","")</f>
        <v/>
      </c>
      <c r="Y1058" s="39" t="str">
        <f>IF(AND(OR(LEFT(TH!L1058,2)="15",LEFT(TH!M1058,2)="15"),TK!$E$7=TH!F1058),"x","")</f>
        <v/>
      </c>
      <c r="Z1058" s="39" t="str">
        <f>IF(AND(B1058&lt;=NKC!$N$8,B1058&gt;=NKC!$M$8),"x","")</f>
        <v/>
      </c>
      <c r="AA1058" s="886"/>
    </row>
    <row r="1059" spans="1:30" s="211" customFormat="1" ht="15.75" customHeight="1">
      <c r="A1059" s="204" t="str">
        <f>IF(B1059&lt;&gt;"",IF(AND(B1059&gt;=_TM1,B1059&lt;=_TM2,OR(TH!L1059="1111",TH!M1059="1111")),TH!D1059,""),"")</f>
        <v/>
      </c>
      <c r="B1059" s="36">
        <f t="shared" si="221"/>
        <v>3</v>
      </c>
      <c r="C1059" s="191">
        <f t="shared" si="219"/>
        <v>41334</v>
      </c>
      <c r="D1059" s="191" t="s">
        <v>1294</v>
      </c>
      <c r="E1059" s="37">
        <v>41334</v>
      </c>
      <c r="F1059" s="297"/>
      <c r="G1059" s="40" t="s">
        <v>769</v>
      </c>
      <c r="H1059" s="7" t="s">
        <v>1287</v>
      </c>
      <c r="I1059" s="305"/>
      <c r="J1059" s="804"/>
      <c r="K1059" s="602">
        <f t="shared" si="220"/>
        <v>0</v>
      </c>
      <c r="L1059" s="39" t="s">
        <v>165</v>
      </c>
      <c r="M1059" s="603" t="s">
        <v>159</v>
      </c>
      <c r="N1059" s="39" t="str">
        <f>IF(AND('331-CT'!$E$7=TH!H1059,OR(L1059="331",M1059="331")),"331",IF(AND(OR(L1059="131",M1059="131"),H1059='131-CT'!$E$7),"131",""))</f>
        <v/>
      </c>
      <c r="O1059" s="39" t="str">
        <f>IF(AND($B1059&gt;='111'!$N$11,$B1059&lt;='111'!$O$11,OR($L1059=$O$7,$M1059=$O$7)),"x","")</f>
        <v/>
      </c>
      <c r="P1059" s="39" t="str">
        <f>IF(AND($L1059=$O$7,$B1059&lt;'111'!$N$11),"x","")</f>
        <v/>
      </c>
      <c r="Q1059" s="39" t="str">
        <f>IF(AND($M1059=$O$7,$B1059&lt;'111'!$N$11),"x","")</f>
        <v/>
      </c>
      <c r="R1059" s="39" t="str">
        <f>IF(ISERROR(FIND('112'!$M$9,G1059,1)),"",IF((AND(FIND('112'!$M$9,G1059,1)&gt;=1,$B1059&gt;='112'!$N$8,$B1059&lt;='112'!$O$8,OR($L1059='112'!$I$6,$M1059='112'!$I$6))),"x",""))</f>
        <v/>
      </c>
      <c r="S1059" s="39" t="str">
        <f>IF(ISERROR(FIND('112'!$M$9,G1059,1)),"",IF((AND(LEFT(G1059,2)=LEFT('112'!$M$9,2),B1059&lt;'112'!$N$8,$L1059='112'!$I$6)),"x",""))</f>
        <v/>
      </c>
      <c r="T1059" s="39" t="str">
        <f>IF(ISERROR(FIND('112'!$M$9,G1059,1)),"",IF((AND(RIGHT(G1059,2)=RIGHT('112'!$M$9,2),B1059&lt;'112'!$N$8,$M1059='112'!$I$6)),"x",""))</f>
        <v/>
      </c>
      <c r="U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39" t="str">
        <f>IF(OR(TH!L1059=TH!$V$7,M1059=TH!$V$7),"x","")</f>
        <v/>
      </c>
      <c r="W1059" s="39" t="str">
        <f>IF(AND(B1059&gt;='IN-NX'!$P$3,B1059&lt;='IN-NX'!$Q$3,'IN-NX'!$D$7=D1059,OR(LEFT(L1059,2)="15",AND(LEFT(M1059,2)&lt;&gt;"15",LEFT(M1059,2)&lt;&gt;"33"))),"x","")</f>
        <v/>
      </c>
      <c r="X1059" s="39" t="str">
        <f>IF(AND(OR(LEFT(TH!L1059,2)="15",LEFT(TH!M1059,2)="15"),'152-CT'!$J$8=TH!F1059),"x","")</f>
        <v/>
      </c>
      <c r="Y1059" s="39" t="str">
        <f>IF(AND(OR(LEFT(TH!L1059,2)="15",LEFT(TH!M1059,2)="15"),TK!$E$7=TH!F1059),"x","")</f>
        <v/>
      </c>
      <c r="Z1059" s="39" t="str">
        <f>IF(AND(B1059&lt;=NKC!$N$8,B1059&gt;=NKC!$M$8),"x","")</f>
        <v/>
      </c>
      <c r="AA1059" s="886"/>
    </row>
    <row r="1060" spans="1:30" s="211" customFormat="1" ht="15.75" customHeight="1">
      <c r="A1060" s="204" t="str">
        <f>IF(B1060&lt;&gt;"",IF(AND(B1060&gt;=_TM1,B1060&lt;=_TM2,OR(TH!L1060="1111",TH!M1060="1111")),TH!D1060,""),"")</f>
        <v/>
      </c>
      <c r="B1060" s="36">
        <f t="shared" si="221"/>
        <v>3</v>
      </c>
      <c r="C1060" s="191">
        <f t="shared" si="219"/>
        <v>41334</v>
      </c>
      <c r="D1060" s="191" t="s">
        <v>1294</v>
      </c>
      <c r="E1060" s="37">
        <v>41334</v>
      </c>
      <c r="F1060" s="297"/>
      <c r="G1060" s="40" t="s">
        <v>770</v>
      </c>
      <c r="H1060" s="7" t="s">
        <v>1287</v>
      </c>
      <c r="I1060" s="305"/>
      <c r="J1060" s="753"/>
      <c r="K1060" s="602">
        <f t="shared" si="220"/>
        <v>0</v>
      </c>
      <c r="L1060" s="39" t="s">
        <v>165</v>
      </c>
      <c r="M1060" s="603" t="s">
        <v>159</v>
      </c>
      <c r="N1060" s="39" t="str">
        <f>IF(AND('331-CT'!$E$7=TH!H1060,OR(L1060="331",M1060="331")),"331",IF(AND(OR(L1060="131",M1060="131"),H1060='131-CT'!$E$7),"131",""))</f>
        <v/>
      </c>
      <c r="O1060" s="39" t="str">
        <f>IF(AND($B1060&gt;='111'!$N$11,$B1060&lt;='111'!$O$11,OR($L1060=$O$7,$M1060=$O$7)),"x","")</f>
        <v/>
      </c>
      <c r="P1060" s="39" t="str">
        <f>IF(AND($L1060=$O$7,$B1060&lt;'111'!$N$11),"x","")</f>
        <v/>
      </c>
      <c r="Q1060" s="39" t="str">
        <f>IF(AND($M1060=$O$7,$B1060&lt;'111'!$N$11),"x","")</f>
        <v/>
      </c>
      <c r="R1060" s="39" t="str">
        <f>IF(ISERROR(FIND('112'!$M$9,G1060,1)),"",IF((AND(FIND('112'!$M$9,G1060,1)&gt;=1,$B1060&gt;='112'!$N$8,$B1060&lt;='112'!$O$8,OR($L1060='112'!$I$6,$M1060='112'!$I$6))),"x",""))</f>
        <v/>
      </c>
      <c r="S1060" s="39" t="str">
        <f>IF(ISERROR(FIND('112'!$M$9,G1060,1)),"",IF((AND(LEFT(G1060,2)=LEFT('112'!$M$9,2),B1060&lt;'112'!$N$8,$L1060='112'!$I$6)),"x",""))</f>
        <v/>
      </c>
      <c r="T1060" s="39" t="str">
        <f>IF(ISERROR(FIND('112'!$M$9,G1060,1)),"",IF((AND(RIGHT(G1060,2)=RIGHT('112'!$M$9,2),B1060&lt;'112'!$N$8,$M1060='112'!$I$6)),"x",""))</f>
        <v/>
      </c>
      <c r="U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39" t="str">
        <f>IF(OR(TH!L1060=TH!$V$7,M1060=TH!$V$7),"x","")</f>
        <v/>
      </c>
      <c r="W1060" s="39" t="str">
        <f>IF(AND(B1060&gt;='IN-NX'!$P$3,B1060&lt;='IN-NX'!$Q$3,'IN-NX'!$D$7=D1060,OR(LEFT(L1060,2)="15",AND(LEFT(M1060,2)&lt;&gt;"15",LEFT(M1060,2)&lt;&gt;"33"))),"x","")</f>
        <v/>
      </c>
      <c r="X1060" s="39" t="str">
        <f>IF(AND(OR(LEFT(TH!L1060,2)="15",LEFT(TH!M1060,2)="15"),'152-CT'!$J$8=TH!F1060),"x","")</f>
        <v/>
      </c>
      <c r="Y1060" s="39" t="str">
        <f>IF(AND(OR(LEFT(TH!L1060,2)="15",LEFT(TH!M1060,2)="15"),TK!$E$7=TH!F1060),"x","")</f>
        <v/>
      </c>
      <c r="Z1060" s="39" t="str">
        <f>IF(AND(B1060&lt;=NKC!$N$8,B1060&gt;=NKC!$M$8),"x","")</f>
        <v/>
      </c>
      <c r="AA1060" s="886"/>
    </row>
    <row r="1061" spans="1:30" s="211" customFormat="1" ht="15.75" customHeight="1">
      <c r="A1061" s="204" t="str">
        <f>IF(B1061&lt;&gt;"",IF(AND(B1061&gt;=_TM1,B1061&lt;=_TM2,OR(TH!L1061="1111",TH!M1061="1111")),TH!D1061,""),"")</f>
        <v/>
      </c>
      <c r="B1061" s="36">
        <f t="shared" si="221"/>
        <v>3</v>
      </c>
      <c r="C1061" s="191">
        <f t="shared" si="219"/>
        <v>41334</v>
      </c>
      <c r="D1061" s="191" t="s">
        <v>1294</v>
      </c>
      <c r="E1061" s="37">
        <v>41334</v>
      </c>
      <c r="F1061" s="189"/>
      <c r="G1061" s="40" t="s">
        <v>770</v>
      </c>
      <c r="H1061" s="7" t="s">
        <v>1287</v>
      </c>
      <c r="I1061" s="305"/>
      <c r="J1061" s="802"/>
      <c r="K1061" s="602">
        <f t="shared" si="220"/>
        <v>0</v>
      </c>
      <c r="L1061" s="39" t="s">
        <v>165</v>
      </c>
      <c r="M1061" s="603" t="s">
        <v>159</v>
      </c>
      <c r="N1061" s="39" t="str">
        <f>IF(AND('331-CT'!$E$7=TH!H1061,OR(L1061="331",M1061="331")),"331",IF(AND(OR(L1061="131",M1061="131"),H1061='131-CT'!$E$7),"131",""))</f>
        <v/>
      </c>
      <c r="O1061" s="39" t="str">
        <f>IF(AND($B1061&gt;='111'!$N$11,$B1061&lt;='111'!$O$11,OR($L1061=$O$7,$M1061=$O$7)),"x","")</f>
        <v/>
      </c>
      <c r="P1061" s="39" t="str">
        <f>IF(AND($L1061=$O$7,$B1061&lt;'111'!$N$11),"x","")</f>
        <v/>
      </c>
      <c r="Q1061" s="39" t="str">
        <f>IF(AND($M1061=$O$7,$B1061&lt;'111'!$N$11),"x","")</f>
        <v/>
      </c>
      <c r="R1061" s="39" t="str">
        <f>IF(ISERROR(FIND('112'!$M$9,G1061,1)),"",IF((AND(FIND('112'!$M$9,G1061,1)&gt;=1,$B1061&gt;='112'!$N$8,$B1061&lt;='112'!$O$8,OR($L1061='112'!$I$6,$M1061='112'!$I$6))),"x",""))</f>
        <v/>
      </c>
      <c r="S1061" s="39" t="str">
        <f>IF(ISERROR(FIND('112'!$M$9,G1061,1)),"",IF((AND(LEFT(G1061,2)=LEFT('112'!$M$9,2),B1061&lt;'112'!$N$8,$L1061='112'!$I$6)),"x",""))</f>
        <v/>
      </c>
      <c r="T1061" s="39" t="str">
        <f>IF(ISERROR(FIND('112'!$M$9,G1061,1)),"",IF((AND(RIGHT(G1061,2)=RIGHT('112'!$M$9,2),B1061&lt;'112'!$N$8,$M1061='112'!$I$6)),"x",""))</f>
        <v/>
      </c>
      <c r="U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39" t="str">
        <f>IF(OR(TH!L1061=TH!$V$7,M1061=TH!$V$7),"x","")</f>
        <v/>
      </c>
      <c r="W1061" s="39" t="str">
        <f>IF(AND(B1061&gt;='IN-NX'!$P$3,B1061&lt;='IN-NX'!$Q$3,'IN-NX'!$D$7=D1061,OR(LEFT(L1061,2)="15",AND(LEFT(M1061,2)&lt;&gt;"15",LEFT(M1061,2)&lt;&gt;"33"))),"x","")</f>
        <v/>
      </c>
      <c r="X1061" s="39" t="str">
        <f>IF(AND(OR(LEFT(TH!L1061,2)="15",LEFT(TH!M1061,2)="15"),'152-CT'!$J$8=TH!F1061),"x","")</f>
        <v/>
      </c>
      <c r="Y1061" s="39" t="str">
        <f>IF(AND(OR(LEFT(TH!L1061,2)="15",LEFT(TH!M1061,2)="15"),TK!$E$7=TH!F1061),"x","")</f>
        <v/>
      </c>
      <c r="Z1061" s="39" t="str">
        <f>IF(AND(B1061&lt;=NKC!$N$8,B1061&gt;=NKC!$M$8),"x","")</f>
        <v/>
      </c>
      <c r="AA1061" s="886"/>
    </row>
    <row r="1062" spans="1:30" s="211" customFormat="1" ht="15.75" customHeight="1">
      <c r="A1062" s="204" t="str">
        <f>IF(B1062&lt;&gt;"",IF(AND(B1062&gt;=_TM1,B1062&lt;=_TM2,OR(TH!L1062="1111",TH!M1062="1111")),TH!D1062,""),"")</f>
        <v/>
      </c>
      <c r="B1062" s="36">
        <f t="shared" si="221"/>
        <v>3</v>
      </c>
      <c r="C1062" s="191">
        <f t="shared" si="219"/>
        <v>41334</v>
      </c>
      <c r="D1062" s="191" t="s">
        <v>1294</v>
      </c>
      <c r="E1062" s="37">
        <v>41334</v>
      </c>
      <c r="F1062" s="189"/>
      <c r="G1062" s="604" t="s">
        <v>770</v>
      </c>
      <c r="H1062" s="7" t="s">
        <v>1287</v>
      </c>
      <c r="I1062" s="753"/>
      <c r="J1062" s="753"/>
      <c r="K1062" s="602">
        <f t="shared" si="220"/>
        <v>0</v>
      </c>
      <c r="L1062" s="39" t="s">
        <v>165</v>
      </c>
      <c r="M1062" s="603" t="s">
        <v>159</v>
      </c>
      <c r="N1062" s="39" t="str">
        <f>IF(AND('331-CT'!$E$7=TH!H1062,OR(L1062="331",M1062="331")),"331",IF(AND(OR(L1062="131",M1062="131"),H1062='131-CT'!$E$7),"131",""))</f>
        <v/>
      </c>
      <c r="O1062" s="39" t="str">
        <f>IF(AND($B1062&gt;='111'!$N$11,$B1062&lt;='111'!$O$11,OR($L1062=$O$7,$M1062=$O$7)),"x","")</f>
        <v/>
      </c>
      <c r="P1062" s="39" t="str">
        <f>IF(AND($L1062=$O$7,$B1062&lt;'111'!$N$11),"x","")</f>
        <v/>
      </c>
      <c r="Q1062" s="39" t="str">
        <f>IF(AND($M1062=$O$7,$B1062&lt;'111'!$N$11),"x","")</f>
        <v/>
      </c>
      <c r="R1062" s="39" t="str">
        <f>IF(ISERROR(FIND('112'!$M$9,G1062,1)),"",IF((AND(FIND('112'!$M$9,G1062,1)&gt;=1,$B1062&gt;='112'!$N$8,$B1062&lt;='112'!$O$8,OR($L1062='112'!$I$6,$M1062='112'!$I$6))),"x",""))</f>
        <v/>
      </c>
      <c r="S1062" s="39" t="str">
        <f>IF(ISERROR(FIND('112'!$M$9,G1062,1)),"",IF((AND(LEFT(G1062,2)=LEFT('112'!$M$9,2),B1062&lt;'112'!$N$8,$L1062='112'!$I$6)),"x",""))</f>
        <v/>
      </c>
      <c r="T1062" s="39" t="str">
        <f>IF(ISERROR(FIND('112'!$M$9,G1062,1)),"",IF((AND(RIGHT(G1062,2)=RIGHT('112'!$M$9,2),B1062&lt;'112'!$N$8,$M1062='112'!$I$6)),"x",""))</f>
        <v/>
      </c>
      <c r="U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39" t="str">
        <f>IF(OR(TH!L1062=TH!$V$7,M1062=TH!$V$7),"x","")</f>
        <v/>
      </c>
      <c r="W1062" s="39" t="str">
        <f>IF(AND(B1062&gt;='IN-NX'!$P$3,B1062&lt;='IN-NX'!$Q$3,'IN-NX'!$D$7=D1062,OR(LEFT(L1062,2)="15",AND(LEFT(M1062,2)&lt;&gt;"15",LEFT(M1062,2)&lt;&gt;"33"))),"x","")</f>
        <v/>
      </c>
      <c r="X1062" s="39" t="str">
        <f>IF(AND(OR(LEFT(TH!L1062,2)="15",LEFT(TH!M1062,2)="15"),'152-CT'!$J$8=TH!F1062),"x","")</f>
        <v/>
      </c>
      <c r="Y1062" s="39" t="str">
        <f>IF(AND(OR(LEFT(TH!L1062,2)="15",LEFT(TH!M1062,2)="15"),TK!$E$7=TH!F1062),"x","")</f>
        <v/>
      </c>
      <c r="Z1062" s="39" t="str">
        <f>IF(AND(B1062&lt;=NKC!$N$8,B1062&gt;=NKC!$M$8),"x","")</f>
        <v/>
      </c>
      <c r="AA1062" s="886"/>
      <c r="AC1062" s="594"/>
      <c r="AD1062" s="594"/>
    </row>
    <row r="1063" spans="1:30" s="211" customFormat="1" ht="15.75" customHeight="1">
      <c r="A1063" s="204" t="str">
        <f>IF(B1063&lt;&gt;"",IF(AND(B1063&gt;=_TM1,B1063&lt;=_TM2,OR(TH!L1063="1111",TH!M1063="1111")),TH!D1063,""),"")</f>
        <v/>
      </c>
      <c r="B1063" s="36">
        <f t="shared" si="221"/>
        <v>3</v>
      </c>
      <c r="C1063" s="191">
        <f t="shared" si="219"/>
        <v>41342</v>
      </c>
      <c r="D1063" s="191" t="s">
        <v>1294</v>
      </c>
      <c r="E1063" s="191">
        <v>41342</v>
      </c>
      <c r="F1063" s="192"/>
      <c r="G1063" s="485" t="s">
        <v>772</v>
      </c>
      <c r="H1063" s="7" t="s">
        <v>1287</v>
      </c>
      <c r="I1063" s="758"/>
      <c r="J1063" s="753"/>
      <c r="K1063" s="602">
        <f t="shared" si="220"/>
        <v>0</v>
      </c>
      <c r="L1063" s="39" t="s">
        <v>165</v>
      </c>
      <c r="M1063" s="603" t="s">
        <v>159</v>
      </c>
      <c r="N1063" s="39" t="str">
        <f>IF(AND('331-CT'!$E$7=TH!H1063,OR(L1063="331",M1063="331")),"331",IF(AND(OR(L1063="131",M1063="131"),H1063='131-CT'!$E$7),"131",""))</f>
        <v/>
      </c>
      <c r="O1063" s="39" t="str">
        <f>IF(AND($B1063&gt;='111'!$N$11,$B1063&lt;='111'!$O$11,OR($L1063=$O$7,$M1063=$O$7)),"x","")</f>
        <v/>
      </c>
      <c r="P1063" s="39" t="str">
        <f>IF(AND($L1063=$O$7,$B1063&lt;'111'!$N$11),"x","")</f>
        <v/>
      </c>
      <c r="Q1063" s="39" t="str">
        <f>IF(AND($M1063=$O$7,$B1063&lt;'111'!$N$11),"x","")</f>
        <v/>
      </c>
      <c r="R1063" s="39" t="str">
        <f>IF(ISERROR(FIND('112'!$M$9,G1063,1)),"",IF((AND(FIND('112'!$M$9,G1063,1)&gt;=1,$B1063&gt;='112'!$N$8,$B1063&lt;='112'!$O$8,OR($L1063='112'!$I$6,$M1063='112'!$I$6))),"x",""))</f>
        <v/>
      </c>
      <c r="S1063" s="39" t="str">
        <f>IF(ISERROR(FIND('112'!$M$9,G1063,1)),"",IF((AND(LEFT(G1063,2)=LEFT('112'!$M$9,2),B1063&lt;'112'!$N$8,$L1063='112'!$I$6)),"x",""))</f>
        <v/>
      </c>
      <c r="T1063" s="39" t="str">
        <f>IF(ISERROR(FIND('112'!$M$9,G1063,1)),"",IF((AND(RIGHT(G1063,2)=RIGHT('112'!$M$9,2),B1063&lt;'112'!$N$8,$M1063='112'!$I$6)),"x",""))</f>
        <v/>
      </c>
      <c r="U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39" t="str">
        <f>IF(OR(TH!L1063=TH!$V$7,M1063=TH!$V$7),"x","")</f>
        <v/>
      </c>
      <c r="W1063" s="39" t="str">
        <f>IF(AND(B1063&gt;='IN-NX'!$P$3,B1063&lt;='IN-NX'!$Q$3,'IN-NX'!$D$7=D1063,OR(LEFT(L1063,2)="15",AND(LEFT(M1063,2)&lt;&gt;"15",LEFT(M1063,2)&lt;&gt;"33"))),"x","")</f>
        <v/>
      </c>
      <c r="X1063" s="39" t="str">
        <f>IF(AND(OR(LEFT(TH!L1063,2)="15",LEFT(TH!M1063,2)="15"),'152-CT'!$J$8=TH!F1063),"x","")</f>
        <v/>
      </c>
      <c r="Y1063" s="39" t="str">
        <f>IF(AND(OR(LEFT(TH!L1063,2)="15",LEFT(TH!M1063,2)="15"),TK!$E$7=TH!F1063),"x","")</f>
        <v/>
      </c>
      <c r="Z1063" s="39" t="str">
        <f>IF(AND(B1063&lt;=NKC!$N$8,B1063&gt;=NKC!$M$8),"x","")</f>
        <v/>
      </c>
      <c r="AA1063" s="886"/>
      <c r="AC1063" s="594"/>
      <c r="AD1063" s="594"/>
    </row>
    <row r="1064" spans="1:30" s="211" customFormat="1" ht="15.75" customHeight="1">
      <c r="A1064" s="204" t="str">
        <f>IF(B1064&lt;&gt;"",IF(AND(B1064&gt;=_TM1,B1064&lt;=_TM2,OR(TH!L1064="1111",TH!M1064="1111")),TH!D1064,""),"")</f>
        <v/>
      </c>
      <c r="B1064" s="36">
        <f t="shared" si="221"/>
        <v>3</v>
      </c>
      <c r="C1064" s="191">
        <f t="shared" si="219"/>
        <v>41342</v>
      </c>
      <c r="D1064" s="191" t="s">
        <v>1294</v>
      </c>
      <c r="E1064" s="191">
        <v>41342</v>
      </c>
      <c r="F1064" s="192"/>
      <c r="G1064" s="485" t="s">
        <v>774</v>
      </c>
      <c r="H1064" s="7" t="s">
        <v>1287</v>
      </c>
      <c r="I1064" s="758"/>
      <c r="J1064" s="753"/>
      <c r="K1064" s="602">
        <f t="shared" si="220"/>
        <v>0</v>
      </c>
      <c r="L1064" s="39" t="s">
        <v>165</v>
      </c>
      <c r="M1064" s="603" t="s">
        <v>159</v>
      </c>
      <c r="N1064" s="39" t="str">
        <f>IF(AND('331-CT'!$E$7=TH!H1064,OR(L1064="331",M1064="331")),"331",IF(AND(OR(L1064="131",M1064="131"),H1064='131-CT'!$E$7),"131",""))</f>
        <v/>
      </c>
      <c r="O1064" s="39" t="str">
        <f>IF(AND($B1064&gt;='111'!$N$11,$B1064&lt;='111'!$O$11,OR($L1064=$O$7,$M1064=$O$7)),"x","")</f>
        <v/>
      </c>
      <c r="P1064" s="39" t="str">
        <f>IF(AND($L1064=$O$7,$B1064&lt;'111'!$N$11),"x","")</f>
        <v/>
      </c>
      <c r="Q1064" s="39" t="str">
        <f>IF(AND($M1064=$O$7,$B1064&lt;'111'!$N$11),"x","")</f>
        <v/>
      </c>
      <c r="R1064" s="39" t="str">
        <f>IF(ISERROR(FIND('112'!$M$9,G1064,1)),"",IF((AND(FIND('112'!$M$9,G1064,1)&gt;=1,$B1064&gt;='112'!$N$8,$B1064&lt;='112'!$O$8,OR($L1064='112'!$I$6,$M1064='112'!$I$6))),"x",""))</f>
        <v/>
      </c>
      <c r="S1064" s="39" t="str">
        <f>IF(ISERROR(FIND('112'!$M$9,G1064,1)),"",IF((AND(LEFT(G1064,2)=LEFT('112'!$M$9,2),B1064&lt;'112'!$N$8,$L1064='112'!$I$6)),"x",""))</f>
        <v/>
      </c>
      <c r="T1064" s="39" t="str">
        <f>IF(ISERROR(FIND('112'!$M$9,G1064,1)),"",IF((AND(RIGHT(G1064,2)=RIGHT('112'!$M$9,2),B1064&lt;'112'!$N$8,$M1064='112'!$I$6)),"x",""))</f>
        <v/>
      </c>
      <c r="U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39" t="str">
        <f>IF(OR(TH!L1064=TH!$V$7,M1064=TH!$V$7),"x","")</f>
        <v/>
      </c>
      <c r="W1064" s="39" t="str">
        <f>IF(AND(B1064&gt;='IN-NX'!$P$3,B1064&lt;='IN-NX'!$Q$3,'IN-NX'!$D$7=D1064,OR(LEFT(L1064,2)="15",AND(LEFT(M1064,2)&lt;&gt;"15",LEFT(M1064,2)&lt;&gt;"33"))),"x","")</f>
        <v/>
      </c>
      <c r="X1064" s="39" t="str">
        <f>IF(AND(OR(LEFT(TH!L1064,2)="15",LEFT(TH!M1064,2)="15"),'152-CT'!$J$8=TH!F1064),"x","")</f>
        <v/>
      </c>
      <c r="Y1064" s="39" t="str">
        <f>IF(AND(OR(LEFT(TH!L1064,2)="15",LEFT(TH!M1064,2)="15"),TK!$E$7=TH!F1064),"x","")</f>
        <v/>
      </c>
      <c r="Z1064" s="39" t="str">
        <f>IF(AND(B1064&lt;=NKC!$N$8,B1064&gt;=NKC!$M$8),"x","")</f>
        <v/>
      </c>
      <c r="AA1064" s="886"/>
      <c r="AD1064" s="594"/>
    </row>
    <row r="1065" spans="1:30" s="211" customFormat="1" ht="15.75" customHeight="1">
      <c r="A1065" s="204" t="str">
        <f>IF(B1065&lt;&gt;"",IF(AND(B1065&gt;=_TM1,B1065&lt;=_TM2,OR(TH!L1065="1111",TH!M1065="1111")),TH!D1065,""),"")</f>
        <v/>
      </c>
      <c r="B1065" s="36">
        <f t="shared" si="221"/>
        <v>3</v>
      </c>
      <c r="C1065" s="191">
        <f t="shared" si="219"/>
        <v>41342</v>
      </c>
      <c r="D1065" s="191" t="s">
        <v>1294</v>
      </c>
      <c r="E1065" s="191">
        <v>41342</v>
      </c>
      <c r="F1065" s="192"/>
      <c r="G1065" s="485" t="s">
        <v>774</v>
      </c>
      <c r="H1065" s="7" t="s">
        <v>1287</v>
      </c>
      <c r="I1065" s="758"/>
      <c r="J1065" s="753"/>
      <c r="K1065" s="602">
        <f t="shared" si="220"/>
        <v>0</v>
      </c>
      <c r="L1065" s="39" t="s">
        <v>165</v>
      </c>
      <c r="M1065" s="603" t="s">
        <v>159</v>
      </c>
      <c r="N1065" s="39" t="str">
        <f>IF(AND('331-CT'!$E$7=TH!H1065,OR(L1065="331",M1065="331")),"331",IF(AND(OR(L1065="131",M1065="131"),H1065='131-CT'!$E$7),"131",""))</f>
        <v/>
      </c>
      <c r="O1065" s="39" t="str">
        <f>IF(AND($B1065&gt;='111'!$N$11,$B1065&lt;='111'!$O$11,OR($L1065=$O$7,$M1065=$O$7)),"x","")</f>
        <v/>
      </c>
      <c r="P1065" s="39" t="str">
        <f>IF(AND($L1065=$O$7,$B1065&lt;'111'!$N$11),"x","")</f>
        <v/>
      </c>
      <c r="Q1065" s="39" t="str">
        <f>IF(AND($M1065=$O$7,$B1065&lt;'111'!$N$11),"x","")</f>
        <v/>
      </c>
      <c r="R1065" s="39" t="str">
        <f>IF(ISERROR(FIND('112'!$M$9,G1065,1)),"",IF((AND(FIND('112'!$M$9,G1065,1)&gt;=1,$B1065&gt;='112'!$N$8,$B1065&lt;='112'!$O$8,OR($L1065='112'!$I$6,$M1065='112'!$I$6))),"x",""))</f>
        <v/>
      </c>
      <c r="S1065" s="39" t="str">
        <f>IF(ISERROR(FIND('112'!$M$9,G1065,1)),"",IF((AND(LEFT(G1065,2)=LEFT('112'!$M$9,2),B1065&lt;'112'!$N$8,$L1065='112'!$I$6)),"x",""))</f>
        <v/>
      </c>
      <c r="T1065" s="39" t="str">
        <f>IF(ISERROR(FIND('112'!$M$9,G1065,1)),"",IF((AND(RIGHT(G1065,2)=RIGHT('112'!$M$9,2),B1065&lt;'112'!$N$8,$M1065='112'!$I$6)),"x",""))</f>
        <v/>
      </c>
      <c r="U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39" t="str">
        <f>IF(OR(TH!L1065=TH!$V$7,M1065=TH!$V$7),"x","")</f>
        <v/>
      </c>
      <c r="W1065" s="39" t="str">
        <f>IF(AND(B1065&gt;='IN-NX'!$P$3,B1065&lt;='IN-NX'!$Q$3,'IN-NX'!$D$7=D1065,OR(LEFT(L1065,2)="15",AND(LEFT(M1065,2)&lt;&gt;"15",LEFT(M1065,2)&lt;&gt;"33"))),"x","")</f>
        <v/>
      </c>
      <c r="X1065" s="39" t="str">
        <f>IF(AND(OR(LEFT(TH!L1065,2)="15",LEFT(TH!M1065,2)="15"),'152-CT'!$J$8=TH!F1065),"x","")</f>
        <v/>
      </c>
      <c r="Y1065" s="39" t="str">
        <f>IF(AND(OR(LEFT(TH!L1065,2)="15",LEFT(TH!M1065,2)="15"),TK!$E$7=TH!F1065),"x","")</f>
        <v/>
      </c>
      <c r="Z1065" s="39" t="str">
        <f>IF(AND(B1065&lt;=NKC!$N$8,B1065&gt;=NKC!$M$8),"x","")</f>
        <v/>
      </c>
      <c r="AA1065" s="886"/>
      <c r="AC1065" s="594"/>
      <c r="AD1065" s="594"/>
    </row>
    <row r="1066" spans="1:30" s="211" customFormat="1" ht="15.75" customHeight="1">
      <c r="A1066" s="204" t="str">
        <f>IF(B1066&lt;&gt;"",IF(AND(B1066&gt;=_TM1,B1066&lt;=_TM2,OR(TH!L1066="1111",TH!M1066="1111")),TH!D1066,""),"")</f>
        <v/>
      </c>
      <c r="B1066" s="36">
        <f t="shared" si="221"/>
        <v>3</v>
      </c>
      <c r="C1066" s="191">
        <f t="shared" si="219"/>
        <v>41343</v>
      </c>
      <c r="D1066" s="191" t="s">
        <v>1294</v>
      </c>
      <c r="E1066" s="191">
        <v>41343</v>
      </c>
      <c r="F1066" s="192"/>
      <c r="G1066" s="485" t="s">
        <v>496</v>
      </c>
      <c r="H1066" s="7" t="s">
        <v>1287</v>
      </c>
      <c r="I1066" s="758"/>
      <c r="J1066" s="753"/>
      <c r="K1066" s="602">
        <f t="shared" si="220"/>
        <v>0</v>
      </c>
      <c r="L1066" s="39" t="s">
        <v>165</v>
      </c>
      <c r="M1066" s="603" t="s">
        <v>159</v>
      </c>
      <c r="N1066" s="39" t="str">
        <f>IF(AND('331-CT'!$E$7=TH!H1066,OR(L1066="331",M1066="331")),"331",IF(AND(OR(L1066="131",M1066="131"),H1066='131-CT'!$E$7),"131",""))</f>
        <v/>
      </c>
      <c r="O1066" s="39" t="str">
        <f>IF(AND($B1066&gt;='111'!$N$11,$B1066&lt;='111'!$O$11,OR($L1066=$O$7,$M1066=$O$7)),"x","")</f>
        <v/>
      </c>
      <c r="P1066" s="39" t="str">
        <f>IF(AND($L1066=$O$7,$B1066&lt;'111'!$N$11),"x","")</f>
        <v/>
      </c>
      <c r="Q1066" s="39" t="str">
        <f>IF(AND($M1066=$O$7,$B1066&lt;'111'!$N$11),"x","")</f>
        <v/>
      </c>
      <c r="R1066" s="39" t="str">
        <f>IF(ISERROR(FIND('112'!$M$9,G1066,1)),"",IF((AND(FIND('112'!$M$9,G1066,1)&gt;=1,$B1066&gt;='112'!$N$8,$B1066&lt;='112'!$O$8,OR($L1066='112'!$I$6,$M1066='112'!$I$6))),"x",""))</f>
        <v/>
      </c>
      <c r="S1066" s="39" t="str">
        <f>IF(ISERROR(FIND('112'!$M$9,G1066,1)),"",IF((AND(LEFT(G1066,2)=LEFT('112'!$M$9,2),B1066&lt;'112'!$N$8,$L1066='112'!$I$6)),"x",""))</f>
        <v/>
      </c>
      <c r="T1066" s="39" t="str">
        <f>IF(ISERROR(FIND('112'!$M$9,G1066,1)),"",IF((AND(RIGHT(G1066,2)=RIGHT('112'!$M$9,2),B1066&lt;'112'!$N$8,$M1066='112'!$I$6)),"x",""))</f>
        <v/>
      </c>
      <c r="U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39" t="str">
        <f>IF(OR(TH!L1066=TH!$V$7,M1066=TH!$V$7),"x","")</f>
        <v/>
      </c>
      <c r="W1066" s="39" t="str">
        <f>IF(AND(B1066&gt;='IN-NX'!$P$3,B1066&lt;='IN-NX'!$Q$3,'IN-NX'!$D$7=D1066,OR(LEFT(L1066,2)="15",AND(LEFT(M1066,2)&lt;&gt;"15",LEFT(M1066,2)&lt;&gt;"33"))),"x","")</f>
        <v/>
      </c>
      <c r="X1066" s="39" t="str">
        <f>IF(AND(OR(LEFT(TH!L1066,2)="15",LEFT(TH!M1066,2)="15"),'152-CT'!$J$8=TH!F1066),"x","")</f>
        <v/>
      </c>
      <c r="Y1066" s="39" t="str">
        <f>IF(AND(OR(LEFT(TH!L1066,2)="15",LEFT(TH!M1066,2)="15"),TK!$E$7=TH!F1066),"x","")</f>
        <v/>
      </c>
      <c r="Z1066" s="39" t="str">
        <f>IF(AND(B1066&lt;=NKC!$N$8,B1066&gt;=NKC!$M$8),"x","")</f>
        <v/>
      </c>
      <c r="AA1066" s="886"/>
      <c r="AC1066" s="594"/>
      <c r="AD1066" s="594"/>
    </row>
    <row r="1067" spans="1:30" s="211" customFormat="1" ht="15.75" customHeight="1">
      <c r="A1067" s="204" t="str">
        <f>IF(B1067&lt;&gt;"",IF(AND(B1067&gt;=_TM1,B1067&lt;=_TM2,OR(TH!L1067="1111",TH!M1067="1111")),TH!D1067,""),"")</f>
        <v/>
      </c>
      <c r="B1067" s="36">
        <f t="shared" si="221"/>
        <v>3</v>
      </c>
      <c r="C1067" s="191">
        <f t="shared" si="219"/>
        <v>41343</v>
      </c>
      <c r="D1067" s="191" t="s">
        <v>1294</v>
      </c>
      <c r="E1067" s="37">
        <v>41343</v>
      </c>
      <c r="F1067" s="189"/>
      <c r="G1067" s="604" t="s">
        <v>776</v>
      </c>
      <c r="H1067" s="7" t="s">
        <v>1287</v>
      </c>
      <c r="I1067" s="753"/>
      <c r="J1067" s="753"/>
      <c r="K1067" s="602">
        <f t="shared" si="220"/>
        <v>0</v>
      </c>
      <c r="L1067" s="39" t="s">
        <v>165</v>
      </c>
      <c r="M1067" s="603" t="s">
        <v>159</v>
      </c>
      <c r="N1067" s="39" t="str">
        <f>IF(AND('331-CT'!$E$7=TH!H1067,OR(L1067="331",M1067="331")),"331",IF(AND(OR(L1067="131",M1067="131"),H1067='131-CT'!$E$7),"131",""))</f>
        <v/>
      </c>
      <c r="O1067" s="39" t="str">
        <f>IF(AND($B1067&gt;='111'!$N$11,$B1067&lt;='111'!$O$11,OR($L1067=$O$7,$M1067=$O$7)),"x","")</f>
        <v/>
      </c>
      <c r="P1067" s="39" t="str">
        <f>IF(AND($L1067=$O$7,$B1067&lt;'111'!$N$11),"x","")</f>
        <v/>
      </c>
      <c r="Q1067" s="39" t="str">
        <f>IF(AND($M1067=$O$7,$B1067&lt;'111'!$N$11),"x","")</f>
        <v/>
      </c>
      <c r="R1067" s="39" t="str">
        <f>IF(ISERROR(FIND('112'!$M$9,G1067,1)),"",IF((AND(FIND('112'!$M$9,G1067,1)&gt;=1,$B1067&gt;='112'!$N$8,$B1067&lt;='112'!$O$8,OR($L1067='112'!$I$6,$M1067='112'!$I$6))),"x",""))</f>
        <v/>
      </c>
      <c r="S1067" s="39" t="str">
        <f>IF(ISERROR(FIND('112'!$M$9,G1067,1)),"",IF((AND(LEFT(G1067,2)=LEFT('112'!$M$9,2),B1067&lt;'112'!$N$8,$L1067='112'!$I$6)),"x",""))</f>
        <v/>
      </c>
      <c r="T1067" s="39" t="str">
        <f>IF(ISERROR(FIND('112'!$M$9,G1067,1)),"",IF((AND(RIGHT(G1067,2)=RIGHT('112'!$M$9,2),B1067&lt;'112'!$N$8,$M1067='112'!$I$6)),"x",""))</f>
        <v/>
      </c>
      <c r="U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39" t="str">
        <f>IF(OR(TH!L1067=TH!$V$7,M1067=TH!$V$7),"x","")</f>
        <v/>
      </c>
      <c r="W1067" s="39" t="str">
        <f>IF(AND(B1067&gt;='IN-NX'!$P$3,B1067&lt;='IN-NX'!$Q$3,'IN-NX'!$D$7=D1067,OR(LEFT(L1067,2)="15",AND(LEFT(M1067,2)&lt;&gt;"15",LEFT(M1067,2)&lt;&gt;"33"))),"x","")</f>
        <v/>
      </c>
      <c r="X1067" s="39" t="str">
        <f>IF(AND(OR(LEFT(TH!L1067,2)="15",LEFT(TH!M1067,2)="15"),'152-CT'!$J$8=TH!F1067),"x","")</f>
        <v/>
      </c>
      <c r="Y1067" s="39" t="str">
        <f>IF(AND(OR(LEFT(TH!L1067,2)="15",LEFT(TH!M1067,2)="15"),TK!$E$7=TH!F1067),"x","")</f>
        <v/>
      </c>
      <c r="Z1067" s="39" t="str">
        <f>IF(AND(B1067&lt;=NKC!$N$8,B1067&gt;=NKC!$M$8),"x","")</f>
        <v/>
      </c>
      <c r="AA1067" s="886"/>
      <c r="AC1067" s="594"/>
      <c r="AD1067" s="594"/>
    </row>
    <row r="1068" spans="1:30" s="211" customFormat="1" ht="15.75" customHeight="1">
      <c r="A1068" s="204" t="str">
        <f>IF(B1068&lt;&gt;"",IF(AND(B1068&gt;=_TM1,B1068&lt;=_TM2,OR(TH!L1068="1111",TH!M1068="1111")),TH!D1068,""),"")</f>
        <v/>
      </c>
      <c r="B1068" s="36">
        <f t="shared" si="221"/>
        <v>3</v>
      </c>
      <c r="C1068" s="191">
        <f t="shared" si="219"/>
        <v>41348</v>
      </c>
      <c r="D1068" s="191" t="s">
        <v>1294</v>
      </c>
      <c r="E1068" s="37">
        <v>41348</v>
      </c>
      <c r="F1068" s="189"/>
      <c r="G1068" s="604" t="s">
        <v>779</v>
      </c>
      <c r="H1068" s="7" t="s">
        <v>1287</v>
      </c>
      <c r="I1068" s="753"/>
      <c r="J1068" s="753"/>
      <c r="K1068" s="602">
        <f t="shared" si="220"/>
        <v>0</v>
      </c>
      <c r="L1068" s="39" t="s">
        <v>165</v>
      </c>
      <c r="M1068" s="603" t="s">
        <v>159</v>
      </c>
      <c r="N1068" s="39" t="str">
        <f>IF(AND('331-CT'!$E$7=TH!H1068,OR(L1068="331",M1068="331")),"331",IF(AND(OR(L1068="131",M1068="131"),H1068='131-CT'!$E$7),"131",""))</f>
        <v/>
      </c>
      <c r="O1068" s="39" t="str">
        <f>IF(AND($B1068&gt;='111'!$N$11,$B1068&lt;='111'!$O$11,OR($L1068=$O$7,$M1068=$O$7)),"x","")</f>
        <v/>
      </c>
      <c r="P1068" s="39" t="str">
        <f>IF(AND($L1068=$O$7,$B1068&lt;'111'!$N$11),"x","")</f>
        <v/>
      </c>
      <c r="Q1068" s="39" t="str">
        <f>IF(AND($M1068=$O$7,$B1068&lt;'111'!$N$11),"x","")</f>
        <v/>
      </c>
      <c r="R1068" s="39" t="str">
        <f>IF(ISERROR(FIND('112'!$M$9,G1068,1)),"",IF((AND(FIND('112'!$M$9,G1068,1)&gt;=1,$B1068&gt;='112'!$N$8,$B1068&lt;='112'!$O$8,OR($L1068='112'!$I$6,$M1068='112'!$I$6))),"x",""))</f>
        <v/>
      </c>
      <c r="S1068" s="39" t="str">
        <f>IF(ISERROR(FIND('112'!$M$9,G1068,1)),"",IF((AND(LEFT(G1068,2)=LEFT('112'!$M$9,2),B1068&lt;'112'!$N$8,$L1068='112'!$I$6)),"x",""))</f>
        <v/>
      </c>
      <c r="T1068" s="39" t="str">
        <f>IF(ISERROR(FIND('112'!$M$9,G1068,1)),"",IF((AND(RIGHT(G1068,2)=RIGHT('112'!$M$9,2),B1068&lt;'112'!$N$8,$M1068='112'!$I$6)),"x",""))</f>
        <v/>
      </c>
      <c r="U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39" t="str">
        <f>IF(OR(TH!L1068=TH!$V$7,M1068=TH!$V$7),"x","")</f>
        <v/>
      </c>
      <c r="W1068" s="39" t="str">
        <f>IF(AND(B1068&gt;='IN-NX'!$P$3,B1068&lt;='IN-NX'!$Q$3,'IN-NX'!$D$7=D1068,OR(LEFT(L1068,2)="15",AND(LEFT(M1068,2)&lt;&gt;"15",LEFT(M1068,2)&lt;&gt;"33"))),"x","")</f>
        <v/>
      </c>
      <c r="X1068" s="39" t="str">
        <f>IF(AND(OR(LEFT(TH!L1068,2)="15",LEFT(TH!M1068,2)="15"),'152-CT'!$J$8=TH!F1068),"x","")</f>
        <v/>
      </c>
      <c r="Y1068" s="39" t="str">
        <f>IF(AND(OR(LEFT(TH!L1068,2)="15",LEFT(TH!M1068,2)="15"),TK!$E$7=TH!F1068),"x","")</f>
        <v/>
      </c>
      <c r="Z1068" s="39" t="str">
        <f>IF(AND(B1068&lt;=NKC!$N$8,B1068&gt;=NKC!$M$8),"x","")</f>
        <v/>
      </c>
      <c r="AA1068" s="886"/>
      <c r="AC1068" s="594"/>
      <c r="AD1068" s="594"/>
    </row>
    <row r="1069" spans="1:30" s="211" customFormat="1" ht="15.75" customHeight="1">
      <c r="A1069" s="204" t="str">
        <f>IF(B1069&lt;&gt;"",IF(AND(B1069&gt;=_TM1,B1069&lt;=_TM2,OR(TH!L1069="1111",TH!M1069="1111")),TH!D1069,""),"")</f>
        <v/>
      </c>
      <c r="B1069" s="36">
        <f t="shared" si="221"/>
        <v>3</v>
      </c>
      <c r="C1069" s="191">
        <f t="shared" si="219"/>
        <v>41356</v>
      </c>
      <c r="D1069" s="191" t="s">
        <v>1294</v>
      </c>
      <c r="E1069" s="184">
        <v>41356</v>
      </c>
      <c r="F1069" s="192"/>
      <c r="G1069" s="487" t="s">
        <v>781</v>
      </c>
      <c r="H1069" s="7" t="s">
        <v>1287</v>
      </c>
      <c r="I1069" s="753"/>
      <c r="J1069" s="753"/>
      <c r="K1069" s="602">
        <f t="shared" si="220"/>
        <v>0</v>
      </c>
      <c r="L1069" s="39" t="s">
        <v>165</v>
      </c>
      <c r="M1069" s="603" t="s">
        <v>159</v>
      </c>
      <c r="N1069" s="39" t="str">
        <f>IF(AND('331-CT'!$E$7=TH!H1069,OR(L1069="331",M1069="331")),"331",IF(AND(OR(L1069="131",M1069="131"),H1069='131-CT'!$E$7),"131",""))</f>
        <v/>
      </c>
      <c r="O1069" s="39" t="str">
        <f>IF(AND($B1069&gt;='111'!$N$11,$B1069&lt;='111'!$O$11,OR($L1069=$O$7,$M1069=$O$7)),"x","")</f>
        <v/>
      </c>
      <c r="P1069" s="39" t="str">
        <f>IF(AND($L1069=$O$7,$B1069&lt;'111'!$N$11),"x","")</f>
        <v/>
      </c>
      <c r="Q1069" s="39" t="str">
        <f>IF(AND($M1069=$O$7,$B1069&lt;'111'!$N$11),"x","")</f>
        <v/>
      </c>
      <c r="R1069" s="39" t="str">
        <f>IF(ISERROR(FIND('112'!$M$9,G1069,1)),"",IF((AND(FIND('112'!$M$9,G1069,1)&gt;=1,$B1069&gt;='112'!$N$8,$B1069&lt;='112'!$O$8,OR($L1069='112'!$I$6,$M1069='112'!$I$6))),"x",""))</f>
        <v/>
      </c>
      <c r="S1069" s="39" t="str">
        <f>IF(ISERROR(FIND('112'!$M$9,G1069,1)),"",IF((AND(LEFT(G1069,2)=LEFT('112'!$M$9,2),B1069&lt;'112'!$N$8,$L1069='112'!$I$6)),"x",""))</f>
        <v/>
      </c>
      <c r="T1069" s="39" t="str">
        <f>IF(ISERROR(FIND('112'!$M$9,G1069,1)),"",IF((AND(RIGHT(G1069,2)=RIGHT('112'!$M$9,2),B1069&lt;'112'!$N$8,$M1069='112'!$I$6)),"x",""))</f>
        <v/>
      </c>
      <c r="U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39" t="str">
        <f>IF(OR(TH!L1069=TH!$V$7,M1069=TH!$V$7),"x","")</f>
        <v/>
      </c>
      <c r="W1069" s="39" t="str">
        <f>IF(AND(B1069&gt;='IN-NX'!$P$3,B1069&lt;='IN-NX'!$Q$3,'IN-NX'!$D$7=D1069,OR(LEFT(L1069,2)="15",AND(LEFT(M1069,2)&lt;&gt;"15",LEFT(M1069,2)&lt;&gt;"33"))),"x","")</f>
        <v/>
      </c>
      <c r="X1069" s="39" t="str">
        <f>IF(AND(OR(LEFT(TH!L1069,2)="15",LEFT(TH!M1069,2)="15"),'152-CT'!$J$8=TH!F1069),"x","")</f>
        <v/>
      </c>
      <c r="Y1069" s="39" t="str">
        <f>IF(AND(OR(LEFT(TH!L1069,2)="15",LEFT(TH!M1069,2)="15"),TK!$E$7=TH!F1069),"x","")</f>
        <v/>
      </c>
      <c r="Z1069" s="39" t="str">
        <f>IF(AND(B1069&lt;=NKC!$N$8,B1069&gt;=NKC!$M$8),"x","")</f>
        <v/>
      </c>
      <c r="AA1069" s="886"/>
    </row>
    <row r="1070" spans="1:30" s="211" customFormat="1" ht="15.75" customHeight="1">
      <c r="A1070" s="204" t="str">
        <f>IF(B1070&lt;&gt;"",IF(AND(B1070&gt;=_TM1,B1070&lt;=_TM2,OR(TH!L1070="1111",TH!M1070="1111")),TH!D1070,""),"")</f>
        <v/>
      </c>
      <c r="B1070" s="36">
        <f t="shared" si="221"/>
        <v>3</v>
      </c>
      <c r="C1070" s="191">
        <f t="shared" si="219"/>
        <v>41356</v>
      </c>
      <c r="D1070" s="191" t="s">
        <v>1294</v>
      </c>
      <c r="E1070" s="184">
        <v>41356</v>
      </c>
      <c r="F1070" s="192"/>
      <c r="G1070" s="487" t="s">
        <v>781</v>
      </c>
      <c r="H1070" s="7" t="s">
        <v>1287</v>
      </c>
      <c r="I1070" s="753"/>
      <c r="J1070" s="753"/>
      <c r="K1070" s="602">
        <f t="shared" si="220"/>
        <v>0</v>
      </c>
      <c r="L1070" s="39" t="s">
        <v>165</v>
      </c>
      <c r="M1070" s="603" t="s">
        <v>159</v>
      </c>
      <c r="N1070" s="39" t="str">
        <f>IF(AND('331-CT'!$E$7=TH!H1070,OR(L1070="331",M1070="331")),"331",IF(AND(OR(L1070="131",M1070="131"),H1070='131-CT'!$E$7),"131",""))</f>
        <v/>
      </c>
      <c r="O1070" s="39" t="str">
        <f>IF(AND($B1070&gt;='111'!$N$11,$B1070&lt;='111'!$O$11,OR($L1070=$O$7,$M1070=$O$7)),"x","")</f>
        <v/>
      </c>
      <c r="P1070" s="39" t="str">
        <f>IF(AND($L1070=$O$7,$B1070&lt;'111'!$N$11),"x","")</f>
        <v/>
      </c>
      <c r="Q1070" s="39" t="str">
        <f>IF(AND($M1070=$O$7,$B1070&lt;'111'!$N$11),"x","")</f>
        <v/>
      </c>
      <c r="R1070" s="39" t="str">
        <f>IF(ISERROR(FIND('112'!$M$9,G1070,1)),"",IF((AND(FIND('112'!$M$9,G1070,1)&gt;=1,$B1070&gt;='112'!$N$8,$B1070&lt;='112'!$O$8,OR($L1070='112'!$I$6,$M1070='112'!$I$6))),"x",""))</f>
        <v/>
      </c>
      <c r="S1070" s="39" t="str">
        <f>IF(ISERROR(FIND('112'!$M$9,G1070,1)),"",IF((AND(LEFT(G1070,2)=LEFT('112'!$M$9,2),B1070&lt;'112'!$N$8,$L1070='112'!$I$6)),"x",""))</f>
        <v/>
      </c>
      <c r="T1070" s="39" t="str">
        <f>IF(ISERROR(FIND('112'!$M$9,G1070,1)),"",IF((AND(RIGHT(G1070,2)=RIGHT('112'!$M$9,2),B1070&lt;'112'!$N$8,$M1070='112'!$I$6)),"x",""))</f>
        <v/>
      </c>
      <c r="U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39" t="str">
        <f>IF(OR(TH!L1070=TH!$V$7,M1070=TH!$V$7),"x","")</f>
        <v/>
      </c>
      <c r="W1070" s="39" t="str">
        <f>IF(AND(B1070&gt;='IN-NX'!$P$3,B1070&lt;='IN-NX'!$Q$3,'IN-NX'!$D$7=D1070,OR(LEFT(L1070,2)="15",AND(LEFT(M1070,2)&lt;&gt;"15",LEFT(M1070,2)&lt;&gt;"33"))),"x","")</f>
        <v/>
      </c>
      <c r="X1070" s="39" t="str">
        <f>IF(AND(OR(LEFT(TH!L1070,2)="15",LEFT(TH!M1070,2)="15"),'152-CT'!$J$8=TH!F1070),"x","")</f>
        <v/>
      </c>
      <c r="Y1070" s="39" t="str">
        <f>IF(AND(OR(LEFT(TH!L1070,2)="15",LEFT(TH!M1070,2)="15"),TK!$E$7=TH!F1070),"x","")</f>
        <v/>
      </c>
      <c r="Z1070" s="39" t="str">
        <f>IF(AND(B1070&lt;=NKC!$N$8,B1070&gt;=NKC!$M$8),"x","")</f>
        <v/>
      </c>
      <c r="AA1070" s="886"/>
    </row>
    <row r="1071" spans="1:30" s="211" customFormat="1" ht="15.75" customHeight="1">
      <c r="A1071" s="204" t="str">
        <f>IF(B1071&lt;&gt;"",IF(AND(B1071&gt;=_TM1,B1071&lt;=_TM2,OR(TH!L1071="1111",TH!M1071="1111")),TH!D1071,""),"")</f>
        <v/>
      </c>
      <c r="B1071" s="36">
        <f t="shared" si="221"/>
        <v>3</v>
      </c>
      <c r="C1071" s="191">
        <f t="shared" si="219"/>
        <v>41358</v>
      </c>
      <c r="D1071" s="191" t="s">
        <v>1294</v>
      </c>
      <c r="E1071" s="184">
        <v>41358</v>
      </c>
      <c r="F1071" s="835"/>
      <c r="G1071" s="487" t="s">
        <v>782</v>
      </c>
      <c r="H1071" s="7" t="s">
        <v>1287</v>
      </c>
      <c r="I1071" s="753"/>
      <c r="J1071" s="256"/>
      <c r="K1071" s="602">
        <f t="shared" si="220"/>
        <v>0</v>
      </c>
      <c r="L1071" s="39" t="s">
        <v>165</v>
      </c>
      <c r="M1071" s="603" t="s">
        <v>159</v>
      </c>
      <c r="N1071" s="39" t="str">
        <f>IF(AND('331-CT'!$E$7=TH!H1071,OR(L1071="331",M1071="331")),"331",IF(AND(OR(L1071="131",M1071="131"),H1071='131-CT'!$E$7),"131",""))</f>
        <v/>
      </c>
      <c r="O1071" s="39" t="str">
        <f>IF(AND($B1071&gt;='111'!$N$11,$B1071&lt;='111'!$O$11,OR($L1071=$O$7,$M1071=$O$7)),"x","")</f>
        <v/>
      </c>
      <c r="P1071" s="39" t="str">
        <f>IF(AND($L1071=$O$7,$B1071&lt;'111'!$N$11),"x","")</f>
        <v/>
      </c>
      <c r="Q1071" s="39" t="str">
        <f>IF(AND($M1071=$O$7,$B1071&lt;'111'!$N$11),"x","")</f>
        <v/>
      </c>
      <c r="R1071" s="39" t="str">
        <f>IF(ISERROR(FIND('112'!$M$9,G1071,1)),"",IF((AND(FIND('112'!$M$9,G1071,1)&gt;=1,$B1071&gt;='112'!$N$8,$B1071&lt;='112'!$O$8,OR($L1071='112'!$I$6,$M1071='112'!$I$6))),"x",""))</f>
        <v/>
      </c>
      <c r="S1071" s="39" t="str">
        <f>IF(ISERROR(FIND('112'!$M$9,G1071,1)),"",IF((AND(LEFT(G1071,2)=LEFT('112'!$M$9,2),B1071&lt;'112'!$N$8,$L1071='112'!$I$6)),"x",""))</f>
        <v/>
      </c>
      <c r="T1071" s="39" t="str">
        <f>IF(ISERROR(FIND('112'!$M$9,G1071,1)),"",IF((AND(RIGHT(G1071,2)=RIGHT('112'!$M$9,2),B1071&lt;'112'!$N$8,$M1071='112'!$I$6)),"x",""))</f>
        <v/>
      </c>
      <c r="U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39" t="str">
        <f>IF(OR(TH!L1071=TH!$V$7,M1071=TH!$V$7),"x","")</f>
        <v/>
      </c>
      <c r="W1071" s="39" t="str">
        <f>IF(AND(B1071&gt;='IN-NX'!$P$3,B1071&lt;='IN-NX'!$Q$3,'IN-NX'!$D$7=D1071,OR(LEFT(L1071,2)="15",AND(LEFT(M1071,2)&lt;&gt;"15",LEFT(M1071,2)&lt;&gt;"33"))),"x","")</f>
        <v/>
      </c>
      <c r="X1071" s="39" t="str">
        <f>IF(AND(OR(LEFT(TH!L1071,2)="15",LEFT(TH!M1071,2)="15"),'152-CT'!$J$8=TH!F1071),"x","")</f>
        <v/>
      </c>
      <c r="Y1071" s="39" t="str">
        <f>IF(AND(OR(LEFT(TH!L1071,2)="15",LEFT(TH!M1071,2)="15"),TK!$E$7=TH!F1071),"x","")</f>
        <v/>
      </c>
      <c r="Z1071" s="39" t="str">
        <f>IF(AND(B1071&lt;=NKC!$N$8,B1071&gt;=NKC!$M$8),"x","")</f>
        <v/>
      </c>
      <c r="AA1071" s="886"/>
    </row>
    <row r="1072" spans="1:30" s="211" customFormat="1" ht="15.75" customHeight="1">
      <c r="A1072" s="204" t="str">
        <f>IF(B1072&lt;&gt;"",IF(AND(B1072&gt;=_TM1,B1072&lt;=_TM2,OR(TH!L1072="1111",TH!M1072="1111")),TH!D1072,""),"")</f>
        <v/>
      </c>
      <c r="B1072" s="36">
        <f t="shared" si="221"/>
        <v>3</v>
      </c>
      <c r="C1072" s="191">
        <f t="shared" si="219"/>
        <v>41358</v>
      </c>
      <c r="D1072" s="191" t="s">
        <v>1294</v>
      </c>
      <c r="E1072" s="184">
        <v>41358</v>
      </c>
      <c r="F1072" s="192"/>
      <c r="G1072" s="487" t="s">
        <v>783</v>
      </c>
      <c r="H1072" s="7" t="s">
        <v>1287</v>
      </c>
      <c r="I1072" s="753"/>
      <c r="J1072" s="848"/>
      <c r="K1072" s="602">
        <f t="shared" si="220"/>
        <v>0</v>
      </c>
      <c r="L1072" s="39" t="s">
        <v>165</v>
      </c>
      <c r="M1072" s="603" t="s">
        <v>159</v>
      </c>
      <c r="N1072" s="39" t="str">
        <f>IF(AND('331-CT'!$E$7=TH!H1072,OR(L1072="331",M1072="331")),"331",IF(AND(OR(L1072="131",M1072="131"),H1072='131-CT'!$E$7),"131",""))</f>
        <v/>
      </c>
      <c r="O1072" s="39" t="str">
        <f>IF(AND($B1072&gt;='111'!$N$11,$B1072&lt;='111'!$O$11,OR($L1072=$O$7,$M1072=$O$7)),"x","")</f>
        <v/>
      </c>
      <c r="P1072" s="39" t="str">
        <f>IF(AND($L1072=$O$7,$B1072&lt;'111'!$N$11),"x","")</f>
        <v/>
      </c>
      <c r="Q1072" s="39" t="str">
        <f>IF(AND($M1072=$O$7,$B1072&lt;'111'!$N$11),"x","")</f>
        <v/>
      </c>
      <c r="R1072" s="39" t="str">
        <f>IF(ISERROR(FIND('112'!$M$9,G1072,1)),"",IF((AND(FIND('112'!$M$9,G1072,1)&gt;=1,$B1072&gt;='112'!$N$8,$B1072&lt;='112'!$O$8,OR($L1072='112'!$I$6,$M1072='112'!$I$6))),"x",""))</f>
        <v/>
      </c>
      <c r="S1072" s="39" t="str">
        <f>IF(ISERROR(FIND('112'!$M$9,G1072,1)),"",IF((AND(LEFT(G1072,2)=LEFT('112'!$M$9,2),B1072&lt;'112'!$N$8,$L1072='112'!$I$6)),"x",""))</f>
        <v/>
      </c>
      <c r="T1072" s="39" t="str">
        <f>IF(ISERROR(FIND('112'!$M$9,G1072,1)),"",IF((AND(RIGHT(G1072,2)=RIGHT('112'!$M$9,2),B1072&lt;'112'!$N$8,$M1072='112'!$I$6)),"x",""))</f>
        <v/>
      </c>
      <c r="U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39" t="str">
        <f>IF(OR(TH!L1072=TH!$V$7,M1072=TH!$V$7),"x","")</f>
        <v/>
      </c>
      <c r="W1072" s="39" t="str">
        <f>IF(AND(B1072&gt;='IN-NX'!$P$3,B1072&lt;='IN-NX'!$Q$3,'IN-NX'!$D$7=D1072,OR(LEFT(L1072,2)="15",AND(LEFT(M1072,2)&lt;&gt;"15",LEFT(M1072,2)&lt;&gt;"33"))),"x","")</f>
        <v/>
      </c>
      <c r="X1072" s="39" t="str">
        <f>IF(AND(OR(LEFT(TH!L1072,2)="15",LEFT(TH!M1072,2)="15"),'152-CT'!$J$8=TH!F1072),"x","")</f>
        <v/>
      </c>
      <c r="Y1072" s="39" t="str">
        <f>IF(AND(OR(LEFT(TH!L1072,2)="15",LEFT(TH!M1072,2)="15"),TK!$E$7=TH!F1072),"x","")</f>
        <v/>
      </c>
      <c r="Z1072" s="39" t="str">
        <f>IF(AND(B1072&lt;=NKC!$N$8,B1072&gt;=NKC!$M$8),"x","")</f>
        <v/>
      </c>
      <c r="AA1072" s="886"/>
    </row>
    <row r="1073" spans="1:27" s="211" customFormat="1" ht="15.75" customHeight="1">
      <c r="A1073" s="204" t="str">
        <f>IF(B1073&lt;&gt;"",IF(AND(B1073&gt;=_TM1,B1073&lt;=_TM2,OR(TH!L1073="1111",TH!M1073="1111")),TH!D1073,""),"")</f>
        <v/>
      </c>
      <c r="B1073" s="36">
        <f t="shared" si="221"/>
        <v>3</v>
      </c>
      <c r="C1073" s="191">
        <f t="shared" si="219"/>
        <v>41358</v>
      </c>
      <c r="D1073" s="191" t="s">
        <v>1294</v>
      </c>
      <c r="E1073" s="37">
        <v>41358</v>
      </c>
      <c r="F1073" s="297"/>
      <c r="G1073" s="40" t="s">
        <v>783</v>
      </c>
      <c r="H1073" s="7" t="s">
        <v>1287</v>
      </c>
      <c r="I1073" s="305"/>
      <c r="J1073" s="802"/>
      <c r="K1073" s="602">
        <f t="shared" si="220"/>
        <v>0</v>
      </c>
      <c r="L1073" s="39" t="s">
        <v>165</v>
      </c>
      <c r="M1073" s="603" t="s">
        <v>159</v>
      </c>
      <c r="N1073" s="39" t="str">
        <f>IF(AND('331-CT'!$E$7=TH!H1073,OR(L1073="331",M1073="331")),"331",IF(AND(OR(L1073="131",M1073="131"),H1073='131-CT'!$E$7),"131",""))</f>
        <v/>
      </c>
      <c r="O1073" s="39" t="str">
        <f>IF(AND($B1073&gt;='111'!$N$11,$B1073&lt;='111'!$O$11,OR($L1073=$O$7,$M1073=$O$7)),"x","")</f>
        <v/>
      </c>
      <c r="P1073" s="39" t="str">
        <f>IF(AND($L1073=$O$7,$B1073&lt;'111'!$N$11),"x","")</f>
        <v/>
      </c>
      <c r="Q1073" s="39" t="str">
        <f>IF(AND($M1073=$O$7,$B1073&lt;'111'!$N$11),"x","")</f>
        <v/>
      </c>
      <c r="R1073" s="39" t="str">
        <f>IF(ISERROR(FIND('112'!$M$9,G1073,1)),"",IF((AND(FIND('112'!$M$9,G1073,1)&gt;=1,$B1073&gt;='112'!$N$8,$B1073&lt;='112'!$O$8,OR($L1073='112'!$I$6,$M1073='112'!$I$6))),"x",""))</f>
        <v/>
      </c>
      <c r="S1073" s="39" t="str">
        <f>IF(ISERROR(FIND('112'!$M$9,G1073,1)),"",IF((AND(LEFT(G1073,2)=LEFT('112'!$M$9,2),B1073&lt;'112'!$N$8,$L1073='112'!$I$6)),"x",""))</f>
        <v/>
      </c>
      <c r="T1073" s="39" t="str">
        <f>IF(ISERROR(FIND('112'!$M$9,G1073,1)),"",IF((AND(RIGHT(G1073,2)=RIGHT('112'!$M$9,2),B1073&lt;'112'!$N$8,$M1073='112'!$I$6)),"x",""))</f>
        <v/>
      </c>
      <c r="U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39" t="str">
        <f>IF(OR(TH!L1073=TH!$V$7,M1073=TH!$V$7),"x","")</f>
        <v/>
      </c>
      <c r="W1073" s="39" t="str">
        <f>IF(AND(B1073&gt;='IN-NX'!$P$3,B1073&lt;='IN-NX'!$Q$3,'IN-NX'!$D$7=D1073,OR(LEFT(L1073,2)="15",AND(LEFT(M1073,2)&lt;&gt;"15",LEFT(M1073,2)&lt;&gt;"33"))),"x","")</f>
        <v/>
      </c>
      <c r="X1073" s="39" t="str">
        <f>IF(AND(OR(LEFT(TH!L1073,2)="15",LEFT(TH!M1073,2)="15"),'152-CT'!$J$8=TH!F1073),"x","")</f>
        <v/>
      </c>
      <c r="Y1073" s="39" t="str">
        <f>IF(AND(OR(LEFT(TH!L1073,2)="15",LEFT(TH!M1073,2)="15"),TK!$E$7=TH!F1073),"x","")</f>
        <v/>
      </c>
      <c r="Z1073" s="39" t="str">
        <f>IF(AND(B1073&lt;=NKC!$N$8,B1073&gt;=NKC!$M$8),"x","")</f>
        <v/>
      </c>
      <c r="AA1073" s="886"/>
    </row>
    <row r="1074" spans="1:27" s="211" customFormat="1" ht="15.75" customHeight="1">
      <c r="A1074" s="204" t="str">
        <f>IF(B1074&lt;&gt;"",IF(AND(B1074&gt;=_TM1,B1074&lt;=_TM2,OR(TH!L1074="1111",TH!M1074="1111")),TH!D1074,""),"")</f>
        <v/>
      </c>
      <c r="B1074" s="36">
        <f t="shared" si="221"/>
        <v>3</v>
      </c>
      <c r="C1074" s="191">
        <f t="shared" si="219"/>
        <v>41358</v>
      </c>
      <c r="D1074" s="191" t="s">
        <v>1294</v>
      </c>
      <c r="E1074" s="191">
        <v>41358</v>
      </c>
      <c r="F1074" s="189"/>
      <c r="G1074" s="604" t="s">
        <v>783</v>
      </c>
      <c r="H1074" s="7" t="s">
        <v>1287</v>
      </c>
      <c r="I1074" s="256"/>
      <c r="J1074" s="256"/>
      <c r="K1074" s="602">
        <f t="shared" si="220"/>
        <v>0</v>
      </c>
      <c r="L1074" s="39" t="s">
        <v>165</v>
      </c>
      <c r="M1074" s="603" t="s">
        <v>159</v>
      </c>
      <c r="N1074" s="39" t="str">
        <f>IF(AND('331-CT'!$E$7=TH!H1074,OR(L1074="331",M1074="331")),"331",IF(AND(OR(L1074="131",M1074="131"),H1074='131-CT'!$E$7),"131",""))</f>
        <v/>
      </c>
      <c r="O1074" s="39" t="str">
        <f>IF(AND($B1074&gt;='111'!$N$11,$B1074&lt;='111'!$O$11,OR($L1074=$O$7,$M1074=$O$7)),"x","")</f>
        <v/>
      </c>
      <c r="P1074" s="39" t="str">
        <f>IF(AND($L1074=$O$7,$B1074&lt;'111'!$N$11),"x","")</f>
        <v/>
      </c>
      <c r="Q1074" s="39" t="str">
        <f>IF(AND($M1074=$O$7,$B1074&lt;'111'!$N$11),"x","")</f>
        <v/>
      </c>
      <c r="R1074" s="39" t="str">
        <f>IF(ISERROR(FIND('112'!$M$9,G1074,1)),"",IF((AND(FIND('112'!$M$9,G1074,1)&gt;=1,$B1074&gt;='112'!$N$8,$B1074&lt;='112'!$O$8,OR($L1074='112'!$I$6,$M1074='112'!$I$6))),"x",""))</f>
        <v/>
      </c>
      <c r="S1074" s="39" t="str">
        <f>IF(ISERROR(FIND('112'!$M$9,G1074,1)),"",IF((AND(LEFT(G1074,2)=LEFT('112'!$M$9,2),B1074&lt;'112'!$N$8,$L1074='112'!$I$6)),"x",""))</f>
        <v/>
      </c>
      <c r="T1074" s="39" t="str">
        <f>IF(ISERROR(FIND('112'!$M$9,G1074,1)),"",IF((AND(RIGHT(G1074,2)=RIGHT('112'!$M$9,2),B1074&lt;'112'!$N$8,$M1074='112'!$I$6)),"x",""))</f>
        <v/>
      </c>
      <c r="U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39" t="str">
        <f>IF(OR(TH!L1074=TH!$V$7,M1074=TH!$V$7),"x","")</f>
        <v/>
      </c>
      <c r="W1074" s="39" t="str">
        <f>IF(AND(B1074&gt;='IN-NX'!$P$3,B1074&lt;='IN-NX'!$Q$3,'IN-NX'!$D$7=D1074,OR(LEFT(L1074,2)="15",AND(LEFT(M1074,2)&lt;&gt;"15",LEFT(M1074,2)&lt;&gt;"33"))),"x","")</f>
        <v/>
      </c>
      <c r="X1074" s="39" t="str">
        <f>IF(AND(OR(LEFT(TH!L1074,2)="15",LEFT(TH!M1074,2)="15"),'152-CT'!$J$8=TH!F1074),"x","")</f>
        <v/>
      </c>
      <c r="Y1074" s="39" t="str">
        <f>IF(AND(OR(LEFT(TH!L1074,2)="15",LEFT(TH!M1074,2)="15"),TK!$E$7=TH!F1074),"x","")</f>
        <v/>
      </c>
      <c r="Z1074" s="39" t="str">
        <f>IF(AND(B1074&lt;=NKC!$N$8,B1074&gt;=NKC!$M$8),"x","")</f>
        <v/>
      </c>
      <c r="AA1074" s="886"/>
    </row>
    <row r="1075" spans="1:27" s="211" customFormat="1" ht="15.75" customHeight="1">
      <c r="A1075" s="204" t="str">
        <f>IF(B1075&lt;&gt;"",IF(AND(B1075&gt;=_TM1,B1075&lt;=_TM2,OR(TH!L1075="1111",TH!M1075="1111")),TH!D1075,""),"")</f>
        <v/>
      </c>
      <c r="B1075" s="36">
        <f t="shared" si="221"/>
        <v>3</v>
      </c>
      <c r="C1075" s="191">
        <f t="shared" si="219"/>
        <v>41358</v>
      </c>
      <c r="D1075" s="191" t="s">
        <v>1294</v>
      </c>
      <c r="E1075" s="191">
        <v>41358</v>
      </c>
      <c r="F1075" s="189"/>
      <c r="G1075" s="604" t="s">
        <v>783</v>
      </c>
      <c r="H1075" s="7" t="s">
        <v>1287</v>
      </c>
      <c r="I1075" s="256"/>
      <c r="J1075" s="256"/>
      <c r="K1075" s="602">
        <f t="shared" si="220"/>
        <v>0</v>
      </c>
      <c r="L1075" s="39" t="s">
        <v>165</v>
      </c>
      <c r="M1075" s="603" t="s">
        <v>159</v>
      </c>
      <c r="N1075" s="39" t="str">
        <f>IF(AND('331-CT'!$E$7=TH!H1075,OR(L1075="331",M1075="331")),"331",IF(AND(OR(L1075="131",M1075="131"),H1075='131-CT'!$E$7),"131",""))</f>
        <v/>
      </c>
      <c r="O1075" s="39" t="str">
        <f>IF(AND($B1075&gt;='111'!$N$11,$B1075&lt;='111'!$O$11,OR($L1075=$O$7,$M1075=$O$7)),"x","")</f>
        <v/>
      </c>
      <c r="P1075" s="39" t="str">
        <f>IF(AND($L1075=$O$7,$B1075&lt;'111'!$N$11),"x","")</f>
        <v/>
      </c>
      <c r="Q1075" s="39" t="str">
        <f>IF(AND($M1075=$O$7,$B1075&lt;'111'!$N$11),"x","")</f>
        <v/>
      </c>
      <c r="R1075" s="39" t="str">
        <f>IF(ISERROR(FIND('112'!$M$9,G1075,1)),"",IF((AND(FIND('112'!$M$9,G1075,1)&gt;=1,$B1075&gt;='112'!$N$8,$B1075&lt;='112'!$O$8,OR($L1075='112'!$I$6,$M1075='112'!$I$6))),"x",""))</f>
        <v/>
      </c>
      <c r="S1075" s="39" t="str">
        <f>IF(ISERROR(FIND('112'!$M$9,G1075,1)),"",IF((AND(LEFT(G1075,2)=LEFT('112'!$M$9,2),B1075&lt;'112'!$N$8,$L1075='112'!$I$6)),"x",""))</f>
        <v/>
      </c>
      <c r="T1075" s="39" t="str">
        <f>IF(ISERROR(FIND('112'!$M$9,G1075,1)),"",IF((AND(RIGHT(G1075,2)=RIGHT('112'!$M$9,2),B1075&lt;'112'!$N$8,$M1075='112'!$I$6)),"x",""))</f>
        <v/>
      </c>
      <c r="U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39" t="str">
        <f>IF(OR(TH!L1075=TH!$V$7,M1075=TH!$V$7),"x","")</f>
        <v/>
      </c>
      <c r="W1075" s="39" t="str">
        <f>IF(AND(B1075&gt;='IN-NX'!$P$3,B1075&lt;='IN-NX'!$Q$3,'IN-NX'!$D$7=D1075,OR(LEFT(L1075,2)="15",AND(LEFT(M1075,2)&lt;&gt;"15",LEFT(M1075,2)&lt;&gt;"33"))),"x","")</f>
        <v/>
      </c>
      <c r="X1075" s="39" t="str">
        <f>IF(AND(OR(LEFT(TH!L1075,2)="15",LEFT(TH!M1075,2)="15"),'152-CT'!$J$8=TH!F1075),"x","")</f>
        <v/>
      </c>
      <c r="Y1075" s="39" t="str">
        <f>IF(AND(OR(LEFT(TH!L1075,2)="15",LEFT(TH!M1075,2)="15"),TK!$E$7=TH!F1075),"x","")</f>
        <v/>
      </c>
      <c r="Z1075" s="39" t="str">
        <f>IF(AND(B1075&lt;=NKC!$N$8,B1075&gt;=NKC!$M$8),"x","")</f>
        <v/>
      </c>
      <c r="AA1075" s="886"/>
    </row>
    <row r="1076" spans="1:27" s="211" customFormat="1" ht="15.75" customHeight="1">
      <c r="A1076" s="204" t="str">
        <f>IF(B1076&lt;&gt;"",IF(AND(B1076&gt;=_TM1,B1076&lt;=_TM2,OR(TH!L1076="1111",TH!M1076="1111")),TH!D1076,""),"")</f>
        <v/>
      </c>
      <c r="B1076" s="36">
        <f t="shared" si="221"/>
        <v>3</v>
      </c>
      <c r="C1076" s="191">
        <f t="shared" si="219"/>
        <v>41358</v>
      </c>
      <c r="D1076" s="191" t="s">
        <v>1294</v>
      </c>
      <c r="E1076" s="37">
        <v>41358</v>
      </c>
      <c r="F1076" s="40"/>
      <c r="G1076" s="40" t="s">
        <v>783</v>
      </c>
      <c r="H1076" s="7" t="s">
        <v>1287</v>
      </c>
      <c r="I1076" s="256"/>
      <c r="J1076" s="256"/>
      <c r="K1076" s="602">
        <f t="shared" si="220"/>
        <v>0</v>
      </c>
      <c r="L1076" s="39" t="s">
        <v>165</v>
      </c>
      <c r="M1076" s="603" t="s">
        <v>159</v>
      </c>
      <c r="N1076" s="39" t="str">
        <f>IF(AND('331-CT'!$E$7=TH!H1076,OR(L1076="331",M1076="331")),"331",IF(AND(OR(L1076="131",M1076="131"),H1076='131-CT'!$E$7),"131",""))</f>
        <v/>
      </c>
      <c r="O1076" s="39" t="str">
        <f>IF(AND($B1076&gt;='111'!$N$11,$B1076&lt;='111'!$O$11,OR($L1076=$O$7,$M1076=$O$7)),"x","")</f>
        <v/>
      </c>
      <c r="P1076" s="39" t="str">
        <f>IF(AND($L1076=$O$7,$B1076&lt;'111'!$N$11),"x","")</f>
        <v/>
      </c>
      <c r="Q1076" s="39" t="str">
        <f>IF(AND($M1076=$O$7,$B1076&lt;'111'!$N$11),"x","")</f>
        <v/>
      </c>
      <c r="R1076" s="39" t="str">
        <f>IF(ISERROR(FIND('112'!$M$9,G1076,1)),"",IF((AND(FIND('112'!$M$9,G1076,1)&gt;=1,$B1076&gt;='112'!$N$8,$B1076&lt;='112'!$O$8,OR($L1076='112'!$I$6,$M1076='112'!$I$6))),"x",""))</f>
        <v/>
      </c>
      <c r="S1076" s="39" t="str">
        <f>IF(ISERROR(FIND('112'!$M$9,G1076,1)),"",IF((AND(LEFT(G1076,2)=LEFT('112'!$M$9,2),B1076&lt;'112'!$N$8,$L1076='112'!$I$6)),"x",""))</f>
        <v/>
      </c>
      <c r="T1076" s="39" t="str">
        <f>IF(ISERROR(FIND('112'!$M$9,G1076,1)),"",IF((AND(RIGHT(G1076,2)=RIGHT('112'!$M$9,2),B1076&lt;'112'!$N$8,$M1076='112'!$I$6)),"x",""))</f>
        <v/>
      </c>
      <c r="U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39" t="str">
        <f>IF(OR(TH!L1076=TH!$V$7,M1076=TH!$V$7),"x","")</f>
        <v/>
      </c>
      <c r="W1076" s="39" t="str">
        <f>IF(AND(B1076&gt;='IN-NX'!$P$3,B1076&lt;='IN-NX'!$Q$3,'IN-NX'!$D$7=D1076,OR(LEFT(L1076,2)="15",AND(LEFT(M1076,2)&lt;&gt;"15",LEFT(M1076,2)&lt;&gt;"33"))),"x","")</f>
        <v/>
      </c>
      <c r="X1076" s="39" t="str">
        <f>IF(AND(OR(LEFT(TH!L1076,2)="15",LEFT(TH!M1076,2)="15"),'152-CT'!$J$8=TH!F1076),"x","")</f>
        <v/>
      </c>
      <c r="Y1076" s="39" t="str">
        <f>IF(AND(OR(LEFT(TH!L1076,2)="15",LEFT(TH!M1076,2)="15"),TK!$E$7=TH!F1076),"x","")</f>
        <v/>
      </c>
      <c r="Z1076" s="39" t="str">
        <f>IF(AND(B1076&lt;=NKC!$N$8,B1076&gt;=NKC!$M$8),"x","")</f>
        <v/>
      </c>
      <c r="AA1076" s="886"/>
    </row>
    <row r="1077" spans="1:27" s="211" customFormat="1" ht="15.75" customHeight="1">
      <c r="A1077" s="204" t="str">
        <f>IF(B1077&lt;&gt;"",IF(AND(B1077&gt;=_TM1,B1077&lt;=_TM2,OR(TH!L1077="1111",TH!M1077="1111")),TH!D1077,""),"")</f>
        <v/>
      </c>
      <c r="B1077" s="36">
        <f t="shared" si="221"/>
        <v>3</v>
      </c>
      <c r="C1077" s="191">
        <f t="shared" si="219"/>
        <v>41360</v>
      </c>
      <c r="D1077" s="191" t="s">
        <v>1294</v>
      </c>
      <c r="E1077" s="37">
        <v>41360</v>
      </c>
      <c r="F1077" s="40"/>
      <c r="G1077" s="40" t="s">
        <v>787</v>
      </c>
      <c r="H1077" s="7" t="s">
        <v>1287</v>
      </c>
      <c r="I1077" s="256"/>
      <c r="J1077" s="256"/>
      <c r="K1077" s="602">
        <f t="shared" si="220"/>
        <v>0</v>
      </c>
      <c r="L1077" s="39" t="s">
        <v>165</v>
      </c>
      <c r="M1077" s="603" t="s">
        <v>159</v>
      </c>
      <c r="N1077" s="39" t="str">
        <f>IF(AND('331-CT'!$E$7=TH!H1077,OR(L1077="331",M1077="331")),"331",IF(AND(OR(L1077="131",M1077="131"),H1077='131-CT'!$E$7),"131",""))</f>
        <v/>
      </c>
      <c r="O1077" s="39" t="str">
        <f>IF(AND($B1077&gt;='111'!$N$11,$B1077&lt;='111'!$O$11,OR($L1077=$O$7,$M1077=$O$7)),"x","")</f>
        <v/>
      </c>
      <c r="P1077" s="39" t="str">
        <f>IF(AND($L1077=$O$7,$B1077&lt;'111'!$N$11),"x","")</f>
        <v/>
      </c>
      <c r="Q1077" s="39" t="str">
        <f>IF(AND($M1077=$O$7,$B1077&lt;'111'!$N$11),"x","")</f>
        <v/>
      </c>
      <c r="R1077" s="39" t="str">
        <f>IF(ISERROR(FIND('112'!$M$9,G1077,1)),"",IF((AND(FIND('112'!$M$9,G1077,1)&gt;=1,$B1077&gt;='112'!$N$8,$B1077&lt;='112'!$O$8,OR($L1077='112'!$I$6,$M1077='112'!$I$6))),"x",""))</f>
        <v/>
      </c>
      <c r="S1077" s="39" t="str">
        <f>IF(ISERROR(FIND('112'!$M$9,G1077,1)),"",IF((AND(LEFT(G1077,2)=LEFT('112'!$M$9,2),B1077&lt;'112'!$N$8,$L1077='112'!$I$6)),"x",""))</f>
        <v/>
      </c>
      <c r="T1077" s="39" t="str">
        <f>IF(ISERROR(FIND('112'!$M$9,G1077,1)),"",IF((AND(RIGHT(G1077,2)=RIGHT('112'!$M$9,2),B1077&lt;'112'!$N$8,$M1077='112'!$I$6)),"x",""))</f>
        <v/>
      </c>
      <c r="U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39" t="str">
        <f>IF(OR(TH!L1077=TH!$V$7,M1077=TH!$V$7),"x","")</f>
        <v/>
      </c>
      <c r="W1077" s="39" t="str">
        <f>IF(AND(B1077&gt;='IN-NX'!$P$3,B1077&lt;='IN-NX'!$Q$3,'IN-NX'!$D$7=D1077,OR(LEFT(L1077,2)="15",AND(LEFT(M1077,2)&lt;&gt;"15",LEFT(M1077,2)&lt;&gt;"33"))),"x","")</f>
        <v/>
      </c>
      <c r="X1077" s="39" t="str">
        <f>IF(AND(OR(LEFT(TH!L1077,2)="15",LEFT(TH!M1077,2)="15"),'152-CT'!$J$8=TH!F1077),"x","")</f>
        <v/>
      </c>
      <c r="Y1077" s="39" t="str">
        <f>IF(AND(OR(LEFT(TH!L1077,2)="15",LEFT(TH!M1077,2)="15"),TK!$E$7=TH!F1077),"x","")</f>
        <v/>
      </c>
      <c r="Z1077" s="39" t="str">
        <f>IF(AND(B1077&lt;=NKC!$N$8,B1077&gt;=NKC!$M$8),"x","")</f>
        <v/>
      </c>
      <c r="AA1077" s="886"/>
    </row>
    <row r="1078" spans="1:27" s="211" customFormat="1" ht="15.75" customHeight="1">
      <c r="A1078" s="204" t="str">
        <f>IF(B1078&lt;&gt;"",IF(AND(B1078&gt;=_TM1,B1078&lt;=_TM2,OR(TH!L1078="1111",TH!M1078="1111")),TH!D1078,""),"")</f>
        <v/>
      </c>
      <c r="B1078" s="36">
        <f t="shared" si="221"/>
        <v>3</v>
      </c>
      <c r="C1078" s="191">
        <f t="shared" si="219"/>
        <v>41360</v>
      </c>
      <c r="D1078" s="191" t="s">
        <v>1294</v>
      </c>
      <c r="E1078" s="37">
        <v>41360</v>
      </c>
      <c r="F1078" s="40"/>
      <c r="G1078" s="40" t="s">
        <v>788</v>
      </c>
      <c r="H1078" s="7" t="s">
        <v>1287</v>
      </c>
      <c r="I1078" s="256"/>
      <c r="J1078" s="256"/>
      <c r="K1078" s="602">
        <f t="shared" si="220"/>
        <v>0</v>
      </c>
      <c r="L1078" s="39" t="s">
        <v>165</v>
      </c>
      <c r="M1078" s="603" t="s">
        <v>159</v>
      </c>
      <c r="N1078" s="39" t="str">
        <f>IF(AND('331-CT'!$E$7=TH!H1078,OR(L1078="331",M1078="331")),"331",IF(AND(OR(L1078="131",M1078="131"),H1078='131-CT'!$E$7),"131",""))</f>
        <v/>
      </c>
      <c r="O1078" s="39" t="str">
        <f>IF(AND($B1078&gt;='111'!$N$11,$B1078&lt;='111'!$O$11,OR($L1078=$O$7,$M1078=$O$7)),"x","")</f>
        <v/>
      </c>
      <c r="P1078" s="39" t="str">
        <f>IF(AND($L1078=$O$7,$B1078&lt;'111'!$N$11),"x","")</f>
        <v/>
      </c>
      <c r="Q1078" s="39" t="str">
        <f>IF(AND($M1078=$O$7,$B1078&lt;'111'!$N$11),"x","")</f>
        <v/>
      </c>
      <c r="R1078" s="39" t="str">
        <f>IF(ISERROR(FIND('112'!$M$9,G1078,1)),"",IF((AND(FIND('112'!$M$9,G1078,1)&gt;=1,$B1078&gt;='112'!$N$8,$B1078&lt;='112'!$O$8,OR($L1078='112'!$I$6,$M1078='112'!$I$6))),"x",""))</f>
        <v/>
      </c>
      <c r="S1078" s="39" t="str">
        <f>IF(ISERROR(FIND('112'!$M$9,G1078,1)),"",IF((AND(LEFT(G1078,2)=LEFT('112'!$M$9,2),B1078&lt;'112'!$N$8,$L1078='112'!$I$6)),"x",""))</f>
        <v/>
      </c>
      <c r="T1078" s="39" t="str">
        <f>IF(ISERROR(FIND('112'!$M$9,G1078,1)),"",IF((AND(RIGHT(G1078,2)=RIGHT('112'!$M$9,2),B1078&lt;'112'!$N$8,$M1078='112'!$I$6)),"x",""))</f>
        <v/>
      </c>
      <c r="U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39" t="str">
        <f>IF(OR(TH!L1078=TH!$V$7,M1078=TH!$V$7),"x","")</f>
        <v/>
      </c>
      <c r="W1078" s="39" t="str">
        <f>IF(AND(B1078&gt;='IN-NX'!$P$3,B1078&lt;='IN-NX'!$Q$3,'IN-NX'!$D$7=D1078,OR(LEFT(L1078,2)="15",AND(LEFT(M1078,2)&lt;&gt;"15",LEFT(M1078,2)&lt;&gt;"33"))),"x","")</f>
        <v/>
      </c>
      <c r="X1078" s="39" t="str">
        <f>IF(AND(OR(LEFT(TH!L1078,2)="15",LEFT(TH!M1078,2)="15"),'152-CT'!$J$8=TH!F1078),"x","")</f>
        <v/>
      </c>
      <c r="Y1078" s="39" t="str">
        <f>IF(AND(OR(LEFT(TH!L1078,2)="15",LEFT(TH!M1078,2)="15"),TK!$E$7=TH!F1078),"x","")</f>
        <v/>
      </c>
      <c r="Z1078" s="39" t="str">
        <f>IF(AND(B1078&lt;=NKC!$N$8,B1078&gt;=NKC!$M$8),"x","")</f>
        <v/>
      </c>
      <c r="AA1078" s="886"/>
    </row>
    <row r="1079" spans="1:27" s="843" customFormat="1" ht="15.75" customHeight="1">
      <c r="A1079" s="1106" t="str">
        <f>IF(B1079&lt;&gt;"",IF(AND(B1079&gt;=_TM1,B1079&lt;=_TM2,OR(TH!L1079="1111",TH!M1079="1111")),TH!D1079,""),"")</f>
        <v/>
      </c>
      <c r="B1079" s="841">
        <f t="shared" si="221"/>
        <v>3</v>
      </c>
      <c r="C1079" s="1107">
        <f t="shared" si="219"/>
        <v>41364</v>
      </c>
      <c r="D1079" s="1115" t="s">
        <v>1294</v>
      </c>
      <c r="E1079" s="1107">
        <v>41364</v>
      </c>
      <c r="F1079" s="1116"/>
      <c r="G1079" s="1117" t="s">
        <v>789</v>
      </c>
      <c r="H1079" s="1110" t="s">
        <v>1287</v>
      </c>
      <c r="I1079" s="1118"/>
      <c r="J1079" s="1118"/>
      <c r="K1079" s="838">
        <f t="shared" si="220"/>
        <v>0</v>
      </c>
      <c r="L1079" s="831" t="s">
        <v>165</v>
      </c>
      <c r="M1079" s="1113" t="s">
        <v>159</v>
      </c>
      <c r="N1079" s="831" t="str">
        <f>IF(AND('331-CT'!$E$7=TH!H1079,OR(L1079="331",M1079="331")),"331",IF(AND(OR(L1079="131",M1079="131"),H1079='131-CT'!$E$7),"131",""))</f>
        <v/>
      </c>
      <c r="O1079" s="831" t="str">
        <f>IF(AND($B1079&gt;='111'!$N$11,$B1079&lt;='111'!$O$11,OR($L1079=$O$7,$M1079=$O$7)),"x","")</f>
        <v/>
      </c>
      <c r="P1079" s="831" t="str">
        <f>IF(AND($L1079=$O$7,$B1079&lt;'111'!$N$11),"x","")</f>
        <v/>
      </c>
      <c r="Q1079" s="831" t="str">
        <f>IF(AND($M1079=$O$7,$B1079&lt;'111'!$N$11),"x","")</f>
        <v/>
      </c>
      <c r="R1079" s="831" t="str">
        <f>IF(ISERROR(FIND('112'!$M$9,G1079,1)),"",IF((AND(FIND('112'!$M$9,G1079,1)&gt;=1,$B1079&gt;='112'!$N$8,$B1079&lt;='112'!$O$8,OR($L1079='112'!$I$6,$M1079='112'!$I$6))),"x",""))</f>
        <v/>
      </c>
      <c r="S1079" s="831" t="str">
        <f>IF(ISERROR(FIND('112'!$M$9,G1079,1)),"",IF((AND(LEFT(G1079,2)=LEFT('112'!$M$9,2),B1079&lt;'112'!$N$8,$L1079='112'!$I$6)),"x",""))</f>
        <v/>
      </c>
      <c r="T1079" s="831" t="str">
        <f>IF(ISERROR(FIND('112'!$M$9,G1079,1)),"",IF((AND(RIGHT(G1079,2)=RIGHT('112'!$M$9,2),B1079&lt;'112'!$N$8,$M1079='112'!$I$6)),"x",""))</f>
        <v/>
      </c>
      <c r="U1079" s="831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831" t="str">
        <f>IF(OR(TH!L1079=TH!$V$7,M1079=TH!$V$7),"x","")</f>
        <v/>
      </c>
      <c r="W1079" s="831" t="str">
        <f>IF(AND(B1079&gt;='IN-NX'!$P$3,B1079&lt;='IN-NX'!$Q$3,'IN-NX'!$D$7=D1079,OR(LEFT(L1079,2)="15",AND(LEFT(M1079,2)&lt;&gt;"15",LEFT(M1079,2)&lt;&gt;"33"))),"x","")</f>
        <v/>
      </c>
      <c r="X1079" s="831" t="str">
        <f>IF(AND(OR(LEFT(TH!L1079,2)="15",LEFT(TH!M1079,2)="15"),'152-CT'!$J$8=TH!F1079),"x","")</f>
        <v/>
      </c>
      <c r="Y1079" s="831" t="str">
        <f>IF(AND(OR(LEFT(TH!L1079,2)="15",LEFT(TH!M1079,2)="15"),TK!$E$7=TH!F1079),"x","")</f>
        <v/>
      </c>
      <c r="Z1079" s="831" t="str">
        <f>IF(AND(B1079&lt;=NKC!$N$8,B1079&gt;=NKC!$M$8),"x","")</f>
        <v/>
      </c>
      <c r="AA1079" s="1114"/>
    </row>
    <row r="1080" spans="1:27" s="211" customFormat="1" ht="15.75" customHeight="1">
      <c r="A1080" s="204" t="str">
        <f>IF(B1080&lt;&gt;"",IF(AND(B1080&gt;=_TM1,B1080&lt;=_TM2,OR(TH!L1080="1111",TH!M1080="1111")),TH!D1080,""),"")</f>
        <v/>
      </c>
      <c r="B1080" s="36">
        <f t="shared" si="221"/>
        <v>4</v>
      </c>
      <c r="C1080" s="191">
        <f t="shared" si="219"/>
        <v>41365</v>
      </c>
      <c r="D1080" s="184" t="s">
        <v>1294</v>
      </c>
      <c r="E1080" s="191">
        <v>41365</v>
      </c>
      <c r="F1080" s="297"/>
      <c r="G1080" s="487" t="s">
        <v>791</v>
      </c>
      <c r="H1080" s="7" t="s">
        <v>1287</v>
      </c>
      <c r="I1080" s="256"/>
      <c r="J1080" s="256"/>
      <c r="K1080" s="602">
        <f t="shared" si="220"/>
        <v>0</v>
      </c>
      <c r="L1080" s="39" t="s">
        <v>165</v>
      </c>
      <c r="M1080" s="603" t="s">
        <v>159</v>
      </c>
      <c r="N1080" s="39" t="str">
        <f>IF(AND('331-CT'!$E$7=TH!H1080,OR(L1080="331",M1080="331")),"331",IF(AND(OR(L1080="131",M1080="131"),H1080='131-CT'!$E$7),"131",""))</f>
        <v/>
      </c>
      <c r="O1080" s="39" t="str">
        <f>IF(AND($B1080&gt;='111'!$N$11,$B1080&lt;='111'!$O$11,OR($L1080=$O$7,$M1080=$O$7)),"x","")</f>
        <v/>
      </c>
      <c r="P1080" s="39" t="str">
        <f>IF(AND($L1080=$O$7,$B1080&lt;'111'!$N$11),"x","")</f>
        <v/>
      </c>
      <c r="Q1080" s="39" t="str">
        <f>IF(AND($M1080=$O$7,$B1080&lt;'111'!$N$11),"x","")</f>
        <v/>
      </c>
      <c r="R1080" s="39" t="str">
        <f>IF(ISERROR(FIND('112'!$M$9,G1080,1)),"",IF((AND(FIND('112'!$M$9,G1080,1)&gt;=1,$B1080&gt;='112'!$N$8,$B1080&lt;='112'!$O$8,OR($L1080='112'!$I$6,$M1080='112'!$I$6))),"x",""))</f>
        <v/>
      </c>
      <c r="S1080" s="39" t="str">
        <f>IF(ISERROR(FIND('112'!$M$9,G1080,1)),"",IF((AND(LEFT(G1080,2)=LEFT('112'!$M$9,2),B1080&lt;'112'!$N$8,$L1080='112'!$I$6)),"x",""))</f>
        <v/>
      </c>
      <c r="T1080" s="39" t="str">
        <f>IF(ISERROR(FIND('112'!$M$9,G1080,1)),"",IF((AND(RIGHT(G1080,2)=RIGHT('112'!$M$9,2),B1080&lt;'112'!$N$8,$M1080='112'!$I$6)),"x",""))</f>
        <v/>
      </c>
      <c r="U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>154</v>
      </c>
      <c r="V1080" s="39" t="str">
        <f>IF(OR(TH!L1080=TH!$V$7,M1080=TH!$V$7),"x","")</f>
        <v/>
      </c>
      <c r="W1080" s="39" t="str">
        <f>IF(AND(B1080&gt;='IN-NX'!$P$3,B1080&lt;='IN-NX'!$Q$3,'IN-NX'!$D$7=D1080,OR(LEFT(L1080,2)="15",AND(LEFT(M1080,2)&lt;&gt;"15",LEFT(M1080,2)&lt;&gt;"33"))),"x","")</f>
        <v/>
      </c>
      <c r="X1080" s="39" t="str">
        <f>IF(AND(OR(LEFT(TH!L1080,2)="15",LEFT(TH!M1080,2)="15"),'152-CT'!$J$8=TH!F1080),"x","")</f>
        <v/>
      </c>
      <c r="Y1080" s="39" t="str">
        <f>IF(AND(OR(LEFT(TH!L1080,2)="15",LEFT(TH!M1080,2)="15"),TK!$E$7=TH!F1080),"x","")</f>
        <v/>
      </c>
      <c r="Z1080" s="39" t="str">
        <f>IF(AND(B1080&lt;=NKC!$N$8,B1080&gt;=NKC!$M$8),"x","")</f>
        <v/>
      </c>
      <c r="AA1080" s="886"/>
    </row>
    <row r="1081" spans="1:27" s="211" customFormat="1" ht="15.75" customHeight="1">
      <c r="A1081" s="204" t="str">
        <f>IF(B1081&lt;&gt;"",IF(AND(B1081&gt;=_TM1,B1081&lt;=_TM2,OR(TH!L1081="1111",TH!M1081="1111")),TH!D1081,""),"")</f>
        <v/>
      </c>
      <c r="B1081" s="36">
        <f t="shared" si="221"/>
        <v>4</v>
      </c>
      <c r="C1081" s="191">
        <f t="shared" si="219"/>
        <v>41365</v>
      </c>
      <c r="D1081" s="184" t="s">
        <v>1294</v>
      </c>
      <c r="E1081" s="774">
        <v>41365</v>
      </c>
      <c r="F1081" s="297"/>
      <c r="G1081" s="40" t="s">
        <v>792</v>
      </c>
      <c r="H1081" s="7" t="s">
        <v>1287</v>
      </c>
      <c r="I1081" s="256"/>
      <c r="J1081" s="256"/>
      <c r="K1081" s="602">
        <f t="shared" si="220"/>
        <v>0</v>
      </c>
      <c r="L1081" s="39" t="s">
        <v>165</v>
      </c>
      <c r="M1081" s="603" t="s">
        <v>159</v>
      </c>
      <c r="N1081" s="39" t="str">
        <f>IF(AND('331-CT'!$E$7=TH!H1081,OR(L1081="331",M1081="331")),"331",IF(AND(OR(L1081="131",M1081="131"),H1081='131-CT'!$E$7),"131",""))</f>
        <v/>
      </c>
      <c r="O1081" s="39" t="str">
        <f>IF(AND($B1081&gt;='111'!$N$11,$B1081&lt;='111'!$O$11,OR($L1081=$O$7,$M1081=$O$7)),"x","")</f>
        <v/>
      </c>
      <c r="P1081" s="39" t="str">
        <f>IF(AND($L1081=$O$7,$B1081&lt;'111'!$N$11),"x","")</f>
        <v/>
      </c>
      <c r="Q1081" s="39" t="str">
        <f>IF(AND($M1081=$O$7,$B1081&lt;'111'!$N$11),"x","")</f>
        <v/>
      </c>
      <c r="R1081" s="39" t="str">
        <f>IF(ISERROR(FIND('112'!$M$9,G1081,1)),"",IF((AND(FIND('112'!$M$9,G1081,1)&gt;=1,$B1081&gt;='112'!$N$8,$B1081&lt;='112'!$O$8,OR($L1081='112'!$I$6,$M1081='112'!$I$6))),"x",""))</f>
        <v/>
      </c>
      <c r="S1081" s="39" t="str">
        <f>IF(ISERROR(FIND('112'!$M$9,G1081,1)),"",IF((AND(LEFT(G1081,2)=LEFT('112'!$M$9,2),B1081&lt;'112'!$N$8,$L1081='112'!$I$6)),"x",""))</f>
        <v/>
      </c>
      <c r="T1081" s="39" t="str">
        <f>IF(ISERROR(FIND('112'!$M$9,G1081,1)),"",IF((AND(RIGHT(G1081,2)=RIGHT('112'!$M$9,2),B1081&lt;'112'!$N$8,$M1081='112'!$I$6)),"x",""))</f>
        <v/>
      </c>
      <c r="U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>154</v>
      </c>
      <c r="V1081" s="39" t="str">
        <f>IF(OR(TH!L1081=TH!$V$7,M1081=TH!$V$7),"x","")</f>
        <v/>
      </c>
      <c r="W1081" s="39" t="str">
        <f>IF(AND(B1081&gt;='IN-NX'!$P$3,B1081&lt;='IN-NX'!$Q$3,'IN-NX'!$D$7=D1081,OR(LEFT(L1081,2)="15",AND(LEFT(M1081,2)&lt;&gt;"15",LEFT(M1081,2)&lt;&gt;"33"))),"x","")</f>
        <v/>
      </c>
      <c r="X1081" s="39" t="str">
        <f>IF(AND(OR(LEFT(TH!L1081,2)="15",LEFT(TH!M1081,2)="15"),'152-CT'!$J$8=TH!F1081),"x","")</f>
        <v/>
      </c>
      <c r="Y1081" s="39" t="str">
        <f>IF(AND(OR(LEFT(TH!L1081,2)="15",LEFT(TH!M1081,2)="15"),TK!$E$7=TH!F1081),"x","")</f>
        <v/>
      </c>
      <c r="Z1081" s="39" t="str">
        <f>IF(AND(B1081&lt;=NKC!$N$8,B1081&gt;=NKC!$M$8),"x","")</f>
        <v/>
      </c>
      <c r="AA1081" s="886"/>
    </row>
    <row r="1082" spans="1:27" s="211" customFormat="1" ht="15.75" customHeight="1">
      <c r="A1082" s="204" t="str">
        <f>IF(B1082&lt;&gt;"",IF(AND(B1082&gt;=_TM1,B1082&lt;=_TM2,OR(TH!L1082="1111",TH!M1082="1111")),TH!D1082,""),"")</f>
        <v/>
      </c>
      <c r="B1082" s="36">
        <f t="shared" si="221"/>
        <v>4</v>
      </c>
      <c r="C1082" s="191">
        <f t="shared" si="219"/>
        <v>41366</v>
      </c>
      <c r="D1082" s="184" t="s">
        <v>1294</v>
      </c>
      <c r="E1082" s="774">
        <v>41366</v>
      </c>
      <c r="F1082" s="40"/>
      <c r="G1082" s="40" t="s">
        <v>579</v>
      </c>
      <c r="H1082" s="7" t="s">
        <v>1287</v>
      </c>
      <c r="I1082" s="256"/>
      <c r="J1082" s="256"/>
      <c r="K1082" s="602">
        <f t="shared" si="220"/>
        <v>0</v>
      </c>
      <c r="L1082" s="39" t="s">
        <v>165</v>
      </c>
      <c r="M1082" s="603" t="s">
        <v>159</v>
      </c>
      <c r="N1082" s="39" t="str">
        <f>IF(AND('331-CT'!$E$7=TH!H1082,OR(L1082="331",M1082="331")),"331",IF(AND(OR(L1082="131",M1082="131"),H1082='131-CT'!$E$7),"131",""))</f>
        <v/>
      </c>
      <c r="O1082" s="39" t="str">
        <f>IF(AND($B1082&gt;='111'!$N$11,$B1082&lt;='111'!$O$11,OR($L1082=$O$7,$M1082=$O$7)),"x","")</f>
        <v/>
      </c>
      <c r="P1082" s="39" t="str">
        <f>IF(AND($L1082=$O$7,$B1082&lt;'111'!$N$11),"x","")</f>
        <v/>
      </c>
      <c r="Q1082" s="39" t="str">
        <f>IF(AND($M1082=$O$7,$B1082&lt;'111'!$N$11),"x","")</f>
        <v/>
      </c>
      <c r="R1082" s="39" t="str">
        <f>IF(ISERROR(FIND('112'!$M$9,G1082,1)),"",IF((AND(FIND('112'!$M$9,G1082,1)&gt;=1,$B1082&gt;='112'!$N$8,$B1082&lt;='112'!$O$8,OR($L1082='112'!$I$6,$M1082='112'!$I$6))),"x",""))</f>
        <v/>
      </c>
      <c r="S1082" s="39" t="str">
        <f>IF(ISERROR(FIND('112'!$M$9,G1082,1)),"",IF((AND(LEFT(G1082,2)=LEFT('112'!$M$9,2),B1082&lt;'112'!$N$8,$L1082='112'!$I$6)),"x",""))</f>
        <v/>
      </c>
      <c r="T1082" s="39" t="str">
        <f>IF(ISERROR(FIND('112'!$M$9,G1082,1)),"",IF((AND(RIGHT(G1082,2)=RIGHT('112'!$M$9,2),B1082&lt;'112'!$N$8,$M1082='112'!$I$6)),"x",""))</f>
        <v/>
      </c>
      <c r="U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>154</v>
      </c>
      <c r="V1082" s="39" t="str">
        <f>IF(OR(TH!L1082=TH!$V$7,M1082=TH!$V$7),"x","")</f>
        <v/>
      </c>
      <c r="W1082" s="39" t="str">
        <f>IF(AND(B1082&gt;='IN-NX'!$P$3,B1082&lt;='IN-NX'!$Q$3,'IN-NX'!$D$7=D1082,OR(LEFT(L1082,2)="15",AND(LEFT(M1082,2)&lt;&gt;"15",LEFT(M1082,2)&lt;&gt;"33"))),"x","")</f>
        <v/>
      </c>
      <c r="X1082" s="39" t="str">
        <f>IF(AND(OR(LEFT(TH!L1082,2)="15",LEFT(TH!M1082,2)="15"),'152-CT'!$J$8=TH!F1082),"x","")</f>
        <v/>
      </c>
      <c r="Y1082" s="39" t="str">
        <f>IF(AND(OR(LEFT(TH!L1082,2)="15",LEFT(TH!M1082,2)="15"),TK!$E$7=TH!F1082),"x","")</f>
        <v/>
      </c>
      <c r="Z1082" s="39" t="str">
        <f>IF(AND(B1082&lt;=NKC!$N$8,B1082&gt;=NKC!$M$8),"x","")</f>
        <v/>
      </c>
      <c r="AA1082" s="886"/>
    </row>
    <row r="1083" spans="1:27" s="211" customFormat="1" ht="15.75" customHeight="1">
      <c r="A1083" s="204" t="str">
        <f>IF(B1083&lt;&gt;"",IF(AND(B1083&gt;=_TM1,B1083&lt;=_TM2,OR(TH!L1083="1111",TH!M1083="1111")),TH!D1083,""),"")</f>
        <v/>
      </c>
      <c r="B1083" s="36">
        <f t="shared" si="221"/>
        <v>4</v>
      </c>
      <c r="C1083" s="191">
        <f t="shared" si="219"/>
        <v>41366</v>
      </c>
      <c r="D1083" s="184" t="s">
        <v>1294</v>
      </c>
      <c r="E1083" s="774">
        <v>41366</v>
      </c>
      <c r="F1083" s="40"/>
      <c r="G1083" s="40" t="s">
        <v>796</v>
      </c>
      <c r="H1083" s="7" t="s">
        <v>1287</v>
      </c>
      <c r="I1083" s="816"/>
      <c r="J1083" s="256"/>
      <c r="K1083" s="602">
        <f t="shared" si="220"/>
        <v>0</v>
      </c>
      <c r="L1083" s="39" t="s">
        <v>165</v>
      </c>
      <c r="M1083" s="603" t="s">
        <v>159</v>
      </c>
      <c r="N1083" s="39" t="str">
        <f>IF(AND('331-CT'!$E$7=TH!H1083,OR(L1083="331",M1083="331")),"331",IF(AND(OR(L1083="131",M1083="131"),H1083='131-CT'!$E$7),"131",""))</f>
        <v/>
      </c>
      <c r="O1083" s="39" t="str">
        <f>IF(AND($B1083&gt;='111'!$N$11,$B1083&lt;='111'!$O$11,OR($L1083=$O$7,$M1083=$O$7)),"x","")</f>
        <v/>
      </c>
      <c r="P1083" s="39" t="str">
        <f>IF(AND($L1083=$O$7,$B1083&lt;'111'!$N$11),"x","")</f>
        <v/>
      </c>
      <c r="Q1083" s="39" t="str">
        <f>IF(AND($M1083=$O$7,$B1083&lt;'111'!$N$11),"x","")</f>
        <v/>
      </c>
      <c r="R1083" s="39" t="str">
        <f>IF(ISERROR(FIND('112'!$M$9,G1083,1)),"",IF((AND(FIND('112'!$M$9,G1083,1)&gt;=1,$B1083&gt;='112'!$N$8,$B1083&lt;='112'!$O$8,OR($L1083='112'!$I$6,$M1083='112'!$I$6))),"x",""))</f>
        <v/>
      </c>
      <c r="S1083" s="39" t="str">
        <f>IF(ISERROR(FIND('112'!$M$9,G1083,1)),"",IF((AND(LEFT(G1083,2)=LEFT('112'!$M$9,2),B1083&lt;'112'!$N$8,$L1083='112'!$I$6)),"x",""))</f>
        <v/>
      </c>
      <c r="T1083" s="39" t="str">
        <f>IF(ISERROR(FIND('112'!$M$9,G1083,1)),"",IF((AND(RIGHT(G1083,2)=RIGHT('112'!$M$9,2),B1083&lt;'112'!$N$8,$M1083='112'!$I$6)),"x",""))</f>
        <v/>
      </c>
      <c r="U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>154</v>
      </c>
      <c r="V1083" s="39" t="str">
        <f>IF(OR(TH!L1083=TH!$V$7,M1083=TH!$V$7),"x","")</f>
        <v/>
      </c>
      <c r="W1083" s="39" t="str">
        <f>IF(AND(B1083&gt;='IN-NX'!$P$3,B1083&lt;='IN-NX'!$Q$3,'IN-NX'!$D$7=D1083,OR(LEFT(L1083,2)="15",AND(LEFT(M1083,2)&lt;&gt;"15",LEFT(M1083,2)&lt;&gt;"33"))),"x","")</f>
        <v/>
      </c>
      <c r="X1083" s="39" t="str">
        <f>IF(AND(OR(LEFT(TH!L1083,2)="15",LEFT(TH!M1083,2)="15"),'152-CT'!$J$8=TH!F1083),"x","")</f>
        <v/>
      </c>
      <c r="Y1083" s="39" t="str">
        <f>IF(AND(OR(LEFT(TH!L1083,2)="15",LEFT(TH!M1083,2)="15"),TK!$E$7=TH!F1083),"x","")</f>
        <v/>
      </c>
      <c r="Z1083" s="39" t="str">
        <f>IF(AND(B1083&lt;=NKC!$N$8,B1083&gt;=NKC!$M$8),"x","")</f>
        <v/>
      </c>
      <c r="AA1083" s="886"/>
    </row>
    <row r="1084" spans="1:27" s="211" customFormat="1" ht="15.75" customHeight="1">
      <c r="A1084" s="204" t="str">
        <f>IF(B1084&lt;&gt;"",IF(AND(B1084&gt;=_TM1,B1084&lt;=_TM2,OR(TH!L1084="1111",TH!M1084="1111")),TH!D1084,""),"")</f>
        <v/>
      </c>
      <c r="B1084" s="36">
        <f t="shared" si="221"/>
        <v>4</v>
      </c>
      <c r="C1084" s="191">
        <f t="shared" si="219"/>
        <v>41367</v>
      </c>
      <c r="D1084" s="184" t="s">
        <v>1294</v>
      </c>
      <c r="E1084" s="774">
        <v>41367</v>
      </c>
      <c r="F1084" s="189"/>
      <c r="G1084" s="40" t="s">
        <v>798</v>
      </c>
      <c r="H1084" s="7" t="s">
        <v>1287</v>
      </c>
      <c r="I1084" s="816"/>
      <c r="J1084" s="256"/>
      <c r="K1084" s="602">
        <f t="shared" si="220"/>
        <v>0</v>
      </c>
      <c r="L1084" s="39" t="s">
        <v>165</v>
      </c>
      <c r="M1084" s="603" t="s">
        <v>159</v>
      </c>
      <c r="N1084" s="39" t="str">
        <f>IF(AND('331-CT'!$E$7=TH!H1084,OR(L1084="331",M1084="331")),"331",IF(AND(OR(L1084="131",M1084="131"),H1084='131-CT'!$E$7),"131",""))</f>
        <v/>
      </c>
      <c r="O1084" s="39" t="str">
        <f>IF(AND($B1084&gt;='111'!$N$11,$B1084&lt;='111'!$O$11,OR($L1084=$O$7,$M1084=$O$7)),"x","")</f>
        <v/>
      </c>
      <c r="P1084" s="39" t="str">
        <f>IF(AND($L1084=$O$7,$B1084&lt;'111'!$N$11),"x","")</f>
        <v/>
      </c>
      <c r="Q1084" s="39" t="str">
        <f>IF(AND($M1084=$O$7,$B1084&lt;'111'!$N$11),"x","")</f>
        <v/>
      </c>
      <c r="R1084" s="39" t="str">
        <f>IF(ISERROR(FIND('112'!$M$9,G1084,1)),"",IF((AND(FIND('112'!$M$9,G1084,1)&gt;=1,$B1084&gt;='112'!$N$8,$B1084&lt;='112'!$O$8,OR($L1084='112'!$I$6,$M1084='112'!$I$6))),"x",""))</f>
        <v/>
      </c>
      <c r="S1084" s="39" t="str">
        <f>IF(ISERROR(FIND('112'!$M$9,G1084,1)),"",IF((AND(LEFT(G1084,2)=LEFT('112'!$M$9,2),B1084&lt;'112'!$N$8,$L1084='112'!$I$6)),"x",""))</f>
        <v/>
      </c>
      <c r="T1084" s="39" t="str">
        <f>IF(ISERROR(FIND('112'!$M$9,G1084,1)),"",IF((AND(RIGHT(G1084,2)=RIGHT('112'!$M$9,2),B1084&lt;'112'!$N$8,$M1084='112'!$I$6)),"x",""))</f>
        <v/>
      </c>
      <c r="U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>154</v>
      </c>
      <c r="V1084" s="39" t="str">
        <f>IF(OR(TH!L1084=TH!$V$7,M1084=TH!$V$7),"x","")</f>
        <v/>
      </c>
      <c r="W1084" s="39" t="str">
        <f>IF(AND(B1084&gt;='IN-NX'!$P$3,B1084&lt;='IN-NX'!$Q$3,'IN-NX'!$D$7=D1084,OR(LEFT(L1084,2)="15",AND(LEFT(M1084,2)&lt;&gt;"15",LEFT(M1084,2)&lt;&gt;"33"))),"x","")</f>
        <v/>
      </c>
      <c r="X1084" s="39" t="str">
        <f>IF(AND(OR(LEFT(TH!L1084,2)="15",LEFT(TH!M1084,2)="15"),'152-CT'!$J$8=TH!F1084),"x","")</f>
        <v/>
      </c>
      <c r="Y1084" s="39" t="str">
        <f>IF(AND(OR(LEFT(TH!L1084,2)="15",LEFT(TH!M1084,2)="15"),TK!$E$7=TH!F1084),"x","")</f>
        <v/>
      </c>
      <c r="Z1084" s="39" t="str">
        <f>IF(AND(B1084&lt;=NKC!$N$8,B1084&gt;=NKC!$M$8),"x","")</f>
        <v/>
      </c>
      <c r="AA1084" s="886"/>
    </row>
    <row r="1085" spans="1:27" s="211" customFormat="1" ht="15.75" customHeight="1">
      <c r="A1085" s="204" t="str">
        <f>IF(B1085&lt;&gt;"",IF(AND(B1085&gt;=_TM1,B1085&lt;=_TM2,OR(TH!L1085="1111",TH!M1085="1111")),TH!D1085,""),"")</f>
        <v/>
      </c>
      <c r="B1085" s="36">
        <f t="shared" si="221"/>
        <v>4</v>
      </c>
      <c r="C1085" s="191">
        <f t="shared" si="219"/>
        <v>41367</v>
      </c>
      <c r="D1085" s="184" t="s">
        <v>1294</v>
      </c>
      <c r="E1085" s="774">
        <v>41367</v>
      </c>
      <c r="F1085" s="189"/>
      <c r="G1085" s="40" t="s">
        <v>798</v>
      </c>
      <c r="H1085" s="7" t="s">
        <v>1287</v>
      </c>
      <c r="I1085" s="816"/>
      <c r="J1085" s="256"/>
      <c r="K1085" s="602">
        <f t="shared" si="220"/>
        <v>0</v>
      </c>
      <c r="L1085" s="39" t="s">
        <v>165</v>
      </c>
      <c r="M1085" s="603" t="s">
        <v>159</v>
      </c>
      <c r="N1085" s="39" t="str">
        <f>IF(AND('331-CT'!$E$7=TH!H1085,OR(L1085="331",M1085="331")),"331",IF(AND(OR(L1085="131",M1085="131"),H1085='131-CT'!$E$7),"131",""))</f>
        <v/>
      </c>
      <c r="O1085" s="39" t="str">
        <f>IF(AND($B1085&gt;='111'!$N$11,$B1085&lt;='111'!$O$11,OR($L1085=$O$7,$M1085=$O$7)),"x","")</f>
        <v/>
      </c>
      <c r="P1085" s="39" t="str">
        <f>IF(AND($L1085=$O$7,$B1085&lt;'111'!$N$11),"x","")</f>
        <v/>
      </c>
      <c r="Q1085" s="39" t="str">
        <f>IF(AND($M1085=$O$7,$B1085&lt;'111'!$N$11),"x","")</f>
        <v/>
      </c>
      <c r="R1085" s="39" t="str">
        <f>IF(ISERROR(FIND('112'!$M$9,G1085,1)),"",IF((AND(FIND('112'!$M$9,G1085,1)&gt;=1,$B1085&gt;='112'!$N$8,$B1085&lt;='112'!$O$8,OR($L1085='112'!$I$6,$M1085='112'!$I$6))),"x",""))</f>
        <v/>
      </c>
      <c r="S1085" s="39" t="str">
        <f>IF(ISERROR(FIND('112'!$M$9,G1085,1)),"",IF((AND(LEFT(G1085,2)=LEFT('112'!$M$9,2),B1085&lt;'112'!$N$8,$L1085='112'!$I$6)),"x",""))</f>
        <v/>
      </c>
      <c r="T1085" s="39" t="str">
        <f>IF(ISERROR(FIND('112'!$M$9,G1085,1)),"",IF((AND(RIGHT(G1085,2)=RIGHT('112'!$M$9,2),B1085&lt;'112'!$N$8,$M1085='112'!$I$6)),"x",""))</f>
        <v/>
      </c>
      <c r="U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>154</v>
      </c>
      <c r="V1085" s="39" t="str">
        <f>IF(OR(TH!L1085=TH!$V$7,M1085=TH!$V$7),"x","")</f>
        <v/>
      </c>
      <c r="W1085" s="39" t="str">
        <f>IF(AND(B1085&gt;='IN-NX'!$P$3,B1085&lt;='IN-NX'!$Q$3,'IN-NX'!$D$7=D1085,OR(LEFT(L1085,2)="15",AND(LEFT(M1085,2)&lt;&gt;"15",LEFT(M1085,2)&lt;&gt;"33"))),"x","")</f>
        <v/>
      </c>
      <c r="X1085" s="39" t="str">
        <f>IF(AND(OR(LEFT(TH!L1085,2)="15",LEFT(TH!M1085,2)="15"),'152-CT'!$J$8=TH!F1085),"x","")</f>
        <v/>
      </c>
      <c r="Y1085" s="39" t="str">
        <f>IF(AND(OR(LEFT(TH!L1085,2)="15",LEFT(TH!M1085,2)="15"),TK!$E$7=TH!F1085),"x","")</f>
        <v/>
      </c>
      <c r="Z1085" s="39" t="str">
        <f>IF(AND(B1085&lt;=NKC!$N$8,B1085&gt;=NKC!$M$8),"x","")</f>
        <v/>
      </c>
      <c r="AA1085" s="886"/>
    </row>
    <row r="1086" spans="1:27" s="211" customFormat="1" ht="15.75" customHeight="1">
      <c r="A1086" s="204" t="str">
        <f>IF(B1086&lt;&gt;"",IF(AND(B1086&gt;=_TM1,B1086&lt;=_TM2,OR(TH!L1086="1111",TH!M1086="1111")),TH!D1086,""),"")</f>
        <v/>
      </c>
      <c r="B1086" s="36">
        <f t="shared" si="221"/>
        <v>4</v>
      </c>
      <c r="C1086" s="191">
        <f t="shared" si="219"/>
        <v>41372</v>
      </c>
      <c r="D1086" s="184" t="s">
        <v>1294</v>
      </c>
      <c r="E1086" s="774">
        <v>41372</v>
      </c>
      <c r="F1086" s="297"/>
      <c r="G1086" s="40" t="s">
        <v>799</v>
      </c>
      <c r="H1086" s="7" t="s">
        <v>1287</v>
      </c>
      <c r="I1086" s="256"/>
      <c r="J1086" s="256"/>
      <c r="K1086" s="602">
        <f t="shared" si="220"/>
        <v>0</v>
      </c>
      <c r="L1086" s="39" t="s">
        <v>165</v>
      </c>
      <c r="M1086" s="603" t="s">
        <v>159</v>
      </c>
      <c r="N1086" s="39" t="str">
        <f>IF(AND('331-CT'!$E$7=TH!H1086,OR(L1086="331",M1086="331")),"331",IF(AND(OR(L1086="131",M1086="131"),H1086='131-CT'!$E$7),"131",""))</f>
        <v/>
      </c>
      <c r="O1086" s="39" t="str">
        <f>IF(AND($B1086&gt;='111'!$N$11,$B1086&lt;='111'!$O$11,OR($L1086=$O$7,$M1086=$O$7)),"x","")</f>
        <v/>
      </c>
      <c r="P1086" s="39" t="str">
        <f>IF(AND($L1086=$O$7,$B1086&lt;'111'!$N$11),"x","")</f>
        <v/>
      </c>
      <c r="Q1086" s="39" t="str">
        <f>IF(AND($M1086=$O$7,$B1086&lt;'111'!$N$11),"x","")</f>
        <v/>
      </c>
      <c r="R1086" s="39" t="str">
        <f>IF(ISERROR(FIND('112'!$M$9,G1086,1)),"",IF((AND(FIND('112'!$M$9,G1086,1)&gt;=1,$B1086&gt;='112'!$N$8,$B1086&lt;='112'!$O$8,OR($L1086='112'!$I$6,$M1086='112'!$I$6))),"x",""))</f>
        <v/>
      </c>
      <c r="S1086" s="39" t="str">
        <f>IF(ISERROR(FIND('112'!$M$9,G1086,1)),"",IF((AND(LEFT(G1086,2)=LEFT('112'!$M$9,2),B1086&lt;'112'!$N$8,$L1086='112'!$I$6)),"x",""))</f>
        <v/>
      </c>
      <c r="T1086" s="39" t="str">
        <f>IF(ISERROR(FIND('112'!$M$9,G1086,1)),"",IF((AND(RIGHT(G1086,2)=RIGHT('112'!$M$9,2),B1086&lt;'112'!$N$8,$M1086='112'!$I$6)),"x",""))</f>
        <v/>
      </c>
      <c r="U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>154</v>
      </c>
      <c r="V1086" s="39" t="str">
        <f>IF(OR(TH!L1086=TH!$V$7,M1086=TH!$V$7),"x","")</f>
        <v/>
      </c>
      <c r="W1086" s="39" t="str">
        <f>IF(AND(B1086&gt;='IN-NX'!$P$3,B1086&lt;='IN-NX'!$Q$3,'IN-NX'!$D$7=D1086,OR(LEFT(L1086,2)="15",AND(LEFT(M1086,2)&lt;&gt;"15",LEFT(M1086,2)&lt;&gt;"33"))),"x","")</f>
        <v/>
      </c>
      <c r="X1086" s="39" t="str">
        <f>IF(AND(OR(LEFT(TH!L1086,2)="15",LEFT(TH!M1086,2)="15"),'152-CT'!$J$8=TH!F1086),"x","")</f>
        <v/>
      </c>
      <c r="Y1086" s="39" t="str">
        <f>IF(AND(OR(LEFT(TH!L1086,2)="15",LEFT(TH!M1086,2)="15"),TK!$E$7=TH!F1086),"x","")</f>
        <v/>
      </c>
      <c r="Z1086" s="39" t="str">
        <f>IF(AND(B1086&lt;=NKC!$N$8,B1086&gt;=NKC!$M$8),"x","")</f>
        <v/>
      </c>
      <c r="AA1086" s="886"/>
    </row>
    <row r="1087" spans="1:27" s="211" customFormat="1" ht="15.75" customHeight="1">
      <c r="A1087" s="204" t="str">
        <f>IF(B1087&lt;&gt;"",IF(AND(B1087&gt;=_TM1,B1087&lt;=_TM2,OR(TH!L1087="1111",TH!M1087="1111")),TH!D1087,""),"")</f>
        <v/>
      </c>
      <c r="B1087" s="36">
        <f t="shared" si="221"/>
        <v>4</v>
      </c>
      <c r="C1087" s="191">
        <f t="shared" si="219"/>
        <v>41372</v>
      </c>
      <c r="D1087" s="184" t="s">
        <v>1294</v>
      </c>
      <c r="E1087" s="774">
        <v>41372</v>
      </c>
      <c r="F1087" s="189"/>
      <c r="G1087" s="40" t="s">
        <v>799</v>
      </c>
      <c r="H1087" s="7" t="s">
        <v>1287</v>
      </c>
      <c r="I1087" s="816"/>
      <c r="J1087" s="256"/>
      <c r="K1087" s="602">
        <f t="shared" si="220"/>
        <v>0</v>
      </c>
      <c r="L1087" s="39" t="s">
        <v>165</v>
      </c>
      <c r="M1087" s="603" t="s">
        <v>159</v>
      </c>
      <c r="N1087" s="39" t="str">
        <f>IF(AND('331-CT'!$E$7=TH!H1087,OR(L1087="331",M1087="331")),"331",IF(AND(OR(L1087="131",M1087="131"),H1087='131-CT'!$E$7),"131",""))</f>
        <v/>
      </c>
      <c r="O1087" s="39" t="str">
        <f>IF(AND($B1087&gt;='111'!$N$11,$B1087&lt;='111'!$O$11,OR($L1087=$O$7,$M1087=$O$7)),"x","")</f>
        <v/>
      </c>
      <c r="P1087" s="39" t="str">
        <f>IF(AND($L1087=$O$7,$B1087&lt;'111'!$N$11),"x","")</f>
        <v/>
      </c>
      <c r="Q1087" s="39" t="str">
        <f>IF(AND($M1087=$O$7,$B1087&lt;'111'!$N$11),"x","")</f>
        <v/>
      </c>
      <c r="R1087" s="39" t="str">
        <f>IF(ISERROR(FIND('112'!$M$9,G1087,1)),"",IF((AND(FIND('112'!$M$9,G1087,1)&gt;=1,$B1087&gt;='112'!$N$8,$B1087&lt;='112'!$O$8,OR($L1087='112'!$I$6,$M1087='112'!$I$6))),"x",""))</f>
        <v/>
      </c>
      <c r="S1087" s="39" t="str">
        <f>IF(ISERROR(FIND('112'!$M$9,G1087,1)),"",IF((AND(LEFT(G1087,2)=LEFT('112'!$M$9,2),B1087&lt;'112'!$N$8,$L1087='112'!$I$6)),"x",""))</f>
        <v/>
      </c>
      <c r="T1087" s="39" t="str">
        <f>IF(ISERROR(FIND('112'!$M$9,G1087,1)),"",IF((AND(RIGHT(G1087,2)=RIGHT('112'!$M$9,2),B1087&lt;'112'!$N$8,$M1087='112'!$I$6)),"x",""))</f>
        <v/>
      </c>
      <c r="U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>154</v>
      </c>
      <c r="V1087" s="39" t="str">
        <f>IF(OR(TH!L1087=TH!$V$7,M1087=TH!$V$7),"x","")</f>
        <v/>
      </c>
      <c r="W1087" s="39" t="str">
        <f>IF(AND(B1087&gt;='IN-NX'!$P$3,B1087&lt;='IN-NX'!$Q$3,'IN-NX'!$D$7=D1087,OR(LEFT(L1087,2)="15",AND(LEFT(M1087,2)&lt;&gt;"15",LEFT(M1087,2)&lt;&gt;"33"))),"x","")</f>
        <v/>
      </c>
      <c r="X1087" s="39" t="str">
        <f>IF(AND(OR(LEFT(TH!L1087,2)="15",LEFT(TH!M1087,2)="15"),'152-CT'!$J$8=TH!F1087),"x","")</f>
        <v/>
      </c>
      <c r="Y1087" s="39" t="str">
        <f>IF(AND(OR(LEFT(TH!L1087,2)="15",LEFT(TH!M1087,2)="15"),TK!$E$7=TH!F1087),"x","")</f>
        <v/>
      </c>
      <c r="Z1087" s="39" t="str">
        <f>IF(AND(B1087&lt;=NKC!$N$8,B1087&gt;=NKC!$M$8),"x","")</f>
        <v/>
      </c>
      <c r="AA1087" s="886"/>
    </row>
    <row r="1088" spans="1:27" s="211" customFormat="1" ht="15.75" customHeight="1">
      <c r="A1088" s="204" t="str">
        <f>IF(B1088&lt;&gt;"",IF(AND(B1088&gt;=_TM1,B1088&lt;=_TM2,OR(TH!L1088="1111",TH!M1088="1111")),TH!D1088,""),"")</f>
        <v/>
      </c>
      <c r="B1088" s="36">
        <f t="shared" si="221"/>
        <v>4</v>
      </c>
      <c r="C1088" s="191">
        <f t="shared" si="219"/>
        <v>41372</v>
      </c>
      <c r="D1088" s="184" t="s">
        <v>1294</v>
      </c>
      <c r="E1088" s="774">
        <v>41372</v>
      </c>
      <c r="F1088" s="189"/>
      <c r="G1088" s="40" t="s">
        <v>800</v>
      </c>
      <c r="H1088" s="7" t="s">
        <v>1287</v>
      </c>
      <c r="I1088" s="816"/>
      <c r="J1088" s="256"/>
      <c r="K1088" s="602">
        <f t="shared" si="220"/>
        <v>0</v>
      </c>
      <c r="L1088" s="39" t="s">
        <v>165</v>
      </c>
      <c r="M1088" s="603" t="s">
        <v>159</v>
      </c>
      <c r="N1088" s="39" t="str">
        <f>IF(AND('331-CT'!$E$7=TH!H1088,OR(L1088="331",M1088="331")),"331",IF(AND(OR(L1088="131",M1088="131"),H1088='131-CT'!$E$7),"131",""))</f>
        <v/>
      </c>
      <c r="O1088" s="39" t="str">
        <f>IF(AND($B1088&gt;='111'!$N$11,$B1088&lt;='111'!$O$11,OR($L1088=$O$7,$M1088=$O$7)),"x","")</f>
        <v/>
      </c>
      <c r="P1088" s="39" t="str">
        <f>IF(AND($L1088=$O$7,$B1088&lt;'111'!$N$11),"x","")</f>
        <v/>
      </c>
      <c r="Q1088" s="39" t="str">
        <f>IF(AND($M1088=$O$7,$B1088&lt;'111'!$N$11),"x","")</f>
        <v/>
      </c>
      <c r="R1088" s="39" t="str">
        <f>IF(ISERROR(FIND('112'!$M$9,G1088,1)),"",IF((AND(FIND('112'!$M$9,G1088,1)&gt;=1,$B1088&gt;='112'!$N$8,$B1088&lt;='112'!$O$8,OR($L1088='112'!$I$6,$M1088='112'!$I$6))),"x",""))</f>
        <v/>
      </c>
      <c r="S1088" s="39" t="str">
        <f>IF(ISERROR(FIND('112'!$M$9,G1088,1)),"",IF((AND(LEFT(G1088,2)=LEFT('112'!$M$9,2),B1088&lt;'112'!$N$8,$L1088='112'!$I$6)),"x",""))</f>
        <v/>
      </c>
      <c r="T1088" s="39" t="str">
        <f>IF(ISERROR(FIND('112'!$M$9,G1088,1)),"",IF((AND(RIGHT(G1088,2)=RIGHT('112'!$M$9,2),B1088&lt;'112'!$N$8,$M1088='112'!$I$6)),"x",""))</f>
        <v/>
      </c>
      <c r="U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>154</v>
      </c>
      <c r="V1088" s="39" t="str">
        <f>IF(OR(TH!L1088=TH!$V$7,M1088=TH!$V$7),"x","")</f>
        <v/>
      </c>
      <c r="W1088" s="39" t="str">
        <f>IF(AND(B1088&gt;='IN-NX'!$P$3,B1088&lt;='IN-NX'!$Q$3,'IN-NX'!$D$7=D1088,OR(LEFT(L1088,2)="15",AND(LEFT(M1088,2)&lt;&gt;"15",LEFT(M1088,2)&lt;&gt;"33"))),"x","")</f>
        <v/>
      </c>
      <c r="X1088" s="39" t="str">
        <f>IF(AND(OR(LEFT(TH!L1088,2)="15",LEFT(TH!M1088,2)="15"),'152-CT'!$J$8=TH!F1088),"x","")</f>
        <v/>
      </c>
      <c r="Y1088" s="39" t="str">
        <f>IF(AND(OR(LEFT(TH!L1088,2)="15",LEFT(TH!M1088,2)="15"),TK!$E$7=TH!F1088),"x","")</f>
        <v/>
      </c>
      <c r="Z1088" s="39" t="str">
        <f>IF(AND(B1088&lt;=NKC!$N$8,B1088&gt;=NKC!$M$8),"x","")</f>
        <v/>
      </c>
      <c r="AA1088" s="886"/>
    </row>
    <row r="1089" spans="1:27" s="211" customFormat="1" ht="15.75" customHeight="1">
      <c r="A1089" s="204" t="str">
        <f>IF(B1089&lt;&gt;"",IF(AND(B1089&gt;=_TM1,B1089&lt;=_TM2,OR(TH!L1089="1111",TH!M1089="1111")),TH!D1089,""),"")</f>
        <v/>
      </c>
      <c r="B1089" s="36">
        <f t="shared" si="221"/>
        <v>4</v>
      </c>
      <c r="C1089" s="191">
        <f t="shared" si="219"/>
        <v>41372</v>
      </c>
      <c r="D1089" s="184" t="s">
        <v>1294</v>
      </c>
      <c r="E1089" s="774">
        <v>41372</v>
      </c>
      <c r="F1089" s="40"/>
      <c r="G1089" s="40" t="s">
        <v>800</v>
      </c>
      <c r="H1089" s="7" t="s">
        <v>1287</v>
      </c>
      <c r="I1089" s="256"/>
      <c r="J1089" s="256"/>
      <c r="K1089" s="602">
        <f t="shared" si="220"/>
        <v>0</v>
      </c>
      <c r="L1089" s="39" t="s">
        <v>165</v>
      </c>
      <c r="M1089" s="603" t="s">
        <v>159</v>
      </c>
      <c r="N1089" s="39" t="str">
        <f>IF(AND('331-CT'!$E$7=TH!H1089,OR(L1089="331",M1089="331")),"331",IF(AND(OR(L1089="131",M1089="131"),H1089='131-CT'!$E$7),"131",""))</f>
        <v/>
      </c>
      <c r="O1089" s="39" t="str">
        <f>IF(AND($B1089&gt;='111'!$N$11,$B1089&lt;='111'!$O$11,OR($L1089=$O$7,$M1089=$O$7)),"x","")</f>
        <v/>
      </c>
      <c r="P1089" s="39" t="str">
        <f>IF(AND($L1089=$O$7,$B1089&lt;'111'!$N$11),"x","")</f>
        <v/>
      </c>
      <c r="Q1089" s="39" t="str">
        <f>IF(AND($M1089=$O$7,$B1089&lt;'111'!$N$11),"x","")</f>
        <v/>
      </c>
      <c r="R1089" s="39" t="str">
        <f>IF(ISERROR(FIND('112'!$M$9,G1089,1)),"",IF((AND(FIND('112'!$M$9,G1089,1)&gt;=1,$B1089&gt;='112'!$N$8,$B1089&lt;='112'!$O$8,OR($L1089='112'!$I$6,$M1089='112'!$I$6))),"x",""))</f>
        <v/>
      </c>
      <c r="S1089" s="39" t="str">
        <f>IF(ISERROR(FIND('112'!$M$9,G1089,1)),"",IF((AND(LEFT(G1089,2)=LEFT('112'!$M$9,2),B1089&lt;'112'!$N$8,$L1089='112'!$I$6)),"x",""))</f>
        <v/>
      </c>
      <c r="T1089" s="39" t="str">
        <f>IF(ISERROR(FIND('112'!$M$9,G1089,1)),"",IF((AND(RIGHT(G1089,2)=RIGHT('112'!$M$9,2),B1089&lt;'112'!$N$8,$M1089='112'!$I$6)),"x",""))</f>
        <v/>
      </c>
      <c r="U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>154</v>
      </c>
      <c r="V1089" s="39" t="str">
        <f>IF(OR(TH!L1089=TH!$V$7,M1089=TH!$V$7),"x","")</f>
        <v/>
      </c>
      <c r="W1089" s="39" t="str">
        <f>IF(AND(B1089&gt;='IN-NX'!$P$3,B1089&lt;='IN-NX'!$Q$3,'IN-NX'!$D$7=D1089,OR(LEFT(L1089,2)="15",AND(LEFT(M1089,2)&lt;&gt;"15",LEFT(M1089,2)&lt;&gt;"33"))),"x","")</f>
        <v/>
      </c>
      <c r="X1089" s="39" t="str">
        <f>IF(AND(OR(LEFT(TH!L1089,2)="15",LEFT(TH!M1089,2)="15"),'152-CT'!$J$8=TH!F1089),"x","")</f>
        <v/>
      </c>
      <c r="Y1089" s="39" t="str">
        <f>IF(AND(OR(LEFT(TH!L1089,2)="15",LEFT(TH!M1089,2)="15"),TK!$E$7=TH!F1089),"x","")</f>
        <v/>
      </c>
      <c r="Z1089" s="39" t="str">
        <f>IF(AND(B1089&lt;=NKC!$N$8,B1089&gt;=NKC!$M$8),"x","")</f>
        <v/>
      </c>
      <c r="AA1089" s="886"/>
    </row>
    <row r="1090" spans="1:27" s="211" customFormat="1" ht="15.75" customHeight="1">
      <c r="A1090" s="204" t="str">
        <f>IF(B1090&lt;&gt;"",IF(AND(B1090&gt;=_TM1,B1090&lt;=_TM2,OR(TH!L1090="1111",TH!M1090="1111")),TH!D1090,""),"")</f>
        <v/>
      </c>
      <c r="B1090" s="36">
        <f t="shared" si="221"/>
        <v>4</v>
      </c>
      <c r="C1090" s="191">
        <f t="shared" si="219"/>
        <v>41372</v>
      </c>
      <c r="D1090" s="184" t="s">
        <v>1294</v>
      </c>
      <c r="E1090" s="774">
        <v>41372</v>
      </c>
      <c r="F1090" s="189"/>
      <c r="G1090" s="40" t="s">
        <v>800</v>
      </c>
      <c r="H1090" s="7" t="s">
        <v>1287</v>
      </c>
      <c r="I1090" s="256"/>
      <c r="J1090" s="256"/>
      <c r="K1090" s="602">
        <f t="shared" si="220"/>
        <v>0</v>
      </c>
      <c r="L1090" s="39" t="s">
        <v>165</v>
      </c>
      <c r="M1090" s="603" t="s">
        <v>159</v>
      </c>
      <c r="N1090" s="39" t="str">
        <f>IF(AND('331-CT'!$E$7=TH!H1090,OR(L1090="331",M1090="331")),"331",IF(AND(OR(L1090="131",M1090="131"),H1090='131-CT'!$E$7),"131",""))</f>
        <v/>
      </c>
      <c r="O1090" s="39" t="str">
        <f>IF(AND($B1090&gt;='111'!$N$11,$B1090&lt;='111'!$O$11,OR($L1090=$O$7,$M1090=$O$7)),"x","")</f>
        <v/>
      </c>
      <c r="P1090" s="39" t="str">
        <f>IF(AND($L1090=$O$7,$B1090&lt;'111'!$N$11),"x","")</f>
        <v/>
      </c>
      <c r="Q1090" s="39" t="str">
        <f>IF(AND($M1090=$O$7,$B1090&lt;'111'!$N$11),"x","")</f>
        <v/>
      </c>
      <c r="R1090" s="39" t="str">
        <f>IF(ISERROR(FIND('112'!$M$9,G1090,1)),"",IF((AND(FIND('112'!$M$9,G1090,1)&gt;=1,$B1090&gt;='112'!$N$8,$B1090&lt;='112'!$O$8,OR($L1090='112'!$I$6,$M1090='112'!$I$6))),"x",""))</f>
        <v/>
      </c>
      <c r="S1090" s="39" t="str">
        <f>IF(ISERROR(FIND('112'!$M$9,G1090,1)),"",IF((AND(LEFT(G1090,2)=LEFT('112'!$M$9,2),B1090&lt;'112'!$N$8,$L1090='112'!$I$6)),"x",""))</f>
        <v/>
      </c>
      <c r="T1090" s="39" t="str">
        <f>IF(ISERROR(FIND('112'!$M$9,G1090,1)),"",IF((AND(RIGHT(G1090,2)=RIGHT('112'!$M$9,2),B1090&lt;'112'!$N$8,$M1090='112'!$I$6)),"x",""))</f>
        <v/>
      </c>
      <c r="U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>154</v>
      </c>
      <c r="V1090" s="39" t="str">
        <f>IF(OR(TH!L1090=TH!$V$7,M1090=TH!$V$7),"x","")</f>
        <v/>
      </c>
      <c r="W1090" s="39" t="str">
        <f>IF(AND(B1090&gt;='IN-NX'!$P$3,B1090&lt;='IN-NX'!$Q$3,'IN-NX'!$D$7=D1090,OR(LEFT(L1090,2)="15",AND(LEFT(M1090,2)&lt;&gt;"15",LEFT(M1090,2)&lt;&gt;"33"))),"x","")</f>
        <v/>
      </c>
      <c r="X1090" s="39" t="str">
        <f>IF(AND(OR(LEFT(TH!L1090,2)="15",LEFT(TH!M1090,2)="15"),'152-CT'!$J$8=TH!F1090),"x","")</f>
        <v/>
      </c>
      <c r="Y1090" s="39" t="str">
        <f>IF(AND(OR(LEFT(TH!L1090,2)="15",LEFT(TH!M1090,2)="15"),TK!$E$7=TH!F1090),"x","")</f>
        <v/>
      </c>
      <c r="Z1090" s="39" t="str">
        <f>IF(AND(B1090&lt;=NKC!$N$8,B1090&gt;=NKC!$M$8),"x","")</f>
        <v/>
      </c>
      <c r="AA1090" s="886"/>
    </row>
    <row r="1091" spans="1:27" s="211" customFormat="1" ht="15.75" customHeight="1">
      <c r="A1091" s="204" t="str">
        <f>IF(B1091&lt;&gt;"",IF(AND(B1091&gt;=_TM1,B1091&lt;=_TM2,OR(TH!L1091="1111",TH!M1091="1111")),TH!D1091,""),"")</f>
        <v/>
      </c>
      <c r="B1091" s="36">
        <f t="shared" si="221"/>
        <v>4</v>
      </c>
      <c r="C1091" s="191">
        <f t="shared" si="219"/>
        <v>41373</v>
      </c>
      <c r="D1091" s="184" t="s">
        <v>1294</v>
      </c>
      <c r="E1091" s="774">
        <v>41373</v>
      </c>
      <c r="F1091" s="40"/>
      <c r="G1091" s="40" t="s">
        <v>802</v>
      </c>
      <c r="H1091" s="7" t="s">
        <v>1287</v>
      </c>
      <c r="I1091" s="256"/>
      <c r="J1091" s="256"/>
      <c r="K1091" s="602">
        <f t="shared" si="220"/>
        <v>0</v>
      </c>
      <c r="L1091" s="39" t="s">
        <v>165</v>
      </c>
      <c r="M1091" s="603" t="s">
        <v>159</v>
      </c>
      <c r="N1091" s="39" t="str">
        <f>IF(AND('331-CT'!$E$7=TH!H1091,OR(L1091="331",M1091="331")),"331",IF(AND(OR(L1091="131",M1091="131"),H1091='131-CT'!$E$7),"131",""))</f>
        <v/>
      </c>
      <c r="O1091" s="39" t="str">
        <f>IF(AND($B1091&gt;='111'!$N$11,$B1091&lt;='111'!$O$11,OR($L1091=$O$7,$M1091=$O$7)),"x","")</f>
        <v/>
      </c>
      <c r="P1091" s="39" t="str">
        <f>IF(AND($L1091=$O$7,$B1091&lt;'111'!$N$11),"x","")</f>
        <v/>
      </c>
      <c r="Q1091" s="39" t="str">
        <f>IF(AND($M1091=$O$7,$B1091&lt;'111'!$N$11),"x","")</f>
        <v/>
      </c>
      <c r="R1091" s="39" t="str">
        <f>IF(ISERROR(FIND('112'!$M$9,G1091,1)),"",IF((AND(FIND('112'!$M$9,G1091,1)&gt;=1,$B1091&gt;='112'!$N$8,$B1091&lt;='112'!$O$8,OR($L1091='112'!$I$6,$M1091='112'!$I$6))),"x",""))</f>
        <v/>
      </c>
      <c r="S1091" s="39" t="str">
        <f>IF(ISERROR(FIND('112'!$M$9,G1091,1)),"",IF((AND(LEFT(G1091,2)=LEFT('112'!$M$9,2),B1091&lt;'112'!$N$8,$L1091='112'!$I$6)),"x",""))</f>
        <v/>
      </c>
      <c r="T1091" s="39" t="str">
        <f>IF(ISERROR(FIND('112'!$M$9,G1091,1)),"",IF((AND(RIGHT(G1091,2)=RIGHT('112'!$M$9,2),B1091&lt;'112'!$N$8,$M1091='112'!$I$6)),"x",""))</f>
        <v/>
      </c>
      <c r="U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>154</v>
      </c>
      <c r="V1091" s="39" t="str">
        <f>IF(OR(TH!L1091=TH!$V$7,M1091=TH!$V$7),"x","")</f>
        <v/>
      </c>
      <c r="W1091" s="39" t="str">
        <f>IF(AND(B1091&gt;='IN-NX'!$P$3,B1091&lt;='IN-NX'!$Q$3,'IN-NX'!$D$7=D1091,OR(LEFT(L1091,2)="15",AND(LEFT(M1091,2)&lt;&gt;"15",LEFT(M1091,2)&lt;&gt;"33"))),"x","")</f>
        <v/>
      </c>
      <c r="X1091" s="39" t="str">
        <f>IF(AND(OR(LEFT(TH!L1091,2)="15",LEFT(TH!M1091,2)="15"),'152-CT'!$J$8=TH!F1091),"x","")</f>
        <v/>
      </c>
      <c r="Y1091" s="39" t="str">
        <f>IF(AND(OR(LEFT(TH!L1091,2)="15",LEFT(TH!M1091,2)="15"),TK!$E$7=TH!F1091),"x","")</f>
        <v/>
      </c>
      <c r="Z1091" s="39" t="str">
        <f>IF(AND(B1091&lt;=NKC!$N$8,B1091&gt;=NKC!$M$8),"x","")</f>
        <v/>
      </c>
      <c r="AA1091" s="886"/>
    </row>
    <row r="1092" spans="1:27" s="211" customFormat="1" ht="15.75" customHeight="1">
      <c r="A1092" s="204" t="str">
        <f>IF(B1092&lt;&gt;"",IF(AND(B1092&gt;=_TM1,B1092&lt;=_TM2,OR(TH!L1092="1111",TH!M1092="1111")),TH!D1092,""),"")</f>
        <v/>
      </c>
      <c r="B1092" s="36">
        <f t="shared" si="221"/>
        <v>4</v>
      </c>
      <c r="C1092" s="191">
        <f t="shared" si="219"/>
        <v>41373</v>
      </c>
      <c r="D1092" s="184" t="s">
        <v>1294</v>
      </c>
      <c r="E1092" s="774">
        <v>41373</v>
      </c>
      <c r="F1092" s="189"/>
      <c r="G1092" s="40" t="s">
        <v>802</v>
      </c>
      <c r="H1092" s="7" t="s">
        <v>1287</v>
      </c>
      <c r="I1092" s="256"/>
      <c r="J1092" s="256"/>
      <c r="K1092" s="602">
        <f t="shared" si="220"/>
        <v>0</v>
      </c>
      <c r="L1092" s="39" t="s">
        <v>165</v>
      </c>
      <c r="M1092" s="603" t="s">
        <v>159</v>
      </c>
      <c r="N1092" s="39" t="str">
        <f>IF(AND('331-CT'!$E$7=TH!H1092,OR(L1092="331",M1092="331")),"331",IF(AND(OR(L1092="131",M1092="131"),H1092='131-CT'!$E$7),"131",""))</f>
        <v/>
      </c>
      <c r="O1092" s="39" t="str">
        <f>IF(AND($B1092&gt;='111'!$N$11,$B1092&lt;='111'!$O$11,OR($L1092=$O$7,$M1092=$O$7)),"x","")</f>
        <v/>
      </c>
      <c r="P1092" s="39" t="str">
        <f>IF(AND($L1092=$O$7,$B1092&lt;'111'!$N$11),"x","")</f>
        <v/>
      </c>
      <c r="Q1092" s="39" t="str">
        <f>IF(AND($M1092=$O$7,$B1092&lt;'111'!$N$11),"x","")</f>
        <v/>
      </c>
      <c r="R1092" s="39" t="str">
        <f>IF(ISERROR(FIND('112'!$M$9,G1092,1)),"",IF((AND(FIND('112'!$M$9,G1092,1)&gt;=1,$B1092&gt;='112'!$N$8,$B1092&lt;='112'!$O$8,OR($L1092='112'!$I$6,$M1092='112'!$I$6))),"x",""))</f>
        <v/>
      </c>
      <c r="S1092" s="39" t="str">
        <f>IF(ISERROR(FIND('112'!$M$9,G1092,1)),"",IF((AND(LEFT(G1092,2)=LEFT('112'!$M$9,2),B1092&lt;'112'!$N$8,$L1092='112'!$I$6)),"x",""))</f>
        <v/>
      </c>
      <c r="T1092" s="39" t="str">
        <f>IF(ISERROR(FIND('112'!$M$9,G1092,1)),"",IF((AND(RIGHT(G1092,2)=RIGHT('112'!$M$9,2),B1092&lt;'112'!$N$8,$M1092='112'!$I$6)),"x",""))</f>
        <v/>
      </c>
      <c r="U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>154</v>
      </c>
      <c r="V1092" s="39" t="str">
        <f>IF(OR(TH!L1092=TH!$V$7,M1092=TH!$V$7),"x","")</f>
        <v/>
      </c>
      <c r="W1092" s="39" t="str">
        <f>IF(AND(B1092&gt;='IN-NX'!$P$3,B1092&lt;='IN-NX'!$Q$3,'IN-NX'!$D$7=D1092,OR(LEFT(L1092,2)="15",AND(LEFT(M1092,2)&lt;&gt;"15",LEFT(M1092,2)&lt;&gt;"33"))),"x","")</f>
        <v/>
      </c>
      <c r="X1092" s="39" t="str">
        <f>IF(AND(OR(LEFT(TH!L1092,2)="15",LEFT(TH!M1092,2)="15"),'152-CT'!$J$8=TH!F1092),"x","")</f>
        <v/>
      </c>
      <c r="Y1092" s="39" t="str">
        <f>IF(AND(OR(LEFT(TH!L1092,2)="15",LEFT(TH!M1092,2)="15"),TK!$E$7=TH!F1092),"x","")</f>
        <v/>
      </c>
      <c r="Z1092" s="39" t="str">
        <f>IF(AND(B1092&lt;=NKC!$N$8,B1092&gt;=NKC!$M$8),"x","")</f>
        <v/>
      </c>
      <c r="AA1092" s="886"/>
    </row>
    <row r="1093" spans="1:27" s="211" customFormat="1" ht="15.75" customHeight="1">
      <c r="A1093" s="204" t="str">
        <f>IF(B1093&lt;&gt;"",IF(AND(B1093&gt;=_TM1,B1093&lt;=_TM2,OR(TH!L1093="1111",TH!M1093="1111")),TH!D1093,""),"")</f>
        <v/>
      </c>
      <c r="B1093" s="36">
        <f t="shared" si="221"/>
        <v>4</v>
      </c>
      <c r="C1093" s="191">
        <f t="shared" si="219"/>
        <v>41377</v>
      </c>
      <c r="D1093" s="184" t="s">
        <v>1294</v>
      </c>
      <c r="E1093" s="774">
        <v>41377</v>
      </c>
      <c r="F1093" s="189"/>
      <c r="G1093" s="40" t="s">
        <v>803</v>
      </c>
      <c r="H1093" s="7" t="s">
        <v>1287</v>
      </c>
      <c r="I1093" s="256"/>
      <c r="J1093" s="256"/>
      <c r="K1093" s="602">
        <f t="shared" si="220"/>
        <v>0</v>
      </c>
      <c r="L1093" s="39" t="s">
        <v>165</v>
      </c>
      <c r="M1093" s="603" t="s">
        <v>159</v>
      </c>
      <c r="N1093" s="39" t="str">
        <f>IF(AND('331-CT'!$E$7=TH!H1093,OR(L1093="331",M1093="331")),"331",IF(AND(OR(L1093="131",M1093="131"),H1093='131-CT'!$E$7),"131",""))</f>
        <v/>
      </c>
      <c r="O1093" s="39" t="str">
        <f>IF(AND($B1093&gt;='111'!$N$11,$B1093&lt;='111'!$O$11,OR($L1093=$O$7,$M1093=$O$7)),"x","")</f>
        <v/>
      </c>
      <c r="P1093" s="39" t="str">
        <f>IF(AND($L1093=$O$7,$B1093&lt;'111'!$N$11),"x","")</f>
        <v/>
      </c>
      <c r="Q1093" s="39" t="str">
        <f>IF(AND($M1093=$O$7,$B1093&lt;'111'!$N$11),"x","")</f>
        <v/>
      </c>
      <c r="R1093" s="39" t="str">
        <f>IF(ISERROR(FIND('112'!$M$9,G1093,1)),"",IF((AND(FIND('112'!$M$9,G1093,1)&gt;=1,$B1093&gt;='112'!$N$8,$B1093&lt;='112'!$O$8,OR($L1093='112'!$I$6,$M1093='112'!$I$6))),"x",""))</f>
        <v/>
      </c>
      <c r="S1093" s="39" t="str">
        <f>IF(ISERROR(FIND('112'!$M$9,G1093,1)),"",IF((AND(LEFT(G1093,2)=LEFT('112'!$M$9,2),B1093&lt;'112'!$N$8,$L1093='112'!$I$6)),"x",""))</f>
        <v/>
      </c>
      <c r="T1093" s="39" t="str">
        <f>IF(ISERROR(FIND('112'!$M$9,G1093,1)),"",IF((AND(RIGHT(G1093,2)=RIGHT('112'!$M$9,2),B1093&lt;'112'!$N$8,$M1093='112'!$I$6)),"x",""))</f>
        <v/>
      </c>
      <c r="U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>154</v>
      </c>
      <c r="V1093" s="39" t="str">
        <f>IF(OR(TH!L1093=TH!$V$7,M1093=TH!$V$7),"x","")</f>
        <v/>
      </c>
      <c r="W1093" s="39" t="str">
        <f>IF(AND(B1093&gt;='IN-NX'!$P$3,B1093&lt;='IN-NX'!$Q$3,'IN-NX'!$D$7=D1093,OR(LEFT(L1093,2)="15",AND(LEFT(M1093,2)&lt;&gt;"15",LEFT(M1093,2)&lt;&gt;"33"))),"x","")</f>
        <v/>
      </c>
      <c r="X1093" s="39" t="str">
        <f>IF(AND(OR(LEFT(TH!L1093,2)="15",LEFT(TH!M1093,2)="15"),'152-CT'!$J$8=TH!F1093),"x","")</f>
        <v/>
      </c>
      <c r="Y1093" s="39" t="str">
        <f>IF(AND(OR(LEFT(TH!L1093,2)="15",LEFT(TH!M1093,2)="15"),TK!$E$7=TH!F1093),"x","")</f>
        <v/>
      </c>
      <c r="Z1093" s="39" t="str">
        <f>IF(AND(B1093&lt;=NKC!$N$8,B1093&gt;=NKC!$M$8),"x","")</f>
        <v/>
      </c>
      <c r="AA1093" s="886"/>
    </row>
    <row r="1094" spans="1:27" s="211" customFormat="1" ht="15.75" customHeight="1">
      <c r="A1094" s="204" t="str">
        <f>IF(B1094&lt;&gt;"",IF(AND(B1094&gt;=_TM1,B1094&lt;=_TM2,OR(TH!L1094="1111",TH!M1094="1111")),TH!D1094,""),"")</f>
        <v/>
      </c>
      <c r="B1094" s="36">
        <f t="shared" si="221"/>
        <v>4</v>
      </c>
      <c r="C1094" s="191">
        <f t="shared" si="219"/>
        <v>41377</v>
      </c>
      <c r="D1094" s="184" t="s">
        <v>1294</v>
      </c>
      <c r="E1094" s="774">
        <v>41377</v>
      </c>
      <c r="F1094" s="40"/>
      <c r="G1094" s="40" t="s">
        <v>804</v>
      </c>
      <c r="H1094" s="7" t="s">
        <v>1287</v>
      </c>
      <c r="I1094" s="256"/>
      <c r="J1094" s="256"/>
      <c r="K1094" s="602">
        <f t="shared" si="220"/>
        <v>0</v>
      </c>
      <c r="L1094" s="39" t="s">
        <v>165</v>
      </c>
      <c r="M1094" s="603" t="s">
        <v>159</v>
      </c>
      <c r="N1094" s="39" t="str">
        <f>IF(AND('331-CT'!$E$7=TH!H1094,OR(L1094="331",M1094="331")),"331",IF(AND(OR(L1094="131",M1094="131"),H1094='131-CT'!$E$7),"131",""))</f>
        <v/>
      </c>
      <c r="O1094" s="39" t="str">
        <f>IF(AND($B1094&gt;='111'!$N$11,$B1094&lt;='111'!$O$11,OR($L1094=$O$7,$M1094=$O$7)),"x","")</f>
        <v/>
      </c>
      <c r="P1094" s="39" t="str">
        <f>IF(AND($L1094=$O$7,$B1094&lt;'111'!$N$11),"x","")</f>
        <v/>
      </c>
      <c r="Q1094" s="39" t="str">
        <f>IF(AND($M1094=$O$7,$B1094&lt;'111'!$N$11),"x","")</f>
        <v/>
      </c>
      <c r="R1094" s="39" t="str">
        <f>IF(ISERROR(FIND('112'!$M$9,G1094,1)),"",IF((AND(FIND('112'!$M$9,G1094,1)&gt;=1,$B1094&gt;='112'!$N$8,$B1094&lt;='112'!$O$8,OR($L1094='112'!$I$6,$M1094='112'!$I$6))),"x",""))</f>
        <v/>
      </c>
      <c r="S1094" s="39" t="str">
        <f>IF(ISERROR(FIND('112'!$M$9,G1094,1)),"",IF((AND(LEFT(G1094,2)=LEFT('112'!$M$9,2),B1094&lt;'112'!$N$8,$L1094='112'!$I$6)),"x",""))</f>
        <v/>
      </c>
      <c r="T1094" s="39" t="str">
        <f>IF(ISERROR(FIND('112'!$M$9,G1094,1)),"",IF((AND(RIGHT(G1094,2)=RIGHT('112'!$M$9,2),B1094&lt;'112'!$N$8,$M1094='112'!$I$6)),"x",""))</f>
        <v/>
      </c>
      <c r="U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>154</v>
      </c>
      <c r="V1094" s="39" t="str">
        <f>IF(OR(TH!L1094=TH!$V$7,M1094=TH!$V$7),"x","")</f>
        <v/>
      </c>
      <c r="W1094" s="39" t="str">
        <f>IF(AND(B1094&gt;='IN-NX'!$P$3,B1094&lt;='IN-NX'!$Q$3,'IN-NX'!$D$7=D1094,OR(LEFT(L1094,2)="15",AND(LEFT(M1094,2)&lt;&gt;"15",LEFT(M1094,2)&lt;&gt;"33"))),"x","")</f>
        <v/>
      </c>
      <c r="X1094" s="39" t="str">
        <f>IF(AND(OR(LEFT(TH!L1094,2)="15",LEFT(TH!M1094,2)="15"),'152-CT'!$J$8=TH!F1094),"x","")</f>
        <v/>
      </c>
      <c r="Y1094" s="39" t="str">
        <f>IF(AND(OR(LEFT(TH!L1094,2)="15",LEFT(TH!M1094,2)="15"),TK!$E$7=TH!F1094),"x","")</f>
        <v/>
      </c>
      <c r="Z1094" s="39" t="str">
        <f>IF(AND(B1094&lt;=NKC!$N$8,B1094&gt;=NKC!$M$8),"x","")</f>
        <v/>
      </c>
      <c r="AA1094" s="886"/>
    </row>
    <row r="1095" spans="1:27" s="211" customFormat="1" ht="15.75" customHeight="1">
      <c r="A1095" s="204" t="str">
        <f>IF(B1095&lt;&gt;"",IF(AND(B1095&gt;=_TM1,B1095&lt;=_TM2,OR(TH!L1095="1111",TH!M1095="1111")),TH!D1095,""),"")</f>
        <v/>
      </c>
      <c r="B1095" s="36">
        <f t="shared" si="221"/>
        <v>4</v>
      </c>
      <c r="C1095" s="191">
        <f t="shared" ref="C1095:C1158" si="222">E1095</f>
        <v>41378</v>
      </c>
      <c r="D1095" s="184" t="s">
        <v>1294</v>
      </c>
      <c r="E1095" s="774">
        <v>41378</v>
      </c>
      <c r="F1095" s="189"/>
      <c r="G1095" s="40" t="s">
        <v>484</v>
      </c>
      <c r="H1095" s="7" t="s">
        <v>1287</v>
      </c>
      <c r="I1095" s="256"/>
      <c r="J1095" s="256"/>
      <c r="K1095" s="602">
        <f t="shared" ref="K1095:K1158" si="223">ROUND(I1095*J1095,0)</f>
        <v>0</v>
      </c>
      <c r="L1095" s="39" t="s">
        <v>165</v>
      </c>
      <c r="M1095" s="603" t="s">
        <v>159</v>
      </c>
      <c r="N1095" s="39" t="str">
        <f>IF(AND('331-CT'!$E$7=TH!H1095,OR(L1095="331",M1095="331")),"331",IF(AND(OR(L1095="131",M1095="131"),H1095='131-CT'!$E$7),"131",""))</f>
        <v/>
      </c>
      <c r="O1095" s="39" t="str">
        <f>IF(AND($B1095&gt;='111'!$N$11,$B1095&lt;='111'!$O$11,OR($L1095=$O$7,$M1095=$O$7)),"x","")</f>
        <v/>
      </c>
      <c r="P1095" s="39" t="str">
        <f>IF(AND($L1095=$O$7,$B1095&lt;'111'!$N$11),"x","")</f>
        <v/>
      </c>
      <c r="Q1095" s="39" t="str">
        <f>IF(AND($M1095=$O$7,$B1095&lt;'111'!$N$11),"x","")</f>
        <v/>
      </c>
      <c r="R1095" s="39" t="str">
        <f>IF(ISERROR(FIND('112'!$M$9,G1095,1)),"",IF((AND(FIND('112'!$M$9,G1095,1)&gt;=1,$B1095&gt;='112'!$N$8,$B1095&lt;='112'!$O$8,OR($L1095='112'!$I$6,$M1095='112'!$I$6))),"x",""))</f>
        <v/>
      </c>
      <c r="S1095" s="39" t="str">
        <f>IF(ISERROR(FIND('112'!$M$9,G1095,1)),"",IF((AND(LEFT(G1095,2)=LEFT('112'!$M$9,2),B1095&lt;'112'!$N$8,$L1095='112'!$I$6)),"x",""))</f>
        <v/>
      </c>
      <c r="T1095" s="39" t="str">
        <f>IF(ISERROR(FIND('112'!$M$9,G1095,1)),"",IF((AND(RIGHT(G1095,2)=RIGHT('112'!$M$9,2),B1095&lt;'112'!$N$8,$M1095='112'!$I$6)),"x",""))</f>
        <v/>
      </c>
      <c r="U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>154</v>
      </c>
      <c r="V1095" s="39" t="str">
        <f>IF(OR(TH!L1095=TH!$V$7,M1095=TH!$V$7),"x","")</f>
        <v/>
      </c>
      <c r="W1095" s="39" t="str">
        <f>IF(AND(B1095&gt;='IN-NX'!$P$3,B1095&lt;='IN-NX'!$Q$3,'IN-NX'!$D$7=D1095,OR(LEFT(L1095,2)="15",AND(LEFT(M1095,2)&lt;&gt;"15",LEFT(M1095,2)&lt;&gt;"33"))),"x","")</f>
        <v/>
      </c>
      <c r="X1095" s="39" t="str">
        <f>IF(AND(OR(LEFT(TH!L1095,2)="15",LEFT(TH!M1095,2)="15"),'152-CT'!$J$8=TH!F1095),"x","")</f>
        <v/>
      </c>
      <c r="Y1095" s="39" t="str">
        <f>IF(AND(OR(LEFT(TH!L1095,2)="15",LEFT(TH!M1095,2)="15"),TK!$E$7=TH!F1095),"x","")</f>
        <v/>
      </c>
      <c r="Z1095" s="39" t="str">
        <f>IF(AND(B1095&lt;=NKC!$N$8,B1095&gt;=NKC!$M$8),"x","")</f>
        <v/>
      </c>
      <c r="AA1095" s="886"/>
    </row>
    <row r="1096" spans="1:27" s="211" customFormat="1" ht="15.75" customHeight="1">
      <c r="A1096" s="204" t="str">
        <f>IF(B1096&lt;&gt;"",IF(AND(B1096&gt;=_TM1,B1096&lt;=_TM2,OR(TH!L1096="1111",TH!M1096="1111")),TH!D1096,""),"")</f>
        <v/>
      </c>
      <c r="B1096" s="36">
        <f t="shared" si="221"/>
        <v>4</v>
      </c>
      <c r="C1096" s="191">
        <f t="shared" si="222"/>
        <v>41384</v>
      </c>
      <c r="D1096" s="184" t="s">
        <v>1294</v>
      </c>
      <c r="E1096" s="774">
        <v>41384</v>
      </c>
      <c r="F1096" s="189"/>
      <c r="G1096" s="40" t="s">
        <v>806</v>
      </c>
      <c r="H1096" s="7" t="s">
        <v>1287</v>
      </c>
      <c r="I1096" s="256"/>
      <c r="J1096" s="256"/>
      <c r="K1096" s="602">
        <f t="shared" si="223"/>
        <v>0</v>
      </c>
      <c r="L1096" s="39" t="s">
        <v>165</v>
      </c>
      <c r="M1096" s="603" t="s">
        <v>159</v>
      </c>
      <c r="N1096" s="39" t="str">
        <f>IF(AND('331-CT'!$E$7=TH!H1096,OR(L1096="331",M1096="331")),"331",IF(AND(OR(L1096="131",M1096="131"),H1096='131-CT'!$E$7),"131",""))</f>
        <v/>
      </c>
      <c r="O1096" s="39" t="str">
        <f>IF(AND($B1096&gt;='111'!$N$11,$B1096&lt;='111'!$O$11,OR($L1096=$O$7,$M1096=$O$7)),"x","")</f>
        <v/>
      </c>
      <c r="P1096" s="39" t="str">
        <f>IF(AND($L1096=$O$7,$B1096&lt;'111'!$N$11),"x","")</f>
        <v/>
      </c>
      <c r="Q1096" s="39" t="str">
        <f>IF(AND($M1096=$O$7,$B1096&lt;'111'!$N$11),"x","")</f>
        <v/>
      </c>
      <c r="R1096" s="39" t="str">
        <f>IF(ISERROR(FIND('112'!$M$9,G1096,1)),"",IF((AND(FIND('112'!$M$9,G1096,1)&gt;=1,$B1096&gt;='112'!$N$8,$B1096&lt;='112'!$O$8,OR($L1096='112'!$I$6,$M1096='112'!$I$6))),"x",""))</f>
        <v/>
      </c>
      <c r="S1096" s="39" t="str">
        <f>IF(ISERROR(FIND('112'!$M$9,G1096,1)),"",IF((AND(LEFT(G1096,2)=LEFT('112'!$M$9,2),B1096&lt;'112'!$N$8,$L1096='112'!$I$6)),"x",""))</f>
        <v/>
      </c>
      <c r="T1096" s="39" t="str">
        <f>IF(ISERROR(FIND('112'!$M$9,G1096,1)),"",IF((AND(RIGHT(G1096,2)=RIGHT('112'!$M$9,2),B1096&lt;'112'!$N$8,$M1096='112'!$I$6)),"x",""))</f>
        <v/>
      </c>
      <c r="U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>154</v>
      </c>
      <c r="V1096" s="39" t="str">
        <f>IF(OR(TH!L1096=TH!$V$7,M1096=TH!$V$7),"x","")</f>
        <v/>
      </c>
      <c r="W1096" s="39" t="str">
        <f>IF(AND(B1096&gt;='IN-NX'!$P$3,B1096&lt;='IN-NX'!$Q$3,'IN-NX'!$D$7=D1096,OR(LEFT(L1096,2)="15",AND(LEFT(M1096,2)&lt;&gt;"15",LEFT(M1096,2)&lt;&gt;"33"))),"x","")</f>
        <v/>
      </c>
      <c r="X1096" s="39" t="str">
        <f>IF(AND(OR(LEFT(TH!L1096,2)="15",LEFT(TH!M1096,2)="15"),'152-CT'!$J$8=TH!F1096),"x","")</f>
        <v/>
      </c>
      <c r="Y1096" s="39" t="str">
        <f>IF(AND(OR(LEFT(TH!L1096,2)="15",LEFT(TH!M1096,2)="15"),TK!$E$7=TH!F1096),"x","")</f>
        <v/>
      </c>
      <c r="Z1096" s="39" t="str">
        <f>IF(AND(B1096&lt;=NKC!$N$8,B1096&gt;=NKC!$M$8),"x","")</f>
        <v/>
      </c>
      <c r="AA1096" s="886"/>
    </row>
    <row r="1097" spans="1:27" s="211" customFormat="1" ht="15.75" customHeight="1">
      <c r="A1097" s="204" t="str">
        <f>IF(B1097&lt;&gt;"",IF(AND(B1097&gt;=_TM1,B1097&lt;=_TM2,OR(TH!L1097="1111",TH!M1097="1111")),TH!D1097,""),"")</f>
        <v/>
      </c>
      <c r="B1097" s="36">
        <f t="shared" si="221"/>
        <v>4</v>
      </c>
      <c r="C1097" s="191">
        <f t="shared" si="222"/>
        <v>41384</v>
      </c>
      <c r="D1097" s="184" t="s">
        <v>1294</v>
      </c>
      <c r="E1097" s="184">
        <v>41384</v>
      </c>
      <c r="F1097" s="189"/>
      <c r="G1097" s="604" t="s">
        <v>806</v>
      </c>
      <c r="H1097" s="7" t="s">
        <v>1287</v>
      </c>
      <c r="I1097" s="256"/>
      <c r="J1097" s="256"/>
      <c r="K1097" s="602">
        <f t="shared" si="223"/>
        <v>0</v>
      </c>
      <c r="L1097" s="39" t="s">
        <v>165</v>
      </c>
      <c r="M1097" s="603" t="s">
        <v>159</v>
      </c>
      <c r="N1097" s="39" t="str">
        <f>IF(AND('331-CT'!$E$7=TH!H1097,OR(L1097="331",M1097="331")),"331",IF(AND(OR(L1097="131",M1097="131"),H1097='131-CT'!$E$7),"131",""))</f>
        <v/>
      </c>
      <c r="O1097" s="39" t="str">
        <f>IF(AND($B1097&gt;='111'!$N$11,$B1097&lt;='111'!$O$11,OR($L1097=$O$7,$M1097=$O$7)),"x","")</f>
        <v/>
      </c>
      <c r="P1097" s="39" t="str">
        <f>IF(AND($L1097=$O$7,$B1097&lt;'111'!$N$11),"x","")</f>
        <v/>
      </c>
      <c r="Q1097" s="39" t="str">
        <f>IF(AND($M1097=$O$7,$B1097&lt;'111'!$N$11),"x","")</f>
        <v/>
      </c>
      <c r="R1097" s="39" t="str">
        <f>IF(ISERROR(FIND('112'!$M$9,G1097,1)),"",IF((AND(FIND('112'!$M$9,G1097,1)&gt;=1,$B1097&gt;='112'!$N$8,$B1097&lt;='112'!$O$8,OR($L1097='112'!$I$6,$M1097='112'!$I$6))),"x",""))</f>
        <v/>
      </c>
      <c r="S1097" s="39" t="str">
        <f>IF(ISERROR(FIND('112'!$M$9,G1097,1)),"",IF((AND(LEFT(G1097,2)=LEFT('112'!$M$9,2),B1097&lt;'112'!$N$8,$L1097='112'!$I$6)),"x",""))</f>
        <v/>
      </c>
      <c r="T1097" s="39" t="str">
        <f>IF(ISERROR(FIND('112'!$M$9,G1097,1)),"",IF((AND(RIGHT(G1097,2)=RIGHT('112'!$M$9,2),B1097&lt;'112'!$N$8,$M1097='112'!$I$6)),"x",""))</f>
        <v/>
      </c>
      <c r="U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>154</v>
      </c>
      <c r="V1097" s="39" t="str">
        <f>IF(OR(TH!L1097=TH!$V$7,M1097=TH!$V$7),"x","")</f>
        <v/>
      </c>
      <c r="W1097" s="39" t="str">
        <f>IF(AND(B1097&gt;='IN-NX'!$P$3,B1097&lt;='IN-NX'!$Q$3,'IN-NX'!$D$7=D1097,OR(LEFT(L1097,2)="15",AND(LEFT(M1097,2)&lt;&gt;"15",LEFT(M1097,2)&lt;&gt;"33"))),"x","")</f>
        <v/>
      </c>
      <c r="X1097" s="39" t="str">
        <f>IF(AND(OR(LEFT(TH!L1097,2)="15",LEFT(TH!M1097,2)="15"),'152-CT'!$J$8=TH!F1097),"x","")</f>
        <v/>
      </c>
      <c r="Y1097" s="39" t="str">
        <f>IF(AND(OR(LEFT(TH!L1097,2)="15",LEFT(TH!M1097,2)="15"),TK!$E$7=TH!F1097),"x","")</f>
        <v/>
      </c>
      <c r="Z1097" s="39" t="str">
        <f>IF(AND(B1097&lt;=NKC!$N$8,B1097&gt;=NKC!$M$8),"x","")</f>
        <v/>
      </c>
      <c r="AA1097" s="886"/>
    </row>
    <row r="1098" spans="1:27" s="211" customFormat="1" ht="15.75" customHeight="1">
      <c r="A1098" s="204" t="str">
        <f>IF(B1098&lt;&gt;"",IF(AND(B1098&gt;=_TM1,B1098&lt;=_TM2,OR(TH!L1098="1111",TH!M1098="1111")),TH!D1098,""),"")</f>
        <v/>
      </c>
      <c r="B1098" s="36">
        <f t="shared" si="221"/>
        <v>4</v>
      </c>
      <c r="C1098" s="191">
        <f t="shared" si="222"/>
        <v>41385</v>
      </c>
      <c r="D1098" s="184" t="s">
        <v>1294</v>
      </c>
      <c r="E1098" s="184">
        <v>41385</v>
      </c>
      <c r="F1098" s="189"/>
      <c r="G1098" s="604" t="s">
        <v>809</v>
      </c>
      <c r="H1098" s="7" t="s">
        <v>1287</v>
      </c>
      <c r="I1098" s="256"/>
      <c r="J1098" s="256"/>
      <c r="K1098" s="602">
        <f t="shared" si="223"/>
        <v>0</v>
      </c>
      <c r="L1098" s="39" t="s">
        <v>165</v>
      </c>
      <c r="M1098" s="603" t="s">
        <v>159</v>
      </c>
      <c r="N1098" s="39" t="str">
        <f>IF(AND('331-CT'!$E$7=TH!H1098,OR(L1098="331",M1098="331")),"331",IF(AND(OR(L1098="131",M1098="131"),H1098='131-CT'!$E$7),"131",""))</f>
        <v/>
      </c>
      <c r="O1098" s="39" t="str">
        <f>IF(AND($B1098&gt;='111'!$N$11,$B1098&lt;='111'!$O$11,OR($L1098=$O$7,$M1098=$O$7)),"x","")</f>
        <v/>
      </c>
      <c r="P1098" s="39" t="str">
        <f>IF(AND($L1098=$O$7,$B1098&lt;'111'!$N$11),"x","")</f>
        <v/>
      </c>
      <c r="Q1098" s="39" t="str">
        <f>IF(AND($M1098=$O$7,$B1098&lt;'111'!$N$11),"x","")</f>
        <v/>
      </c>
      <c r="R1098" s="39" t="str">
        <f>IF(ISERROR(FIND('112'!$M$9,G1098,1)),"",IF((AND(FIND('112'!$M$9,G1098,1)&gt;=1,$B1098&gt;='112'!$N$8,$B1098&lt;='112'!$O$8,OR($L1098='112'!$I$6,$M1098='112'!$I$6))),"x",""))</f>
        <v/>
      </c>
      <c r="S1098" s="39" t="str">
        <f>IF(ISERROR(FIND('112'!$M$9,G1098,1)),"",IF((AND(LEFT(G1098,2)=LEFT('112'!$M$9,2),B1098&lt;'112'!$N$8,$L1098='112'!$I$6)),"x",""))</f>
        <v/>
      </c>
      <c r="T1098" s="39" t="str">
        <f>IF(ISERROR(FIND('112'!$M$9,G1098,1)),"",IF((AND(RIGHT(G1098,2)=RIGHT('112'!$M$9,2),B1098&lt;'112'!$N$8,$M1098='112'!$I$6)),"x",""))</f>
        <v/>
      </c>
      <c r="U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>154</v>
      </c>
      <c r="V1098" s="39" t="str">
        <f>IF(OR(TH!L1098=TH!$V$7,M1098=TH!$V$7),"x","")</f>
        <v/>
      </c>
      <c r="W1098" s="39" t="str">
        <f>IF(AND(B1098&gt;='IN-NX'!$P$3,B1098&lt;='IN-NX'!$Q$3,'IN-NX'!$D$7=D1098,OR(LEFT(L1098,2)="15",AND(LEFT(M1098,2)&lt;&gt;"15",LEFT(M1098,2)&lt;&gt;"33"))),"x","")</f>
        <v/>
      </c>
      <c r="X1098" s="39" t="str">
        <f>IF(AND(OR(LEFT(TH!L1098,2)="15",LEFT(TH!M1098,2)="15"),'152-CT'!$J$8=TH!F1098),"x","")</f>
        <v/>
      </c>
      <c r="Y1098" s="39" t="str">
        <f>IF(AND(OR(LEFT(TH!L1098,2)="15",LEFT(TH!M1098,2)="15"),TK!$E$7=TH!F1098),"x","")</f>
        <v/>
      </c>
      <c r="Z1098" s="39" t="str">
        <f>IF(AND(B1098&lt;=NKC!$N$8,B1098&gt;=NKC!$M$8),"x","")</f>
        <v/>
      </c>
      <c r="AA1098" s="886"/>
    </row>
    <row r="1099" spans="1:27" s="211" customFormat="1" ht="15.75" customHeight="1">
      <c r="A1099" s="204" t="str">
        <f>IF(B1099&lt;&gt;"",IF(AND(B1099&gt;=_TM1,B1099&lt;=_TM2,OR(TH!L1099="1111",TH!M1099="1111")),TH!D1099,""),"")</f>
        <v/>
      </c>
      <c r="B1099" s="36">
        <f t="shared" si="221"/>
        <v>4</v>
      </c>
      <c r="C1099" s="191">
        <f t="shared" si="222"/>
        <v>41385</v>
      </c>
      <c r="D1099" s="184" t="s">
        <v>1294</v>
      </c>
      <c r="E1099" s="184">
        <v>41385</v>
      </c>
      <c r="F1099" s="189"/>
      <c r="G1099" s="604" t="s">
        <v>809</v>
      </c>
      <c r="H1099" s="7" t="s">
        <v>1287</v>
      </c>
      <c r="I1099" s="256"/>
      <c r="J1099" s="256"/>
      <c r="K1099" s="602">
        <f t="shared" si="223"/>
        <v>0</v>
      </c>
      <c r="L1099" s="39" t="s">
        <v>165</v>
      </c>
      <c r="M1099" s="603" t="s">
        <v>159</v>
      </c>
      <c r="N1099" s="39" t="str">
        <f>IF(AND('331-CT'!$E$7=TH!H1099,OR(L1099="331",M1099="331")),"331",IF(AND(OR(L1099="131",M1099="131"),H1099='131-CT'!$E$7),"131",""))</f>
        <v/>
      </c>
      <c r="O1099" s="39" t="str">
        <f>IF(AND($B1099&gt;='111'!$N$11,$B1099&lt;='111'!$O$11,OR($L1099=$O$7,$M1099=$O$7)),"x","")</f>
        <v/>
      </c>
      <c r="P1099" s="39" t="str">
        <f>IF(AND($L1099=$O$7,$B1099&lt;'111'!$N$11),"x","")</f>
        <v/>
      </c>
      <c r="Q1099" s="39" t="str">
        <f>IF(AND($M1099=$O$7,$B1099&lt;'111'!$N$11),"x","")</f>
        <v/>
      </c>
      <c r="R1099" s="39" t="str">
        <f>IF(ISERROR(FIND('112'!$M$9,G1099,1)),"",IF((AND(FIND('112'!$M$9,G1099,1)&gt;=1,$B1099&gt;='112'!$N$8,$B1099&lt;='112'!$O$8,OR($L1099='112'!$I$6,$M1099='112'!$I$6))),"x",""))</f>
        <v/>
      </c>
      <c r="S1099" s="39" t="str">
        <f>IF(ISERROR(FIND('112'!$M$9,G1099,1)),"",IF((AND(LEFT(G1099,2)=LEFT('112'!$M$9,2),B1099&lt;'112'!$N$8,$L1099='112'!$I$6)),"x",""))</f>
        <v/>
      </c>
      <c r="T1099" s="39" t="str">
        <f>IF(ISERROR(FIND('112'!$M$9,G1099,1)),"",IF((AND(RIGHT(G1099,2)=RIGHT('112'!$M$9,2),B1099&lt;'112'!$N$8,$M1099='112'!$I$6)),"x",""))</f>
        <v/>
      </c>
      <c r="U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>154</v>
      </c>
      <c r="V1099" s="39" t="str">
        <f>IF(OR(TH!L1099=TH!$V$7,M1099=TH!$V$7),"x","")</f>
        <v/>
      </c>
      <c r="W1099" s="39" t="str">
        <f>IF(AND(B1099&gt;='IN-NX'!$P$3,B1099&lt;='IN-NX'!$Q$3,'IN-NX'!$D$7=D1099,OR(LEFT(L1099,2)="15",AND(LEFT(M1099,2)&lt;&gt;"15",LEFT(M1099,2)&lt;&gt;"33"))),"x","")</f>
        <v/>
      </c>
      <c r="X1099" s="39" t="str">
        <f>IF(AND(OR(LEFT(TH!L1099,2)="15",LEFT(TH!M1099,2)="15"),'152-CT'!$J$8=TH!F1099),"x","")</f>
        <v/>
      </c>
      <c r="Y1099" s="39" t="str">
        <f>IF(AND(OR(LEFT(TH!L1099,2)="15",LEFT(TH!M1099,2)="15"),TK!$E$7=TH!F1099),"x","")</f>
        <v/>
      </c>
      <c r="Z1099" s="39" t="str">
        <f>IF(AND(B1099&lt;=NKC!$N$8,B1099&gt;=NKC!$M$8),"x","")</f>
        <v/>
      </c>
      <c r="AA1099" s="886"/>
    </row>
    <row r="1100" spans="1:27" s="211" customFormat="1" ht="15.75" customHeight="1">
      <c r="A1100" s="204" t="str">
        <f>IF(B1100&lt;&gt;"",IF(AND(B1100&gt;=_TM1,B1100&lt;=_TM2,OR(TH!L1100="1111",TH!M1100="1111")),TH!D1100,""),"")</f>
        <v/>
      </c>
      <c r="B1100" s="36">
        <f t="shared" si="221"/>
        <v>4</v>
      </c>
      <c r="C1100" s="191">
        <f t="shared" si="222"/>
        <v>41385</v>
      </c>
      <c r="D1100" s="184" t="s">
        <v>1294</v>
      </c>
      <c r="E1100" s="184">
        <v>41385</v>
      </c>
      <c r="F1100" s="189"/>
      <c r="G1100" s="604" t="s">
        <v>811</v>
      </c>
      <c r="H1100" s="7" t="s">
        <v>1287</v>
      </c>
      <c r="I1100" s="256"/>
      <c r="J1100" s="256"/>
      <c r="K1100" s="602">
        <f t="shared" si="223"/>
        <v>0</v>
      </c>
      <c r="L1100" s="39" t="s">
        <v>165</v>
      </c>
      <c r="M1100" s="603" t="s">
        <v>159</v>
      </c>
      <c r="N1100" s="39" t="str">
        <f>IF(AND('331-CT'!$E$7=TH!H1100,OR(L1100="331",M1100="331")),"331",IF(AND(OR(L1100="131",M1100="131"),H1100='131-CT'!$E$7),"131",""))</f>
        <v/>
      </c>
      <c r="O1100" s="39" t="str">
        <f>IF(AND($B1100&gt;='111'!$N$11,$B1100&lt;='111'!$O$11,OR($L1100=$O$7,$M1100=$O$7)),"x","")</f>
        <v/>
      </c>
      <c r="P1100" s="39" t="str">
        <f>IF(AND($L1100=$O$7,$B1100&lt;'111'!$N$11),"x","")</f>
        <v/>
      </c>
      <c r="Q1100" s="39" t="str">
        <f>IF(AND($M1100=$O$7,$B1100&lt;'111'!$N$11),"x","")</f>
        <v/>
      </c>
      <c r="R1100" s="39" t="str">
        <f>IF(ISERROR(FIND('112'!$M$9,G1100,1)),"",IF((AND(FIND('112'!$M$9,G1100,1)&gt;=1,$B1100&gt;='112'!$N$8,$B1100&lt;='112'!$O$8,OR($L1100='112'!$I$6,$M1100='112'!$I$6))),"x",""))</f>
        <v/>
      </c>
      <c r="S1100" s="39" t="str">
        <f>IF(ISERROR(FIND('112'!$M$9,G1100,1)),"",IF((AND(LEFT(G1100,2)=LEFT('112'!$M$9,2),B1100&lt;'112'!$N$8,$L1100='112'!$I$6)),"x",""))</f>
        <v/>
      </c>
      <c r="T1100" s="39" t="str">
        <f>IF(ISERROR(FIND('112'!$M$9,G1100,1)),"",IF((AND(RIGHT(G1100,2)=RIGHT('112'!$M$9,2),B1100&lt;'112'!$N$8,$M1100='112'!$I$6)),"x",""))</f>
        <v/>
      </c>
      <c r="U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>154</v>
      </c>
      <c r="V1100" s="39" t="str">
        <f>IF(OR(TH!L1100=TH!$V$7,M1100=TH!$V$7),"x","")</f>
        <v/>
      </c>
      <c r="W1100" s="39" t="str">
        <f>IF(AND(B1100&gt;='IN-NX'!$P$3,B1100&lt;='IN-NX'!$Q$3,'IN-NX'!$D$7=D1100,OR(LEFT(L1100,2)="15",AND(LEFT(M1100,2)&lt;&gt;"15",LEFT(M1100,2)&lt;&gt;"33"))),"x","")</f>
        <v/>
      </c>
      <c r="X1100" s="39" t="str">
        <f>IF(AND(OR(LEFT(TH!L1100,2)="15",LEFT(TH!M1100,2)="15"),'152-CT'!$J$8=TH!F1100),"x","")</f>
        <v/>
      </c>
      <c r="Y1100" s="39" t="str">
        <f>IF(AND(OR(LEFT(TH!L1100,2)="15",LEFT(TH!M1100,2)="15"),TK!$E$7=TH!F1100),"x","")</f>
        <v/>
      </c>
      <c r="Z1100" s="39" t="str">
        <f>IF(AND(B1100&lt;=NKC!$N$8,B1100&gt;=NKC!$M$8),"x","")</f>
        <v/>
      </c>
      <c r="AA1100" s="886"/>
    </row>
    <row r="1101" spans="1:27" s="211" customFormat="1" ht="15.75" customHeight="1">
      <c r="A1101" s="204" t="str">
        <f>IF(B1101&lt;&gt;"",IF(AND(B1101&gt;=_TM1,B1101&lt;=_TM2,OR(TH!L1101="1111",TH!M1101="1111")),TH!D1101,""),"")</f>
        <v/>
      </c>
      <c r="B1101" s="36">
        <f t="shared" si="221"/>
        <v>4</v>
      </c>
      <c r="C1101" s="191">
        <f t="shared" si="222"/>
        <v>41385</v>
      </c>
      <c r="D1101" s="184" t="s">
        <v>1294</v>
      </c>
      <c r="E1101" s="184">
        <v>41385</v>
      </c>
      <c r="F1101" s="189"/>
      <c r="G1101" s="604" t="s">
        <v>811</v>
      </c>
      <c r="H1101" s="7" t="s">
        <v>1287</v>
      </c>
      <c r="I1101" s="256"/>
      <c r="J1101" s="256"/>
      <c r="K1101" s="602">
        <f t="shared" si="223"/>
        <v>0</v>
      </c>
      <c r="L1101" s="39" t="s">
        <v>165</v>
      </c>
      <c r="M1101" s="603" t="s">
        <v>159</v>
      </c>
      <c r="N1101" s="39" t="str">
        <f>IF(AND('331-CT'!$E$7=TH!H1101,OR(L1101="331",M1101="331")),"331",IF(AND(OR(L1101="131",M1101="131"),H1101='131-CT'!$E$7),"131",""))</f>
        <v/>
      </c>
      <c r="O1101" s="39" t="str">
        <f>IF(AND($B1101&gt;='111'!$N$11,$B1101&lt;='111'!$O$11,OR($L1101=$O$7,$M1101=$O$7)),"x","")</f>
        <v/>
      </c>
      <c r="P1101" s="39" t="str">
        <f>IF(AND($L1101=$O$7,$B1101&lt;'111'!$N$11),"x","")</f>
        <v/>
      </c>
      <c r="Q1101" s="39" t="str">
        <f>IF(AND($M1101=$O$7,$B1101&lt;'111'!$N$11),"x","")</f>
        <v/>
      </c>
      <c r="R1101" s="39" t="str">
        <f>IF(ISERROR(FIND('112'!$M$9,G1101,1)),"",IF((AND(FIND('112'!$M$9,G1101,1)&gt;=1,$B1101&gt;='112'!$N$8,$B1101&lt;='112'!$O$8,OR($L1101='112'!$I$6,$M1101='112'!$I$6))),"x",""))</f>
        <v/>
      </c>
      <c r="S1101" s="39" t="str">
        <f>IF(ISERROR(FIND('112'!$M$9,G1101,1)),"",IF((AND(LEFT(G1101,2)=LEFT('112'!$M$9,2),B1101&lt;'112'!$N$8,$L1101='112'!$I$6)),"x",""))</f>
        <v/>
      </c>
      <c r="T1101" s="39" t="str">
        <f>IF(ISERROR(FIND('112'!$M$9,G1101,1)),"",IF((AND(RIGHT(G1101,2)=RIGHT('112'!$M$9,2),B1101&lt;'112'!$N$8,$M1101='112'!$I$6)),"x",""))</f>
        <v/>
      </c>
      <c r="U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>154</v>
      </c>
      <c r="V1101" s="39" t="str">
        <f>IF(OR(TH!L1101=TH!$V$7,M1101=TH!$V$7),"x","")</f>
        <v/>
      </c>
      <c r="W1101" s="39" t="str">
        <f>IF(AND(B1101&gt;='IN-NX'!$P$3,B1101&lt;='IN-NX'!$Q$3,'IN-NX'!$D$7=D1101,OR(LEFT(L1101,2)="15",AND(LEFT(M1101,2)&lt;&gt;"15",LEFT(M1101,2)&lt;&gt;"33"))),"x","")</f>
        <v/>
      </c>
      <c r="X1101" s="39" t="str">
        <f>IF(AND(OR(LEFT(TH!L1101,2)="15",LEFT(TH!M1101,2)="15"),'152-CT'!$J$8=TH!F1101),"x","")</f>
        <v/>
      </c>
      <c r="Y1101" s="39" t="str">
        <f>IF(AND(OR(LEFT(TH!L1101,2)="15",LEFT(TH!M1101,2)="15"),TK!$E$7=TH!F1101),"x","")</f>
        <v/>
      </c>
      <c r="Z1101" s="39" t="str">
        <f>IF(AND(B1101&lt;=NKC!$N$8,B1101&gt;=NKC!$M$8),"x","")</f>
        <v/>
      </c>
      <c r="AA1101" s="886"/>
    </row>
    <row r="1102" spans="1:27" s="211" customFormat="1" ht="15.75" customHeight="1">
      <c r="A1102" s="204" t="str">
        <f>IF(B1102&lt;&gt;"",IF(AND(B1102&gt;=_TM1,B1102&lt;=_TM2,OR(TH!L1102="1111",TH!M1102="1111")),TH!D1102,""),"")</f>
        <v/>
      </c>
      <c r="B1102" s="36">
        <f t="shared" si="221"/>
        <v>4</v>
      </c>
      <c r="C1102" s="191">
        <f t="shared" si="222"/>
        <v>41386</v>
      </c>
      <c r="D1102" s="184" t="s">
        <v>1294</v>
      </c>
      <c r="E1102" s="184">
        <v>41386</v>
      </c>
      <c r="F1102" s="189"/>
      <c r="G1102" s="604" t="s">
        <v>813</v>
      </c>
      <c r="H1102" s="7" t="s">
        <v>1287</v>
      </c>
      <c r="I1102" s="256"/>
      <c r="J1102" s="256"/>
      <c r="K1102" s="602">
        <f t="shared" si="223"/>
        <v>0</v>
      </c>
      <c r="L1102" s="39" t="s">
        <v>165</v>
      </c>
      <c r="M1102" s="603" t="s">
        <v>159</v>
      </c>
      <c r="N1102" s="39" t="str">
        <f>IF(AND('331-CT'!$E$7=TH!H1102,OR(L1102="331",M1102="331")),"331",IF(AND(OR(L1102="131",M1102="131"),H1102='131-CT'!$E$7),"131",""))</f>
        <v/>
      </c>
      <c r="O1102" s="39" t="str">
        <f>IF(AND($B1102&gt;='111'!$N$11,$B1102&lt;='111'!$O$11,OR($L1102=$O$7,$M1102=$O$7)),"x","")</f>
        <v/>
      </c>
      <c r="P1102" s="39" t="str">
        <f>IF(AND($L1102=$O$7,$B1102&lt;'111'!$N$11),"x","")</f>
        <v/>
      </c>
      <c r="Q1102" s="39" t="str">
        <f>IF(AND($M1102=$O$7,$B1102&lt;'111'!$N$11),"x","")</f>
        <v/>
      </c>
      <c r="R1102" s="39" t="str">
        <f>IF(ISERROR(FIND('112'!$M$9,G1102,1)),"",IF((AND(FIND('112'!$M$9,G1102,1)&gt;=1,$B1102&gt;='112'!$N$8,$B1102&lt;='112'!$O$8,OR($L1102='112'!$I$6,$M1102='112'!$I$6))),"x",""))</f>
        <v/>
      </c>
      <c r="S1102" s="39" t="str">
        <f>IF(ISERROR(FIND('112'!$M$9,G1102,1)),"",IF((AND(LEFT(G1102,2)=LEFT('112'!$M$9,2),B1102&lt;'112'!$N$8,$L1102='112'!$I$6)),"x",""))</f>
        <v/>
      </c>
      <c r="T1102" s="39" t="str">
        <f>IF(ISERROR(FIND('112'!$M$9,G1102,1)),"",IF((AND(RIGHT(G1102,2)=RIGHT('112'!$M$9,2),B1102&lt;'112'!$N$8,$M1102='112'!$I$6)),"x",""))</f>
        <v/>
      </c>
      <c r="U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>154</v>
      </c>
      <c r="V1102" s="39" t="str">
        <f>IF(OR(TH!L1102=TH!$V$7,M1102=TH!$V$7),"x","")</f>
        <v/>
      </c>
      <c r="W1102" s="39" t="str">
        <f>IF(AND(B1102&gt;='IN-NX'!$P$3,B1102&lt;='IN-NX'!$Q$3,'IN-NX'!$D$7=D1102,OR(LEFT(L1102,2)="15",AND(LEFT(M1102,2)&lt;&gt;"15",LEFT(M1102,2)&lt;&gt;"33"))),"x","")</f>
        <v/>
      </c>
      <c r="X1102" s="39" t="str">
        <f>IF(AND(OR(LEFT(TH!L1102,2)="15",LEFT(TH!M1102,2)="15"),'152-CT'!$J$8=TH!F1102),"x","")</f>
        <v/>
      </c>
      <c r="Y1102" s="39" t="str">
        <f>IF(AND(OR(LEFT(TH!L1102,2)="15",LEFT(TH!M1102,2)="15"),TK!$E$7=TH!F1102),"x","")</f>
        <v/>
      </c>
      <c r="Z1102" s="39" t="str">
        <f>IF(AND(B1102&lt;=NKC!$N$8,B1102&gt;=NKC!$M$8),"x","")</f>
        <v/>
      </c>
      <c r="AA1102" s="886"/>
    </row>
    <row r="1103" spans="1:27" s="211" customFormat="1" ht="15.75" customHeight="1">
      <c r="A1103" s="204" t="str">
        <f>IF(B1103&lt;&gt;"",IF(AND(B1103&gt;=_TM1,B1103&lt;=_TM2,OR(TH!L1103="1111",TH!M1103="1111")),TH!D1103,""),"")</f>
        <v/>
      </c>
      <c r="B1103" s="36">
        <f t="shared" si="221"/>
        <v>4</v>
      </c>
      <c r="C1103" s="191">
        <f t="shared" si="222"/>
        <v>41388</v>
      </c>
      <c r="D1103" s="184" t="s">
        <v>1294</v>
      </c>
      <c r="E1103" s="184">
        <v>41388</v>
      </c>
      <c r="F1103" s="189"/>
      <c r="G1103" s="604" t="s">
        <v>815</v>
      </c>
      <c r="H1103" s="7" t="s">
        <v>1287</v>
      </c>
      <c r="I1103" s="256"/>
      <c r="J1103" s="256"/>
      <c r="K1103" s="602">
        <f t="shared" si="223"/>
        <v>0</v>
      </c>
      <c r="L1103" s="39" t="s">
        <v>165</v>
      </c>
      <c r="M1103" s="603" t="s">
        <v>159</v>
      </c>
      <c r="N1103" s="39" t="str">
        <f>IF(AND('331-CT'!$E$7=TH!H1103,OR(L1103="331",M1103="331")),"331",IF(AND(OR(L1103="131",M1103="131"),H1103='131-CT'!$E$7),"131",""))</f>
        <v/>
      </c>
      <c r="O1103" s="39" t="str">
        <f>IF(AND($B1103&gt;='111'!$N$11,$B1103&lt;='111'!$O$11,OR($L1103=$O$7,$M1103=$O$7)),"x","")</f>
        <v/>
      </c>
      <c r="P1103" s="39" t="str">
        <f>IF(AND($L1103=$O$7,$B1103&lt;'111'!$N$11),"x","")</f>
        <v/>
      </c>
      <c r="Q1103" s="39" t="str">
        <f>IF(AND($M1103=$O$7,$B1103&lt;'111'!$N$11),"x","")</f>
        <v/>
      </c>
      <c r="R1103" s="39" t="str">
        <f>IF(ISERROR(FIND('112'!$M$9,G1103,1)),"",IF((AND(FIND('112'!$M$9,G1103,1)&gt;=1,$B1103&gt;='112'!$N$8,$B1103&lt;='112'!$O$8,OR($L1103='112'!$I$6,$M1103='112'!$I$6))),"x",""))</f>
        <v/>
      </c>
      <c r="S1103" s="39" t="str">
        <f>IF(ISERROR(FIND('112'!$M$9,G1103,1)),"",IF((AND(LEFT(G1103,2)=LEFT('112'!$M$9,2),B1103&lt;'112'!$N$8,$L1103='112'!$I$6)),"x",""))</f>
        <v/>
      </c>
      <c r="T1103" s="39" t="str">
        <f>IF(ISERROR(FIND('112'!$M$9,G1103,1)),"",IF((AND(RIGHT(G1103,2)=RIGHT('112'!$M$9,2),B1103&lt;'112'!$N$8,$M1103='112'!$I$6)),"x",""))</f>
        <v/>
      </c>
      <c r="U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>154</v>
      </c>
      <c r="V1103" s="39" t="str">
        <f>IF(OR(TH!L1103=TH!$V$7,M1103=TH!$V$7),"x","")</f>
        <v/>
      </c>
      <c r="W1103" s="39" t="str">
        <f>IF(AND(B1103&gt;='IN-NX'!$P$3,B1103&lt;='IN-NX'!$Q$3,'IN-NX'!$D$7=D1103,OR(LEFT(L1103,2)="15",AND(LEFT(M1103,2)&lt;&gt;"15",LEFT(M1103,2)&lt;&gt;"33"))),"x","")</f>
        <v/>
      </c>
      <c r="X1103" s="39" t="str">
        <f>IF(AND(OR(LEFT(TH!L1103,2)="15",LEFT(TH!M1103,2)="15"),'152-CT'!$J$8=TH!F1103),"x","")</f>
        <v/>
      </c>
      <c r="Y1103" s="39" t="str">
        <f>IF(AND(OR(LEFT(TH!L1103,2)="15",LEFT(TH!M1103,2)="15"),TK!$E$7=TH!F1103),"x","")</f>
        <v/>
      </c>
      <c r="Z1103" s="39" t="str">
        <f>IF(AND(B1103&lt;=NKC!$N$8,B1103&gt;=NKC!$M$8),"x","")</f>
        <v/>
      </c>
      <c r="AA1103" s="886"/>
    </row>
    <row r="1104" spans="1:27" s="211" customFormat="1" ht="15.75" customHeight="1">
      <c r="A1104" s="204" t="str">
        <f>IF(B1104&lt;&gt;"",IF(AND(B1104&gt;=_TM1,B1104&lt;=_TM2,OR(TH!L1104="1111",TH!M1104="1111")),TH!D1104,""),"")</f>
        <v/>
      </c>
      <c r="B1104" s="36">
        <f t="shared" si="221"/>
        <v>4</v>
      </c>
      <c r="C1104" s="191">
        <f t="shared" si="222"/>
        <v>41388</v>
      </c>
      <c r="D1104" s="184" t="s">
        <v>1294</v>
      </c>
      <c r="E1104" s="774">
        <v>41388</v>
      </c>
      <c r="F1104" s="189"/>
      <c r="G1104" s="40" t="s">
        <v>815</v>
      </c>
      <c r="H1104" s="7" t="s">
        <v>1287</v>
      </c>
      <c r="I1104" s="256"/>
      <c r="J1104" s="256"/>
      <c r="K1104" s="602">
        <f t="shared" si="223"/>
        <v>0</v>
      </c>
      <c r="L1104" s="39" t="s">
        <v>165</v>
      </c>
      <c r="M1104" s="603" t="s">
        <v>159</v>
      </c>
      <c r="N1104" s="39" t="str">
        <f>IF(AND('331-CT'!$E$7=TH!H1104,OR(L1104="331",M1104="331")),"331",IF(AND(OR(L1104="131",M1104="131"),H1104='131-CT'!$E$7),"131",""))</f>
        <v/>
      </c>
      <c r="O1104" s="39" t="str">
        <f>IF(AND($B1104&gt;='111'!$N$11,$B1104&lt;='111'!$O$11,OR($L1104=$O$7,$M1104=$O$7)),"x","")</f>
        <v/>
      </c>
      <c r="P1104" s="39" t="str">
        <f>IF(AND($L1104=$O$7,$B1104&lt;'111'!$N$11),"x","")</f>
        <v/>
      </c>
      <c r="Q1104" s="39" t="str">
        <f>IF(AND($M1104=$O$7,$B1104&lt;'111'!$N$11),"x","")</f>
        <v/>
      </c>
      <c r="R1104" s="39" t="str">
        <f>IF(ISERROR(FIND('112'!$M$9,G1104,1)),"",IF((AND(FIND('112'!$M$9,G1104,1)&gt;=1,$B1104&gt;='112'!$N$8,$B1104&lt;='112'!$O$8,OR($L1104='112'!$I$6,$M1104='112'!$I$6))),"x",""))</f>
        <v/>
      </c>
      <c r="S1104" s="39" t="str">
        <f>IF(ISERROR(FIND('112'!$M$9,G1104,1)),"",IF((AND(LEFT(G1104,2)=LEFT('112'!$M$9,2),B1104&lt;'112'!$N$8,$L1104='112'!$I$6)),"x",""))</f>
        <v/>
      </c>
      <c r="T1104" s="39" t="str">
        <f>IF(ISERROR(FIND('112'!$M$9,G1104,1)),"",IF((AND(RIGHT(G1104,2)=RIGHT('112'!$M$9,2),B1104&lt;'112'!$N$8,$M1104='112'!$I$6)),"x",""))</f>
        <v/>
      </c>
      <c r="U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>154</v>
      </c>
      <c r="V1104" s="39" t="str">
        <f>IF(OR(TH!L1104=TH!$V$7,M1104=TH!$V$7),"x","")</f>
        <v/>
      </c>
      <c r="W1104" s="39" t="str">
        <f>IF(AND(B1104&gt;='IN-NX'!$P$3,B1104&lt;='IN-NX'!$Q$3,'IN-NX'!$D$7=D1104,OR(LEFT(L1104,2)="15",AND(LEFT(M1104,2)&lt;&gt;"15",LEFT(M1104,2)&lt;&gt;"33"))),"x","")</f>
        <v/>
      </c>
      <c r="X1104" s="39" t="str">
        <f>IF(AND(OR(LEFT(TH!L1104,2)="15",LEFT(TH!M1104,2)="15"),'152-CT'!$J$8=TH!F1104),"x","")</f>
        <v/>
      </c>
      <c r="Y1104" s="39" t="str">
        <f>IF(AND(OR(LEFT(TH!L1104,2)="15",LEFT(TH!M1104,2)="15"),TK!$E$7=TH!F1104),"x","")</f>
        <v/>
      </c>
      <c r="Z1104" s="39" t="str">
        <f>IF(AND(B1104&lt;=NKC!$N$8,B1104&gt;=NKC!$M$8),"x","")</f>
        <v/>
      </c>
      <c r="AA1104" s="886"/>
    </row>
    <row r="1105" spans="1:27" s="211" customFormat="1" ht="15.75" customHeight="1">
      <c r="A1105" s="204" t="str">
        <f>IF(B1105&lt;&gt;"",IF(AND(B1105&gt;=_TM1,B1105&lt;=_TM2,OR(TH!L1105="1111",TH!M1105="1111")),TH!D1105,""),"")</f>
        <v/>
      </c>
      <c r="B1105" s="36">
        <f t="shared" si="221"/>
        <v>5</v>
      </c>
      <c r="C1105" s="191">
        <f t="shared" si="222"/>
        <v>41397</v>
      </c>
      <c r="D1105" s="184" t="s">
        <v>1294</v>
      </c>
      <c r="E1105" s="774">
        <v>41397</v>
      </c>
      <c r="F1105" s="189"/>
      <c r="G1105" s="40" t="s">
        <v>818</v>
      </c>
      <c r="H1105" s="7" t="s">
        <v>1287</v>
      </c>
      <c r="I1105" s="256"/>
      <c r="J1105" s="256"/>
      <c r="K1105" s="602">
        <f t="shared" si="223"/>
        <v>0</v>
      </c>
      <c r="L1105" s="39" t="s">
        <v>165</v>
      </c>
      <c r="M1105" s="603" t="s">
        <v>159</v>
      </c>
      <c r="N1105" s="39" t="str">
        <f>IF(AND('331-CT'!$E$7=TH!H1105,OR(L1105="331",M1105="331")),"331",IF(AND(OR(L1105="131",M1105="131"),H1105='131-CT'!$E$7),"131",""))</f>
        <v/>
      </c>
      <c r="O1105" s="39" t="str">
        <f>IF(AND($B1105&gt;='111'!$N$11,$B1105&lt;='111'!$O$11,OR($L1105=$O$7,$M1105=$O$7)),"x","")</f>
        <v/>
      </c>
      <c r="P1105" s="39" t="str">
        <f>IF(AND($L1105=$O$7,$B1105&lt;'111'!$N$11),"x","")</f>
        <v/>
      </c>
      <c r="Q1105" s="39" t="str">
        <f>IF(AND($M1105=$O$7,$B1105&lt;'111'!$N$11),"x","")</f>
        <v/>
      </c>
      <c r="R1105" s="39" t="str">
        <f>IF(ISERROR(FIND('112'!$M$9,G1105,1)),"",IF((AND(FIND('112'!$M$9,G1105,1)&gt;=1,$B1105&gt;='112'!$N$8,$B1105&lt;='112'!$O$8,OR($L1105='112'!$I$6,$M1105='112'!$I$6))),"x",""))</f>
        <v/>
      </c>
      <c r="S1105" s="39" t="str">
        <f>IF(ISERROR(FIND('112'!$M$9,G1105,1)),"",IF((AND(LEFT(G1105,2)=LEFT('112'!$M$9,2),B1105&lt;'112'!$N$8,$L1105='112'!$I$6)),"x",""))</f>
        <v/>
      </c>
      <c r="T1105" s="39" t="str">
        <f>IF(ISERROR(FIND('112'!$M$9,G1105,1)),"",IF((AND(RIGHT(G1105,2)=RIGHT('112'!$M$9,2),B1105&lt;'112'!$N$8,$M1105='112'!$I$6)),"x",""))</f>
        <v/>
      </c>
      <c r="U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>154</v>
      </c>
      <c r="V1105" s="39" t="str">
        <f>IF(OR(TH!L1105=TH!$V$7,M1105=TH!$V$7),"x","")</f>
        <v/>
      </c>
      <c r="W1105" s="39" t="str">
        <f>IF(AND(B1105&gt;='IN-NX'!$P$3,B1105&lt;='IN-NX'!$Q$3,'IN-NX'!$D$7=D1105,OR(LEFT(L1105,2)="15",AND(LEFT(M1105,2)&lt;&gt;"15",LEFT(M1105,2)&lt;&gt;"33"))),"x","")</f>
        <v/>
      </c>
      <c r="X1105" s="39" t="str">
        <f>IF(AND(OR(LEFT(TH!L1105,2)="15",LEFT(TH!M1105,2)="15"),'152-CT'!$J$8=TH!F1105),"x","")</f>
        <v/>
      </c>
      <c r="Y1105" s="39" t="str">
        <f>IF(AND(OR(LEFT(TH!L1105,2)="15",LEFT(TH!M1105,2)="15"),TK!$E$7=TH!F1105),"x","")</f>
        <v/>
      </c>
      <c r="Z1105" s="39" t="str">
        <f>IF(AND(B1105&lt;=NKC!$N$8,B1105&gt;=NKC!$M$8),"x","")</f>
        <v/>
      </c>
      <c r="AA1105" s="886"/>
    </row>
    <row r="1106" spans="1:27" s="211" customFormat="1" ht="15.75" customHeight="1">
      <c r="A1106" s="204" t="str">
        <f>IF(B1106&lt;&gt;"",IF(AND(B1106&gt;=_TM1,B1106&lt;=_TM2,OR(TH!L1106="1111",TH!M1106="1111")),TH!D1106,""),"")</f>
        <v/>
      </c>
      <c r="B1106" s="36">
        <f t="shared" si="221"/>
        <v>5</v>
      </c>
      <c r="C1106" s="191">
        <f t="shared" si="222"/>
        <v>41397</v>
      </c>
      <c r="D1106" s="184" t="s">
        <v>1294</v>
      </c>
      <c r="E1106" s="774">
        <v>41397</v>
      </c>
      <c r="F1106" s="189"/>
      <c r="G1106" s="40" t="s">
        <v>818</v>
      </c>
      <c r="H1106" s="7" t="s">
        <v>1287</v>
      </c>
      <c r="I1106" s="816"/>
      <c r="J1106" s="256"/>
      <c r="K1106" s="602">
        <f t="shared" si="223"/>
        <v>0</v>
      </c>
      <c r="L1106" s="39" t="s">
        <v>165</v>
      </c>
      <c r="M1106" s="603" t="s">
        <v>159</v>
      </c>
      <c r="N1106" s="39" t="str">
        <f>IF(AND('331-CT'!$E$7=TH!H1106,OR(L1106="331",M1106="331")),"331",IF(AND(OR(L1106="131",M1106="131"),H1106='131-CT'!$E$7),"131",""))</f>
        <v/>
      </c>
      <c r="O1106" s="39" t="str">
        <f>IF(AND($B1106&gt;='111'!$N$11,$B1106&lt;='111'!$O$11,OR($L1106=$O$7,$M1106=$O$7)),"x","")</f>
        <v/>
      </c>
      <c r="P1106" s="39" t="str">
        <f>IF(AND($L1106=$O$7,$B1106&lt;'111'!$N$11),"x","")</f>
        <v/>
      </c>
      <c r="Q1106" s="39" t="str">
        <f>IF(AND($M1106=$O$7,$B1106&lt;'111'!$N$11),"x","")</f>
        <v/>
      </c>
      <c r="R1106" s="39" t="str">
        <f>IF(ISERROR(FIND('112'!$M$9,G1106,1)),"",IF((AND(FIND('112'!$M$9,G1106,1)&gt;=1,$B1106&gt;='112'!$N$8,$B1106&lt;='112'!$O$8,OR($L1106='112'!$I$6,$M1106='112'!$I$6))),"x",""))</f>
        <v/>
      </c>
      <c r="S1106" s="39" t="str">
        <f>IF(ISERROR(FIND('112'!$M$9,G1106,1)),"",IF((AND(LEFT(G1106,2)=LEFT('112'!$M$9,2),B1106&lt;'112'!$N$8,$L1106='112'!$I$6)),"x",""))</f>
        <v/>
      </c>
      <c r="T1106" s="39" t="str">
        <f>IF(ISERROR(FIND('112'!$M$9,G1106,1)),"",IF((AND(RIGHT(G1106,2)=RIGHT('112'!$M$9,2),B1106&lt;'112'!$N$8,$M1106='112'!$I$6)),"x",""))</f>
        <v/>
      </c>
      <c r="U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>154</v>
      </c>
      <c r="V1106" s="39" t="str">
        <f>IF(OR(TH!L1106=TH!$V$7,M1106=TH!$V$7),"x","")</f>
        <v/>
      </c>
      <c r="W1106" s="39" t="str">
        <f>IF(AND(B1106&gt;='IN-NX'!$P$3,B1106&lt;='IN-NX'!$Q$3,'IN-NX'!$D$7=D1106,OR(LEFT(L1106,2)="15",AND(LEFT(M1106,2)&lt;&gt;"15",LEFT(M1106,2)&lt;&gt;"33"))),"x","")</f>
        <v/>
      </c>
      <c r="X1106" s="39" t="str">
        <f>IF(AND(OR(LEFT(TH!L1106,2)="15",LEFT(TH!M1106,2)="15"),'152-CT'!$J$8=TH!F1106),"x","")</f>
        <v/>
      </c>
      <c r="Y1106" s="39" t="str">
        <f>IF(AND(OR(LEFT(TH!L1106,2)="15",LEFT(TH!M1106,2)="15"),TK!$E$7=TH!F1106),"x","")</f>
        <v/>
      </c>
      <c r="Z1106" s="39" t="str">
        <f>IF(AND(B1106&lt;=NKC!$N$8,B1106&gt;=NKC!$M$8),"x","")</f>
        <v/>
      </c>
      <c r="AA1106" s="886"/>
    </row>
    <row r="1107" spans="1:27" s="211" customFormat="1" ht="15.75" customHeight="1">
      <c r="A1107" s="204" t="str">
        <f>IF(B1107&lt;&gt;"",IF(AND(B1107&gt;=_TM1,B1107&lt;=_TM2,OR(TH!L1107="1111",TH!M1107="1111")),TH!D1107,""),"")</f>
        <v/>
      </c>
      <c r="B1107" s="36">
        <f t="shared" si="221"/>
        <v>5</v>
      </c>
      <c r="C1107" s="191">
        <f t="shared" si="222"/>
        <v>41398</v>
      </c>
      <c r="D1107" s="184" t="s">
        <v>1294</v>
      </c>
      <c r="E1107" s="774">
        <v>41398</v>
      </c>
      <c r="F1107" s="189"/>
      <c r="G1107" s="40" t="s">
        <v>821</v>
      </c>
      <c r="H1107" s="7" t="s">
        <v>1287</v>
      </c>
      <c r="I1107" s="816"/>
      <c r="J1107" s="256"/>
      <c r="K1107" s="602">
        <f t="shared" si="223"/>
        <v>0</v>
      </c>
      <c r="L1107" s="39" t="s">
        <v>165</v>
      </c>
      <c r="M1107" s="603" t="s">
        <v>159</v>
      </c>
      <c r="N1107" s="39" t="str">
        <f>IF(AND('331-CT'!$E$7=TH!H1107,OR(L1107="331",M1107="331")),"331",IF(AND(OR(L1107="131",M1107="131"),H1107='131-CT'!$E$7),"131",""))</f>
        <v/>
      </c>
      <c r="O1107" s="39" t="str">
        <f>IF(AND($B1107&gt;='111'!$N$11,$B1107&lt;='111'!$O$11,OR($L1107=$O$7,$M1107=$O$7)),"x","")</f>
        <v/>
      </c>
      <c r="P1107" s="39" t="str">
        <f>IF(AND($L1107=$O$7,$B1107&lt;'111'!$N$11),"x","")</f>
        <v/>
      </c>
      <c r="Q1107" s="39" t="str">
        <f>IF(AND($M1107=$O$7,$B1107&lt;'111'!$N$11),"x","")</f>
        <v/>
      </c>
      <c r="R1107" s="39" t="str">
        <f>IF(ISERROR(FIND('112'!$M$9,G1107,1)),"",IF((AND(FIND('112'!$M$9,G1107,1)&gt;=1,$B1107&gt;='112'!$N$8,$B1107&lt;='112'!$O$8,OR($L1107='112'!$I$6,$M1107='112'!$I$6))),"x",""))</f>
        <v/>
      </c>
      <c r="S1107" s="39" t="str">
        <f>IF(ISERROR(FIND('112'!$M$9,G1107,1)),"",IF((AND(LEFT(G1107,2)=LEFT('112'!$M$9,2),B1107&lt;'112'!$N$8,$L1107='112'!$I$6)),"x",""))</f>
        <v/>
      </c>
      <c r="T1107" s="39" t="str">
        <f>IF(ISERROR(FIND('112'!$M$9,G1107,1)),"",IF((AND(RIGHT(G1107,2)=RIGHT('112'!$M$9,2),B1107&lt;'112'!$N$8,$M1107='112'!$I$6)),"x",""))</f>
        <v/>
      </c>
      <c r="U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>154</v>
      </c>
      <c r="V1107" s="39" t="str">
        <f>IF(OR(TH!L1107=TH!$V$7,M1107=TH!$V$7),"x","")</f>
        <v/>
      </c>
      <c r="W1107" s="39" t="str">
        <f>IF(AND(B1107&gt;='IN-NX'!$P$3,B1107&lt;='IN-NX'!$Q$3,'IN-NX'!$D$7=D1107,OR(LEFT(L1107,2)="15",AND(LEFT(M1107,2)&lt;&gt;"15",LEFT(M1107,2)&lt;&gt;"33"))),"x","")</f>
        <v/>
      </c>
      <c r="X1107" s="39" t="str">
        <f>IF(AND(OR(LEFT(TH!L1107,2)="15",LEFT(TH!M1107,2)="15"),'152-CT'!$J$8=TH!F1107),"x","")</f>
        <v/>
      </c>
      <c r="Y1107" s="39" t="str">
        <f>IF(AND(OR(LEFT(TH!L1107,2)="15",LEFT(TH!M1107,2)="15"),TK!$E$7=TH!F1107),"x","")</f>
        <v/>
      </c>
      <c r="Z1107" s="39" t="str">
        <f>IF(AND(B1107&lt;=NKC!$N$8,B1107&gt;=NKC!$M$8),"x","")</f>
        <v/>
      </c>
      <c r="AA1107" s="886"/>
    </row>
    <row r="1108" spans="1:27" s="211" customFormat="1" ht="15.75" customHeight="1">
      <c r="A1108" s="204" t="str">
        <f>IF(B1108&lt;&gt;"",IF(AND(B1108&gt;=_TM1,B1108&lt;=_TM2,OR(TH!L1108="1111",TH!M1108="1111")),TH!D1108,""),"")</f>
        <v/>
      </c>
      <c r="B1108" s="36">
        <f t="shared" si="221"/>
        <v>5</v>
      </c>
      <c r="C1108" s="191">
        <f t="shared" si="222"/>
        <v>41406</v>
      </c>
      <c r="D1108" s="184" t="s">
        <v>1294</v>
      </c>
      <c r="E1108" s="774">
        <v>41406</v>
      </c>
      <c r="F1108" s="189"/>
      <c r="G1108" s="40" t="s">
        <v>822</v>
      </c>
      <c r="H1108" s="7" t="s">
        <v>1287</v>
      </c>
      <c r="I1108" s="256"/>
      <c r="J1108" s="256"/>
      <c r="K1108" s="602">
        <f t="shared" si="223"/>
        <v>0</v>
      </c>
      <c r="L1108" s="39" t="s">
        <v>165</v>
      </c>
      <c r="M1108" s="603" t="s">
        <v>159</v>
      </c>
      <c r="N1108" s="39" t="str">
        <f>IF(AND('331-CT'!$E$7=TH!H1108,OR(L1108="331",M1108="331")),"331",IF(AND(OR(L1108="131",M1108="131"),H1108='131-CT'!$E$7),"131",""))</f>
        <v/>
      </c>
      <c r="O1108" s="39" t="str">
        <f>IF(AND($B1108&gt;='111'!$N$11,$B1108&lt;='111'!$O$11,OR($L1108=$O$7,$M1108=$O$7)),"x","")</f>
        <v/>
      </c>
      <c r="P1108" s="39" t="str">
        <f>IF(AND($L1108=$O$7,$B1108&lt;'111'!$N$11),"x","")</f>
        <v/>
      </c>
      <c r="Q1108" s="39" t="str">
        <f>IF(AND($M1108=$O$7,$B1108&lt;'111'!$N$11),"x","")</f>
        <v/>
      </c>
      <c r="R1108" s="39" t="str">
        <f>IF(ISERROR(FIND('112'!$M$9,G1108,1)),"",IF((AND(FIND('112'!$M$9,G1108,1)&gt;=1,$B1108&gt;='112'!$N$8,$B1108&lt;='112'!$O$8,OR($L1108='112'!$I$6,$M1108='112'!$I$6))),"x",""))</f>
        <v/>
      </c>
      <c r="S1108" s="39" t="str">
        <f>IF(ISERROR(FIND('112'!$M$9,G1108,1)),"",IF((AND(LEFT(G1108,2)=LEFT('112'!$M$9,2),B1108&lt;'112'!$N$8,$L1108='112'!$I$6)),"x",""))</f>
        <v/>
      </c>
      <c r="T1108" s="39" t="str">
        <f>IF(ISERROR(FIND('112'!$M$9,G1108,1)),"",IF((AND(RIGHT(G1108,2)=RIGHT('112'!$M$9,2),B1108&lt;'112'!$N$8,$M1108='112'!$I$6)),"x",""))</f>
        <v/>
      </c>
      <c r="U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>154</v>
      </c>
      <c r="V1108" s="39" t="str">
        <f>IF(OR(TH!L1108=TH!$V$7,M1108=TH!$V$7),"x","")</f>
        <v/>
      </c>
      <c r="W1108" s="39" t="str">
        <f>IF(AND(B1108&gt;='IN-NX'!$P$3,B1108&lt;='IN-NX'!$Q$3,'IN-NX'!$D$7=D1108,OR(LEFT(L1108,2)="15",AND(LEFT(M1108,2)&lt;&gt;"15",LEFT(M1108,2)&lt;&gt;"33"))),"x","")</f>
        <v/>
      </c>
      <c r="X1108" s="39" t="str">
        <f>IF(AND(OR(LEFT(TH!L1108,2)="15",LEFT(TH!M1108,2)="15"),'152-CT'!$J$8=TH!F1108),"x","")</f>
        <v/>
      </c>
      <c r="Y1108" s="39" t="str">
        <f>IF(AND(OR(LEFT(TH!L1108,2)="15",LEFT(TH!M1108,2)="15"),TK!$E$7=TH!F1108),"x","")</f>
        <v/>
      </c>
      <c r="Z1108" s="39" t="str">
        <f>IF(AND(B1108&lt;=NKC!$N$8,B1108&gt;=NKC!$M$8),"x","")</f>
        <v/>
      </c>
      <c r="AA1108" s="886"/>
    </row>
    <row r="1109" spans="1:27" s="211" customFormat="1" ht="15.75" customHeight="1">
      <c r="A1109" s="204" t="str">
        <f>IF(B1109&lt;&gt;"",IF(AND(B1109&gt;=_TM1,B1109&lt;=_TM2,OR(TH!L1109="1111",TH!M1109="1111")),TH!D1109,""),"")</f>
        <v/>
      </c>
      <c r="B1109" s="36">
        <f t="shared" si="221"/>
        <v>5</v>
      </c>
      <c r="C1109" s="191">
        <f t="shared" si="222"/>
        <v>41406</v>
      </c>
      <c r="D1109" s="184" t="s">
        <v>1294</v>
      </c>
      <c r="E1109" s="774">
        <v>41406</v>
      </c>
      <c r="F1109" s="189"/>
      <c r="G1109" s="40" t="s">
        <v>822</v>
      </c>
      <c r="H1109" s="7" t="s">
        <v>1287</v>
      </c>
      <c r="I1109" s="816"/>
      <c r="J1109" s="256"/>
      <c r="K1109" s="602">
        <f t="shared" si="223"/>
        <v>0</v>
      </c>
      <c r="L1109" s="39" t="s">
        <v>165</v>
      </c>
      <c r="M1109" s="603" t="s">
        <v>159</v>
      </c>
      <c r="N1109" s="39" t="str">
        <f>IF(AND('331-CT'!$E$7=TH!H1109,OR(L1109="331",M1109="331")),"331",IF(AND(OR(L1109="131",M1109="131"),H1109='131-CT'!$E$7),"131",""))</f>
        <v/>
      </c>
      <c r="O1109" s="39" t="str">
        <f>IF(AND($B1109&gt;='111'!$N$11,$B1109&lt;='111'!$O$11,OR($L1109=$O$7,$M1109=$O$7)),"x","")</f>
        <v/>
      </c>
      <c r="P1109" s="39" t="str">
        <f>IF(AND($L1109=$O$7,$B1109&lt;'111'!$N$11),"x","")</f>
        <v/>
      </c>
      <c r="Q1109" s="39" t="str">
        <f>IF(AND($M1109=$O$7,$B1109&lt;'111'!$N$11),"x","")</f>
        <v/>
      </c>
      <c r="R1109" s="39" t="str">
        <f>IF(ISERROR(FIND('112'!$M$9,G1109,1)),"",IF((AND(FIND('112'!$M$9,G1109,1)&gt;=1,$B1109&gt;='112'!$N$8,$B1109&lt;='112'!$O$8,OR($L1109='112'!$I$6,$M1109='112'!$I$6))),"x",""))</f>
        <v/>
      </c>
      <c r="S1109" s="39" t="str">
        <f>IF(ISERROR(FIND('112'!$M$9,G1109,1)),"",IF((AND(LEFT(G1109,2)=LEFT('112'!$M$9,2),B1109&lt;'112'!$N$8,$L1109='112'!$I$6)),"x",""))</f>
        <v/>
      </c>
      <c r="T1109" s="39" t="str">
        <f>IF(ISERROR(FIND('112'!$M$9,G1109,1)),"",IF((AND(RIGHT(G1109,2)=RIGHT('112'!$M$9,2),B1109&lt;'112'!$N$8,$M1109='112'!$I$6)),"x",""))</f>
        <v/>
      </c>
      <c r="U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>154</v>
      </c>
      <c r="V1109" s="39" t="str">
        <f>IF(OR(TH!L1109=TH!$V$7,M1109=TH!$V$7),"x","")</f>
        <v/>
      </c>
      <c r="W1109" s="39" t="str">
        <f>IF(AND(B1109&gt;='IN-NX'!$P$3,B1109&lt;='IN-NX'!$Q$3,'IN-NX'!$D$7=D1109,OR(LEFT(L1109,2)="15",AND(LEFT(M1109,2)&lt;&gt;"15",LEFT(M1109,2)&lt;&gt;"33"))),"x","")</f>
        <v/>
      </c>
      <c r="X1109" s="39" t="str">
        <f>IF(AND(OR(LEFT(TH!L1109,2)="15",LEFT(TH!M1109,2)="15"),'152-CT'!$J$8=TH!F1109),"x","")</f>
        <v/>
      </c>
      <c r="Y1109" s="39" t="str">
        <f>IF(AND(OR(LEFT(TH!L1109,2)="15",LEFT(TH!M1109,2)="15"),TK!$E$7=TH!F1109),"x","")</f>
        <v/>
      </c>
      <c r="Z1109" s="39" t="str">
        <f>IF(AND(B1109&lt;=NKC!$N$8,B1109&gt;=NKC!$M$8),"x","")</f>
        <v/>
      </c>
      <c r="AA1109" s="886"/>
    </row>
    <row r="1110" spans="1:27" s="211" customFormat="1" ht="15.75" customHeight="1">
      <c r="A1110" s="204" t="str">
        <f>IF(B1110&lt;&gt;"",IF(AND(B1110&gt;=_TM1,B1110&lt;=_TM2,OR(TH!L1110="1111",TH!M1110="1111")),TH!D1110,""),"")</f>
        <v/>
      </c>
      <c r="B1110" s="36">
        <f t="shared" si="221"/>
        <v>5</v>
      </c>
      <c r="C1110" s="191">
        <f t="shared" si="222"/>
        <v>41406</v>
      </c>
      <c r="D1110" s="184" t="s">
        <v>1294</v>
      </c>
      <c r="E1110" s="774">
        <v>41406</v>
      </c>
      <c r="F1110" s="297"/>
      <c r="G1110" s="40" t="s">
        <v>822</v>
      </c>
      <c r="H1110" s="7" t="s">
        <v>1287</v>
      </c>
      <c r="I1110" s="256"/>
      <c r="J1110" s="256"/>
      <c r="K1110" s="602">
        <f t="shared" si="223"/>
        <v>0</v>
      </c>
      <c r="L1110" s="39" t="s">
        <v>165</v>
      </c>
      <c r="M1110" s="603" t="s">
        <v>159</v>
      </c>
      <c r="N1110" s="39" t="str">
        <f>IF(AND('331-CT'!$E$7=TH!H1110,OR(L1110="331",M1110="331")),"331",IF(AND(OR(L1110="131",M1110="131"),H1110='131-CT'!$E$7),"131",""))</f>
        <v/>
      </c>
      <c r="O1110" s="39" t="str">
        <f>IF(AND($B1110&gt;='111'!$N$11,$B1110&lt;='111'!$O$11,OR($L1110=$O$7,$M1110=$O$7)),"x","")</f>
        <v/>
      </c>
      <c r="P1110" s="39" t="str">
        <f>IF(AND($L1110=$O$7,$B1110&lt;'111'!$N$11),"x","")</f>
        <v/>
      </c>
      <c r="Q1110" s="39" t="str">
        <f>IF(AND($M1110=$O$7,$B1110&lt;'111'!$N$11),"x","")</f>
        <v/>
      </c>
      <c r="R1110" s="39" t="str">
        <f>IF(ISERROR(FIND('112'!$M$9,G1110,1)),"",IF((AND(FIND('112'!$M$9,G1110,1)&gt;=1,$B1110&gt;='112'!$N$8,$B1110&lt;='112'!$O$8,OR($L1110='112'!$I$6,$M1110='112'!$I$6))),"x",""))</f>
        <v/>
      </c>
      <c r="S1110" s="39" t="str">
        <f>IF(ISERROR(FIND('112'!$M$9,G1110,1)),"",IF((AND(LEFT(G1110,2)=LEFT('112'!$M$9,2),B1110&lt;'112'!$N$8,$L1110='112'!$I$6)),"x",""))</f>
        <v/>
      </c>
      <c r="T1110" s="39" t="str">
        <f>IF(ISERROR(FIND('112'!$M$9,G1110,1)),"",IF((AND(RIGHT(G1110,2)=RIGHT('112'!$M$9,2),B1110&lt;'112'!$N$8,$M1110='112'!$I$6)),"x",""))</f>
        <v/>
      </c>
      <c r="U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>154</v>
      </c>
      <c r="V1110" s="39" t="str">
        <f>IF(OR(TH!L1110=TH!$V$7,M1110=TH!$V$7),"x","")</f>
        <v/>
      </c>
      <c r="W1110" s="39" t="str">
        <f>IF(AND(B1110&gt;='IN-NX'!$P$3,B1110&lt;='IN-NX'!$Q$3,'IN-NX'!$D$7=D1110,OR(LEFT(L1110,2)="15",AND(LEFT(M1110,2)&lt;&gt;"15",LEFT(M1110,2)&lt;&gt;"33"))),"x","")</f>
        <v/>
      </c>
      <c r="X1110" s="39" t="str">
        <f>IF(AND(OR(LEFT(TH!L1110,2)="15",LEFT(TH!M1110,2)="15"),'152-CT'!$J$8=TH!F1110),"x","")</f>
        <v/>
      </c>
      <c r="Y1110" s="39" t="str">
        <f>IF(AND(OR(LEFT(TH!L1110,2)="15",LEFT(TH!M1110,2)="15"),TK!$E$7=TH!F1110),"x","")</f>
        <v/>
      </c>
      <c r="Z1110" s="39" t="str">
        <f>IF(AND(B1110&lt;=NKC!$N$8,B1110&gt;=NKC!$M$8),"x","")</f>
        <v/>
      </c>
      <c r="AA1110" s="886"/>
    </row>
    <row r="1111" spans="1:27" s="211" customFormat="1" ht="15.75" customHeight="1">
      <c r="A1111" s="204" t="str">
        <f>IF(B1111&lt;&gt;"",IF(AND(B1111&gt;=_TM1,B1111&lt;=_TM2,OR(TH!L1111="1111",TH!M1111="1111")),TH!D1111,""),"")</f>
        <v/>
      </c>
      <c r="B1111" s="36">
        <f t="shared" si="221"/>
        <v>5</v>
      </c>
      <c r="C1111" s="191">
        <f t="shared" si="222"/>
        <v>41406</v>
      </c>
      <c r="D1111" s="184" t="s">
        <v>1294</v>
      </c>
      <c r="E1111" s="774">
        <v>41406</v>
      </c>
      <c r="F1111" s="40"/>
      <c r="G1111" s="40" t="s">
        <v>822</v>
      </c>
      <c r="H1111" s="7" t="s">
        <v>1287</v>
      </c>
      <c r="I1111" s="256"/>
      <c r="J1111" s="256"/>
      <c r="K1111" s="602">
        <f t="shared" si="223"/>
        <v>0</v>
      </c>
      <c r="L1111" s="39" t="s">
        <v>165</v>
      </c>
      <c r="M1111" s="603" t="s">
        <v>159</v>
      </c>
      <c r="N1111" s="39" t="str">
        <f>IF(AND('331-CT'!$E$7=TH!H1111,OR(L1111="331",M1111="331")),"331",IF(AND(OR(L1111="131",M1111="131"),H1111='131-CT'!$E$7),"131",""))</f>
        <v/>
      </c>
      <c r="O1111" s="39" t="str">
        <f>IF(AND($B1111&gt;='111'!$N$11,$B1111&lt;='111'!$O$11,OR($L1111=$O$7,$M1111=$O$7)),"x","")</f>
        <v/>
      </c>
      <c r="P1111" s="39" t="str">
        <f>IF(AND($L1111=$O$7,$B1111&lt;'111'!$N$11),"x","")</f>
        <v/>
      </c>
      <c r="Q1111" s="39" t="str">
        <f>IF(AND($M1111=$O$7,$B1111&lt;'111'!$N$11),"x","")</f>
        <v/>
      </c>
      <c r="R1111" s="39" t="str">
        <f>IF(ISERROR(FIND('112'!$M$9,G1111,1)),"",IF((AND(FIND('112'!$M$9,G1111,1)&gt;=1,$B1111&gt;='112'!$N$8,$B1111&lt;='112'!$O$8,OR($L1111='112'!$I$6,$M1111='112'!$I$6))),"x",""))</f>
        <v/>
      </c>
      <c r="S1111" s="39" t="str">
        <f>IF(ISERROR(FIND('112'!$M$9,G1111,1)),"",IF((AND(LEFT(G1111,2)=LEFT('112'!$M$9,2),B1111&lt;'112'!$N$8,$L1111='112'!$I$6)),"x",""))</f>
        <v/>
      </c>
      <c r="T1111" s="39" t="str">
        <f>IF(ISERROR(FIND('112'!$M$9,G1111,1)),"",IF((AND(RIGHT(G1111,2)=RIGHT('112'!$M$9,2),B1111&lt;'112'!$N$8,$M1111='112'!$I$6)),"x",""))</f>
        <v/>
      </c>
      <c r="U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>154</v>
      </c>
      <c r="V1111" s="39" t="str">
        <f>IF(OR(TH!L1111=TH!$V$7,M1111=TH!$V$7),"x","")</f>
        <v/>
      </c>
      <c r="W1111" s="39" t="str">
        <f>IF(AND(B1111&gt;='IN-NX'!$P$3,B1111&lt;='IN-NX'!$Q$3,'IN-NX'!$D$7=D1111,OR(LEFT(L1111,2)="15",AND(LEFT(M1111,2)&lt;&gt;"15",LEFT(M1111,2)&lt;&gt;"33"))),"x","")</f>
        <v/>
      </c>
      <c r="X1111" s="39" t="str">
        <f>IF(AND(OR(LEFT(TH!L1111,2)="15",LEFT(TH!M1111,2)="15"),'152-CT'!$J$8=TH!F1111),"x","")</f>
        <v/>
      </c>
      <c r="Y1111" s="39" t="str">
        <f>IF(AND(OR(LEFT(TH!L1111,2)="15",LEFT(TH!M1111,2)="15"),TK!$E$7=TH!F1111),"x","")</f>
        <v/>
      </c>
      <c r="Z1111" s="39" t="str">
        <f>IF(AND(B1111&lt;=NKC!$N$8,B1111&gt;=NKC!$M$8),"x","")</f>
        <v/>
      </c>
      <c r="AA1111" s="886"/>
    </row>
    <row r="1112" spans="1:27" s="211" customFormat="1" ht="15.75" customHeight="1">
      <c r="A1112" s="204" t="str">
        <f>IF(B1112&lt;&gt;"",IF(AND(B1112&gt;=_TM1,B1112&lt;=_TM2,OR(TH!L1112="1111",TH!M1112="1111")),TH!D1112,""),"")</f>
        <v/>
      </c>
      <c r="B1112" s="36">
        <f t="shared" si="221"/>
        <v>5</v>
      </c>
      <c r="C1112" s="191">
        <f t="shared" si="222"/>
        <v>41406</v>
      </c>
      <c r="D1112" s="184" t="s">
        <v>1294</v>
      </c>
      <c r="E1112" s="191">
        <v>41406</v>
      </c>
      <c r="F1112" s="192"/>
      <c r="G1112" s="487" t="s">
        <v>823</v>
      </c>
      <c r="H1112" s="7" t="s">
        <v>1287</v>
      </c>
      <c r="I1112" s="258"/>
      <c r="J1112" s="258"/>
      <c r="K1112" s="602">
        <f t="shared" si="223"/>
        <v>0</v>
      </c>
      <c r="L1112" s="39" t="s">
        <v>165</v>
      </c>
      <c r="M1112" s="603" t="s">
        <v>159</v>
      </c>
      <c r="N1112" s="39" t="str">
        <f>IF(AND('331-CT'!$E$7=TH!H1112,OR(L1112="331",M1112="331")),"331",IF(AND(OR(L1112="131",M1112="131"),H1112='131-CT'!$E$7),"131",""))</f>
        <v/>
      </c>
      <c r="O1112" s="39" t="str">
        <f>IF(AND($B1112&gt;='111'!$N$11,$B1112&lt;='111'!$O$11,OR($L1112=$O$7,$M1112=$O$7)),"x","")</f>
        <v/>
      </c>
      <c r="P1112" s="39" t="str">
        <f>IF(AND($L1112=$O$7,$B1112&lt;'111'!$N$11),"x","")</f>
        <v/>
      </c>
      <c r="Q1112" s="39" t="str">
        <f>IF(AND($M1112=$O$7,$B1112&lt;'111'!$N$11),"x","")</f>
        <v/>
      </c>
      <c r="R1112" s="39" t="str">
        <f>IF(ISERROR(FIND('112'!$M$9,G1112,1)),"",IF((AND(FIND('112'!$M$9,G1112,1)&gt;=1,$B1112&gt;='112'!$N$8,$B1112&lt;='112'!$O$8,OR($L1112='112'!$I$6,$M1112='112'!$I$6))),"x",""))</f>
        <v/>
      </c>
      <c r="S1112" s="39" t="str">
        <f>IF(ISERROR(FIND('112'!$M$9,G1112,1)),"",IF((AND(LEFT(G1112,2)=LEFT('112'!$M$9,2),B1112&lt;'112'!$N$8,$L1112='112'!$I$6)),"x",""))</f>
        <v/>
      </c>
      <c r="T1112" s="39" t="str">
        <f>IF(ISERROR(FIND('112'!$M$9,G1112,1)),"",IF((AND(RIGHT(G1112,2)=RIGHT('112'!$M$9,2),B1112&lt;'112'!$N$8,$M1112='112'!$I$6)),"x",""))</f>
        <v/>
      </c>
      <c r="U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>154</v>
      </c>
      <c r="V1112" s="39" t="str">
        <f>IF(OR(TH!L1112=TH!$V$7,M1112=TH!$V$7),"x","")</f>
        <v/>
      </c>
      <c r="W1112" s="39" t="str">
        <f>IF(AND(B1112&gt;='IN-NX'!$P$3,B1112&lt;='IN-NX'!$Q$3,'IN-NX'!$D$7=D1112,OR(LEFT(L1112,2)="15",AND(LEFT(M1112,2)&lt;&gt;"15",LEFT(M1112,2)&lt;&gt;"33"))),"x","")</f>
        <v/>
      </c>
      <c r="X1112" s="39" t="str">
        <f>IF(AND(OR(LEFT(TH!L1112,2)="15",LEFT(TH!M1112,2)="15"),'152-CT'!$J$8=TH!F1112),"x","")</f>
        <v/>
      </c>
      <c r="Y1112" s="39" t="str">
        <f>IF(AND(OR(LEFT(TH!L1112,2)="15",LEFT(TH!M1112,2)="15"),TK!$E$7=TH!F1112),"x","")</f>
        <v/>
      </c>
      <c r="Z1112" s="39" t="str">
        <f>IF(AND(B1112&lt;=NKC!$N$8,B1112&gt;=NKC!$M$8),"x","")</f>
        <v/>
      </c>
      <c r="AA1112" s="886"/>
    </row>
    <row r="1113" spans="1:27" s="211" customFormat="1" ht="15.75" customHeight="1">
      <c r="A1113" s="204" t="str">
        <f>IF(B1113&lt;&gt;"",IF(AND(B1113&gt;=_TM1,B1113&lt;=_TM2,OR(TH!L1113="1111",TH!M1113="1111")),TH!D1113,""),"")</f>
        <v/>
      </c>
      <c r="B1113" s="36">
        <f t="shared" si="221"/>
        <v>5</v>
      </c>
      <c r="C1113" s="191">
        <f t="shared" si="222"/>
        <v>41407</v>
      </c>
      <c r="D1113" s="184" t="s">
        <v>1294</v>
      </c>
      <c r="E1113" s="191">
        <v>41407</v>
      </c>
      <c r="F1113" s="192"/>
      <c r="G1113" s="487" t="s">
        <v>825</v>
      </c>
      <c r="H1113" s="7" t="s">
        <v>1287</v>
      </c>
      <c r="I1113" s="258"/>
      <c r="J1113" s="258"/>
      <c r="K1113" s="602">
        <f t="shared" si="223"/>
        <v>0</v>
      </c>
      <c r="L1113" s="39" t="s">
        <v>165</v>
      </c>
      <c r="M1113" s="603" t="s">
        <v>159</v>
      </c>
      <c r="N1113" s="39" t="str">
        <f>IF(AND('331-CT'!$E$7=TH!H1113,OR(L1113="331",M1113="331")),"331",IF(AND(OR(L1113="131",M1113="131"),H1113='131-CT'!$E$7),"131",""))</f>
        <v/>
      </c>
      <c r="O1113" s="39" t="str">
        <f>IF(AND($B1113&gt;='111'!$N$11,$B1113&lt;='111'!$O$11,OR($L1113=$O$7,$M1113=$O$7)),"x","")</f>
        <v/>
      </c>
      <c r="P1113" s="39" t="str">
        <f>IF(AND($L1113=$O$7,$B1113&lt;'111'!$N$11),"x","")</f>
        <v/>
      </c>
      <c r="Q1113" s="39" t="str">
        <f>IF(AND($M1113=$O$7,$B1113&lt;'111'!$N$11),"x","")</f>
        <v/>
      </c>
      <c r="R1113" s="39" t="str">
        <f>IF(ISERROR(FIND('112'!$M$9,G1113,1)),"",IF((AND(FIND('112'!$M$9,G1113,1)&gt;=1,$B1113&gt;='112'!$N$8,$B1113&lt;='112'!$O$8,OR($L1113='112'!$I$6,$M1113='112'!$I$6))),"x",""))</f>
        <v/>
      </c>
      <c r="S1113" s="39" t="str">
        <f>IF(ISERROR(FIND('112'!$M$9,G1113,1)),"",IF((AND(LEFT(G1113,2)=LEFT('112'!$M$9,2),B1113&lt;'112'!$N$8,$L1113='112'!$I$6)),"x",""))</f>
        <v/>
      </c>
      <c r="T1113" s="39" t="str">
        <f>IF(ISERROR(FIND('112'!$M$9,G1113,1)),"",IF((AND(RIGHT(G1113,2)=RIGHT('112'!$M$9,2),B1113&lt;'112'!$N$8,$M1113='112'!$I$6)),"x",""))</f>
        <v/>
      </c>
      <c r="U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>154</v>
      </c>
      <c r="V1113" s="39" t="str">
        <f>IF(OR(TH!L1113=TH!$V$7,M1113=TH!$V$7),"x","")</f>
        <v/>
      </c>
      <c r="W1113" s="39" t="str">
        <f>IF(AND(B1113&gt;='IN-NX'!$P$3,B1113&lt;='IN-NX'!$Q$3,'IN-NX'!$D$7=D1113,OR(LEFT(L1113,2)="15",AND(LEFT(M1113,2)&lt;&gt;"15",LEFT(M1113,2)&lt;&gt;"33"))),"x","")</f>
        <v/>
      </c>
      <c r="X1113" s="39" t="str">
        <f>IF(AND(OR(LEFT(TH!L1113,2)="15",LEFT(TH!M1113,2)="15"),'152-CT'!$J$8=TH!F1113),"x","")</f>
        <v/>
      </c>
      <c r="Y1113" s="39" t="str">
        <f>IF(AND(OR(LEFT(TH!L1113,2)="15",LEFT(TH!M1113,2)="15"),TK!$E$7=TH!F1113),"x","")</f>
        <v/>
      </c>
      <c r="Z1113" s="39" t="str">
        <f>IF(AND(B1113&lt;=NKC!$N$8,B1113&gt;=NKC!$M$8),"x","")</f>
        <v/>
      </c>
      <c r="AA1113" s="886"/>
    </row>
    <row r="1114" spans="1:27" s="211" customFormat="1" ht="15.75" customHeight="1">
      <c r="A1114" s="204" t="str">
        <f>IF(B1114&lt;&gt;"",IF(AND(B1114&gt;=_TM1,B1114&lt;=_TM2,OR(TH!L1114="1111",TH!M1114="1111")),TH!D1114,""),"")</f>
        <v/>
      </c>
      <c r="B1114" s="36">
        <f t="shared" si="221"/>
        <v>5</v>
      </c>
      <c r="C1114" s="191">
        <f t="shared" si="222"/>
        <v>41407</v>
      </c>
      <c r="D1114" s="184" t="s">
        <v>1294</v>
      </c>
      <c r="E1114" s="184">
        <v>41407</v>
      </c>
      <c r="F1114" s="189"/>
      <c r="G1114" s="604" t="s">
        <v>826</v>
      </c>
      <c r="H1114" s="7" t="s">
        <v>1287</v>
      </c>
      <c r="I1114" s="256"/>
      <c r="J1114" s="256"/>
      <c r="K1114" s="602">
        <f t="shared" si="223"/>
        <v>0</v>
      </c>
      <c r="L1114" s="39" t="s">
        <v>165</v>
      </c>
      <c r="M1114" s="603" t="s">
        <v>159</v>
      </c>
      <c r="N1114" s="39" t="str">
        <f>IF(AND('331-CT'!$E$7=TH!H1114,OR(L1114="331",M1114="331")),"331",IF(AND(OR(L1114="131",M1114="131"),H1114='131-CT'!$E$7),"131",""))</f>
        <v/>
      </c>
      <c r="O1114" s="39" t="str">
        <f>IF(AND($B1114&gt;='111'!$N$11,$B1114&lt;='111'!$O$11,OR($L1114=$O$7,$M1114=$O$7)),"x","")</f>
        <v/>
      </c>
      <c r="P1114" s="39" t="str">
        <f>IF(AND($L1114=$O$7,$B1114&lt;'111'!$N$11),"x","")</f>
        <v/>
      </c>
      <c r="Q1114" s="39" t="str">
        <f>IF(AND($M1114=$O$7,$B1114&lt;'111'!$N$11),"x","")</f>
        <v/>
      </c>
      <c r="R1114" s="39" t="str">
        <f>IF(ISERROR(FIND('112'!$M$9,G1114,1)),"",IF((AND(FIND('112'!$M$9,G1114,1)&gt;=1,$B1114&gt;='112'!$N$8,$B1114&lt;='112'!$O$8,OR($L1114='112'!$I$6,$M1114='112'!$I$6))),"x",""))</f>
        <v/>
      </c>
      <c r="S1114" s="39" t="str">
        <f>IF(ISERROR(FIND('112'!$M$9,G1114,1)),"",IF((AND(LEFT(G1114,2)=LEFT('112'!$M$9,2),B1114&lt;'112'!$N$8,$L1114='112'!$I$6)),"x",""))</f>
        <v/>
      </c>
      <c r="T1114" s="39" t="str">
        <f>IF(ISERROR(FIND('112'!$M$9,G1114,1)),"",IF((AND(RIGHT(G1114,2)=RIGHT('112'!$M$9,2),B1114&lt;'112'!$N$8,$M1114='112'!$I$6)),"x",""))</f>
        <v/>
      </c>
      <c r="U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>154</v>
      </c>
      <c r="V1114" s="39" t="str">
        <f>IF(OR(TH!L1114=TH!$V$7,M1114=TH!$V$7),"x","")</f>
        <v/>
      </c>
      <c r="W1114" s="39" t="str">
        <f>IF(AND(B1114&gt;='IN-NX'!$P$3,B1114&lt;='IN-NX'!$Q$3,'IN-NX'!$D$7=D1114,OR(LEFT(L1114,2)="15",AND(LEFT(M1114,2)&lt;&gt;"15",LEFT(M1114,2)&lt;&gt;"33"))),"x","")</f>
        <v/>
      </c>
      <c r="X1114" s="39" t="str">
        <f>IF(AND(OR(LEFT(TH!L1114,2)="15",LEFT(TH!M1114,2)="15"),'152-CT'!$J$8=TH!F1114),"x","")</f>
        <v/>
      </c>
      <c r="Y1114" s="39" t="str">
        <f>IF(AND(OR(LEFT(TH!L1114,2)="15",LEFT(TH!M1114,2)="15"),TK!$E$7=TH!F1114),"x","")</f>
        <v/>
      </c>
      <c r="Z1114" s="39" t="str">
        <f>IF(AND(B1114&lt;=NKC!$N$8,B1114&gt;=NKC!$M$8),"x","")</f>
        <v/>
      </c>
      <c r="AA1114" s="886"/>
    </row>
    <row r="1115" spans="1:27" s="211" customFormat="1" ht="15.75" customHeight="1">
      <c r="A1115" s="204" t="str">
        <f>IF(B1115&lt;&gt;"",IF(AND(B1115&gt;=_TM1,B1115&lt;=_TM2,OR(TH!L1115="1111",TH!M1115="1111")),TH!D1115,""),"")</f>
        <v/>
      </c>
      <c r="B1115" s="36">
        <f t="shared" si="221"/>
        <v>5</v>
      </c>
      <c r="C1115" s="191">
        <f t="shared" si="222"/>
        <v>41407</v>
      </c>
      <c r="D1115" s="184" t="s">
        <v>1294</v>
      </c>
      <c r="E1115" s="184">
        <v>41407</v>
      </c>
      <c r="F1115" s="189"/>
      <c r="G1115" s="604" t="s">
        <v>828</v>
      </c>
      <c r="H1115" s="7" t="s">
        <v>1287</v>
      </c>
      <c r="I1115" s="256"/>
      <c r="J1115" s="256"/>
      <c r="K1115" s="602">
        <f t="shared" si="223"/>
        <v>0</v>
      </c>
      <c r="L1115" s="39" t="s">
        <v>165</v>
      </c>
      <c r="M1115" s="603" t="s">
        <v>159</v>
      </c>
      <c r="N1115" s="39" t="str">
        <f>IF(AND('331-CT'!$E$7=TH!H1115,OR(L1115="331",M1115="331")),"331",IF(AND(OR(L1115="131",M1115="131"),H1115='131-CT'!$E$7),"131",""))</f>
        <v/>
      </c>
      <c r="O1115" s="39" t="str">
        <f>IF(AND($B1115&gt;='111'!$N$11,$B1115&lt;='111'!$O$11,OR($L1115=$O$7,$M1115=$O$7)),"x","")</f>
        <v/>
      </c>
      <c r="P1115" s="39" t="str">
        <f>IF(AND($L1115=$O$7,$B1115&lt;'111'!$N$11),"x","")</f>
        <v/>
      </c>
      <c r="Q1115" s="39" t="str">
        <f>IF(AND($M1115=$O$7,$B1115&lt;'111'!$N$11),"x","")</f>
        <v/>
      </c>
      <c r="R1115" s="39" t="str">
        <f>IF(ISERROR(FIND('112'!$M$9,G1115,1)),"",IF((AND(FIND('112'!$M$9,G1115,1)&gt;=1,$B1115&gt;='112'!$N$8,$B1115&lt;='112'!$O$8,OR($L1115='112'!$I$6,$M1115='112'!$I$6))),"x",""))</f>
        <v/>
      </c>
      <c r="S1115" s="39" t="str">
        <f>IF(ISERROR(FIND('112'!$M$9,G1115,1)),"",IF((AND(LEFT(G1115,2)=LEFT('112'!$M$9,2),B1115&lt;'112'!$N$8,$L1115='112'!$I$6)),"x",""))</f>
        <v/>
      </c>
      <c r="T1115" s="39" t="str">
        <f>IF(ISERROR(FIND('112'!$M$9,G1115,1)),"",IF((AND(RIGHT(G1115,2)=RIGHT('112'!$M$9,2),B1115&lt;'112'!$N$8,$M1115='112'!$I$6)),"x",""))</f>
        <v/>
      </c>
      <c r="U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>154</v>
      </c>
      <c r="V1115" s="39" t="str">
        <f>IF(OR(TH!L1115=TH!$V$7,M1115=TH!$V$7),"x","")</f>
        <v/>
      </c>
      <c r="W1115" s="39" t="str">
        <f>IF(AND(B1115&gt;='IN-NX'!$P$3,B1115&lt;='IN-NX'!$Q$3,'IN-NX'!$D$7=D1115,OR(LEFT(L1115,2)="15",AND(LEFT(M1115,2)&lt;&gt;"15",LEFT(M1115,2)&lt;&gt;"33"))),"x","")</f>
        <v/>
      </c>
      <c r="X1115" s="39" t="str">
        <f>IF(AND(OR(LEFT(TH!L1115,2)="15",LEFT(TH!M1115,2)="15"),'152-CT'!$J$8=TH!F1115),"x","")</f>
        <v/>
      </c>
      <c r="Y1115" s="39" t="str">
        <f>IF(AND(OR(LEFT(TH!L1115,2)="15",LEFT(TH!M1115,2)="15"),TK!$E$7=TH!F1115),"x","")</f>
        <v/>
      </c>
      <c r="Z1115" s="39" t="str">
        <f>IF(AND(B1115&lt;=NKC!$N$8,B1115&gt;=NKC!$M$8),"x","")</f>
        <v/>
      </c>
      <c r="AA1115" s="886"/>
    </row>
    <row r="1116" spans="1:27" s="211" customFormat="1" ht="15.75" customHeight="1">
      <c r="A1116" s="204" t="str">
        <f>IF(B1116&lt;&gt;"",IF(AND(B1116&gt;=_TM1,B1116&lt;=_TM2,OR(TH!L1116="1111",TH!M1116="1111")),TH!D1116,""),"")</f>
        <v/>
      </c>
      <c r="B1116" s="36">
        <f t="shared" si="221"/>
        <v>5</v>
      </c>
      <c r="C1116" s="191">
        <f t="shared" si="222"/>
        <v>41408</v>
      </c>
      <c r="D1116" s="184" t="s">
        <v>1294</v>
      </c>
      <c r="E1116" s="191">
        <v>41408</v>
      </c>
      <c r="F1116" s="192"/>
      <c r="G1116" s="487" t="s">
        <v>830</v>
      </c>
      <c r="H1116" s="7" t="s">
        <v>1287</v>
      </c>
      <c r="I1116" s="256"/>
      <c r="J1116" s="256"/>
      <c r="K1116" s="602">
        <f t="shared" si="223"/>
        <v>0</v>
      </c>
      <c r="L1116" s="39" t="s">
        <v>165</v>
      </c>
      <c r="M1116" s="603" t="s">
        <v>159</v>
      </c>
      <c r="N1116" s="39" t="str">
        <f>IF(AND('331-CT'!$E$7=TH!H1116,OR(L1116="331",M1116="331")),"331",IF(AND(OR(L1116="131",M1116="131"),H1116='131-CT'!$E$7),"131",""))</f>
        <v/>
      </c>
      <c r="O1116" s="39" t="str">
        <f>IF(AND($B1116&gt;='111'!$N$11,$B1116&lt;='111'!$O$11,OR($L1116=$O$7,$M1116=$O$7)),"x","")</f>
        <v/>
      </c>
      <c r="P1116" s="39" t="str">
        <f>IF(AND($L1116=$O$7,$B1116&lt;'111'!$N$11),"x","")</f>
        <v/>
      </c>
      <c r="Q1116" s="39" t="str">
        <f>IF(AND($M1116=$O$7,$B1116&lt;'111'!$N$11),"x","")</f>
        <v/>
      </c>
      <c r="R1116" s="39" t="str">
        <f>IF(ISERROR(FIND('112'!$M$9,G1116,1)),"",IF((AND(FIND('112'!$M$9,G1116,1)&gt;=1,$B1116&gt;='112'!$N$8,$B1116&lt;='112'!$O$8,OR($L1116='112'!$I$6,$M1116='112'!$I$6))),"x",""))</f>
        <v/>
      </c>
      <c r="S1116" s="39" t="str">
        <f>IF(ISERROR(FIND('112'!$M$9,G1116,1)),"",IF((AND(LEFT(G1116,2)=LEFT('112'!$M$9,2),B1116&lt;'112'!$N$8,$L1116='112'!$I$6)),"x",""))</f>
        <v/>
      </c>
      <c r="T1116" s="39" t="str">
        <f>IF(ISERROR(FIND('112'!$M$9,G1116,1)),"",IF((AND(RIGHT(G1116,2)=RIGHT('112'!$M$9,2),B1116&lt;'112'!$N$8,$M1116='112'!$I$6)),"x",""))</f>
        <v/>
      </c>
      <c r="U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>154</v>
      </c>
      <c r="V1116" s="39" t="str">
        <f>IF(OR(TH!L1116=TH!$V$7,M1116=TH!$V$7),"x","")</f>
        <v/>
      </c>
      <c r="W1116" s="39" t="str">
        <f>IF(AND(B1116&gt;='IN-NX'!$P$3,B1116&lt;='IN-NX'!$Q$3,'IN-NX'!$D$7=D1116,OR(LEFT(L1116,2)="15",AND(LEFT(M1116,2)&lt;&gt;"15",LEFT(M1116,2)&lt;&gt;"33"))),"x","")</f>
        <v/>
      </c>
      <c r="X1116" s="39" t="str">
        <f>IF(AND(OR(LEFT(TH!L1116,2)="15",LEFT(TH!M1116,2)="15"),'152-CT'!$J$8=TH!F1116),"x","")</f>
        <v/>
      </c>
      <c r="Y1116" s="39" t="str">
        <f>IF(AND(OR(LEFT(TH!L1116,2)="15",LEFT(TH!M1116,2)="15"),TK!$E$7=TH!F1116),"x","")</f>
        <v/>
      </c>
      <c r="Z1116" s="39" t="str">
        <f>IF(AND(B1116&lt;=NKC!$N$8,B1116&gt;=NKC!$M$8),"x","")</f>
        <v/>
      </c>
      <c r="AA1116" s="886"/>
    </row>
    <row r="1117" spans="1:27" s="211" customFormat="1" ht="15.75" customHeight="1">
      <c r="A1117" s="204" t="str">
        <f>IF(B1117&lt;&gt;"",IF(AND(B1117&gt;=_TM1,B1117&lt;=_TM2,OR(TH!L1117="1111",TH!M1117="1111")),TH!D1117,""),"")</f>
        <v/>
      </c>
      <c r="B1117" s="36">
        <f t="shared" si="221"/>
        <v>5</v>
      </c>
      <c r="C1117" s="191">
        <f t="shared" si="222"/>
        <v>41412</v>
      </c>
      <c r="D1117" s="184" t="s">
        <v>1294</v>
      </c>
      <c r="E1117" s="191">
        <v>41412</v>
      </c>
      <c r="F1117" s="192"/>
      <c r="G1117" s="487" t="s">
        <v>832</v>
      </c>
      <c r="H1117" s="7" t="s">
        <v>1287</v>
      </c>
      <c r="I1117" s="256"/>
      <c r="J1117" s="256"/>
      <c r="K1117" s="602">
        <f t="shared" si="223"/>
        <v>0</v>
      </c>
      <c r="L1117" s="39" t="s">
        <v>165</v>
      </c>
      <c r="M1117" s="603" t="s">
        <v>159</v>
      </c>
      <c r="N1117" s="39" t="str">
        <f>IF(AND('331-CT'!$E$7=TH!H1117,OR(L1117="331",M1117="331")),"331",IF(AND(OR(L1117="131",M1117="131"),H1117='131-CT'!$E$7),"131",""))</f>
        <v/>
      </c>
      <c r="O1117" s="39" t="str">
        <f>IF(AND($B1117&gt;='111'!$N$11,$B1117&lt;='111'!$O$11,OR($L1117=$O$7,$M1117=$O$7)),"x","")</f>
        <v/>
      </c>
      <c r="P1117" s="39" t="str">
        <f>IF(AND($L1117=$O$7,$B1117&lt;'111'!$N$11),"x","")</f>
        <v/>
      </c>
      <c r="Q1117" s="39" t="str">
        <f>IF(AND($M1117=$O$7,$B1117&lt;'111'!$N$11),"x","")</f>
        <v/>
      </c>
      <c r="R1117" s="39" t="str">
        <f>IF(ISERROR(FIND('112'!$M$9,G1117,1)),"",IF((AND(FIND('112'!$M$9,G1117,1)&gt;=1,$B1117&gt;='112'!$N$8,$B1117&lt;='112'!$O$8,OR($L1117='112'!$I$6,$M1117='112'!$I$6))),"x",""))</f>
        <v/>
      </c>
      <c r="S1117" s="39" t="str">
        <f>IF(ISERROR(FIND('112'!$M$9,G1117,1)),"",IF((AND(LEFT(G1117,2)=LEFT('112'!$M$9,2),B1117&lt;'112'!$N$8,$L1117='112'!$I$6)),"x",""))</f>
        <v/>
      </c>
      <c r="T1117" s="39" t="str">
        <f>IF(ISERROR(FIND('112'!$M$9,G1117,1)),"",IF((AND(RIGHT(G1117,2)=RIGHT('112'!$M$9,2),B1117&lt;'112'!$N$8,$M1117='112'!$I$6)),"x",""))</f>
        <v/>
      </c>
      <c r="U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>154</v>
      </c>
      <c r="V1117" s="39" t="str">
        <f>IF(OR(TH!L1117=TH!$V$7,M1117=TH!$V$7),"x","")</f>
        <v/>
      </c>
      <c r="W1117" s="39" t="str">
        <f>IF(AND(B1117&gt;='IN-NX'!$P$3,B1117&lt;='IN-NX'!$Q$3,'IN-NX'!$D$7=D1117,OR(LEFT(L1117,2)="15",AND(LEFT(M1117,2)&lt;&gt;"15",LEFT(M1117,2)&lt;&gt;"33"))),"x","")</f>
        <v/>
      </c>
      <c r="X1117" s="39" t="str">
        <f>IF(AND(OR(LEFT(TH!L1117,2)="15",LEFT(TH!M1117,2)="15"),'152-CT'!$J$8=TH!F1117),"x","")</f>
        <v/>
      </c>
      <c r="Y1117" s="39" t="str">
        <f>IF(AND(OR(LEFT(TH!L1117,2)="15",LEFT(TH!M1117,2)="15"),TK!$E$7=TH!F1117),"x","")</f>
        <v/>
      </c>
      <c r="Z1117" s="39" t="str">
        <f>IF(AND(B1117&lt;=NKC!$N$8,B1117&gt;=NKC!$M$8),"x","")</f>
        <v/>
      </c>
      <c r="AA1117" s="886"/>
    </row>
    <row r="1118" spans="1:27" s="211" customFormat="1" ht="15.75" customHeight="1">
      <c r="A1118" s="204" t="str">
        <f>IF(B1118&lt;&gt;"",IF(AND(B1118&gt;=_TM1,B1118&lt;=_TM2,OR(TH!L1118="1111",TH!M1118="1111")),TH!D1118,""),"")</f>
        <v/>
      </c>
      <c r="B1118" s="36">
        <f t="shared" si="221"/>
        <v>5</v>
      </c>
      <c r="C1118" s="191">
        <f t="shared" si="222"/>
        <v>41412</v>
      </c>
      <c r="D1118" s="184" t="s">
        <v>1294</v>
      </c>
      <c r="E1118" s="191">
        <v>41412</v>
      </c>
      <c r="F1118" s="192"/>
      <c r="G1118" s="487" t="s">
        <v>832</v>
      </c>
      <c r="H1118" s="7" t="s">
        <v>1287</v>
      </c>
      <c r="I1118" s="256"/>
      <c r="J1118" s="256"/>
      <c r="K1118" s="602">
        <f t="shared" si="223"/>
        <v>0</v>
      </c>
      <c r="L1118" s="39" t="s">
        <v>165</v>
      </c>
      <c r="M1118" s="603" t="s">
        <v>159</v>
      </c>
      <c r="N1118" s="39" t="str">
        <f>IF(AND('331-CT'!$E$7=TH!H1118,OR(L1118="331",M1118="331")),"331",IF(AND(OR(L1118="131",M1118="131"),H1118='131-CT'!$E$7),"131",""))</f>
        <v/>
      </c>
      <c r="O1118" s="39" t="str">
        <f>IF(AND($B1118&gt;='111'!$N$11,$B1118&lt;='111'!$O$11,OR($L1118=$O$7,$M1118=$O$7)),"x","")</f>
        <v/>
      </c>
      <c r="P1118" s="39" t="str">
        <f>IF(AND($L1118=$O$7,$B1118&lt;'111'!$N$11),"x","")</f>
        <v/>
      </c>
      <c r="Q1118" s="39" t="str">
        <f>IF(AND($M1118=$O$7,$B1118&lt;'111'!$N$11),"x","")</f>
        <v/>
      </c>
      <c r="R1118" s="39" t="str">
        <f>IF(ISERROR(FIND('112'!$M$9,G1118,1)),"",IF((AND(FIND('112'!$M$9,G1118,1)&gt;=1,$B1118&gt;='112'!$N$8,$B1118&lt;='112'!$O$8,OR($L1118='112'!$I$6,$M1118='112'!$I$6))),"x",""))</f>
        <v/>
      </c>
      <c r="S1118" s="39" t="str">
        <f>IF(ISERROR(FIND('112'!$M$9,G1118,1)),"",IF((AND(LEFT(G1118,2)=LEFT('112'!$M$9,2),B1118&lt;'112'!$N$8,$L1118='112'!$I$6)),"x",""))</f>
        <v/>
      </c>
      <c r="T1118" s="39" t="str">
        <f>IF(ISERROR(FIND('112'!$M$9,G1118,1)),"",IF((AND(RIGHT(G1118,2)=RIGHT('112'!$M$9,2),B1118&lt;'112'!$N$8,$M1118='112'!$I$6)),"x",""))</f>
        <v/>
      </c>
      <c r="U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>154</v>
      </c>
      <c r="V1118" s="39" t="str">
        <f>IF(OR(TH!L1118=TH!$V$7,M1118=TH!$V$7),"x","")</f>
        <v/>
      </c>
      <c r="W1118" s="39" t="str">
        <f>IF(AND(B1118&gt;='IN-NX'!$P$3,B1118&lt;='IN-NX'!$Q$3,'IN-NX'!$D$7=D1118,OR(LEFT(L1118,2)="15",AND(LEFT(M1118,2)&lt;&gt;"15",LEFT(M1118,2)&lt;&gt;"33"))),"x","")</f>
        <v/>
      </c>
      <c r="X1118" s="39" t="str">
        <f>IF(AND(OR(LEFT(TH!L1118,2)="15",LEFT(TH!M1118,2)="15"),'152-CT'!$J$8=TH!F1118),"x","")</f>
        <v/>
      </c>
      <c r="Y1118" s="39" t="str">
        <f>IF(AND(OR(LEFT(TH!L1118,2)="15",LEFT(TH!M1118,2)="15"),TK!$E$7=TH!F1118),"x","")</f>
        <v/>
      </c>
      <c r="Z1118" s="39" t="str">
        <f>IF(AND(B1118&lt;=NKC!$N$8,B1118&gt;=NKC!$M$8),"x","")</f>
        <v/>
      </c>
      <c r="AA1118" s="886"/>
    </row>
    <row r="1119" spans="1:27" s="211" customFormat="1" ht="15.75" customHeight="1">
      <c r="A1119" s="204" t="str">
        <f>IF(B1119&lt;&gt;"",IF(AND(B1119&gt;=_TM1,B1119&lt;=_TM2,OR(TH!L1119="1111",TH!M1119="1111")),TH!D1119,""),"")</f>
        <v/>
      </c>
      <c r="B1119" s="36">
        <f t="shared" si="221"/>
        <v>5</v>
      </c>
      <c r="C1119" s="191">
        <f t="shared" si="222"/>
        <v>41412</v>
      </c>
      <c r="D1119" s="184" t="s">
        <v>1294</v>
      </c>
      <c r="E1119" s="191">
        <v>41412</v>
      </c>
      <c r="F1119" s="192"/>
      <c r="G1119" s="487" t="s">
        <v>832</v>
      </c>
      <c r="H1119" s="7" t="s">
        <v>1287</v>
      </c>
      <c r="I1119" s="256"/>
      <c r="J1119" s="256"/>
      <c r="K1119" s="602">
        <f t="shared" si="223"/>
        <v>0</v>
      </c>
      <c r="L1119" s="39" t="s">
        <v>165</v>
      </c>
      <c r="M1119" s="603" t="s">
        <v>159</v>
      </c>
      <c r="N1119" s="39" t="str">
        <f>IF(AND('331-CT'!$E$7=TH!H1119,OR(L1119="331",M1119="331")),"331",IF(AND(OR(L1119="131",M1119="131"),H1119='131-CT'!$E$7),"131",""))</f>
        <v/>
      </c>
      <c r="O1119" s="39" t="str">
        <f>IF(AND($B1119&gt;='111'!$N$11,$B1119&lt;='111'!$O$11,OR($L1119=$O$7,$M1119=$O$7)),"x","")</f>
        <v/>
      </c>
      <c r="P1119" s="39" t="str">
        <f>IF(AND($L1119=$O$7,$B1119&lt;'111'!$N$11),"x","")</f>
        <v/>
      </c>
      <c r="Q1119" s="39" t="str">
        <f>IF(AND($M1119=$O$7,$B1119&lt;'111'!$N$11),"x","")</f>
        <v/>
      </c>
      <c r="R1119" s="39" t="str">
        <f>IF(ISERROR(FIND('112'!$M$9,G1119,1)),"",IF((AND(FIND('112'!$M$9,G1119,1)&gt;=1,$B1119&gt;='112'!$N$8,$B1119&lt;='112'!$O$8,OR($L1119='112'!$I$6,$M1119='112'!$I$6))),"x",""))</f>
        <v/>
      </c>
      <c r="S1119" s="39" t="str">
        <f>IF(ISERROR(FIND('112'!$M$9,G1119,1)),"",IF((AND(LEFT(G1119,2)=LEFT('112'!$M$9,2),B1119&lt;'112'!$N$8,$L1119='112'!$I$6)),"x",""))</f>
        <v/>
      </c>
      <c r="T1119" s="39" t="str">
        <f>IF(ISERROR(FIND('112'!$M$9,G1119,1)),"",IF((AND(RIGHT(G1119,2)=RIGHT('112'!$M$9,2),B1119&lt;'112'!$N$8,$M1119='112'!$I$6)),"x",""))</f>
        <v/>
      </c>
      <c r="U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>154</v>
      </c>
      <c r="V1119" s="39" t="str">
        <f>IF(OR(TH!L1119=TH!$V$7,M1119=TH!$V$7),"x","")</f>
        <v/>
      </c>
      <c r="W1119" s="39" t="str">
        <f>IF(AND(B1119&gt;='IN-NX'!$P$3,B1119&lt;='IN-NX'!$Q$3,'IN-NX'!$D$7=D1119,OR(LEFT(L1119,2)="15",AND(LEFT(M1119,2)&lt;&gt;"15",LEFT(M1119,2)&lt;&gt;"33"))),"x","")</f>
        <v/>
      </c>
      <c r="X1119" s="39" t="str">
        <f>IF(AND(OR(LEFT(TH!L1119,2)="15",LEFT(TH!M1119,2)="15"),'152-CT'!$J$8=TH!F1119),"x","")</f>
        <v/>
      </c>
      <c r="Y1119" s="39" t="str">
        <f>IF(AND(OR(LEFT(TH!L1119,2)="15",LEFT(TH!M1119,2)="15"),TK!$E$7=TH!F1119),"x","")</f>
        <v/>
      </c>
      <c r="Z1119" s="39" t="str">
        <f>IF(AND(B1119&lt;=NKC!$N$8,B1119&gt;=NKC!$M$8),"x","")</f>
        <v/>
      </c>
      <c r="AA1119" s="886"/>
    </row>
    <row r="1120" spans="1:27" s="211" customFormat="1" ht="15.75" customHeight="1">
      <c r="A1120" s="204" t="str">
        <f>IF(B1120&lt;&gt;"",IF(AND(B1120&gt;=_TM1,B1120&lt;=_TM2,OR(TH!L1120="1111",TH!M1120="1111")),TH!D1120,""),"")</f>
        <v/>
      </c>
      <c r="B1120" s="36">
        <f t="shared" si="221"/>
        <v>5</v>
      </c>
      <c r="C1120" s="191">
        <f t="shared" si="222"/>
        <v>41412</v>
      </c>
      <c r="D1120" s="184" t="s">
        <v>1294</v>
      </c>
      <c r="E1120" s="191">
        <v>41412</v>
      </c>
      <c r="F1120" s="192"/>
      <c r="G1120" s="487" t="s">
        <v>832</v>
      </c>
      <c r="H1120" s="7" t="s">
        <v>1287</v>
      </c>
      <c r="I1120" s="259"/>
      <c r="J1120" s="259"/>
      <c r="K1120" s="602">
        <f t="shared" si="223"/>
        <v>0</v>
      </c>
      <c r="L1120" s="39" t="s">
        <v>165</v>
      </c>
      <c r="M1120" s="603" t="s">
        <v>159</v>
      </c>
      <c r="N1120" s="39" t="str">
        <f>IF(AND('331-CT'!$E$7=TH!H1120,OR(L1120="331",M1120="331")),"331",IF(AND(OR(L1120="131",M1120="131"),H1120='131-CT'!$E$7),"131",""))</f>
        <v/>
      </c>
      <c r="O1120" s="39" t="str">
        <f>IF(AND($B1120&gt;='111'!$N$11,$B1120&lt;='111'!$O$11,OR($L1120=$O$7,$M1120=$O$7)),"x","")</f>
        <v/>
      </c>
      <c r="P1120" s="39" t="str">
        <f>IF(AND($L1120=$O$7,$B1120&lt;'111'!$N$11),"x","")</f>
        <v/>
      </c>
      <c r="Q1120" s="39" t="str">
        <f>IF(AND($M1120=$O$7,$B1120&lt;'111'!$N$11),"x","")</f>
        <v/>
      </c>
      <c r="R1120" s="39" t="str">
        <f>IF(ISERROR(FIND('112'!$M$9,G1120,1)),"",IF((AND(FIND('112'!$M$9,G1120,1)&gt;=1,$B1120&gt;='112'!$N$8,$B1120&lt;='112'!$O$8,OR($L1120='112'!$I$6,$M1120='112'!$I$6))),"x",""))</f>
        <v/>
      </c>
      <c r="S1120" s="39" t="str">
        <f>IF(ISERROR(FIND('112'!$M$9,G1120,1)),"",IF((AND(LEFT(G1120,2)=LEFT('112'!$M$9,2),B1120&lt;'112'!$N$8,$L1120='112'!$I$6)),"x",""))</f>
        <v/>
      </c>
      <c r="T1120" s="39" t="str">
        <f>IF(ISERROR(FIND('112'!$M$9,G1120,1)),"",IF((AND(RIGHT(G1120,2)=RIGHT('112'!$M$9,2),B1120&lt;'112'!$N$8,$M1120='112'!$I$6)),"x",""))</f>
        <v/>
      </c>
      <c r="U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>154</v>
      </c>
      <c r="V1120" s="39" t="str">
        <f>IF(OR(TH!L1120=TH!$V$7,M1120=TH!$V$7),"x","")</f>
        <v/>
      </c>
      <c r="W1120" s="39" t="str">
        <f>IF(AND(B1120&gt;='IN-NX'!$P$3,B1120&lt;='IN-NX'!$Q$3,'IN-NX'!$D$7=D1120,OR(LEFT(L1120,2)="15",AND(LEFT(M1120,2)&lt;&gt;"15",LEFT(M1120,2)&lt;&gt;"33"))),"x","")</f>
        <v/>
      </c>
      <c r="X1120" s="39" t="str">
        <f>IF(AND(OR(LEFT(TH!L1120,2)="15",LEFT(TH!M1120,2)="15"),'152-CT'!$J$8=TH!F1120),"x","")</f>
        <v/>
      </c>
      <c r="Y1120" s="39" t="str">
        <f>IF(AND(OR(LEFT(TH!L1120,2)="15",LEFT(TH!M1120,2)="15"),TK!$E$7=TH!F1120),"x","")</f>
        <v/>
      </c>
      <c r="Z1120" s="39" t="str">
        <f>IF(AND(B1120&lt;=NKC!$N$8,B1120&gt;=NKC!$M$8),"x","")</f>
        <v/>
      </c>
      <c r="AA1120" s="886"/>
    </row>
    <row r="1121" spans="1:27" s="211" customFormat="1" ht="15.75" customHeight="1">
      <c r="A1121" s="204" t="str">
        <f>IF(B1121&lt;&gt;"",IF(AND(B1121&gt;=_TM1,B1121&lt;=_TM2,OR(TH!L1121="1111",TH!M1121="1111")),TH!D1121,""),"")</f>
        <v/>
      </c>
      <c r="B1121" s="36">
        <f t="shared" ref="B1121:B1184" si="224">IF(C1121&lt;&gt;"",MONTH(C1121),"")</f>
        <v>5</v>
      </c>
      <c r="C1121" s="191">
        <f t="shared" si="222"/>
        <v>41412</v>
      </c>
      <c r="D1121" s="184" t="s">
        <v>1294</v>
      </c>
      <c r="E1121" s="191">
        <v>41412</v>
      </c>
      <c r="F1121" s="192"/>
      <c r="G1121" s="487" t="s">
        <v>832</v>
      </c>
      <c r="H1121" s="7" t="s">
        <v>1287</v>
      </c>
      <c r="I1121" s="259"/>
      <c r="J1121" s="259"/>
      <c r="K1121" s="602">
        <f t="shared" si="223"/>
        <v>0</v>
      </c>
      <c r="L1121" s="39" t="s">
        <v>165</v>
      </c>
      <c r="M1121" s="603" t="s">
        <v>159</v>
      </c>
      <c r="N1121" s="39" t="str">
        <f>IF(AND('331-CT'!$E$7=TH!H1121,OR(L1121="331",M1121="331")),"331",IF(AND(OR(L1121="131",M1121="131"),H1121='131-CT'!$E$7),"131",""))</f>
        <v/>
      </c>
      <c r="O1121" s="39" t="str">
        <f>IF(AND($B1121&gt;='111'!$N$11,$B1121&lt;='111'!$O$11,OR($L1121=$O$7,$M1121=$O$7)),"x","")</f>
        <v/>
      </c>
      <c r="P1121" s="39" t="str">
        <f>IF(AND($L1121=$O$7,$B1121&lt;'111'!$N$11),"x","")</f>
        <v/>
      </c>
      <c r="Q1121" s="39" t="str">
        <f>IF(AND($M1121=$O$7,$B1121&lt;'111'!$N$11),"x","")</f>
        <v/>
      </c>
      <c r="R1121" s="39" t="str">
        <f>IF(ISERROR(FIND('112'!$M$9,G1121,1)),"",IF((AND(FIND('112'!$M$9,G1121,1)&gt;=1,$B1121&gt;='112'!$N$8,$B1121&lt;='112'!$O$8,OR($L1121='112'!$I$6,$M1121='112'!$I$6))),"x",""))</f>
        <v/>
      </c>
      <c r="S1121" s="39" t="str">
        <f>IF(ISERROR(FIND('112'!$M$9,G1121,1)),"",IF((AND(LEFT(G1121,2)=LEFT('112'!$M$9,2),B1121&lt;'112'!$N$8,$L1121='112'!$I$6)),"x",""))</f>
        <v/>
      </c>
      <c r="T1121" s="39" t="str">
        <f>IF(ISERROR(FIND('112'!$M$9,G1121,1)),"",IF((AND(RIGHT(G1121,2)=RIGHT('112'!$M$9,2),B1121&lt;'112'!$N$8,$M1121='112'!$I$6)),"x",""))</f>
        <v/>
      </c>
      <c r="U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>154</v>
      </c>
      <c r="V1121" s="39" t="str">
        <f>IF(OR(TH!L1121=TH!$V$7,M1121=TH!$V$7),"x","")</f>
        <v/>
      </c>
      <c r="W1121" s="39" t="str">
        <f>IF(AND(B1121&gt;='IN-NX'!$P$3,B1121&lt;='IN-NX'!$Q$3,'IN-NX'!$D$7=D1121,OR(LEFT(L1121,2)="15",AND(LEFT(M1121,2)&lt;&gt;"15",LEFT(M1121,2)&lt;&gt;"33"))),"x","")</f>
        <v/>
      </c>
      <c r="X1121" s="39" t="str">
        <f>IF(AND(OR(LEFT(TH!L1121,2)="15",LEFT(TH!M1121,2)="15"),'152-CT'!$J$8=TH!F1121),"x","")</f>
        <v/>
      </c>
      <c r="Y1121" s="39" t="str">
        <f>IF(AND(OR(LEFT(TH!L1121,2)="15",LEFT(TH!M1121,2)="15"),TK!$E$7=TH!F1121),"x","")</f>
        <v/>
      </c>
      <c r="Z1121" s="39" t="str">
        <f>IF(AND(B1121&lt;=NKC!$N$8,B1121&gt;=NKC!$M$8),"x","")</f>
        <v/>
      </c>
      <c r="AA1121" s="886"/>
    </row>
    <row r="1122" spans="1:27" s="211" customFormat="1" ht="15.75" customHeight="1">
      <c r="A1122" s="204" t="str">
        <f>IF(B1122&lt;&gt;"",IF(AND(B1122&gt;=_TM1,B1122&lt;=_TM2,OR(TH!L1122="1111",TH!M1122="1111")),TH!D1122,""),"")</f>
        <v/>
      </c>
      <c r="B1122" s="36">
        <f t="shared" si="224"/>
        <v>5</v>
      </c>
      <c r="C1122" s="191">
        <f t="shared" si="222"/>
        <v>41415</v>
      </c>
      <c r="D1122" s="184" t="s">
        <v>1294</v>
      </c>
      <c r="E1122" s="191">
        <v>41415</v>
      </c>
      <c r="F1122" s="192"/>
      <c r="G1122" s="487" t="s">
        <v>836</v>
      </c>
      <c r="H1122" s="7" t="s">
        <v>1287</v>
      </c>
      <c r="I1122" s="256"/>
      <c r="J1122" s="256"/>
      <c r="K1122" s="602">
        <f t="shared" si="223"/>
        <v>0</v>
      </c>
      <c r="L1122" s="39" t="s">
        <v>165</v>
      </c>
      <c r="M1122" s="603" t="s">
        <v>159</v>
      </c>
      <c r="N1122" s="39" t="str">
        <f>IF(AND('331-CT'!$E$7=TH!H1122,OR(L1122="331",M1122="331")),"331",IF(AND(OR(L1122="131",M1122="131"),H1122='131-CT'!$E$7),"131",""))</f>
        <v/>
      </c>
      <c r="O1122" s="39" t="str">
        <f>IF(AND($B1122&gt;='111'!$N$11,$B1122&lt;='111'!$O$11,OR($L1122=$O$7,$M1122=$O$7)),"x","")</f>
        <v/>
      </c>
      <c r="P1122" s="39" t="str">
        <f>IF(AND($L1122=$O$7,$B1122&lt;'111'!$N$11),"x","")</f>
        <v/>
      </c>
      <c r="Q1122" s="39" t="str">
        <f>IF(AND($M1122=$O$7,$B1122&lt;'111'!$N$11),"x","")</f>
        <v/>
      </c>
      <c r="R1122" s="39" t="str">
        <f>IF(ISERROR(FIND('112'!$M$9,G1122,1)),"",IF((AND(FIND('112'!$M$9,G1122,1)&gt;=1,$B1122&gt;='112'!$N$8,$B1122&lt;='112'!$O$8,OR($L1122='112'!$I$6,$M1122='112'!$I$6))),"x",""))</f>
        <v/>
      </c>
      <c r="S1122" s="39" t="str">
        <f>IF(ISERROR(FIND('112'!$M$9,G1122,1)),"",IF((AND(LEFT(G1122,2)=LEFT('112'!$M$9,2),B1122&lt;'112'!$N$8,$L1122='112'!$I$6)),"x",""))</f>
        <v/>
      </c>
      <c r="T1122" s="39" t="str">
        <f>IF(ISERROR(FIND('112'!$M$9,G1122,1)),"",IF((AND(RIGHT(G1122,2)=RIGHT('112'!$M$9,2),B1122&lt;'112'!$N$8,$M1122='112'!$I$6)),"x",""))</f>
        <v/>
      </c>
      <c r="U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>154</v>
      </c>
      <c r="V1122" s="39" t="str">
        <f>IF(OR(TH!L1122=TH!$V$7,M1122=TH!$V$7),"x","")</f>
        <v/>
      </c>
      <c r="W1122" s="39" t="str">
        <f>IF(AND(B1122&gt;='IN-NX'!$P$3,B1122&lt;='IN-NX'!$Q$3,'IN-NX'!$D$7=D1122,OR(LEFT(L1122,2)="15",AND(LEFT(M1122,2)&lt;&gt;"15",LEFT(M1122,2)&lt;&gt;"33"))),"x","")</f>
        <v/>
      </c>
      <c r="X1122" s="39" t="str">
        <f>IF(AND(OR(LEFT(TH!L1122,2)="15",LEFT(TH!M1122,2)="15"),'152-CT'!$J$8=TH!F1122),"x","")</f>
        <v/>
      </c>
      <c r="Y1122" s="39" t="str">
        <f>IF(AND(OR(LEFT(TH!L1122,2)="15",LEFT(TH!M1122,2)="15"),TK!$E$7=TH!F1122),"x","")</f>
        <v/>
      </c>
      <c r="Z1122" s="39" t="str">
        <f>IF(AND(B1122&lt;=NKC!$N$8,B1122&gt;=NKC!$M$8),"x","")</f>
        <v/>
      </c>
      <c r="AA1122" s="886"/>
    </row>
    <row r="1123" spans="1:27" s="211" customFormat="1" ht="15.75" customHeight="1">
      <c r="A1123" s="204" t="str">
        <f>IF(B1123&lt;&gt;"",IF(AND(B1123&gt;=_TM1,B1123&lt;=_TM2,OR(TH!L1123="1111",TH!M1123="1111")),TH!D1123,""),"")</f>
        <v/>
      </c>
      <c r="B1123" s="36">
        <f t="shared" si="224"/>
        <v>6</v>
      </c>
      <c r="C1123" s="191">
        <f t="shared" si="222"/>
        <v>41426</v>
      </c>
      <c r="D1123" s="184" t="s">
        <v>1294</v>
      </c>
      <c r="E1123" s="191">
        <v>41426</v>
      </c>
      <c r="F1123" s="192"/>
      <c r="G1123" s="487" t="s">
        <v>837</v>
      </c>
      <c r="H1123" s="7" t="s">
        <v>1287</v>
      </c>
      <c r="I1123" s="257"/>
      <c r="J1123" s="257"/>
      <c r="K1123" s="602">
        <f t="shared" si="223"/>
        <v>0</v>
      </c>
      <c r="L1123" s="39" t="s">
        <v>165</v>
      </c>
      <c r="M1123" s="603" t="s">
        <v>159</v>
      </c>
      <c r="N1123" s="39" t="str">
        <f>IF(AND('331-CT'!$E$7=TH!H1123,OR(L1123="331",M1123="331")),"331",IF(AND(OR(L1123="131",M1123="131"),H1123='131-CT'!$E$7),"131",""))</f>
        <v/>
      </c>
      <c r="O1123" s="39" t="str">
        <f>IF(AND($B1123&gt;='111'!$N$11,$B1123&lt;='111'!$O$11,OR($L1123=$O$7,$M1123=$O$7)),"x","")</f>
        <v/>
      </c>
      <c r="P1123" s="39" t="str">
        <f>IF(AND($L1123=$O$7,$B1123&lt;'111'!$N$11),"x","")</f>
        <v/>
      </c>
      <c r="Q1123" s="39" t="str">
        <f>IF(AND($M1123=$O$7,$B1123&lt;'111'!$N$11),"x","")</f>
        <v/>
      </c>
      <c r="R1123" s="39" t="str">
        <f>IF(ISERROR(FIND('112'!$M$9,G1123,1)),"",IF((AND(FIND('112'!$M$9,G1123,1)&gt;=1,$B1123&gt;='112'!$N$8,$B1123&lt;='112'!$O$8,OR($L1123='112'!$I$6,$M1123='112'!$I$6))),"x",""))</f>
        <v/>
      </c>
      <c r="S1123" s="39" t="str">
        <f>IF(ISERROR(FIND('112'!$M$9,G1123,1)),"",IF((AND(LEFT(G1123,2)=LEFT('112'!$M$9,2),B1123&lt;'112'!$N$8,$L1123='112'!$I$6)),"x",""))</f>
        <v/>
      </c>
      <c r="T1123" s="39" t="str">
        <f>IF(ISERROR(FIND('112'!$M$9,G1123,1)),"",IF((AND(RIGHT(G1123,2)=RIGHT('112'!$M$9,2),B1123&lt;'112'!$N$8,$M1123='112'!$I$6)),"x",""))</f>
        <v/>
      </c>
      <c r="U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>154</v>
      </c>
      <c r="V1123" s="39" t="str">
        <f>IF(OR(TH!L1123=TH!$V$7,M1123=TH!$V$7),"x","")</f>
        <v/>
      </c>
      <c r="W1123" s="39" t="str">
        <f>IF(AND(B1123&gt;='IN-NX'!$P$3,B1123&lt;='IN-NX'!$Q$3,'IN-NX'!$D$7=D1123,OR(LEFT(L1123,2)="15",AND(LEFT(M1123,2)&lt;&gt;"15",LEFT(M1123,2)&lt;&gt;"33"))),"x","")</f>
        <v/>
      </c>
      <c r="X1123" s="39" t="str">
        <f>IF(AND(OR(LEFT(TH!L1123,2)="15",LEFT(TH!M1123,2)="15"),'152-CT'!$J$8=TH!F1123),"x","")</f>
        <v/>
      </c>
      <c r="Y1123" s="39" t="str">
        <f>IF(AND(OR(LEFT(TH!L1123,2)="15",LEFT(TH!M1123,2)="15"),TK!$E$7=TH!F1123),"x","")</f>
        <v/>
      </c>
      <c r="Z1123" s="39" t="str">
        <f>IF(AND(B1123&lt;=NKC!$N$8,B1123&gt;=NKC!$M$8),"x","")</f>
        <v/>
      </c>
      <c r="AA1123" s="886"/>
    </row>
    <row r="1124" spans="1:27" s="211" customFormat="1" ht="15.75" customHeight="1">
      <c r="A1124" s="204" t="str">
        <f>IF(B1124&lt;&gt;"",IF(AND(B1124&gt;=_TM1,B1124&lt;=_TM2,OR(TH!L1124="1111",TH!M1124="1111")),TH!D1124,""),"")</f>
        <v/>
      </c>
      <c r="B1124" s="36">
        <f t="shared" si="224"/>
        <v>6</v>
      </c>
      <c r="C1124" s="191">
        <f t="shared" si="222"/>
        <v>41426</v>
      </c>
      <c r="D1124" s="184" t="s">
        <v>1294</v>
      </c>
      <c r="E1124" s="191">
        <v>41426</v>
      </c>
      <c r="F1124" s="192"/>
      <c r="G1124" s="487" t="s">
        <v>839</v>
      </c>
      <c r="H1124" s="7" t="s">
        <v>1287</v>
      </c>
      <c r="I1124" s="256"/>
      <c r="J1124" s="256"/>
      <c r="K1124" s="602">
        <f t="shared" si="223"/>
        <v>0</v>
      </c>
      <c r="L1124" s="39" t="s">
        <v>165</v>
      </c>
      <c r="M1124" s="603" t="s">
        <v>159</v>
      </c>
      <c r="N1124" s="39" t="str">
        <f>IF(AND('331-CT'!$E$7=TH!H1124,OR(L1124="331",M1124="331")),"331",IF(AND(OR(L1124="131",M1124="131"),H1124='131-CT'!$E$7),"131",""))</f>
        <v/>
      </c>
      <c r="O1124" s="39" t="str">
        <f>IF(AND($B1124&gt;='111'!$N$11,$B1124&lt;='111'!$O$11,OR($L1124=$O$7,$M1124=$O$7)),"x","")</f>
        <v/>
      </c>
      <c r="P1124" s="39" t="str">
        <f>IF(AND($L1124=$O$7,$B1124&lt;'111'!$N$11),"x","")</f>
        <v/>
      </c>
      <c r="Q1124" s="39" t="str">
        <f>IF(AND($M1124=$O$7,$B1124&lt;'111'!$N$11),"x","")</f>
        <v/>
      </c>
      <c r="R1124" s="39" t="str">
        <f>IF(ISERROR(FIND('112'!$M$9,G1124,1)),"",IF((AND(FIND('112'!$M$9,G1124,1)&gt;=1,$B1124&gt;='112'!$N$8,$B1124&lt;='112'!$O$8,OR($L1124='112'!$I$6,$M1124='112'!$I$6))),"x",""))</f>
        <v/>
      </c>
      <c r="S1124" s="39" t="str">
        <f>IF(ISERROR(FIND('112'!$M$9,G1124,1)),"",IF((AND(LEFT(G1124,2)=LEFT('112'!$M$9,2),B1124&lt;'112'!$N$8,$L1124='112'!$I$6)),"x",""))</f>
        <v/>
      </c>
      <c r="T1124" s="39" t="str">
        <f>IF(ISERROR(FIND('112'!$M$9,G1124,1)),"",IF((AND(RIGHT(G1124,2)=RIGHT('112'!$M$9,2),B1124&lt;'112'!$N$8,$M1124='112'!$I$6)),"x",""))</f>
        <v/>
      </c>
      <c r="U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>154</v>
      </c>
      <c r="V1124" s="39" t="str">
        <f>IF(OR(TH!L1124=TH!$V$7,M1124=TH!$V$7),"x","")</f>
        <v/>
      </c>
      <c r="W1124" s="39" t="str">
        <f>IF(AND(B1124&gt;='IN-NX'!$P$3,B1124&lt;='IN-NX'!$Q$3,'IN-NX'!$D$7=D1124,OR(LEFT(L1124,2)="15",AND(LEFT(M1124,2)&lt;&gt;"15",LEFT(M1124,2)&lt;&gt;"33"))),"x","")</f>
        <v/>
      </c>
      <c r="X1124" s="39" t="str">
        <f>IF(AND(OR(LEFT(TH!L1124,2)="15",LEFT(TH!M1124,2)="15"),'152-CT'!$J$8=TH!F1124),"x","")</f>
        <v/>
      </c>
      <c r="Y1124" s="39" t="str">
        <f>IF(AND(OR(LEFT(TH!L1124,2)="15",LEFT(TH!M1124,2)="15"),TK!$E$7=TH!F1124),"x","")</f>
        <v/>
      </c>
      <c r="Z1124" s="39" t="str">
        <f>IF(AND(B1124&lt;=NKC!$N$8,B1124&gt;=NKC!$M$8),"x","")</f>
        <v/>
      </c>
      <c r="AA1124" s="886"/>
    </row>
    <row r="1125" spans="1:27" s="211" customFormat="1" ht="15.75" customHeight="1">
      <c r="A1125" s="204" t="str">
        <f>IF(B1125&lt;&gt;"",IF(AND(B1125&gt;=_TM1,B1125&lt;=_TM2,OR(TH!L1125="1111",TH!M1125="1111")),TH!D1125,""),"")</f>
        <v/>
      </c>
      <c r="B1125" s="36">
        <f t="shared" si="224"/>
        <v>6</v>
      </c>
      <c r="C1125" s="191">
        <f t="shared" si="222"/>
        <v>41427</v>
      </c>
      <c r="D1125" s="184" t="s">
        <v>1294</v>
      </c>
      <c r="E1125" s="774">
        <v>41427</v>
      </c>
      <c r="F1125" s="40"/>
      <c r="G1125" s="40" t="s">
        <v>841</v>
      </c>
      <c r="H1125" s="7" t="s">
        <v>1287</v>
      </c>
      <c r="I1125" s="256"/>
      <c r="J1125" s="256"/>
      <c r="K1125" s="602">
        <f t="shared" si="223"/>
        <v>0</v>
      </c>
      <c r="L1125" s="39" t="s">
        <v>165</v>
      </c>
      <c r="M1125" s="603" t="s">
        <v>159</v>
      </c>
      <c r="N1125" s="39" t="str">
        <f>IF(AND('331-CT'!$E$7=TH!H1125,OR(L1125="331",M1125="331")),"331",IF(AND(OR(L1125="131",M1125="131"),H1125='131-CT'!$E$7),"131",""))</f>
        <v/>
      </c>
      <c r="O1125" s="39" t="str">
        <f>IF(AND($B1125&gt;='111'!$N$11,$B1125&lt;='111'!$O$11,OR($L1125=$O$7,$M1125=$O$7)),"x","")</f>
        <v/>
      </c>
      <c r="P1125" s="39" t="str">
        <f>IF(AND($L1125=$O$7,$B1125&lt;'111'!$N$11),"x","")</f>
        <v/>
      </c>
      <c r="Q1125" s="39" t="str">
        <f>IF(AND($M1125=$O$7,$B1125&lt;'111'!$N$11),"x","")</f>
        <v/>
      </c>
      <c r="R1125" s="39" t="str">
        <f>IF(ISERROR(FIND('112'!$M$9,G1125,1)),"",IF((AND(FIND('112'!$M$9,G1125,1)&gt;=1,$B1125&gt;='112'!$N$8,$B1125&lt;='112'!$O$8,OR($L1125='112'!$I$6,$M1125='112'!$I$6))),"x",""))</f>
        <v/>
      </c>
      <c r="S1125" s="39" t="str">
        <f>IF(ISERROR(FIND('112'!$M$9,G1125,1)),"",IF((AND(LEFT(G1125,2)=LEFT('112'!$M$9,2),B1125&lt;'112'!$N$8,$L1125='112'!$I$6)),"x",""))</f>
        <v/>
      </c>
      <c r="T1125" s="39" t="str">
        <f>IF(ISERROR(FIND('112'!$M$9,G1125,1)),"",IF((AND(RIGHT(G1125,2)=RIGHT('112'!$M$9,2),B1125&lt;'112'!$N$8,$M1125='112'!$I$6)),"x",""))</f>
        <v/>
      </c>
      <c r="U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>154</v>
      </c>
      <c r="V1125" s="39" t="str">
        <f>IF(OR(TH!L1125=TH!$V$7,M1125=TH!$V$7),"x","")</f>
        <v/>
      </c>
      <c r="W1125" s="39" t="str">
        <f>IF(AND(B1125&gt;='IN-NX'!$P$3,B1125&lt;='IN-NX'!$Q$3,'IN-NX'!$D$7=D1125,OR(LEFT(L1125,2)="15",AND(LEFT(M1125,2)&lt;&gt;"15",LEFT(M1125,2)&lt;&gt;"33"))),"x","")</f>
        <v/>
      </c>
      <c r="X1125" s="39" t="str">
        <f>IF(AND(OR(LEFT(TH!L1125,2)="15",LEFT(TH!M1125,2)="15"),'152-CT'!$J$8=TH!F1125),"x","")</f>
        <v/>
      </c>
      <c r="Y1125" s="39" t="str">
        <f>IF(AND(OR(LEFT(TH!L1125,2)="15",LEFT(TH!M1125,2)="15"),TK!$E$7=TH!F1125),"x","")</f>
        <v/>
      </c>
      <c r="Z1125" s="39" t="str">
        <f>IF(AND(B1125&lt;=NKC!$N$8,B1125&gt;=NKC!$M$8),"x","")</f>
        <v/>
      </c>
      <c r="AA1125" s="886"/>
    </row>
    <row r="1126" spans="1:27" s="211" customFormat="1" ht="15.75" customHeight="1">
      <c r="A1126" s="204" t="str">
        <f>IF(B1126&lt;&gt;"",IF(AND(B1126&gt;=_TM1,B1126&lt;=_TM2,OR(TH!L1126="1111",TH!M1126="1111")),TH!D1126,""),"")</f>
        <v/>
      </c>
      <c r="B1126" s="36">
        <f t="shared" si="224"/>
        <v>6</v>
      </c>
      <c r="C1126" s="191">
        <f t="shared" si="222"/>
        <v>41427</v>
      </c>
      <c r="D1126" s="184" t="s">
        <v>1294</v>
      </c>
      <c r="E1126" s="774">
        <v>41427</v>
      </c>
      <c r="F1126" s="40"/>
      <c r="G1126" s="40" t="s">
        <v>841</v>
      </c>
      <c r="H1126" s="7" t="s">
        <v>1287</v>
      </c>
      <c r="I1126" s="256"/>
      <c r="J1126" s="256"/>
      <c r="K1126" s="602">
        <f t="shared" si="223"/>
        <v>0</v>
      </c>
      <c r="L1126" s="39" t="s">
        <v>165</v>
      </c>
      <c r="M1126" s="603" t="s">
        <v>159</v>
      </c>
      <c r="N1126" s="39" t="str">
        <f>IF(AND('331-CT'!$E$7=TH!H1126,OR(L1126="331",M1126="331")),"331",IF(AND(OR(L1126="131",M1126="131"),H1126='131-CT'!$E$7),"131",""))</f>
        <v/>
      </c>
      <c r="O1126" s="39" t="str">
        <f>IF(AND($B1126&gt;='111'!$N$11,$B1126&lt;='111'!$O$11,OR($L1126=$O$7,$M1126=$O$7)),"x","")</f>
        <v/>
      </c>
      <c r="P1126" s="39" t="str">
        <f>IF(AND($L1126=$O$7,$B1126&lt;'111'!$N$11),"x","")</f>
        <v/>
      </c>
      <c r="Q1126" s="39" t="str">
        <f>IF(AND($M1126=$O$7,$B1126&lt;'111'!$N$11),"x","")</f>
        <v/>
      </c>
      <c r="R1126" s="39" t="str">
        <f>IF(ISERROR(FIND('112'!$M$9,G1126,1)),"",IF((AND(FIND('112'!$M$9,G1126,1)&gt;=1,$B1126&gt;='112'!$N$8,$B1126&lt;='112'!$O$8,OR($L1126='112'!$I$6,$M1126='112'!$I$6))),"x",""))</f>
        <v/>
      </c>
      <c r="S1126" s="39" t="str">
        <f>IF(ISERROR(FIND('112'!$M$9,G1126,1)),"",IF((AND(LEFT(G1126,2)=LEFT('112'!$M$9,2),B1126&lt;'112'!$N$8,$L1126='112'!$I$6)),"x",""))</f>
        <v/>
      </c>
      <c r="T1126" s="39" t="str">
        <f>IF(ISERROR(FIND('112'!$M$9,G1126,1)),"",IF((AND(RIGHT(G1126,2)=RIGHT('112'!$M$9,2),B1126&lt;'112'!$N$8,$M1126='112'!$I$6)),"x",""))</f>
        <v/>
      </c>
      <c r="U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>154</v>
      </c>
      <c r="V1126" s="39" t="str">
        <f>IF(OR(TH!L1126=TH!$V$7,M1126=TH!$V$7),"x","")</f>
        <v/>
      </c>
      <c r="W1126" s="39" t="str">
        <f>IF(AND(B1126&gt;='IN-NX'!$P$3,B1126&lt;='IN-NX'!$Q$3,'IN-NX'!$D$7=D1126,OR(LEFT(L1126,2)="15",AND(LEFT(M1126,2)&lt;&gt;"15",LEFT(M1126,2)&lt;&gt;"33"))),"x","")</f>
        <v/>
      </c>
      <c r="X1126" s="39" t="str">
        <f>IF(AND(OR(LEFT(TH!L1126,2)="15",LEFT(TH!M1126,2)="15"),'152-CT'!$J$8=TH!F1126),"x","")</f>
        <v/>
      </c>
      <c r="Y1126" s="39" t="str">
        <f>IF(AND(OR(LEFT(TH!L1126,2)="15",LEFT(TH!M1126,2)="15"),TK!$E$7=TH!F1126),"x","")</f>
        <v/>
      </c>
      <c r="Z1126" s="39" t="str">
        <f>IF(AND(B1126&lt;=NKC!$N$8,B1126&gt;=NKC!$M$8),"x","")</f>
        <v/>
      </c>
      <c r="AA1126" s="886"/>
    </row>
    <row r="1127" spans="1:27" s="211" customFormat="1" ht="15.75" customHeight="1">
      <c r="A1127" s="204" t="str">
        <f>IF(B1127&lt;&gt;"",IF(AND(B1127&gt;=_TM1,B1127&lt;=_TM2,OR(TH!L1127="1111",TH!M1127="1111")),TH!D1127,""),"")</f>
        <v/>
      </c>
      <c r="B1127" s="36">
        <f t="shared" si="224"/>
        <v>6</v>
      </c>
      <c r="C1127" s="191">
        <f t="shared" si="222"/>
        <v>41429</v>
      </c>
      <c r="D1127" s="184" t="s">
        <v>1294</v>
      </c>
      <c r="E1127" s="774">
        <v>41429</v>
      </c>
      <c r="F1127" s="189"/>
      <c r="G1127" s="40" t="s">
        <v>842</v>
      </c>
      <c r="H1127" s="7" t="s">
        <v>1287</v>
      </c>
      <c r="I1127" s="256"/>
      <c r="J1127" s="256"/>
      <c r="K1127" s="602">
        <f t="shared" si="223"/>
        <v>0</v>
      </c>
      <c r="L1127" s="39" t="s">
        <v>165</v>
      </c>
      <c r="M1127" s="603" t="s">
        <v>159</v>
      </c>
      <c r="N1127" s="39" t="str">
        <f>IF(AND('331-CT'!$E$7=TH!H1127,OR(L1127="331",M1127="331")),"331",IF(AND(OR(L1127="131",M1127="131"),H1127='131-CT'!$E$7),"131",""))</f>
        <v/>
      </c>
      <c r="O1127" s="39" t="str">
        <f>IF(AND($B1127&gt;='111'!$N$11,$B1127&lt;='111'!$O$11,OR($L1127=$O$7,$M1127=$O$7)),"x","")</f>
        <v/>
      </c>
      <c r="P1127" s="39" t="str">
        <f>IF(AND($L1127=$O$7,$B1127&lt;'111'!$N$11),"x","")</f>
        <v/>
      </c>
      <c r="Q1127" s="39" t="str">
        <f>IF(AND($M1127=$O$7,$B1127&lt;'111'!$N$11),"x","")</f>
        <v/>
      </c>
      <c r="R1127" s="39" t="str">
        <f>IF(ISERROR(FIND('112'!$M$9,G1127,1)),"",IF((AND(FIND('112'!$M$9,G1127,1)&gt;=1,$B1127&gt;='112'!$N$8,$B1127&lt;='112'!$O$8,OR($L1127='112'!$I$6,$M1127='112'!$I$6))),"x",""))</f>
        <v/>
      </c>
      <c r="S1127" s="39" t="str">
        <f>IF(ISERROR(FIND('112'!$M$9,G1127,1)),"",IF((AND(LEFT(G1127,2)=LEFT('112'!$M$9,2),B1127&lt;'112'!$N$8,$L1127='112'!$I$6)),"x",""))</f>
        <v/>
      </c>
      <c r="T1127" s="39" t="str">
        <f>IF(ISERROR(FIND('112'!$M$9,G1127,1)),"",IF((AND(RIGHT(G1127,2)=RIGHT('112'!$M$9,2),B1127&lt;'112'!$N$8,$M1127='112'!$I$6)),"x",""))</f>
        <v/>
      </c>
      <c r="U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>154</v>
      </c>
      <c r="V1127" s="39" t="str">
        <f>IF(OR(TH!L1127=TH!$V$7,M1127=TH!$V$7),"x","")</f>
        <v/>
      </c>
      <c r="W1127" s="39" t="str">
        <f>IF(AND(B1127&gt;='IN-NX'!$P$3,B1127&lt;='IN-NX'!$Q$3,'IN-NX'!$D$7=D1127,OR(LEFT(L1127,2)="15",AND(LEFT(M1127,2)&lt;&gt;"15",LEFT(M1127,2)&lt;&gt;"33"))),"x","")</f>
        <v/>
      </c>
      <c r="X1127" s="39" t="str">
        <f>IF(AND(OR(LEFT(TH!L1127,2)="15",LEFT(TH!M1127,2)="15"),'152-CT'!$J$8=TH!F1127),"x","")</f>
        <v/>
      </c>
      <c r="Y1127" s="39" t="str">
        <f>IF(AND(OR(LEFT(TH!L1127,2)="15",LEFT(TH!M1127,2)="15"),TK!$E$7=TH!F1127),"x","")</f>
        <v/>
      </c>
      <c r="Z1127" s="39" t="str">
        <f>IF(AND(B1127&lt;=NKC!$N$8,B1127&gt;=NKC!$M$8),"x","")</f>
        <v/>
      </c>
      <c r="AA1127" s="886"/>
    </row>
    <row r="1128" spans="1:27" s="211" customFormat="1" ht="15.75" customHeight="1">
      <c r="A1128" s="204" t="str">
        <f>IF(B1128&lt;&gt;"",IF(AND(B1128&gt;=_TM1,B1128&lt;=_TM2,OR(TH!L1128="1111",TH!M1128="1111")),TH!D1128,""),"")</f>
        <v/>
      </c>
      <c r="B1128" s="36">
        <f t="shared" si="224"/>
        <v>6</v>
      </c>
      <c r="C1128" s="191">
        <f t="shared" si="222"/>
        <v>41429</v>
      </c>
      <c r="D1128" s="184" t="s">
        <v>1294</v>
      </c>
      <c r="E1128" s="774">
        <v>41429</v>
      </c>
      <c r="F1128" s="40"/>
      <c r="G1128" s="40" t="s">
        <v>842</v>
      </c>
      <c r="H1128" s="7" t="s">
        <v>1287</v>
      </c>
      <c r="I1128" s="256"/>
      <c r="J1128" s="256"/>
      <c r="K1128" s="602">
        <f t="shared" si="223"/>
        <v>0</v>
      </c>
      <c r="L1128" s="39" t="s">
        <v>165</v>
      </c>
      <c r="M1128" s="603" t="s">
        <v>159</v>
      </c>
      <c r="N1128" s="39" t="str">
        <f>IF(AND('331-CT'!$E$7=TH!H1128,OR(L1128="331",M1128="331")),"331",IF(AND(OR(L1128="131",M1128="131"),H1128='131-CT'!$E$7),"131",""))</f>
        <v/>
      </c>
      <c r="O1128" s="39" t="str">
        <f>IF(AND($B1128&gt;='111'!$N$11,$B1128&lt;='111'!$O$11,OR($L1128=$O$7,$M1128=$O$7)),"x","")</f>
        <v/>
      </c>
      <c r="P1128" s="39" t="str">
        <f>IF(AND($L1128=$O$7,$B1128&lt;'111'!$N$11),"x","")</f>
        <v/>
      </c>
      <c r="Q1128" s="39" t="str">
        <f>IF(AND($M1128=$O$7,$B1128&lt;'111'!$N$11),"x","")</f>
        <v/>
      </c>
      <c r="R1128" s="39" t="str">
        <f>IF(ISERROR(FIND('112'!$M$9,G1128,1)),"",IF((AND(FIND('112'!$M$9,G1128,1)&gt;=1,$B1128&gt;='112'!$N$8,$B1128&lt;='112'!$O$8,OR($L1128='112'!$I$6,$M1128='112'!$I$6))),"x",""))</f>
        <v/>
      </c>
      <c r="S1128" s="39" t="str">
        <f>IF(ISERROR(FIND('112'!$M$9,G1128,1)),"",IF((AND(LEFT(G1128,2)=LEFT('112'!$M$9,2),B1128&lt;'112'!$N$8,$L1128='112'!$I$6)),"x",""))</f>
        <v/>
      </c>
      <c r="T1128" s="39" t="str">
        <f>IF(ISERROR(FIND('112'!$M$9,G1128,1)),"",IF((AND(RIGHT(G1128,2)=RIGHT('112'!$M$9,2),B1128&lt;'112'!$N$8,$M1128='112'!$I$6)),"x",""))</f>
        <v/>
      </c>
      <c r="U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>154</v>
      </c>
      <c r="V1128" s="39" t="str">
        <f>IF(OR(TH!L1128=TH!$V$7,M1128=TH!$V$7),"x","")</f>
        <v/>
      </c>
      <c r="W1128" s="39" t="str">
        <f>IF(AND(B1128&gt;='IN-NX'!$P$3,B1128&lt;='IN-NX'!$Q$3,'IN-NX'!$D$7=D1128,OR(LEFT(L1128,2)="15",AND(LEFT(M1128,2)&lt;&gt;"15",LEFT(M1128,2)&lt;&gt;"33"))),"x","")</f>
        <v/>
      </c>
      <c r="X1128" s="39" t="str">
        <f>IF(AND(OR(LEFT(TH!L1128,2)="15",LEFT(TH!M1128,2)="15"),'152-CT'!$J$8=TH!F1128),"x","")</f>
        <v/>
      </c>
      <c r="Y1128" s="39" t="str">
        <f>IF(AND(OR(LEFT(TH!L1128,2)="15",LEFT(TH!M1128,2)="15"),TK!$E$7=TH!F1128),"x","")</f>
        <v/>
      </c>
      <c r="Z1128" s="39" t="str">
        <f>IF(AND(B1128&lt;=NKC!$N$8,B1128&gt;=NKC!$M$8),"x","")</f>
        <v/>
      </c>
      <c r="AA1128" s="886"/>
    </row>
    <row r="1129" spans="1:27" s="211" customFormat="1" ht="15.75" customHeight="1">
      <c r="A1129" s="204" t="str">
        <f>IF(B1129&lt;&gt;"",IF(AND(B1129&gt;=_TM1,B1129&lt;=_TM2,OR(TH!L1129="1111",TH!M1129="1111")),TH!D1129,""),"")</f>
        <v/>
      </c>
      <c r="B1129" s="36">
        <f t="shared" si="224"/>
        <v>6</v>
      </c>
      <c r="C1129" s="191">
        <f t="shared" si="222"/>
        <v>41429</v>
      </c>
      <c r="D1129" s="184" t="s">
        <v>1294</v>
      </c>
      <c r="E1129" s="774">
        <v>41429</v>
      </c>
      <c r="F1129" s="189"/>
      <c r="G1129" s="40" t="s">
        <v>842</v>
      </c>
      <c r="H1129" s="7" t="s">
        <v>1287</v>
      </c>
      <c r="I1129" s="256"/>
      <c r="J1129" s="256"/>
      <c r="K1129" s="602">
        <f t="shared" si="223"/>
        <v>0</v>
      </c>
      <c r="L1129" s="39" t="s">
        <v>165</v>
      </c>
      <c r="M1129" s="603" t="s">
        <v>159</v>
      </c>
      <c r="N1129" s="39" t="str">
        <f>IF(AND('331-CT'!$E$7=TH!H1129,OR(L1129="331",M1129="331")),"331",IF(AND(OR(L1129="131",M1129="131"),H1129='131-CT'!$E$7),"131",""))</f>
        <v/>
      </c>
      <c r="O1129" s="39" t="str">
        <f>IF(AND($B1129&gt;='111'!$N$11,$B1129&lt;='111'!$O$11,OR($L1129=$O$7,$M1129=$O$7)),"x","")</f>
        <v/>
      </c>
      <c r="P1129" s="39" t="str">
        <f>IF(AND($L1129=$O$7,$B1129&lt;'111'!$N$11),"x","")</f>
        <v/>
      </c>
      <c r="Q1129" s="39" t="str">
        <f>IF(AND($M1129=$O$7,$B1129&lt;'111'!$N$11),"x","")</f>
        <v/>
      </c>
      <c r="R1129" s="39" t="str">
        <f>IF(ISERROR(FIND('112'!$M$9,G1129,1)),"",IF((AND(FIND('112'!$M$9,G1129,1)&gt;=1,$B1129&gt;='112'!$N$8,$B1129&lt;='112'!$O$8,OR($L1129='112'!$I$6,$M1129='112'!$I$6))),"x",""))</f>
        <v/>
      </c>
      <c r="S1129" s="39" t="str">
        <f>IF(ISERROR(FIND('112'!$M$9,G1129,1)),"",IF((AND(LEFT(G1129,2)=LEFT('112'!$M$9,2),B1129&lt;'112'!$N$8,$L1129='112'!$I$6)),"x",""))</f>
        <v/>
      </c>
      <c r="T1129" s="39" t="str">
        <f>IF(ISERROR(FIND('112'!$M$9,G1129,1)),"",IF((AND(RIGHT(G1129,2)=RIGHT('112'!$M$9,2),B1129&lt;'112'!$N$8,$M1129='112'!$I$6)),"x",""))</f>
        <v/>
      </c>
      <c r="U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>154</v>
      </c>
      <c r="V1129" s="39" t="str">
        <f>IF(OR(TH!L1129=TH!$V$7,M1129=TH!$V$7),"x","")</f>
        <v/>
      </c>
      <c r="W1129" s="39" t="str">
        <f>IF(AND(B1129&gt;='IN-NX'!$P$3,B1129&lt;='IN-NX'!$Q$3,'IN-NX'!$D$7=D1129,OR(LEFT(L1129,2)="15",AND(LEFT(M1129,2)&lt;&gt;"15",LEFT(M1129,2)&lt;&gt;"33"))),"x","")</f>
        <v/>
      </c>
      <c r="X1129" s="39" t="str">
        <f>IF(AND(OR(LEFT(TH!L1129,2)="15",LEFT(TH!M1129,2)="15"),'152-CT'!$J$8=TH!F1129),"x","")</f>
        <v/>
      </c>
      <c r="Y1129" s="39" t="str">
        <f>IF(AND(OR(LEFT(TH!L1129,2)="15",LEFT(TH!M1129,2)="15"),TK!$E$7=TH!F1129),"x","")</f>
        <v/>
      </c>
      <c r="Z1129" s="39" t="str">
        <f>IF(AND(B1129&lt;=NKC!$N$8,B1129&gt;=NKC!$M$8),"x","")</f>
        <v/>
      </c>
      <c r="AA1129" s="886"/>
    </row>
    <row r="1130" spans="1:27" s="211" customFormat="1" ht="15.75" customHeight="1">
      <c r="A1130" s="204" t="str">
        <f>IF(B1130&lt;&gt;"",IF(AND(B1130&gt;=_TM1,B1130&lt;=_TM2,OR(TH!L1130="1111",TH!M1130="1111")),TH!D1130,""),"")</f>
        <v/>
      </c>
      <c r="B1130" s="36">
        <f t="shared" si="224"/>
        <v>6</v>
      </c>
      <c r="C1130" s="191">
        <f t="shared" si="222"/>
        <v>41429</v>
      </c>
      <c r="D1130" s="184" t="s">
        <v>1294</v>
      </c>
      <c r="E1130" s="774">
        <v>41429</v>
      </c>
      <c r="F1130" s="40"/>
      <c r="G1130" s="40" t="s">
        <v>842</v>
      </c>
      <c r="H1130" s="7" t="s">
        <v>1287</v>
      </c>
      <c r="I1130" s="256"/>
      <c r="J1130" s="256"/>
      <c r="K1130" s="602">
        <f t="shared" si="223"/>
        <v>0</v>
      </c>
      <c r="L1130" s="39" t="s">
        <v>165</v>
      </c>
      <c r="M1130" s="603" t="s">
        <v>159</v>
      </c>
      <c r="N1130" s="39" t="str">
        <f>IF(AND('331-CT'!$E$7=TH!H1130,OR(L1130="331",M1130="331")),"331",IF(AND(OR(L1130="131",M1130="131"),H1130='131-CT'!$E$7),"131",""))</f>
        <v/>
      </c>
      <c r="O1130" s="39" t="str">
        <f>IF(AND($B1130&gt;='111'!$N$11,$B1130&lt;='111'!$O$11,OR($L1130=$O$7,$M1130=$O$7)),"x","")</f>
        <v/>
      </c>
      <c r="P1130" s="39" t="str">
        <f>IF(AND($L1130=$O$7,$B1130&lt;'111'!$N$11),"x","")</f>
        <v/>
      </c>
      <c r="Q1130" s="39" t="str">
        <f>IF(AND($M1130=$O$7,$B1130&lt;'111'!$N$11),"x","")</f>
        <v/>
      </c>
      <c r="R1130" s="39" t="str">
        <f>IF(ISERROR(FIND('112'!$M$9,G1130,1)),"",IF((AND(FIND('112'!$M$9,G1130,1)&gt;=1,$B1130&gt;='112'!$N$8,$B1130&lt;='112'!$O$8,OR($L1130='112'!$I$6,$M1130='112'!$I$6))),"x",""))</f>
        <v/>
      </c>
      <c r="S1130" s="39" t="str">
        <f>IF(ISERROR(FIND('112'!$M$9,G1130,1)),"",IF((AND(LEFT(G1130,2)=LEFT('112'!$M$9,2),B1130&lt;'112'!$N$8,$L1130='112'!$I$6)),"x",""))</f>
        <v/>
      </c>
      <c r="T1130" s="39" t="str">
        <f>IF(ISERROR(FIND('112'!$M$9,G1130,1)),"",IF((AND(RIGHT(G1130,2)=RIGHT('112'!$M$9,2),B1130&lt;'112'!$N$8,$M1130='112'!$I$6)),"x",""))</f>
        <v/>
      </c>
      <c r="U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>154</v>
      </c>
      <c r="V1130" s="39" t="str">
        <f>IF(OR(TH!L1130=TH!$V$7,M1130=TH!$V$7),"x","")</f>
        <v/>
      </c>
      <c r="W1130" s="39" t="str">
        <f>IF(AND(B1130&gt;='IN-NX'!$P$3,B1130&lt;='IN-NX'!$Q$3,'IN-NX'!$D$7=D1130,OR(LEFT(L1130,2)="15",AND(LEFT(M1130,2)&lt;&gt;"15",LEFT(M1130,2)&lt;&gt;"33"))),"x","")</f>
        <v/>
      </c>
      <c r="X1130" s="39" t="str">
        <f>IF(AND(OR(LEFT(TH!L1130,2)="15",LEFT(TH!M1130,2)="15"),'152-CT'!$J$8=TH!F1130),"x","")</f>
        <v/>
      </c>
      <c r="Y1130" s="39" t="str">
        <f>IF(AND(OR(LEFT(TH!L1130,2)="15",LEFT(TH!M1130,2)="15"),TK!$E$7=TH!F1130),"x","")</f>
        <v/>
      </c>
      <c r="Z1130" s="39" t="str">
        <f>IF(AND(B1130&lt;=NKC!$N$8,B1130&gt;=NKC!$M$8),"x","")</f>
        <v/>
      </c>
      <c r="AA1130" s="886"/>
    </row>
    <row r="1131" spans="1:27" s="211" customFormat="1" ht="15.75" customHeight="1">
      <c r="A1131" s="204" t="str">
        <f>IF(B1131&lt;&gt;"",IF(AND(B1131&gt;=_TM1,B1131&lt;=_TM2,OR(TH!L1131="1111",TH!M1131="1111")),TH!D1131,""),"")</f>
        <v/>
      </c>
      <c r="B1131" s="36">
        <f t="shared" si="224"/>
        <v>6</v>
      </c>
      <c r="C1131" s="191">
        <f t="shared" si="222"/>
        <v>41429</v>
      </c>
      <c r="D1131" s="184" t="s">
        <v>1294</v>
      </c>
      <c r="E1131" s="774">
        <v>41429</v>
      </c>
      <c r="F1131" s="40"/>
      <c r="G1131" s="40" t="s">
        <v>845</v>
      </c>
      <c r="H1131" s="7" t="s">
        <v>1287</v>
      </c>
      <c r="I1131" s="256"/>
      <c r="J1131" s="256"/>
      <c r="K1131" s="602">
        <f t="shared" si="223"/>
        <v>0</v>
      </c>
      <c r="L1131" s="39" t="s">
        <v>165</v>
      </c>
      <c r="M1131" s="603" t="s">
        <v>159</v>
      </c>
      <c r="N1131" s="39" t="str">
        <f>IF(AND('331-CT'!$E$7=TH!H1131,OR(L1131="331",M1131="331")),"331",IF(AND(OR(L1131="131",M1131="131"),H1131='131-CT'!$E$7),"131",""))</f>
        <v/>
      </c>
      <c r="O1131" s="39" t="str">
        <f>IF(AND($B1131&gt;='111'!$N$11,$B1131&lt;='111'!$O$11,OR($L1131=$O$7,$M1131=$O$7)),"x","")</f>
        <v/>
      </c>
      <c r="P1131" s="39" t="str">
        <f>IF(AND($L1131=$O$7,$B1131&lt;'111'!$N$11),"x","")</f>
        <v/>
      </c>
      <c r="Q1131" s="39" t="str">
        <f>IF(AND($M1131=$O$7,$B1131&lt;'111'!$N$11),"x","")</f>
        <v/>
      </c>
      <c r="R1131" s="39" t="str">
        <f>IF(ISERROR(FIND('112'!$M$9,G1131,1)),"",IF((AND(FIND('112'!$M$9,G1131,1)&gt;=1,$B1131&gt;='112'!$N$8,$B1131&lt;='112'!$O$8,OR($L1131='112'!$I$6,$M1131='112'!$I$6))),"x",""))</f>
        <v/>
      </c>
      <c r="S1131" s="39" t="str">
        <f>IF(ISERROR(FIND('112'!$M$9,G1131,1)),"",IF((AND(LEFT(G1131,2)=LEFT('112'!$M$9,2),B1131&lt;'112'!$N$8,$L1131='112'!$I$6)),"x",""))</f>
        <v/>
      </c>
      <c r="T1131" s="39" t="str">
        <f>IF(ISERROR(FIND('112'!$M$9,G1131,1)),"",IF((AND(RIGHT(G1131,2)=RIGHT('112'!$M$9,2),B1131&lt;'112'!$N$8,$M1131='112'!$I$6)),"x",""))</f>
        <v/>
      </c>
      <c r="U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>154</v>
      </c>
      <c r="V1131" s="39" t="str">
        <f>IF(OR(TH!L1131=TH!$V$7,M1131=TH!$V$7),"x","")</f>
        <v/>
      </c>
      <c r="W1131" s="39" t="str">
        <f>IF(AND(B1131&gt;='IN-NX'!$P$3,B1131&lt;='IN-NX'!$Q$3,'IN-NX'!$D$7=D1131,OR(LEFT(L1131,2)="15",AND(LEFT(M1131,2)&lt;&gt;"15",LEFT(M1131,2)&lt;&gt;"33"))),"x","")</f>
        <v/>
      </c>
      <c r="X1131" s="39" t="str">
        <f>IF(AND(OR(LEFT(TH!L1131,2)="15",LEFT(TH!M1131,2)="15"),'152-CT'!$J$8=TH!F1131),"x","")</f>
        <v/>
      </c>
      <c r="Y1131" s="39" t="str">
        <f>IF(AND(OR(LEFT(TH!L1131,2)="15",LEFT(TH!M1131,2)="15"),TK!$E$7=TH!F1131),"x","")</f>
        <v/>
      </c>
      <c r="Z1131" s="39" t="str">
        <f>IF(AND(B1131&lt;=NKC!$N$8,B1131&gt;=NKC!$M$8),"x","")</f>
        <v/>
      </c>
      <c r="AA1131" s="886"/>
    </row>
    <row r="1132" spans="1:27" s="211" customFormat="1" ht="15.75" customHeight="1">
      <c r="A1132" s="204" t="str">
        <f>IF(B1132&lt;&gt;"",IF(AND(B1132&gt;=_TM1,B1132&lt;=_TM2,OR(TH!L1132="1111",TH!M1132="1111")),TH!D1132,""),"")</f>
        <v/>
      </c>
      <c r="B1132" s="36">
        <f t="shared" si="224"/>
        <v>6</v>
      </c>
      <c r="C1132" s="191">
        <f t="shared" si="222"/>
        <v>41429</v>
      </c>
      <c r="D1132" s="184" t="s">
        <v>1294</v>
      </c>
      <c r="E1132" s="774">
        <v>41429</v>
      </c>
      <c r="F1132" s="189"/>
      <c r="G1132" s="40" t="s">
        <v>845</v>
      </c>
      <c r="H1132" s="7" t="s">
        <v>1287</v>
      </c>
      <c r="I1132" s="256"/>
      <c r="J1132" s="256"/>
      <c r="K1132" s="602">
        <f t="shared" si="223"/>
        <v>0</v>
      </c>
      <c r="L1132" s="39" t="s">
        <v>165</v>
      </c>
      <c r="M1132" s="603" t="s">
        <v>159</v>
      </c>
      <c r="N1132" s="39" t="str">
        <f>IF(AND('331-CT'!$E$7=TH!H1132,OR(L1132="331",M1132="331")),"331",IF(AND(OR(L1132="131",M1132="131"),H1132='131-CT'!$E$7),"131",""))</f>
        <v/>
      </c>
      <c r="O1132" s="39" t="str">
        <f>IF(AND($B1132&gt;='111'!$N$11,$B1132&lt;='111'!$O$11,OR($L1132=$O$7,$M1132=$O$7)),"x","")</f>
        <v/>
      </c>
      <c r="P1132" s="39" t="str">
        <f>IF(AND($L1132=$O$7,$B1132&lt;'111'!$N$11),"x","")</f>
        <v/>
      </c>
      <c r="Q1132" s="39" t="str">
        <f>IF(AND($M1132=$O$7,$B1132&lt;'111'!$N$11),"x","")</f>
        <v/>
      </c>
      <c r="R1132" s="39" t="str">
        <f>IF(ISERROR(FIND('112'!$M$9,G1132,1)),"",IF((AND(FIND('112'!$M$9,G1132,1)&gt;=1,$B1132&gt;='112'!$N$8,$B1132&lt;='112'!$O$8,OR($L1132='112'!$I$6,$M1132='112'!$I$6))),"x",""))</f>
        <v/>
      </c>
      <c r="S1132" s="39" t="str">
        <f>IF(ISERROR(FIND('112'!$M$9,G1132,1)),"",IF((AND(LEFT(G1132,2)=LEFT('112'!$M$9,2),B1132&lt;'112'!$N$8,$L1132='112'!$I$6)),"x",""))</f>
        <v/>
      </c>
      <c r="T1132" s="39" t="str">
        <f>IF(ISERROR(FIND('112'!$M$9,G1132,1)),"",IF((AND(RIGHT(G1132,2)=RIGHT('112'!$M$9,2),B1132&lt;'112'!$N$8,$M1132='112'!$I$6)),"x",""))</f>
        <v/>
      </c>
      <c r="U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>154</v>
      </c>
      <c r="V1132" s="39" t="str">
        <f>IF(OR(TH!L1132=TH!$V$7,M1132=TH!$V$7),"x","")</f>
        <v/>
      </c>
      <c r="W1132" s="39" t="str">
        <f>IF(AND(B1132&gt;='IN-NX'!$P$3,B1132&lt;='IN-NX'!$Q$3,'IN-NX'!$D$7=D1132,OR(LEFT(L1132,2)="15",AND(LEFT(M1132,2)&lt;&gt;"15",LEFT(M1132,2)&lt;&gt;"33"))),"x","")</f>
        <v/>
      </c>
      <c r="X1132" s="39" t="str">
        <f>IF(AND(OR(LEFT(TH!L1132,2)="15",LEFT(TH!M1132,2)="15"),'152-CT'!$J$8=TH!F1132),"x","")</f>
        <v/>
      </c>
      <c r="Y1132" s="39" t="str">
        <f>IF(AND(OR(LEFT(TH!L1132,2)="15",LEFT(TH!M1132,2)="15"),TK!$E$7=TH!F1132),"x","")</f>
        <v/>
      </c>
      <c r="Z1132" s="39" t="str">
        <f>IF(AND(B1132&lt;=NKC!$N$8,B1132&gt;=NKC!$M$8),"x","")</f>
        <v/>
      </c>
      <c r="AA1132" s="886"/>
    </row>
    <row r="1133" spans="1:27" s="211" customFormat="1" ht="15.75" customHeight="1">
      <c r="A1133" s="204" t="str">
        <f>IF(B1133&lt;&gt;"",IF(AND(B1133&gt;=_TM1,B1133&lt;=_TM2,OR(TH!L1133="1111",TH!M1133="1111")),TH!D1133,""),"")</f>
        <v/>
      </c>
      <c r="B1133" s="36">
        <f t="shared" si="224"/>
        <v>6</v>
      </c>
      <c r="C1133" s="191">
        <f t="shared" si="222"/>
        <v>41429</v>
      </c>
      <c r="D1133" s="184" t="s">
        <v>1294</v>
      </c>
      <c r="E1133" s="774">
        <v>41429</v>
      </c>
      <c r="F1133" s="189"/>
      <c r="G1133" s="40" t="s">
        <v>845</v>
      </c>
      <c r="H1133" s="7" t="s">
        <v>1287</v>
      </c>
      <c r="I1133" s="256"/>
      <c r="J1133" s="256"/>
      <c r="K1133" s="602">
        <f t="shared" si="223"/>
        <v>0</v>
      </c>
      <c r="L1133" s="39" t="s">
        <v>165</v>
      </c>
      <c r="M1133" s="603" t="s">
        <v>159</v>
      </c>
      <c r="N1133" s="39" t="str">
        <f>IF(AND('331-CT'!$E$7=TH!H1133,OR(L1133="331",M1133="331")),"331",IF(AND(OR(L1133="131",M1133="131"),H1133='131-CT'!$E$7),"131",""))</f>
        <v/>
      </c>
      <c r="O1133" s="39" t="str">
        <f>IF(AND($B1133&gt;='111'!$N$11,$B1133&lt;='111'!$O$11,OR($L1133=$O$7,$M1133=$O$7)),"x","")</f>
        <v/>
      </c>
      <c r="P1133" s="39" t="str">
        <f>IF(AND($L1133=$O$7,$B1133&lt;'111'!$N$11),"x","")</f>
        <v/>
      </c>
      <c r="Q1133" s="39" t="str">
        <f>IF(AND($M1133=$O$7,$B1133&lt;'111'!$N$11),"x","")</f>
        <v/>
      </c>
      <c r="R1133" s="39" t="str">
        <f>IF(ISERROR(FIND('112'!$M$9,G1133,1)),"",IF((AND(FIND('112'!$M$9,G1133,1)&gt;=1,$B1133&gt;='112'!$N$8,$B1133&lt;='112'!$O$8,OR($L1133='112'!$I$6,$M1133='112'!$I$6))),"x",""))</f>
        <v/>
      </c>
      <c r="S1133" s="39" t="str">
        <f>IF(ISERROR(FIND('112'!$M$9,G1133,1)),"",IF((AND(LEFT(G1133,2)=LEFT('112'!$M$9,2),B1133&lt;'112'!$N$8,$L1133='112'!$I$6)),"x",""))</f>
        <v/>
      </c>
      <c r="T1133" s="39" t="str">
        <f>IF(ISERROR(FIND('112'!$M$9,G1133,1)),"",IF((AND(RIGHT(G1133,2)=RIGHT('112'!$M$9,2),B1133&lt;'112'!$N$8,$M1133='112'!$I$6)),"x",""))</f>
        <v/>
      </c>
      <c r="U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>154</v>
      </c>
      <c r="V1133" s="39" t="str">
        <f>IF(OR(TH!L1133=TH!$V$7,M1133=TH!$V$7),"x","")</f>
        <v/>
      </c>
      <c r="W1133" s="39" t="str">
        <f>IF(AND(B1133&gt;='IN-NX'!$P$3,B1133&lt;='IN-NX'!$Q$3,'IN-NX'!$D$7=D1133,OR(LEFT(L1133,2)="15",AND(LEFT(M1133,2)&lt;&gt;"15",LEFT(M1133,2)&lt;&gt;"33"))),"x","")</f>
        <v/>
      </c>
      <c r="X1133" s="39" t="str">
        <f>IF(AND(OR(LEFT(TH!L1133,2)="15",LEFT(TH!M1133,2)="15"),'152-CT'!$J$8=TH!F1133),"x","")</f>
        <v/>
      </c>
      <c r="Y1133" s="39" t="str">
        <f>IF(AND(OR(LEFT(TH!L1133,2)="15",LEFT(TH!M1133,2)="15"),TK!$E$7=TH!F1133),"x","")</f>
        <v/>
      </c>
      <c r="Z1133" s="39" t="str">
        <f>IF(AND(B1133&lt;=NKC!$N$8,B1133&gt;=NKC!$M$8),"x","")</f>
        <v/>
      </c>
      <c r="AA1133" s="886"/>
    </row>
    <row r="1134" spans="1:27" s="211" customFormat="1" ht="15.75" customHeight="1">
      <c r="A1134" s="204" t="str">
        <f>IF(B1134&lt;&gt;"",IF(AND(B1134&gt;=_TM1,B1134&lt;=_TM2,OR(TH!L1134="1111",TH!M1134="1111")),TH!D1134,""),"")</f>
        <v/>
      </c>
      <c r="B1134" s="36">
        <f t="shared" si="224"/>
        <v>6</v>
      </c>
      <c r="C1134" s="191">
        <f t="shared" si="222"/>
        <v>41429</v>
      </c>
      <c r="D1134" s="184" t="s">
        <v>1294</v>
      </c>
      <c r="E1134" s="774">
        <v>41429</v>
      </c>
      <c r="F1134" s="189"/>
      <c r="G1134" s="40" t="s">
        <v>845</v>
      </c>
      <c r="H1134" s="7" t="s">
        <v>1287</v>
      </c>
      <c r="I1134" s="256"/>
      <c r="J1134" s="256"/>
      <c r="K1134" s="602">
        <f t="shared" si="223"/>
        <v>0</v>
      </c>
      <c r="L1134" s="39" t="s">
        <v>165</v>
      </c>
      <c r="M1134" s="603" t="s">
        <v>159</v>
      </c>
      <c r="N1134" s="39" t="str">
        <f>IF(AND('331-CT'!$E$7=TH!H1134,OR(L1134="331",M1134="331")),"331",IF(AND(OR(L1134="131",M1134="131"),H1134='131-CT'!$E$7),"131",""))</f>
        <v/>
      </c>
      <c r="O1134" s="39" t="str">
        <f>IF(AND($B1134&gt;='111'!$N$11,$B1134&lt;='111'!$O$11,OR($L1134=$O$7,$M1134=$O$7)),"x","")</f>
        <v/>
      </c>
      <c r="P1134" s="39" t="str">
        <f>IF(AND($L1134=$O$7,$B1134&lt;'111'!$N$11),"x","")</f>
        <v/>
      </c>
      <c r="Q1134" s="39" t="str">
        <f>IF(AND($M1134=$O$7,$B1134&lt;'111'!$N$11),"x","")</f>
        <v/>
      </c>
      <c r="R1134" s="39" t="str">
        <f>IF(ISERROR(FIND('112'!$M$9,G1134,1)),"",IF((AND(FIND('112'!$M$9,G1134,1)&gt;=1,$B1134&gt;='112'!$N$8,$B1134&lt;='112'!$O$8,OR($L1134='112'!$I$6,$M1134='112'!$I$6))),"x",""))</f>
        <v/>
      </c>
      <c r="S1134" s="39" t="str">
        <f>IF(ISERROR(FIND('112'!$M$9,G1134,1)),"",IF((AND(LEFT(G1134,2)=LEFT('112'!$M$9,2),B1134&lt;'112'!$N$8,$L1134='112'!$I$6)),"x",""))</f>
        <v/>
      </c>
      <c r="T1134" s="39" t="str">
        <f>IF(ISERROR(FIND('112'!$M$9,G1134,1)),"",IF((AND(RIGHT(G1134,2)=RIGHT('112'!$M$9,2),B1134&lt;'112'!$N$8,$M1134='112'!$I$6)),"x",""))</f>
        <v/>
      </c>
      <c r="U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>154</v>
      </c>
      <c r="V1134" s="39" t="str">
        <f>IF(OR(TH!L1134=TH!$V$7,M1134=TH!$V$7),"x","")</f>
        <v/>
      </c>
      <c r="W1134" s="39" t="str">
        <f>IF(AND(B1134&gt;='IN-NX'!$P$3,B1134&lt;='IN-NX'!$Q$3,'IN-NX'!$D$7=D1134,OR(LEFT(L1134,2)="15",AND(LEFT(M1134,2)&lt;&gt;"15",LEFT(M1134,2)&lt;&gt;"33"))),"x","")</f>
        <v/>
      </c>
      <c r="X1134" s="39" t="str">
        <f>IF(AND(OR(LEFT(TH!L1134,2)="15",LEFT(TH!M1134,2)="15"),'152-CT'!$J$8=TH!F1134),"x","")</f>
        <v/>
      </c>
      <c r="Y1134" s="39" t="str">
        <f>IF(AND(OR(LEFT(TH!L1134,2)="15",LEFT(TH!M1134,2)="15"),TK!$E$7=TH!F1134),"x","")</f>
        <v/>
      </c>
      <c r="Z1134" s="39" t="str">
        <f>IF(AND(B1134&lt;=NKC!$N$8,B1134&gt;=NKC!$M$8),"x","")</f>
        <v/>
      </c>
      <c r="AA1134" s="886"/>
    </row>
    <row r="1135" spans="1:27" s="211" customFormat="1" ht="15.75" customHeight="1">
      <c r="A1135" s="204" t="str">
        <f>IF(B1135&lt;&gt;"",IF(AND(B1135&gt;=_TM1,B1135&lt;=_TM2,OR(TH!L1135="1111",TH!M1135="1111")),TH!D1135,""),"")</f>
        <v/>
      </c>
      <c r="B1135" s="36">
        <f t="shared" si="224"/>
        <v>6</v>
      </c>
      <c r="C1135" s="191">
        <f t="shared" si="222"/>
        <v>41432</v>
      </c>
      <c r="D1135" s="184" t="s">
        <v>1294</v>
      </c>
      <c r="E1135" s="37">
        <v>41432</v>
      </c>
      <c r="F1135" s="40"/>
      <c r="G1135" s="40" t="s">
        <v>848</v>
      </c>
      <c r="H1135" s="7" t="s">
        <v>1287</v>
      </c>
      <c r="I1135" s="256"/>
      <c r="J1135" s="256"/>
      <c r="K1135" s="602">
        <f t="shared" si="223"/>
        <v>0</v>
      </c>
      <c r="L1135" s="39" t="s">
        <v>165</v>
      </c>
      <c r="M1135" s="603" t="s">
        <v>159</v>
      </c>
      <c r="N1135" s="39" t="str">
        <f>IF(AND('331-CT'!$E$7=TH!H1135,OR(L1135="331",M1135="331")),"331",IF(AND(OR(L1135="131",M1135="131"),H1135='131-CT'!$E$7),"131",""))</f>
        <v/>
      </c>
      <c r="O1135" s="39" t="str">
        <f>IF(AND($B1135&gt;='111'!$N$11,$B1135&lt;='111'!$O$11,OR($L1135=$O$7,$M1135=$O$7)),"x","")</f>
        <v/>
      </c>
      <c r="P1135" s="39" t="str">
        <f>IF(AND($L1135=$O$7,$B1135&lt;'111'!$N$11),"x","")</f>
        <v/>
      </c>
      <c r="Q1135" s="39" t="str">
        <f>IF(AND($M1135=$O$7,$B1135&lt;'111'!$N$11),"x","")</f>
        <v/>
      </c>
      <c r="R1135" s="39" t="str">
        <f>IF(ISERROR(FIND('112'!$M$9,G1135,1)),"",IF((AND(FIND('112'!$M$9,G1135,1)&gt;=1,$B1135&gt;='112'!$N$8,$B1135&lt;='112'!$O$8,OR($L1135='112'!$I$6,$M1135='112'!$I$6))),"x",""))</f>
        <v/>
      </c>
      <c r="S1135" s="39" t="str">
        <f>IF(ISERROR(FIND('112'!$M$9,G1135,1)),"",IF((AND(LEFT(G1135,2)=LEFT('112'!$M$9,2),B1135&lt;'112'!$N$8,$L1135='112'!$I$6)),"x",""))</f>
        <v/>
      </c>
      <c r="T1135" s="39" t="str">
        <f>IF(ISERROR(FIND('112'!$M$9,G1135,1)),"",IF((AND(RIGHT(G1135,2)=RIGHT('112'!$M$9,2),B1135&lt;'112'!$N$8,$M1135='112'!$I$6)),"x",""))</f>
        <v/>
      </c>
      <c r="U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>154</v>
      </c>
      <c r="V1135" s="39" t="str">
        <f>IF(OR(TH!L1135=TH!$V$7,M1135=TH!$V$7),"x","")</f>
        <v/>
      </c>
      <c r="W1135" s="39" t="str">
        <f>IF(AND(B1135&gt;='IN-NX'!$P$3,B1135&lt;='IN-NX'!$Q$3,'IN-NX'!$D$7=D1135,OR(LEFT(L1135,2)="15",AND(LEFT(M1135,2)&lt;&gt;"15",LEFT(M1135,2)&lt;&gt;"33"))),"x","")</f>
        <v/>
      </c>
      <c r="X1135" s="39" t="str">
        <f>IF(AND(OR(LEFT(TH!L1135,2)="15",LEFT(TH!M1135,2)="15"),'152-CT'!$J$8=TH!F1135),"x","")</f>
        <v/>
      </c>
      <c r="Y1135" s="39" t="str">
        <f>IF(AND(OR(LEFT(TH!L1135,2)="15",LEFT(TH!M1135,2)="15"),TK!$E$7=TH!F1135),"x","")</f>
        <v/>
      </c>
      <c r="Z1135" s="39" t="str">
        <f>IF(AND(B1135&lt;=NKC!$N$8,B1135&gt;=NKC!$M$8),"x","")</f>
        <v/>
      </c>
      <c r="AA1135" s="886"/>
    </row>
    <row r="1136" spans="1:27" s="211" customFormat="1" ht="15.75" customHeight="1">
      <c r="A1136" s="204" t="str">
        <f>IF(B1136&lt;&gt;"",IF(AND(B1136&gt;=_TM1,B1136&lt;=_TM2,OR(TH!L1136="1111",TH!M1136="1111")),TH!D1136,""),"")</f>
        <v/>
      </c>
      <c r="B1136" s="36">
        <f t="shared" si="224"/>
        <v>6</v>
      </c>
      <c r="C1136" s="191">
        <f t="shared" si="222"/>
        <v>41433</v>
      </c>
      <c r="D1136" s="184" t="s">
        <v>1294</v>
      </c>
      <c r="E1136" s="37">
        <v>41433</v>
      </c>
      <c r="F1136" s="40"/>
      <c r="G1136" s="40" t="s">
        <v>850</v>
      </c>
      <c r="H1136" s="7" t="s">
        <v>1287</v>
      </c>
      <c r="I1136" s="256"/>
      <c r="J1136" s="256"/>
      <c r="K1136" s="602">
        <f t="shared" si="223"/>
        <v>0</v>
      </c>
      <c r="L1136" s="39" t="s">
        <v>165</v>
      </c>
      <c r="M1136" s="603" t="s">
        <v>159</v>
      </c>
      <c r="N1136" s="39" t="str">
        <f>IF(AND('331-CT'!$E$7=TH!H1136,OR(L1136="331",M1136="331")),"331",IF(AND(OR(L1136="131",M1136="131"),H1136='131-CT'!$E$7),"131",""))</f>
        <v/>
      </c>
      <c r="O1136" s="39" t="str">
        <f>IF(AND($B1136&gt;='111'!$N$11,$B1136&lt;='111'!$O$11,OR($L1136=$O$7,$M1136=$O$7)),"x","")</f>
        <v/>
      </c>
      <c r="P1136" s="39" t="str">
        <f>IF(AND($L1136=$O$7,$B1136&lt;'111'!$N$11),"x","")</f>
        <v/>
      </c>
      <c r="Q1136" s="39" t="str">
        <f>IF(AND($M1136=$O$7,$B1136&lt;'111'!$N$11),"x","")</f>
        <v/>
      </c>
      <c r="R1136" s="39" t="str">
        <f>IF(ISERROR(FIND('112'!$M$9,G1136,1)),"",IF((AND(FIND('112'!$M$9,G1136,1)&gt;=1,$B1136&gt;='112'!$N$8,$B1136&lt;='112'!$O$8,OR($L1136='112'!$I$6,$M1136='112'!$I$6))),"x",""))</f>
        <v/>
      </c>
      <c r="S1136" s="39" t="str">
        <f>IF(ISERROR(FIND('112'!$M$9,G1136,1)),"",IF((AND(LEFT(G1136,2)=LEFT('112'!$M$9,2),B1136&lt;'112'!$N$8,$L1136='112'!$I$6)),"x",""))</f>
        <v/>
      </c>
      <c r="T1136" s="39" t="str">
        <f>IF(ISERROR(FIND('112'!$M$9,G1136,1)),"",IF((AND(RIGHT(G1136,2)=RIGHT('112'!$M$9,2),B1136&lt;'112'!$N$8,$M1136='112'!$I$6)),"x",""))</f>
        <v/>
      </c>
      <c r="U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>154</v>
      </c>
      <c r="V1136" s="39" t="str">
        <f>IF(OR(TH!L1136=TH!$V$7,M1136=TH!$V$7),"x","")</f>
        <v/>
      </c>
      <c r="W1136" s="39" t="str">
        <f>IF(AND(B1136&gt;='IN-NX'!$P$3,B1136&lt;='IN-NX'!$Q$3,'IN-NX'!$D$7=D1136,OR(LEFT(L1136,2)="15",AND(LEFT(M1136,2)&lt;&gt;"15",LEFT(M1136,2)&lt;&gt;"33"))),"x","")</f>
        <v/>
      </c>
      <c r="X1136" s="39" t="str">
        <f>IF(AND(OR(LEFT(TH!L1136,2)="15",LEFT(TH!M1136,2)="15"),'152-CT'!$J$8=TH!F1136),"x","")</f>
        <v/>
      </c>
      <c r="Y1136" s="39" t="str">
        <f>IF(AND(OR(LEFT(TH!L1136,2)="15",LEFT(TH!M1136,2)="15"),TK!$E$7=TH!F1136),"x","")</f>
        <v/>
      </c>
      <c r="Z1136" s="39" t="str">
        <f>IF(AND(B1136&lt;=NKC!$N$8,B1136&gt;=NKC!$M$8),"x","")</f>
        <v/>
      </c>
      <c r="AA1136" s="886"/>
    </row>
    <row r="1137" spans="1:27" s="211" customFormat="1" ht="15.75" customHeight="1">
      <c r="A1137" s="204" t="str">
        <f>IF(B1137&lt;&gt;"",IF(AND(B1137&gt;=_TM1,B1137&lt;=_TM2,OR(TH!L1137="1111",TH!M1137="1111")),TH!D1137,""),"")</f>
        <v/>
      </c>
      <c r="B1137" s="36">
        <f t="shared" si="224"/>
        <v>6</v>
      </c>
      <c r="C1137" s="191">
        <f t="shared" si="222"/>
        <v>41433</v>
      </c>
      <c r="D1137" s="184" t="s">
        <v>1294</v>
      </c>
      <c r="E1137" s="37">
        <v>41433</v>
      </c>
      <c r="F1137" s="40"/>
      <c r="G1137" s="40" t="s">
        <v>852</v>
      </c>
      <c r="H1137" s="7" t="s">
        <v>1287</v>
      </c>
      <c r="I1137" s="256"/>
      <c r="J1137" s="256"/>
      <c r="K1137" s="602">
        <f t="shared" si="223"/>
        <v>0</v>
      </c>
      <c r="L1137" s="39" t="s">
        <v>165</v>
      </c>
      <c r="M1137" s="603" t="s">
        <v>159</v>
      </c>
      <c r="N1137" s="39" t="str">
        <f>IF(AND('331-CT'!$E$7=TH!H1137,OR(L1137="331",M1137="331")),"331",IF(AND(OR(L1137="131",M1137="131"),H1137='131-CT'!$E$7),"131",""))</f>
        <v/>
      </c>
      <c r="O1137" s="39" t="str">
        <f>IF(AND($B1137&gt;='111'!$N$11,$B1137&lt;='111'!$O$11,OR($L1137=$O$7,$M1137=$O$7)),"x","")</f>
        <v/>
      </c>
      <c r="P1137" s="39" t="str">
        <f>IF(AND($L1137=$O$7,$B1137&lt;'111'!$N$11),"x","")</f>
        <v/>
      </c>
      <c r="Q1137" s="39" t="str">
        <f>IF(AND($M1137=$O$7,$B1137&lt;'111'!$N$11),"x","")</f>
        <v/>
      </c>
      <c r="R1137" s="39" t="str">
        <f>IF(ISERROR(FIND('112'!$M$9,G1137,1)),"",IF((AND(FIND('112'!$M$9,G1137,1)&gt;=1,$B1137&gt;='112'!$N$8,$B1137&lt;='112'!$O$8,OR($L1137='112'!$I$6,$M1137='112'!$I$6))),"x",""))</f>
        <v/>
      </c>
      <c r="S1137" s="39" t="str">
        <f>IF(ISERROR(FIND('112'!$M$9,G1137,1)),"",IF((AND(LEFT(G1137,2)=LEFT('112'!$M$9,2),B1137&lt;'112'!$N$8,$L1137='112'!$I$6)),"x",""))</f>
        <v/>
      </c>
      <c r="T1137" s="39" t="str">
        <f>IF(ISERROR(FIND('112'!$M$9,G1137,1)),"",IF((AND(RIGHT(G1137,2)=RIGHT('112'!$M$9,2),B1137&lt;'112'!$N$8,$M1137='112'!$I$6)),"x",""))</f>
        <v/>
      </c>
      <c r="U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>154</v>
      </c>
      <c r="V1137" s="39" t="str">
        <f>IF(OR(TH!L1137=TH!$V$7,M1137=TH!$V$7),"x","")</f>
        <v/>
      </c>
      <c r="W1137" s="39" t="str">
        <f>IF(AND(B1137&gt;='IN-NX'!$P$3,B1137&lt;='IN-NX'!$Q$3,'IN-NX'!$D$7=D1137,OR(LEFT(L1137,2)="15",AND(LEFT(M1137,2)&lt;&gt;"15",LEFT(M1137,2)&lt;&gt;"33"))),"x","")</f>
        <v/>
      </c>
      <c r="X1137" s="39" t="str">
        <f>IF(AND(OR(LEFT(TH!L1137,2)="15",LEFT(TH!M1137,2)="15"),'152-CT'!$J$8=TH!F1137),"x","")</f>
        <v/>
      </c>
      <c r="Y1137" s="39" t="str">
        <f>IF(AND(OR(LEFT(TH!L1137,2)="15",LEFT(TH!M1137,2)="15"),TK!$E$7=TH!F1137),"x","")</f>
        <v/>
      </c>
      <c r="Z1137" s="39" t="str">
        <f>IF(AND(B1137&lt;=NKC!$N$8,B1137&gt;=NKC!$M$8),"x","")</f>
        <v/>
      </c>
      <c r="AA1137" s="886"/>
    </row>
    <row r="1138" spans="1:27" s="211" customFormat="1" ht="15.75" customHeight="1">
      <c r="A1138" s="204" t="str">
        <f>IF(B1138&lt;&gt;"",IF(AND(B1138&gt;=_TM1,B1138&lt;=_TM2,OR(TH!L1138="1111",TH!M1138="1111")),TH!D1138,""),"")</f>
        <v/>
      </c>
      <c r="B1138" s="36">
        <f t="shared" si="224"/>
        <v>6</v>
      </c>
      <c r="C1138" s="191">
        <f t="shared" si="222"/>
        <v>41440</v>
      </c>
      <c r="D1138" s="184" t="s">
        <v>1294</v>
      </c>
      <c r="E1138" s="37">
        <v>41440</v>
      </c>
      <c r="F1138" s="40"/>
      <c r="G1138" s="40" t="s">
        <v>854</v>
      </c>
      <c r="H1138" s="7" t="s">
        <v>1287</v>
      </c>
      <c r="I1138" s="256"/>
      <c r="J1138" s="256"/>
      <c r="K1138" s="602">
        <f t="shared" si="223"/>
        <v>0</v>
      </c>
      <c r="L1138" s="39" t="s">
        <v>165</v>
      </c>
      <c r="M1138" s="603" t="s">
        <v>159</v>
      </c>
      <c r="N1138" s="39" t="str">
        <f>IF(AND('331-CT'!$E$7=TH!H1138,OR(L1138="331",M1138="331")),"331",IF(AND(OR(L1138="131",M1138="131"),H1138='131-CT'!$E$7),"131",""))</f>
        <v/>
      </c>
      <c r="O1138" s="39" t="str">
        <f>IF(AND($B1138&gt;='111'!$N$11,$B1138&lt;='111'!$O$11,OR($L1138=$O$7,$M1138=$O$7)),"x","")</f>
        <v/>
      </c>
      <c r="P1138" s="39" t="str">
        <f>IF(AND($L1138=$O$7,$B1138&lt;'111'!$N$11),"x","")</f>
        <v/>
      </c>
      <c r="Q1138" s="39" t="str">
        <f>IF(AND($M1138=$O$7,$B1138&lt;'111'!$N$11),"x","")</f>
        <v/>
      </c>
      <c r="R1138" s="39" t="str">
        <f>IF(ISERROR(FIND('112'!$M$9,G1138,1)),"",IF((AND(FIND('112'!$M$9,G1138,1)&gt;=1,$B1138&gt;='112'!$N$8,$B1138&lt;='112'!$O$8,OR($L1138='112'!$I$6,$M1138='112'!$I$6))),"x",""))</f>
        <v/>
      </c>
      <c r="S1138" s="39" t="str">
        <f>IF(ISERROR(FIND('112'!$M$9,G1138,1)),"",IF((AND(LEFT(G1138,2)=LEFT('112'!$M$9,2),B1138&lt;'112'!$N$8,$L1138='112'!$I$6)),"x",""))</f>
        <v/>
      </c>
      <c r="T1138" s="39" t="str">
        <f>IF(ISERROR(FIND('112'!$M$9,G1138,1)),"",IF((AND(RIGHT(G1138,2)=RIGHT('112'!$M$9,2),B1138&lt;'112'!$N$8,$M1138='112'!$I$6)),"x",""))</f>
        <v/>
      </c>
      <c r="U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>154</v>
      </c>
      <c r="V1138" s="39" t="str">
        <f>IF(OR(TH!L1138=TH!$V$7,M1138=TH!$V$7),"x","")</f>
        <v/>
      </c>
      <c r="W1138" s="39" t="str">
        <f>IF(AND(B1138&gt;='IN-NX'!$P$3,B1138&lt;='IN-NX'!$Q$3,'IN-NX'!$D$7=D1138,OR(LEFT(L1138,2)="15",AND(LEFT(M1138,2)&lt;&gt;"15",LEFT(M1138,2)&lt;&gt;"33"))),"x","")</f>
        <v/>
      </c>
      <c r="X1138" s="39" t="str">
        <f>IF(AND(OR(LEFT(TH!L1138,2)="15",LEFT(TH!M1138,2)="15"),'152-CT'!$J$8=TH!F1138),"x","")</f>
        <v/>
      </c>
      <c r="Y1138" s="39" t="str">
        <f>IF(AND(OR(LEFT(TH!L1138,2)="15",LEFT(TH!M1138,2)="15"),TK!$E$7=TH!F1138),"x","")</f>
        <v/>
      </c>
      <c r="Z1138" s="39" t="str">
        <f>IF(AND(B1138&lt;=NKC!$N$8,B1138&gt;=NKC!$M$8),"x","")</f>
        <v/>
      </c>
      <c r="AA1138" s="886"/>
    </row>
    <row r="1139" spans="1:27" s="211" customFormat="1" ht="15.75" customHeight="1">
      <c r="A1139" s="204" t="str">
        <f>IF(B1139&lt;&gt;"",IF(AND(B1139&gt;=_TM1,B1139&lt;=_TM2,OR(TH!L1139="1111",TH!M1139="1111")),TH!D1139,""),"")</f>
        <v/>
      </c>
      <c r="B1139" s="36">
        <f t="shared" si="224"/>
        <v>6</v>
      </c>
      <c r="C1139" s="191">
        <f t="shared" si="222"/>
        <v>41441</v>
      </c>
      <c r="D1139" s="184" t="s">
        <v>1294</v>
      </c>
      <c r="E1139" s="37">
        <v>41441</v>
      </c>
      <c r="F1139" s="40"/>
      <c r="G1139" s="40" t="s">
        <v>855</v>
      </c>
      <c r="H1139" s="7" t="s">
        <v>1287</v>
      </c>
      <c r="I1139" s="256"/>
      <c r="J1139" s="256"/>
      <c r="K1139" s="602">
        <f t="shared" si="223"/>
        <v>0</v>
      </c>
      <c r="L1139" s="39" t="s">
        <v>165</v>
      </c>
      <c r="M1139" s="603" t="s">
        <v>159</v>
      </c>
      <c r="N1139" s="39" t="str">
        <f>IF(AND('331-CT'!$E$7=TH!H1139,OR(L1139="331",M1139="331")),"331",IF(AND(OR(L1139="131",M1139="131"),H1139='131-CT'!$E$7),"131",""))</f>
        <v/>
      </c>
      <c r="O1139" s="39" t="str">
        <f>IF(AND($B1139&gt;='111'!$N$11,$B1139&lt;='111'!$O$11,OR($L1139=$O$7,$M1139=$O$7)),"x","")</f>
        <v/>
      </c>
      <c r="P1139" s="39" t="str">
        <f>IF(AND($L1139=$O$7,$B1139&lt;'111'!$N$11),"x","")</f>
        <v/>
      </c>
      <c r="Q1139" s="39" t="str">
        <f>IF(AND($M1139=$O$7,$B1139&lt;'111'!$N$11),"x","")</f>
        <v/>
      </c>
      <c r="R1139" s="39" t="str">
        <f>IF(ISERROR(FIND('112'!$M$9,G1139,1)),"",IF((AND(FIND('112'!$M$9,G1139,1)&gt;=1,$B1139&gt;='112'!$N$8,$B1139&lt;='112'!$O$8,OR($L1139='112'!$I$6,$M1139='112'!$I$6))),"x",""))</f>
        <v/>
      </c>
      <c r="S1139" s="39" t="str">
        <f>IF(ISERROR(FIND('112'!$M$9,G1139,1)),"",IF((AND(LEFT(G1139,2)=LEFT('112'!$M$9,2),B1139&lt;'112'!$N$8,$L1139='112'!$I$6)),"x",""))</f>
        <v/>
      </c>
      <c r="T1139" s="39" t="str">
        <f>IF(ISERROR(FIND('112'!$M$9,G1139,1)),"",IF((AND(RIGHT(G1139,2)=RIGHT('112'!$M$9,2),B1139&lt;'112'!$N$8,$M1139='112'!$I$6)),"x",""))</f>
        <v/>
      </c>
      <c r="U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>154</v>
      </c>
      <c r="V1139" s="39" t="str">
        <f>IF(OR(TH!L1139=TH!$V$7,M1139=TH!$V$7),"x","")</f>
        <v/>
      </c>
      <c r="W1139" s="39" t="str">
        <f>IF(AND(B1139&gt;='IN-NX'!$P$3,B1139&lt;='IN-NX'!$Q$3,'IN-NX'!$D$7=D1139,OR(LEFT(L1139,2)="15",AND(LEFT(M1139,2)&lt;&gt;"15",LEFT(M1139,2)&lt;&gt;"33"))),"x","")</f>
        <v/>
      </c>
      <c r="X1139" s="39" t="str">
        <f>IF(AND(OR(LEFT(TH!L1139,2)="15",LEFT(TH!M1139,2)="15"),'152-CT'!$J$8=TH!F1139),"x","")</f>
        <v/>
      </c>
      <c r="Y1139" s="39" t="str">
        <f>IF(AND(OR(LEFT(TH!L1139,2)="15",LEFT(TH!M1139,2)="15"),TK!$E$7=TH!F1139),"x","")</f>
        <v/>
      </c>
      <c r="Z1139" s="39" t="str">
        <f>IF(AND(B1139&lt;=NKC!$N$8,B1139&gt;=NKC!$M$8),"x","")</f>
        <v/>
      </c>
      <c r="AA1139" s="886"/>
    </row>
    <row r="1140" spans="1:27" s="211" customFormat="1" ht="15.75" customHeight="1">
      <c r="A1140" s="204" t="str">
        <f>IF(B1140&lt;&gt;"",IF(AND(B1140&gt;=_TM1,B1140&lt;=_TM2,OR(TH!L1140="1111",TH!M1140="1111")),TH!D1140,""),"")</f>
        <v/>
      </c>
      <c r="B1140" s="36">
        <f t="shared" si="224"/>
        <v>6</v>
      </c>
      <c r="C1140" s="191">
        <f t="shared" si="222"/>
        <v>41442</v>
      </c>
      <c r="D1140" s="184" t="s">
        <v>1294</v>
      </c>
      <c r="E1140" s="37">
        <v>41442</v>
      </c>
      <c r="F1140" s="192"/>
      <c r="G1140" s="40" t="s">
        <v>856</v>
      </c>
      <c r="H1140" s="7" t="s">
        <v>1287</v>
      </c>
      <c r="I1140" s="256"/>
      <c r="J1140" s="256"/>
      <c r="K1140" s="602">
        <f t="shared" si="223"/>
        <v>0</v>
      </c>
      <c r="L1140" s="39" t="s">
        <v>165</v>
      </c>
      <c r="M1140" s="603" t="s">
        <v>159</v>
      </c>
      <c r="N1140" s="39" t="str">
        <f>IF(AND('331-CT'!$E$7=TH!H1140,OR(L1140="331",M1140="331")),"331",IF(AND(OR(L1140="131",M1140="131"),H1140='131-CT'!$E$7),"131",""))</f>
        <v/>
      </c>
      <c r="O1140" s="39" t="str">
        <f>IF(AND($B1140&gt;='111'!$N$11,$B1140&lt;='111'!$O$11,OR($L1140=$O$7,$M1140=$O$7)),"x","")</f>
        <v/>
      </c>
      <c r="P1140" s="39" t="str">
        <f>IF(AND($L1140=$O$7,$B1140&lt;'111'!$N$11),"x","")</f>
        <v/>
      </c>
      <c r="Q1140" s="39" t="str">
        <f>IF(AND($M1140=$O$7,$B1140&lt;'111'!$N$11),"x","")</f>
        <v/>
      </c>
      <c r="R1140" s="39" t="str">
        <f>IF(ISERROR(FIND('112'!$M$9,G1140,1)),"",IF((AND(FIND('112'!$M$9,G1140,1)&gt;=1,$B1140&gt;='112'!$N$8,$B1140&lt;='112'!$O$8,OR($L1140='112'!$I$6,$M1140='112'!$I$6))),"x",""))</f>
        <v/>
      </c>
      <c r="S1140" s="39" t="str">
        <f>IF(ISERROR(FIND('112'!$M$9,G1140,1)),"",IF((AND(LEFT(G1140,2)=LEFT('112'!$M$9,2),B1140&lt;'112'!$N$8,$L1140='112'!$I$6)),"x",""))</f>
        <v/>
      </c>
      <c r="T1140" s="39" t="str">
        <f>IF(ISERROR(FIND('112'!$M$9,G1140,1)),"",IF((AND(RIGHT(G1140,2)=RIGHT('112'!$M$9,2),B1140&lt;'112'!$N$8,$M1140='112'!$I$6)),"x",""))</f>
        <v/>
      </c>
      <c r="U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>154</v>
      </c>
      <c r="V1140" s="39" t="str">
        <f>IF(OR(TH!L1140=TH!$V$7,M1140=TH!$V$7),"x","")</f>
        <v/>
      </c>
      <c r="W1140" s="39" t="str">
        <f>IF(AND(B1140&gt;='IN-NX'!$P$3,B1140&lt;='IN-NX'!$Q$3,'IN-NX'!$D$7=D1140,OR(LEFT(L1140,2)="15",AND(LEFT(M1140,2)&lt;&gt;"15",LEFT(M1140,2)&lt;&gt;"33"))),"x","")</f>
        <v/>
      </c>
      <c r="X1140" s="39" t="str">
        <f>IF(AND(OR(LEFT(TH!L1140,2)="15",LEFT(TH!M1140,2)="15"),'152-CT'!$J$8=TH!F1140),"x","")</f>
        <v/>
      </c>
      <c r="Y1140" s="39" t="str">
        <f>IF(AND(OR(LEFT(TH!L1140,2)="15",LEFT(TH!M1140,2)="15"),TK!$E$7=TH!F1140),"x","")</f>
        <v/>
      </c>
      <c r="Z1140" s="39" t="str">
        <f>IF(AND(B1140&lt;=NKC!$N$8,B1140&gt;=NKC!$M$8),"x","")</f>
        <v/>
      </c>
      <c r="AA1140" s="886"/>
    </row>
    <row r="1141" spans="1:27" s="211" customFormat="1" ht="15.75" customHeight="1">
      <c r="A1141" s="204" t="str">
        <f>IF(B1141&lt;&gt;"",IF(AND(B1141&gt;=_TM1,B1141&lt;=_TM2,OR(TH!L1141="1111",TH!M1141="1111")),TH!D1141,""),"")</f>
        <v/>
      </c>
      <c r="B1141" s="36">
        <f t="shared" si="224"/>
        <v>6</v>
      </c>
      <c r="C1141" s="191">
        <f t="shared" si="222"/>
        <v>41442</v>
      </c>
      <c r="D1141" s="184" t="s">
        <v>1294</v>
      </c>
      <c r="E1141" s="37">
        <v>41442</v>
      </c>
      <c r="F1141" s="192"/>
      <c r="G1141" s="40" t="s">
        <v>856</v>
      </c>
      <c r="H1141" s="7" t="s">
        <v>1287</v>
      </c>
      <c r="I1141" s="256"/>
      <c r="J1141" s="256"/>
      <c r="K1141" s="602">
        <f t="shared" si="223"/>
        <v>0</v>
      </c>
      <c r="L1141" s="39" t="s">
        <v>165</v>
      </c>
      <c r="M1141" s="603" t="s">
        <v>159</v>
      </c>
      <c r="N1141" s="39" t="str">
        <f>IF(AND('331-CT'!$E$7=TH!H1141,OR(L1141="331",M1141="331")),"331",IF(AND(OR(L1141="131",M1141="131"),H1141='131-CT'!$E$7),"131",""))</f>
        <v/>
      </c>
      <c r="O1141" s="39" t="str">
        <f>IF(AND($B1141&gt;='111'!$N$11,$B1141&lt;='111'!$O$11,OR($L1141=$O$7,$M1141=$O$7)),"x","")</f>
        <v/>
      </c>
      <c r="P1141" s="39" t="str">
        <f>IF(AND($L1141=$O$7,$B1141&lt;'111'!$N$11),"x","")</f>
        <v/>
      </c>
      <c r="Q1141" s="39" t="str">
        <f>IF(AND($M1141=$O$7,$B1141&lt;'111'!$N$11),"x","")</f>
        <v/>
      </c>
      <c r="R1141" s="39" t="str">
        <f>IF(ISERROR(FIND('112'!$M$9,G1141,1)),"",IF((AND(FIND('112'!$M$9,G1141,1)&gt;=1,$B1141&gt;='112'!$N$8,$B1141&lt;='112'!$O$8,OR($L1141='112'!$I$6,$M1141='112'!$I$6))),"x",""))</f>
        <v/>
      </c>
      <c r="S1141" s="39" t="str">
        <f>IF(ISERROR(FIND('112'!$M$9,G1141,1)),"",IF((AND(LEFT(G1141,2)=LEFT('112'!$M$9,2),B1141&lt;'112'!$N$8,$L1141='112'!$I$6)),"x",""))</f>
        <v/>
      </c>
      <c r="T1141" s="39" t="str">
        <f>IF(ISERROR(FIND('112'!$M$9,G1141,1)),"",IF((AND(RIGHT(G1141,2)=RIGHT('112'!$M$9,2),B1141&lt;'112'!$N$8,$M1141='112'!$I$6)),"x",""))</f>
        <v/>
      </c>
      <c r="U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>154</v>
      </c>
      <c r="V1141" s="39" t="str">
        <f>IF(OR(TH!L1141=TH!$V$7,M1141=TH!$V$7),"x","")</f>
        <v/>
      </c>
      <c r="W1141" s="39" t="str">
        <f>IF(AND(B1141&gt;='IN-NX'!$P$3,B1141&lt;='IN-NX'!$Q$3,'IN-NX'!$D$7=D1141,OR(LEFT(L1141,2)="15",AND(LEFT(M1141,2)&lt;&gt;"15",LEFT(M1141,2)&lt;&gt;"33"))),"x","")</f>
        <v/>
      </c>
      <c r="X1141" s="39" t="str">
        <f>IF(AND(OR(LEFT(TH!L1141,2)="15",LEFT(TH!M1141,2)="15"),'152-CT'!$J$8=TH!F1141),"x","")</f>
        <v/>
      </c>
      <c r="Y1141" s="39" t="str">
        <f>IF(AND(OR(LEFT(TH!L1141,2)="15",LEFT(TH!M1141,2)="15"),TK!$E$7=TH!F1141),"x","")</f>
        <v/>
      </c>
      <c r="Z1141" s="39" t="str">
        <f>IF(AND(B1141&lt;=NKC!$N$8,B1141&gt;=NKC!$M$8),"x","")</f>
        <v/>
      </c>
      <c r="AA1141" s="886"/>
    </row>
    <row r="1142" spans="1:27" s="211" customFormat="1" ht="15.75" customHeight="1">
      <c r="A1142" s="204" t="str">
        <f>IF(B1142&lt;&gt;"",IF(AND(B1142&gt;=_TM1,B1142&lt;=_TM2,OR(TH!L1142="1111",TH!M1142="1111")),TH!D1142,""),"")</f>
        <v/>
      </c>
      <c r="B1142" s="36">
        <f t="shared" si="224"/>
        <v>6</v>
      </c>
      <c r="C1142" s="191">
        <f t="shared" si="222"/>
        <v>41442</v>
      </c>
      <c r="D1142" s="184" t="s">
        <v>1294</v>
      </c>
      <c r="E1142" s="37">
        <v>41442</v>
      </c>
      <c r="F1142" s="192"/>
      <c r="G1142" s="40" t="s">
        <v>857</v>
      </c>
      <c r="H1142" s="7" t="s">
        <v>1287</v>
      </c>
      <c r="I1142" s="256"/>
      <c r="J1142" s="256"/>
      <c r="K1142" s="602">
        <f t="shared" si="223"/>
        <v>0</v>
      </c>
      <c r="L1142" s="39" t="s">
        <v>165</v>
      </c>
      <c r="M1142" s="603" t="s">
        <v>159</v>
      </c>
      <c r="N1142" s="39" t="str">
        <f>IF(AND('331-CT'!$E$7=TH!H1142,OR(L1142="331",M1142="331")),"331",IF(AND(OR(L1142="131",M1142="131"),H1142='131-CT'!$E$7),"131",""))</f>
        <v/>
      </c>
      <c r="O1142" s="39" t="str">
        <f>IF(AND($B1142&gt;='111'!$N$11,$B1142&lt;='111'!$O$11,OR($L1142=$O$7,$M1142=$O$7)),"x","")</f>
        <v/>
      </c>
      <c r="P1142" s="39" t="str">
        <f>IF(AND($L1142=$O$7,$B1142&lt;'111'!$N$11),"x","")</f>
        <v/>
      </c>
      <c r="Q1142" s="39" t="str">
        <f>IF(AND($M1142=$O$7,$B1142&lt;'111'!$N$11),"x","")</f>
        <v/>
      </c>
      <c r="R1142" s="39" t="str">
        <f>IF(ISERROR(FIND('112'!$M$9,G1142,1)),"",IF((AND(FIND('112'!$M$9,G1142,1)&gt;=1,$B1142&gt;='112'!$N$8,$B1142&lt;='112'!$O$8,OR($L1142='112'!$I$6,$M1142='112'!$I$6))),"x",""))</f>
        <v/>
      </c>
      <c r="S1142" s="39" t="str">
        <f>IF(ISERROR(FIND('112'!$M$9,G1142,1)),"",IF((AND(LEFT(G1142,2)=LEFT('112'!$M$9,2),B1142&lt;'112'!$N$8,$L1142='112'!$I$6)),"x",""))</f>
        <v/>
      </c>
      <c r="T1142" s="39" t="str">
        <f>IF(ISERROR(FIND('112'!$M$9,G1142,1)),"",IF((AND(RIGHT(G1142,2)=RIGHT('112'!$M$9,2),B1142&lt;'112'!$N$8,$M1142='112'!$I$6)),"x",""))</f>
        <v/>
      </c>
      <c r="U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>154</v>
      </c>
      <c r="V1142" s="39" t="str">
        <f>IF(OR(TH!L1142=TH!$V$7,M1142=TH!$V$7),"x","")</f>
        <v/>
      </c>
      <c r="W1142" s="39" t="str">
        <f>IF(AND(B1142&gt;='IN-NX'!$P$3,B1142&lt;='IN-NX'!$Q$3,'IN-NX'!$D$7=D1142,OR(LEFT(L1142,2)="15",AND(LEFT(M1142,2)&lt;&gt;"15",LEFT(M1142,2)&lt;&gt;"33"))),"x","")</f>
        <v/>
      </c>
      <c r="X1142" s="39" t="str">
        <f>IF(AND(OR(LEFT(TH!L1142,2)="15",LEFT(TH!M1142,2)="15"),'152-CT'!$J$8=TH!F1142),"x","")</f>
        <v/>
      </c>
      <c r="Y1142" s="39" t="str">
        <f>IF(AND(OR(LEFT(TH!L1142,2)="15",LEFT(TH!M1142,2)="15"),TK!$E$7=TH!F1142),"x","")</f>
        <v/>
      </c>
      <c r="Z1142" s="39" t="str">
        <f>IF(AND(B1142&lt;=NKC!$N$8,B1142&gt;=NKC!$M$8),"x","")</f>
        <v/>
      </c>
      <c r="AA1142" s="886"/>
    </row>
    <row r="1143" spans="1:27" s="211" customFormat="1" ht="15.75" customHeight="1">
      <c r="A1143" s="204" t="str">
        <f>IF(B1143&lt;&gt;"",IF(AND(B1143&gt;=_TM1,B1143&lt;=_TM2,OR(TH!L1143="1111",TH!M1143="1111")),TH!D1143,""),"")</f>
        <v/>
      </c>
      <c r="B1143" s="36">
        <f t="shared" si="224"/>
        <v>6</v>
      </c>
      <c r="C1143" s="191">
        <f t="shared" si="222"/>
        <v>41442</v>
      </c>
      <c r="D1143" s="184" t="s">
        <v>1294</v>
      </c>
      <c r="E1143" s="37">
        <v>41442</v>
      </c>
      <c r="F1143" s="40"/>
      <c r="G1143" s="40" t="s">
        <v>857</v>
      </c>
      <c r="H1143" s="7" t="s">
        <v>1287</v>
      </c>
      <c r="I1143" s="256"/>
      <c r="J1143" s="256"/>
      <c r="K1143" s="602">
        <f t="shared" si="223"/>
        <v>0</v>
      </c>
      <c r="L1143" s="39" t="s">
        <v>165</v>
      </c>
      <c r="M1143" s="603" t="s">
        <v>159</v>
      </c>
      <c r="N1143" s="39" t="str">
        <f>IF(AND('331-CT'!$E$7=TH!H1143,OR(L1143="331",M1143="331")),"331",IF(AND(OR(L1143="131",M1143="131"),H1143='131-CT'!$E$7),"131",""))</f>
        <v/>
      </c>
      <c r="O1143" s="39" t="str">
        <f>IF(AND($B1143&gt;='111'!$N$11,$B1143&lt;='111'!$O$11,OR($L1143=$O$7,$M1143=$O$7)),"x","")</f>
        <v/>
      </c>
      <c r="P1143" s="39" t="str">
        <f>IF(AND($L1143=$O$7,$B1143&lt;'111'!$N$11),"x","")</f>
        <v/>
      </c>
      <c r="Q1143" s="39" t="str">
        <f>IF(AND($M1143=$O$7,$B1143&lt;'111'!$N$11),"x","")</f>
        <v/>
      </c>
      <c r="R1143" s="39" t="str">
        <f>IF(ISERROR(FIND('112'!$M$9,G1143,1)),"",IF((AND(FIND('112'!$M$9,G1143,1)&gt;=1,$B1143&gt;='112'!$N$8,$B1143&lt;='112'!$O$8,OR($L1143='112'!$I$6,$M1143='112'!$I$6))),"x",""))</f>
        <v/>
      </c>
      <c r="S1143" s="39" t="str">
        <f>IF(ISERROR(FIND('112'!$M$9,G1143,1)),"",IF((AND(LEFT(G1143,2)=LEFT('112'!$M$9,2),B1143&lt;'112'!$N$8,$L1143='112'!$I$6)),"x",""))</f>
        <v/>
      </c>
      <c r="T1143" s="39" t="str">
        <f>IF(ISERROR(FIND('112'!$M$9,G1143,1)),"",IF((AND(RIGHT(G1143,2)=RIGHT('112'!$M$9,2),B1143&lt;'112'!$N$8,$M1143='112'!$I$6)),"x",""))</f>
        <v/>
      </c>
      <c r="U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>154</v>
      </c>
      <c r="V1143" s="39" t="str">
        <f>IF(OR(TH!L1143=TH!$V$7,M1143=TH!$V$7),"x","")</f>
        <v/>
      </c>
      <c r="W1143" s="39" t="str">
        <f>IF(AND(B1143&gt;='IN-NX'!$P$3,B1143&lt;='IN-NX'!$Q$3,'IN-NX'!$D$7=D1143,OR(LEFT(L1143,2)="15",AND(LEFT(M1143,2)&lt;&gt;"15",LEFT(M1143,2)&lt;&gt;"33"))),"x","")</f>
        <v/>
      </c>
      <c r="X1143" s="39" t="str">
        <f>IF(AND(OR(LEFT(TH!L1143,2)="15",LEFT(TH!M1143,2)="15"),'152-CT'!$J$8=TH!F1143),"x","")</f>
        <v/>
      </c>
      <c r="Y1143" s="39" t="str">
        <f>IF(AND(OR(LEFT(TH!L1143,2)="15",LEFT(TH!M1143,2)="15"),TK!$E$7=TH!F1143),"x","")</f>
        <v/>
      </c>
      <c r="Z1143" s="39" t="str">
        <f>IF(AND(B1143&lt;=NKC!$N$8,B1143&gt;=NKC!$M$8),"x","")</f>
        <v/>
      </c>
      <c r="AA1143" s="886"/>
    </row>
    <row r="1144" spans="1:27" s="211" customFormat="1" ht="15.75" customHeight="1">
      <c r="A1144" s="204" t="str">
        <f>IF(B1144&lt;&gt;"",IF(AND(B1144&gt;=_TM1,B1144&lt;=_TM2,OR(TH!L1144="1111",TH!M1144="1111")),TH!D1144,""),"")</f>
        <v/>
      </c>
      <c r="B1144" s="36">
        <f t="shared" si="224"/>
        <v>6</v>
      </c>
      <c r="C1144" s="191">
        <f t="shared" si="222"/>
        <v>41442</v>
      </c>
      <c r="D1144" s="184" t="s">
        <v>1294</v>
      </c>
      <c r="E1144" s="37">
        <v>41442</v>
      </c>
      <c r="F1144" s="40"/>
      <c r="G1144" s="40" t="s">
        <v>858</v>
      </c>
      <c r="H1144" s="7" t="s">
        <v>1287</v>
      </c>
      <c r="I1144" s="256"/>
      <c r="J1144" s="256"/>
      <c r="K1144" s="602">
        <f t="shared" si="223"/>
        <v>0</v>
      </c>
      <c r="L1144" s="39" t="s">
        <v>165</v>
      </c>
      <c r="M1144" s="603" t="s">
        <v>159</v>
      </c>
      <c r="N1144" s="39" t="str">
        <f>IF(AND('331-CT'!$E$7=TH!H1144,OR(L1144="331",M1144="331")),"331",IF(AND(OR(L1144="131",M1144="131"),H1144='131-CT'!$E$7),"131",""))</f>
        <v/>
      </c>
      <c r="O1144" s="39" t="str">
        <f>IF(AND($B1144&gt;='111'!$N$11,$B1144&lt;='111'!$O$11,OR($L1144=$O$7,$M1144=$O$7)),"x","")</f>
        <v/>
      </c>
      <c r="P1144" s="39" t="str">
        <f>IF(AND($L1144=$O$7,$B1144&lt;'111'!$N$11),"x","")</f>
        <v/>
      </c>
      <c r="Q1144" s="39" t="str">
        <f>IF(AND($M1144=$O$7,$B1144&lt;'111'!$N$11),"x","")</f>
        <v/>
      </c>
      <c r="R1144" s="39" t="str">
        <f>IF(ISERROR(FIND('112'!$M$9,G1144,1)),"",IF((AND(FIND('112'!$M$9,G1144,1)&gt;=1,$B1144&gt;='112'!$N$8,$B1144&lt;='112'!$O$8,OR($L1144='112'!$I$6,$M1144='112'!$I$6))),"x",""))</f>
        <v/>
      </c>
      <c r="S1144" s="39" t="str">
        <f>IF(ISERROR(FIND('112'!$M$9,G1144,1)),"",IF((AND(LEFT(G1144,2)=LEFT('112'!$M$9,2),B1144&lt;'112'!$N$8,$L1144='112'!$I$6)),"x",""))</f>
        <v/>
      </c>
      <c r="T1144" s="39" t="str">
        <f>IF(ISERROR(FIND('112'!$M$9,G1144,1)),"",IF((AND(RIGHT(G1144,2)=RIGHT('112'!$M$9,2),B1144&lt;'112'!$N$8,$M1144='112'!$I$6)),"x",""))</f>
        <v/>
      </c>
      <c r="U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>154</v>
      </c>
      <c r="V1144" s="39" t="str">
        <f>IF(OR(TH!L1144=TH!$V$7,M1144=TH!$V$7),"x","")</f>
        <v/>
      </c>
      <c r="W1144" s="39" t="str">
        <f>IF(AND(B1144&gt;='IN-NX'!$P$3,B1144&lt;='IN-NX'!$Q$3,'IN-NX'!$D$7=D1144,OR(LEFT(L1144,2)="15",AND(LEFT(M1144,2)&lt;&gt;"15",LEFT(M1144,2)&lt;&gt;"33"))),"x","")</f>
        <v/>
      </c>
      <c r="X1144" s="39" t="str">
        <f>IF(AND(OR(LEFT(TH!L1144,2)="15",LEFT(TH!M1144,2)="15"),'152-CT'!$J$8=TH!F1144),"x","")</f>
        <v/>
      </c>
      <c r="Y1144" s="39" t="str">
        <f>IF(AND(OR(LEFT(TH!L1144,2)="15",LEFT(TH!M1144,2)="15"),TK!$E$7=TH!F1144),"x","")</f>
        <v/>
      </c>
      <c r="Z1144" s="39" t="str">
        <f>IF(AND(B1144&lt;=NKC!$N$8,B1144&gt;=NKC!$M$8),"x","")</f>
        <v/>
      </c>
      <c r="AA1144" s="886"/>
    </row>
    <row r="1145" spans="1:27" s="211" customFormat="1" ht="15.75" customHeight="1">
      <c r="A1145" s="204" t="str">
        <f>IF(B1145&lt;&gt;"",IF(AND(B1145&gt;=_TM1,B1145&lt;=_TM2,OR(TH!L1145="1111",TH!M1145="1111")),TH!D1145,""),"")</f>
        <v/>
      </c>
      <c r="B1145" s="36">
        <f t="shared" si="224"/>
        <v>6</v>
      </c>
      <c r="C1145" s="191">
        <f t="shared" si="222"/>
        <v>41442</v>
      </c>
      <c r="D1145" s="184" t="s">
        <v>1294</v>
      </c>
      <c r="E1145" s="37">
        <v>41442</v>
      </c>
      <c r="F1145" s="40"/>
      <c r="G1145" s="40" t="s">
        <v>858</v>
      </c>
      <c r="H1145" s="7" t="s">
        <v>1287</v>
      </c>
      <c r="I1145" s="256"/>
      <c r="J1145" s="256"/>
      <c r="K1145" s="602">
        <f t="shared" si="223"/>
        <v>0</v>
      </c>
      <c r="L1145" s="39" t="s">
        <v>165</v>
      </c>
      <c r="M1145" s="603" t="s">
        <v>159</v>
      </c>
      <c r="N1145" s="39" t="str">
        <f>IF(AND('331-CT'!$E$7=TH!H1145,OR(L1145="331",M1145="331")),"331",IF(AND(OR(L1145="131",M1145="131"),H1145='131-CT'!$E$7),"131",""))</f>
        <v/>
      </c>
      <c r="O1145" s="39" t="str">
        <f>IF(AND($B1145&gt;='111'!$N$11,$B1145&lt;='111'!$O$11,OR($L1145=$O$7,$M1145=$O$7)),"x","")</f>
        <v/>
      </c>
      <c r="P1145" s="39" t="str">
        <f>IF(AND($L1145=$O$7,$B1145&lt;'111'!$N$11),"x","")</f>
        <v/>
      </c>
      <c r="Q1145" s="39" t="str">
        <f>IF(AND($M1145=$O$7,$B1145&lt;'111'!$N$11),"x","")</f>
        <v/>
      </c>
      <c r="R1145" s="39" t="str">
        <f>IF(ISERROR(FIND('112'!$M$9,G1145,1)),"",IF((AND(FIND('112'!$M$9,G1145,1)&gt;=1,$B1145&gt;='112'!$N$8,$B1145&lt;='112'!$O$8,OR($L1145='112'!$I$6,$M1145='112'!$I$6))),"x",""))</f>
        <v/>
      </c>
      <c r="S1145" s="39" t="str">
        <f>IF(ISERROR(FIND('112'!$M$9,G1145,1)),"",IF((AND(LEFT(G1145,2)=LEFT('112'!$M$9,2),B1145&lt;'112'!$N$8,$L1145='112'!$I$6)),"x",""))</f>
        <v/>
      </c>
      <c r="T1145" s="39" t="str">
        <f>IF(ISERROR(FIND('112'!$M$9,G1145,1)),"",IF((AND(RIGHT(G1145,2)=RIGHT('112'!$M$9,2),B1145&lt;'112'!$N$8,$M1145='112'!$I$6)),"x",""))</f>
        <v/>
      </c>
      <c r="U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>154</v>
      </c>
      <c r="V1145" s="39" t="str">
        <f>IF(OR(TH!L1145=TH!$V$7,M1145=TH!$V$7),"x","")</f>
        <v/>
      </c>
      <c r="W1145" s="39" t="str">
        <f>IF(AND(B1145&gt;='IN-NX'!$P$3,B1145&lt;='IN-NX'!$Q$3,'IN-NX'!$D$7=D1145,OR(LEFT(L1145,2)="15",AND(LEFT(M1145,2)&lt;&gt;"15",LEFT(M1145,2)&lt;&gt;"33"))),"x","")</f>
        <v/>
      </c>
      <c r="X1145" s="39" t="str">
        <f>IF(AND(OR(LEFT(TH!L1145,2)="15",LEFT(TH!M1145,2)="15"),'152-CT'!$J$8=TH!F1145),"x","")</f>
        <v/>
      </c>
      <c r="Y1145" s="39" t="str">
        <f>IF(AND(OR(LEFT(TH!L1145,2)="15",LEFT(TH!M1145,2)="15"),TK!$E$7=TH!F1145),"x","")</f>
        <v/>
      </c>
      <c r="Z1145" s="39" t="str">
        <f>IF(AND(B1145&lt;=NKC!$N$8,B1145&gt;=NKC!$M$8),"x","")</f>
        <v/>
      </c>
      <c r="AA1145" s="886"/>
    </row>
    <row r="1146" spans="1:27" s="211" customFormat="1" ht="15.75" customHeight="1">
      <c r="A1146" s="204" t="str">
        <f>IF(B1146&lt;&gt;"",IF(AND(B1146&gt;=_TM1,B1146&lt;=_TM2,OR(TH!L1146="1111",TH!M1146="1111")),TH!D1146,""),"")</f>
        <v/>
      </c>
      <c r="B1146" s="36">
        <f t="shared" si="224"/>
        <v>6</v>
      </c>
      <c r="C1146" s="191">
        <f t="shared" si="222"/>
        <v>41442</v>
      </c>
      <c r="D1146" s="184" t="s">
        <v>1294</v>
      </c>
      <c r="E1146" s="37">
        <v>41442</v>
      </c>
      <c r="F1146" s="40"/>
      <c r="G1146" s="40" t="s">
        <v>858</v>
      </c>
      <c r="H1146" s="7" t="s">
        <v>1287</v>
      </c>
      <c r="I1146" s="256"/>
      <c r="J1146" s="256"/>
      <c r="K1146" s="602">
        <f t="shared" si="223"/>
        <v>0</v>
      </c>
      <c r="L1146" s="39" t="s">
        <v>165</v>
      </c>
      <c r="M1146" s="603" t="s">
        <v>159</v>
      </c>
      <c r="N1146" s="39" t="str">
        <f>IF(AND('331-CT'!$E$7=TH!H1146,OR(L1146="331",M1146="331")),"331",IF(AND(OR(L1146="131",M1146="131"),H1146='131-CT'!$E$7),"131",""))</f>
        <v/>
      </c>
      <c r="O1146" s="39" t="str">
        <f>IF(AND($B1146&gt;='111'!$N$11,$B1146&lt;='111'!$O$11,OR($L1146=$O$7,$M1146=$O$7)),"x","")</f>
        <v/>
      </c>
      <c r="P1146" s="39" t="str">
        <f>IF(AND($L1146=$O$7,$B1146&lt;'111'!$N$11),"x","")</f>
        <v/>
      </c>
      <c r="Q1146" s="39" t="str">
        <f>IF(AND($M1146=$O$7,$B1146&lt;'111'!$N$11),"x","")</f>
        <v/>
      </c>
      <c r="R1146" s="39" t="str">
        <f>IF(ISERROR(FIND('112'!$M$9,G1146,1)),"",IF((AND(FIND('112'!$M$9,G1146,1)&gt;=1,$B1146&gt;='112'!$N$8,$B1146&lt;='112'!$O$8,OR($L1146='112'!$I$6,$M1146='112'!$I$6))),"x",""))</f>
        <v/>
      </c>
      <c r="S1146" s="39" t="str">
        <f>IF(ISERROR(FIND('112'!$M$9,G1146,1)),"",IF((AND(LEFT(G1146,2)=LEFT('112'!$M$9,2),B1146&lt;'112'!$N$8,$L1146='112'!$I$6)),"x",""))</f>
        <v/>
      </c>
      <c r="T1146" s="39" t="str">
        <f>IF(ISERROR(FIND('112'!$M$9,G1146,1)),"",IF((AND(RIGHT(G1146,2)=RIGHT('112'!$M$9,2),B1146&lt;'112'!$N$8,$M1146='112'!$I$6)),"x",""))</f>
        <v/>
      </c>
      <c r="U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>154</v>
      </c>
      <c r="V1146" s="39" t="str">
        <f>IF(OR(TH!L1146=TH!$V$7,M1146=TH!$V$7),"x","")</f>
        <v/>
      </c>
      <c r="W1146" s="39" t="str">
        <f>IF(AND(B1146&gt;='IN-NX'!$P$3,B1146&lt;='IN-NX'!$Q$3,'IN-NX'!$D$7=D1146,OR(LEFT(L1146,2)="15",AND(LEFT(M1146,2)&lt;&gt;"15",LEFT(M1146,2)&lt;&gt;"33"))),"x","")</f>
        <v/>
      </c>
      <c r="X1146" s="39" t="str">
        <f>IF(AND(OR(LEFT(TH!L1146,2)="15",LEFT(TH!M1146,2)="15"),'152-CT'!$J$8=TH!F1146),"x","")</f>
        <v/>
      </c>
      <c r="Y1146" s="39" t="str">
        <f>IF(AND(OR(LEFT(TH!L1146,2)="15",LEFT(TH!M1146,2)="15"),TK!$E$7=TH!F1146),"x","")</f>
        <v/>
      </c>
      <c r="Z1146" s="39" t="str">
        <f>IF(AND(B1146&lt;=NKC!$N$8,B1146&gt;=NKC!$M$8),"x","")</f>
        <v/>
      </c>
      <c r="AA1146" s="886"/>
    </row>
    <row r="1147" spans="1:27" s="211" customFormat="1" ht="15.75" customHeight="1">
      <c r="A1147" s="204" t="str">
        <f>IF(B1147&lt;&gt;"",IF(AND(B1147&gt;=_TM1,B1147&lt;=_TM2,OR(TH!L1147="1111",TH!M1147="1111")),TH!D1147,""),"")</f>
        <v/>
      </c>
      <c r="B1147" s="36">
        <f t="shared" si="224"/>
        <v>6</v>
      </c>
      <c r="C1147" s="191">
        <f t="shared" si="222"/>
        <v>41443</v>
      </c>
      <c r="D1147" s="184" t="s">
        <v>1294</v>
      </c>
      <c r="E1147" s="37">
        <v>41443</v>
      </c>
      <c r="F1147" s="40"/>
      <c r="G1147" s="40" t="s">
        <v>859</v>
      </c>
      <c r="H1147" s="7" t="s">
        <v>1287</v>
      </c>
      <c r="I1147" s="256"/>
      <c r="J1147" s="256"/>
      <c r="K1147" s="602">
        <f t="shared" si="223"/>
        <v>0</v>
      </c>
      <c r="L1147" s="39" t="s">
        <v>165</v>
      </c>
      <c r="M1147" s="603" t="s">
        <v>159</v>
      </c>
      <c r="N1147" s="39" t="str">
        <f>IF(AND('331-CT'!$E$7=TH!H1147,OR(L1147="331",M1147="331")),"331",IF(AND(OR(L1147="131",M1147="131"),H1147='131-CT'!$E$7),"131",""))</f>
        <v/>
      </c>
      <c r="O1147" s="39" t="str">
        <f>IF(AND($B1147&gt;='111'!$N$11,$B1147&lt;='111'!$O$11,OR($L1147=$O$7,$M1147=$O$7)),"x","")</f>
        <v/>
      </c>
      <c r="P1147" s="39" t="str">
        <f>IF(AND($L1147=$O$7,$B1147&lt;'111'!$N$11),"x","")</f>
        <v/>
      </c>
      <c r="Q1147" s="39" t="str">
        <f>IF(AND($M1147=$O$7,$B1147&lt;'111'!$N$11),"x","")</f>
        <v/>
      </c>
      <c r="R1147" s="39" t="str">
        <f>IF(ISERROR(FIND('112'!$M$9,G1147,1)),"",IF((AND(FIND('112'!$M$9,G1147,1)&gt;=1,$B1147&gt;='112'!$N$8,$B1147&lt;='112'!$O$8,OR($L1147='112'!$I$6,$M1147='112'!$I$6))),"x",""))</f>
        <v/>
      </c>
      <c r="S1147" s="39" t="str">
        <f>IF(ISERROR(FIND('112'!$M$9,G1147,1)),"",IF((AND(LEFT(G1147,2)=LEFT('112'!$M$9,2),B1147&lt;'112'!$N$8,$L1147='112'!$I$6)),"x",""))</f>
        <v/>
      </c>
      <c r="T1147" s="39" t="str">
        <f>IF(ISERROR(FIND('112'!$M$9,G1147,1)),"",IF((AND(RIGHT(G1147,2)=RIGHT('112'!$M$9,2),B1147&lt;'112'!$N$8,$M1147='112'!$I$6)),"x",""))</f>
        <v/>
      </c>
      <c r="U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>154</v>
      </c>
      <c r="V1147" s="39" t="str">
        <f>IF(OR(TH!L1147=TH!$V$7,M1147=TH!$V$7),"x","")</f>
        <v/>
      </c>
      <c r="W1147" s="39" t="str">
        <f>IF(AND(B1147&gt;='IN-NX'!$P$3,B1147&lt;='IN-NX'!$Q$3,'IN-NX'!$D$7=D1147,OR(LEFT(L1147,2)="15",AND(LEFT(M1147,2)&lt;&gt;"15",LEFT(M1147,2)&lt;&gt;"33"))),"x","")</f>
        <v/>
      </c>
      <c r="X1147" s="39" t="str">
        <f>IF(AND(OR(LEFT(TH!L1147,2)="15",LEFT(TH!M1147,2)="15"),'152-CT'!$J$8=TH!F1147),"x","")</f>
        <v/>
      </c>
      <c r="Y1147" s="39" t="str">
        <f>IF(AND(OR(LEFT(TH!L1147,2)="15",LEFT(TH!M1147,2)="15"),TK!$E$7=TH!F1147),"x","")</f>
        <v/>
      </c>
      <c r="Z1147" s="39" t="str">
        <f>IF(AND(B1147&lt;=NKC!$N$8,B1147&gt;=NKC!$M$8),"x","")</f>
        <v/>
      </c>
      <c r="AA1147" s="886"/>
    </row>
    <row r="1148" spans="1:27" s="211" customFormat="1" ht="15.75" customHeight="1">
      <c r="A1148" s="204" t="str">
        <f>IF(B1148&lt;&gt;"",IF(AND(B1148&gt;=_TM1,B1148&lt;=_TM2,OR(TH!L1148="1111",TH!M1148="1111")),TH!D1148,""),"")</f>
        <v/>
      </c>
      <c r="B1148" s="36">
        <f t="shared" si="224"/>
        <v>6</v>
      </c>
      <c r="C1148" s="191">
        <f t="shared" si="222"/>
        <v>41448</v>
      </c>
      <c r="D1148" s="184" t="s">
        <v>1294</v>
      </c>
      <c r="E1148" s="37">
        <v>41448</v>
      </c>
      <c r="F1148" s="192"/>
      <c r="G1148" s="40" t="s">
        <v>860</v>
      </c>
      <c r="H1148" s="7" t="s">
        <v>1287</v>
      </c>
      <c r="I1148" s="256"/>
      <c r="J1148" s="256"/>
      <c r="K1148" s="602">
        <f t="shared" si="223"/>
        <v>0</v>
      </c>
      <c r="L1148" s="39" t="s">
        <v>165</v>
      </c>
      <c r="M1148" s="603" t="s">
        <v>159</v>
      </c>
      <c r="N1148" s="39" t="str">
        <f>IF(AND('331-CT'!$E$7=TH!H1148,OR(L1148="331",M1148="331")),"331",IF(AND(OR(L1148="131",M1148="131"),H1148='131-CT'!$E$7),"131",""))</f>
        <v/>
      </c>
      <c r="O1148" s="39" t="str">
        <f>IF(AND($B1148&gt;='111'!$N$11,$B1148&lt;='111'!$O$11,OR($L1148=$O$7,$M1148=$O$7)),"x","")</f>
        <v/>
      </c>
      <c r="P1148" s="39" t="str">
        <f>IF(AND($L1148=$O$7,$B1148&lt;'111'!$N$11),"x","")</f>
        <v/>
      </c>
      <c r="Q1148" s="39" t="str">
        <f>IF(AND($M1148=$O$7,$B1148&lt;'111'!$N$11),"x","")</f>
        <v/>
      </c>
      <c r="R1148" s="39" t="str">
        <f>IF(ISERROR(FIND('112'!$M$9,G1148,1)),"",IF((AND(FIND('112'!$M$9,G1148,1)&gt;=1,$B1148&gt;='112'!$N$8,$B1148&lt;='112'!$O$8,OR($L1148='112'!$I$6,$M1148='112'!$I$6))),"x",""))</f>
        <v/>
      </c>
      <c r="S1148" s="39" t="str">
        <f>IF(ISERROR(FIND('112'!$M$9,G1148,1)),"",IF((AND(LEFT(G1148,2)=LEFT('112'!$M$9,2),B1148&lt;'112'!$N$8,$L1148='112'!$I$6)),"x",""))</f>
        <v/>
      </c>
      <c r="T1148" s="39" t="str">
        <f>IF(ISERROR(FIND('112'!$M$9,G1148,1)),"",IF((AND(RIGHT(G1148,2)=RIGHT('112'!$M$9,2),B1148&lt;'112'!$N$8,$M1148='112'!$I$6)),"x",""))</f>
        <v/>
      </c>
      <c r="U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>154</v>
      </c>
      <c r="V1148" s="39" t="str">
        <f>IF(OR(TH!L1148=TH!$V$7,M1148=TH!$V$7),"x","")</f>
        <v/>
      </c>
      <c r="W1148" s="39" t="str">
        <f>IF(AND(B1148&gt;='IN-NX'!$P$3,B1148&lt;='IN-NX'!$Q$3,'IN-NX'!$D$7=D1148,OR(LEFT(L1148,2)="15",AND(LEFT(M1148,2)&lt;&gt;"15",LEFT(M1148,2)&lt;&gt;"33"))),"x","")</f>
        <v/>
      </c>
      <c r="X1148" s="39" t="str">
        <f>IF(AND(OR(LEFT(TH!L1148,2)="15",LEFT(TH!M1148,2)="15"),'152-CT'!$J$8=TH!F1148),"x","")</f>
        <v/>
      </c>
      <c r="Y1148" s="39" t="str">
        <f>IF(AND(OR(LEFT(TH!L1148,2)="15",LEFT(TH!M1148,2)="15"),TK!$E$7=TH!F1148),"x","")</f>
        <v/>
      </c>
      <c r="Z1148" s="39" t="str">
        <f>IF(AND(B1148&lt;=NKC!$N$8,B1148&gt;=NKC!$M$8),"x","")</f>
        <v/>
      </c>
      <c r="AA1148" s="886"/>
    </row>
    <row r="1149" spans="1:27" s="211" customFormat="1" ht="15.75" customHeight="1">
      <c r="A1149" s="204" t="str">
        <f>IF(B1149&lt;&gt;"",IF(AND(B1149&gt;=_TM1,B1149&lt;=_TM2,OR(TH!L1149="1111",TH!M1149="1111")),TH!D1149,""),"")</f>
        <v/>
      </c>
      <c r="B1149" s="36">
        <f t="shared" si="224"/>
        <v>6</v>
      </c>
      <c r="C1149" s="191">
        <f t="shared" si="222"/>
        <v>41448</v>
      </c>
      <c r="D1149" s="184" t="s">
        <v>1294</v>
      </c>
      <c r="E1149" s="37">
        <v>41448</v>
      </c>
      <c r="F1149" s="192"/>
      <c r="G1149" s="40" t="s">
        <v>862</v>
      </c>
      <c r="H1149" s="7" t="s">
        <v>1287</v>
      </c>
      <c r="I1149" s="256"/>
      <c r="J1149" s="256"/>
      <c r="K1149" s="602">
        <f t="shared" si="223"/>
        <v>0</v>
      </c>
      <c r="L1149" s="39" t="s">
        <v>165</v>
      </c>
      <c r="M1149" s="603" t="s">
        <v>159</v>
      </c>
      <c r="N1149" s="39" t="str">
        <f>IF(AND('331-CT'!$E$7=TH!H1149,OR(L1149="331",M1149="331")),"331",IF(AND(OR(L1149="131",M1149="131"),H1149='131-CT'!$E$7),"131",""))</f>
        <v/>
      </c>
      <c r="O1149" s="39" t="str">
        <f>IF(AND($B1149&gt;='111'!$N$11,$B1149&lt;='111'!$O$11,OR($L1149=$O$7,$M1149=$O$7)),"x","")</f>
        <v/>
      </c>
      <c r="P1149" s="39" t="str">
        <f>IF(AND($L1149=$O$7,$B1149&lt;'111'!$N$11),"x","")</f>
        <v/>
      </c>
      <c r="Q1149" s="39" t="str">
        <f>IF(AND($M1149=$O$7,$B1149&lt;'111'!$N$11),"x","")</f>
        <v/>
      </c>
      <c r="R1149" s="39" t="str">
        <f>IF(ISERROR(FIND('112'!$M$9,G1149,1)),"",IF((AND(FIND('112'!$M$9,G1149,1)&gt;=1,$B1149&gt;='112'!$N$8,$B1149&lt;='112'!$O$8,OR($L1149='112'!$I$6,$M1149='112'!$I$6))),"x",""))</f>
        <v/>
      </c>
      <c r="S1149" s="39" t="str">
        <f>IF(ISERROR(FIND('112'!$M$9,G1149,1)),"",IF((AND(LEFT(G1149,2)=LEFT('112'!$M$9,2),B1149&lt;'112'!$N$8,$L1149='112'!$I$6)),"x",""))</f>
        <v/>
      </c>
      <c r="T1149" s="39" t="str">
        <f>IF(ISERROR(FIND('112'!$M$9,G1149,1)),"",IF((AND(RIGHT(G1149,2)=RIGHT('112'!$M$9,2),B1149&lt;'112'!$N$8,$M1149='112'!$I$6)),"x",""))</f>
        <v/>
      </c>
      <c r="U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>154</v>
      </c>
      <c r="V1149" s="39" t="str">
        <f>IF(OR(TH!L1149=TH!$V$7,M1149=TH!$V$7),"x","")</f>
        <v/>
      </c>
      <c r="W1149" s="39" t="str">
        <f>IF(AND(B1149&gt;='IN-NX'!$P$3,B1149&lt;='IN-NX'!$Q$3,'IN-NX'!$D$7=D1149,OR(LEFT(L1149,2)="15",AND(LEFT(M1149,2)&lt;&gt;"15",LEFT(M1149,2)&lt;&gt;"33"))),"x","")</f>
        <v/>
      </c>
      <c r="X1149" s="39" t="str">
        <f>IF(AND(OR(LEFT(TH!L1149,2)="15",LEFT(TH!M1149,2)="15"),'152-CT'!$J$8=TH!F1149),"x","")</f>
        <v/>
      </c>
      <c r="Y1149" s="39" t="str">
        <f>IF(AND(OR(LEFT(TH!L1149,2)="15",LEFT(TH!M1149,2)="15"),TK!$E$7=TH!F1149),"x","")</f>
        <v/>
      </c>
      <c r="Z1149" s="39" t="str">
        <f>IF(AND(B1149&lt;=NKC!$N$8,B1149&gt;=NKC!$M$8),"x","")</f>
        <v/>
      </c>
      <c r="AA1149" s="886"/>
    </row>
    <row r="1150" spans="1:27" s="211" customFormat="1" ht="15.75" customHeight="1">
      <c r="A1150" s="204" t="str">
        <f>IF(B1150&lt;&gt;"",IF(AND(B1150&gt;=_TM1,B1150&lt;=_TM2,OR(TH!L1150="1111",TH!M1150="1111")),TH!D1150,""),"")</f>
        <v/>
      </c>
      <c r="B1150" s="36">
        <f t="shared" si="224"/>
        <v>6</v>
      </c>
      <c r="C1150" s="191">
        <f t="shared" si="222"/>
        <v>41449</v>
      </c>
      <c r="D1150" s="184" t="s">
        <v>1294</v>
      </c>
      <c r="E1150" s="37">
        <v>41449</v>
      </c>
      <c r="F1150" s="192"/>
      <c r="G1150" s="40" t="s">
        <v>863</v>
      </c>
      <c r="H1150" s="7" t="s">
        <v>1287</v>
      </c>
      <c r="I1150" s="256"/>
      <c r="J1150" s="256"/>
      <c r="K1150" s="602">
        <f t="shared" si="223"/>
        <v>0</v>
      </c>
      <c r="L1150" s="39" t="s">
        <v>165</v>
      </c>
      <c r="M1150" s="603" t="s">
        <v>159</v>
      </c>
      <c r="N1150" s="39" t="str">
        <f>IF(AND('331-CT'!$E$7=TH!H1150,OR(L1150="331",M1150="331")),"331",IF(AND(OR(L1150="131",M1150="131"),H1150='131-CT'!$E$7),"131",""))</f>
        <v/>
      </c>
      <c r="O1150" s="39" t="str">
        <f>IF(AND($B1150&gt;='111'!$N$11,$B1150&lt;='111'!$O$11,OR($L1150=$O$7,$M1150=$O$7)),"x","")</f>
        <v/>
      </c>
      <c r="P1150" s="39" t="str">
        <f>IF(AND($L1150=$O$7,$B1150&lt;'111'!$N$11),"x","")</f>
        <v/>
      </c>
      <c r="Q1150" s="39" t="str">
        <f>IF(AND($M1150=$O$7,$B1150&lt;'111'!$N$11),"x","")</f>
        <v/>
      </c>
      <c r="R1150" s="39" t="str">
        <f>IF(ISERROR(FIND('112'!$M$9,G1150,1)),"",IF((AND(FIND('112'!$M$9,G1150,1)&gt;=1,$B1150&gt;='112'!$N$8,$B1150&lt;='112'!$O$8,OR($L1150='112'!$I$6,$M1150='112'!$I$6))),"x",""))</f>
        <v/>
      </c>
      <c r="S1150" s="39" t="str">
        <f>IF(ISERROR(FIND('112'!$M$9,G1150,1)),"",IF((AND(LEFT(G1150,2)=LEFT('112'!$M$9,2),B1150&lt;'112'!$N$8,$L1150='112'!$I$6)),"x",""))</f>
        <v/>
      </c>
      <c r="T1150" s="39" t="str">
        <f>IF(ISERROR(FIND('112'!$M$9,G1150,1)),"",IF((AND(RIGHT(G1150,2)=RIGHT('112'!$M$9,2),B1150&lt;'112'!$N$8,$M1150='112'!$I$6)),"x",""))</f>
        <v/>
      </c>
      <c r="U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>154</v>
      </c>
      <c r="V1150" s="39" t="str">
        <f>IF(OR(TH!L1150=TH!$V$7,M1150=TH!$V$7),"x","")</f>
        <v/>
      </c>
      <c r="W1150" s="39" t="str">
        <f>IF(AND(B1150&gt;='IN-NX'!$P$3,B1150&lt;='IN-NX'!$Q$3,'IN-NX'!$D$7=D1150,OR(LEFT(L1150,2)="15",AND(LEFT(M1150,2)&lt;&gt;"15",LEFT(M1150,2)&lt;&gt;"33"))),"x","")</f>
        <v/>
      </c>
      <c r="X1150" s="39" t="str">
        <f>IF(AND(OR(LEFT(TH!L1150,2)="15",LEFT(TH!M1150,2)="15"),'152-CT'!$J$8=TH!F1150),"x","")</f>
        <v/>
      </c>
      <c r="Y1150" s="39" t="str">
        <f>IF(AND(OR(LEFT(TH!L1150,2)="15",LEFT(TH!M1150,2)="15"),TK!$E$7=TH!F1150),"x","")</f>
        <v/>
      </c>
      <c r="Z1150" s="39" t="str">
        <f>IF(AND(B1150&lt;=NKC!$N$8,B1150&gt;=NKC!$M$8),"x","")</f>
        <v/>
      </c>
      <c r="AA1150" s="886"/>
    </row>
    <row r="1151" spans="1:27" s="843" customFormat="1" ht="15.75" customHeight="1">
      <c r="A1151" s="1106" t="str">
        <f>IF(B1151&lt;&gt;"",IF(AND(B1151&gt;=_TM1,B1151&lt;=_TM2,OR(TH!L1151="1111",TH!M1151="1111")),TH!D1151,""),"")</f>
        <v/>
      </c>
      <c r="B1151" s="841">
        <f t="shared" si="224"/>
        <v>7</v>
      </c>
      <c r="C1151" s="1107">
        <f t="shared" si="222"/>
        <v>41457</v>
      </c>
      <c r="D1151" s="1115" t="s">
        <v>1294</v>
      </c>
      <c r="E1151" s="1115">
        <v>41457</v>
      </c>
      <c r="F1151" s="1119"/>
      <c r="G1151" s="1120" t="s">
        <v>864</v>
      </c>
      <c r="H1151" s="1110" t="s">
        <v>1287</v>
      </c>
      <c r="I1151" s="1118"/>
      <c r="J1151" s="1118"/>
      <c r="K1151" s="838">
        <f t="shared" si="223"/>
        <v>0</v>
      </c>
      <c r="L1151" s="831" t="s">
        <v>165</v>
      </c>
      <c r="M1151" s="1113" t="s">
        <v>159</v>
      </c>
      <c r="N1151" s="831" t="str">
        <f>IF(AND('331-CT'!$E$7=TH!H1151,OR(L1151="331",M1151="331")),"331",IF(AND(OR(L1151="131",M1151="131"),H1151='131-CT'!$E$7),"131",""))</f>
        <v/>
      </c>
      <c r="O1151" s="831" t="str">
        <f>IF(AND($B1151&gt;='111'!$N$11,$B1151&lt;='111'!$O$11,OR($L1151=$O$7,$M1151=$O$7)),"x","")</f>
        <v/>
      </c>
      <c r="P1151" s="831" t="str">
        <f>IF(AND($L1151=$O$7,$B1151&lt;'111'!$N$11),"x","")</f>
        <v/>
      </c>
      <c r="Q1151" s="831" t="str">
        <f>IF(AND($M1151=$O$7,$B1151&lt;'111'!$N$11),"x","")</f>
        <v/>
      </c>
      <c r="R1151" s="831" t="str">
        <f>IF(ISERROR(FIND('112'!$M$9,G1151,1)),"",IF((AND(FIND('112'!$M$9,G1151,1)&gt;=1,$B1151&gt;='112'!$N$8,$B1151&lt;='112'!$O$8,OR($L1151='112'!$I$6,$M1151='112'!$I$6))),"x",""))</f>
        <v/>
      </c>
      <c r="S1151" s="831" t="str">
        <f>IF(ISERROR(FIND('112'!$M$9,G1151,1)),"",IF((AND(LEFT(G1151,2)=LEFT('112'!$M$9,2),B1151&lt;'112'!$N$8,$L1151='112'!$I$6)),"x",""))</f>
        <v/>
      </c>
      <c r="T1151" s="831" t="str">
        <f>IF(ISERROR(FIND('112'!$M$9,G1151,1)),"",IF((AND(RIGHT(G1151,2)=RIGHT('112'!$M$9,2),B1151&lt;'112'!$N$8,$M1151='112'!$I$6)),"x",""))</f>
        <v/>
      </c>
      <c r="U1151" s="831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831" t="str">
        <f>IF(OR(TH!L1151=TH!$V$7,M1151=TH!$V$7),"x","")</f>
        <v/>
      </c>
      <c r="W1151" s="831" t="str">
        <f>IF(AND(B1151&gt;='IN-NX'!$P$3,B1151&lt;='IN-NX'!$Q$3,'IN-NX'!$D$7=D1151,OR(LEFT(L1151,2)="15",AND(LEFT(M1151,2)&lt;&gt;"15",LEFT(M1151,2)&lt;&gt;"33"))),"x","")</f>
        <v/>
      </c>
      <c r="X1151" s="831" t="str">
        <f>IF(AND(OR(LEFT(TH!L1151,2)="15",LEFT(TH!M1151,2)="15"),'152-CT'!$J$8=TH!F1151),"x","")</f>
        <v/>
      </c>
      <c r="Y1151" s="831" t="str">
        <f>IF(AND(OR(LEFT(TH!L1151,2)="15",LEFT(TH!M1151,2)="15"),TK!$E$7=TH!F1151),"x","")</f>
        <v/>
      </c>
      <c r="Z1151" s="831" t="str">
        <f>IF(AND(B1151&lt;=NKC!$N$8,B1151&gt;=NKC!$M$8),"x","")</f>
        <v>x</v>
      </c>
      <c r="AA1151" s="1114"/>
    </row>
    <row r="1152" spans="1:27" s="211" customFormat="1" ht="15.75" customHeight="1">
      <c r="A1152" s="204" t="str">
        <f>IF(B1152&lt;&gt;"",IF(AND(B1152&gt;=_TM1,B1152&lt;=_TM2,OR(TH!L1152="1111",TH!M1152="1111")),TH!D1152,""),"")</f>
        <v/>
      </c>
      <c r="B1152" s="36">
        <f t="shared" si="224"/>
        <v>7</v>
      </c>
      <c r="C1152" s="191">
        <f t="shared" si="222"/>
        <v>41457</v>
      </c>
      <c r="D1152" s="191" t="s">
        <v>1294</v>
      </c>
      <c r="E1152" s="191">
        <v>41457</v>
      </c>
      <c r="F1152" s="192"/>
      <c r="G1152" s="487" t="s">
        <v>864</v>
      </c>
      <c r="H1152" s="7" t="s">
        <v>1287</v>
      </c>
      <c r="I1152" s="256"/>
      <c r="J1152" s="256"/>
      <c r="K1152" s="602">
        <f t="shared" si="223"/>
        <v>0</v>
      </c>
      <c r="L1152" s="39" t="s">
        <v>165</v>
      </c>
      <c r="M1152" s="603" t="s">
        <v>159</v>
      </c>
      <c r="N1152" s="39" t="str">
        <f>IF(AND('331-CT'!$E$7=TH!H1152,OR(L1152="331",M1152="331")),"331",IF(AND(OR(L1152="131",M1152="131"),H1152='131-CT'!$E$7),"131",""))</f>
        <v/>
      </c>
      <c r="O1152" s="39" t="str">
        <f>IF(AND($B1152&gt;='111'!$N$11,$B1152&lt;='111'!$O$11,OR($L1152=$O$7,$M1152=$O$7)),"x","")</f>
        <v/>
      </c>
      <c r="P1152" s="39" t="str">
        <f>IF(AND($L1152=$O$7,$B1152&lt;'111'!$N$11),"x","")</f>
        <v/>
      </c>
      <c r="Q1152" s="39" t="str">
        <f>IF(AND($M1152=$O$7,$B1152&lt;'111'!$N$11),"x","")</f>
        <v/>
      </c>
      <c r="R1152" s="39" t="str">
        <f>IF(ISERROR(FIND('112'!$M$9,G1152,1)),"",IF((AND(FIND('112'!$M$9,G1152,1)&gt;=1,$B1152&gt;='112'!$N$8,$B1152&lt;='112'!$O$8,OR($L1152='112'!$I$6,$M1152='112'!$I$6))),"x",""))</f>
        <v/>
      </c>
      <c r="S1152" s="39" t="str">
        <f>IF(ISERROR(FIND('112'!$M$9,G1152,1)),"",IF((AND(LEFT(G1152,2)=LEFT('112'!$M$9,2),B1152&lt;'112'!$N$8,$L1152='112'!$I$6)),"x",""))</f>
        <v/>
      </c>
      <c r="T1152" s="39" t="str">
        <f>IF(ISERROR(FIND('112'!$M$9,G1152,1)),"",IF((AND(RIGHT(G1152,2)=RIGHT('112'!$M$9,2),B1152&lt;'112'!$N$8,$M1152='112'!$I$6)),"x",""))</f>
        <v/>
      </c>
      <c r="U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39" t="str">
        <f>IF(OR(TH!L1152=TH!$V$7,M1152=TH!$V$7),"x","")</f>
        <v/>
      </c>
      <c r="W1152" s="39" t="str">
        <f>IF(AND(B1152&gt;='IN-NX'!$P$3,B1152&lt;='IN-NX'!$Q$3,'IN-NX'!$D$7=D1152,OR(LEFT(L1152,2)="15",AND(LEFT(M1152,2)&lt;&gt;"15",LEFT(M1152,2)&lt;&gt;"33"))),"x","")</f>
        <v/>
      </c>
      <c r="X1152" s="39" t="str">
        <f>IF(AND(OR(LEFT(TH!L1152,2)="15",LEFT(TH!M1152,2)="15"),'152-CT'!$J$8=TH!F1152),"x","")</f>
        <v/>
      </c>
      <c r="Y1152" s="39" t="str">
        <f>IF(AND(OR(LEFT(TH!L1152,2)="15",LEFT(TH!M1152,2)="15"),TK!$E$7=TH!F1152),"x","")</f>
        <v/>
      </c>
      <c r="Z1152" s="39" t="str">
        <f>IF(AND(B1152&lt;=NKC!$N$8,B1152&gt;=NKC!$M$8),"x","")</f>
        <v>x</v>
      </c>
      <c r="AA1152" s="886"/>
    </row>
    <row r="1153" spans="1:27" s="211" customFormat="1" ht="15.75" customHeight="1">
      <c r="A1153" s="204" t="str">
        <f>IF(B1153&lt;&gt;"",IF(AND(B1153&gt;=_TM1,B1153&lt;=_TM2,OR(TH!L1153="1111",TH!M1153="1111")),TH!D1153,""),"")</f>
        <v/>
      </c>
      <c r="B1153" s="36">
        <f t="shared" si="224"/>
        <v>7</v>
      </c>
      <c r="C1153" s="191">
        <f t="shared" si="222"/>
        <v>41460</v>
      </c>
      <c r="D1153" s="191" t="s">
        <v>1294</v>
      </c>
      <c r="E1153" s="191">
        <v>41460</v>
      </c>
      <c r="F1153" s="192"/>
      <c r="G1153" s="487" t="s">
        <v>868</v>
      </c>
      <c r="H1153" s="7" t="s">
        <v>1287</v>
      </c>
      <c r="I1153" s="256"/>
      <c r="J1153" s="256"/>
      <c r="K1153" s="602">
        <f t="shared" si="223"/>
        <v>0</v>
      </c>
      <c r="L1153" s="39" t="s">
        <v>165</v>
      </c>
      <c r="M1153" s="603" t="s">
        <v>159</v>
      </c>
      <c r="N1153" s="39" t="str">
        <f>IF(AND('331-CT'!$E$7=TH!H1153,OR(L1153="331",M1153="331")),"331",IF(AND(OR(L1153="131",M1153="131"),H1153='131-CT'!$E$7),"131",""))</f>
        <v/>
      </c>
      <c r="O1153" s="39" t="str">
        <f>IF(AND($B1153&gt;='111'!$N$11,$B1153&lt;='111'!$O$11,OR($L1153=$O$7,$M1153=$O$7)),"x","")</f>
        <v/>
      </c>
      <c r="P1153" s="39" t="str">
        <f>IF(AND($L1153=$O$7,$B1153&lt;'111'!$N$11),"x","")</f>
        <v/>
      </c>
      <c r="Q1153" s="39" t="str">
        <f>IF(AND($M1153=$O$7,$B1153&lt;'111'!$N$11),"x","")</f>
        <v/>
      </c>
      <c r="R1153" s="39" t="str">
        <f>IF(ISERROR(FIND('112'!$M$9,G1153,1)),"",IF((AND(FIND('112'!$M$9,G1153,1)&gt;=1,$B1153&gt;='112'!$N$8,$B1153&lt;='112'!$O$8,OR($L1153='112'!$I$6,$M1153='112'!$I$6))),"x",""))</f>
        <v/>
      </c>
      <c r="S1153" s="39" t="str">
        <f>IF(ISERROR(FIND('112'!$M$9,G1153,1)),"",IF((AND(LEFT(G1153,2)=LEFT('112'!$M$9,2),B1153&lt;'112'!$N$8,$L1153='112'!$I$6)),"x",""))</f>
        <v/>
      </c>
      <c r="T1153" s="39" t="str">
        <f>IF(ISERROR(FIND('112'!$M$9,G1153,1)),"",IF((AND(RIGHT(G1153,2)=RIGHT('112'!$M$9,2),B1153&lt;'112'!$N$8,$M1153='112'!$I$6)),"x",""))</f>
        <v/>
      </c>
      <c r="U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39" t="str">
        <f>IF(OR(TH!L1153=TH!$V$7,M1153=TH!$V$7),"x","")</f>
        <v/>
      </c>
      <c r="W1153" s="39" t="str">
        <f>IF(AND(B1153&gt;='IN-NX'!$P$3,B1153&lt;='IN-NX'!$Q$3,'IN-NX'!$D$7=D1153,OR(LEFT(L1153,2)="15",AND(LEFT(M1153,2)&lt;&gt;"15",LEFT(M1153,2)&lt;&gt;"33"))),"x","")</f>
        <v/>
      </c>
      <c r="X1153" s="39" t="str">
        <f>IF(AND(OR(LEFT(TH!L1153,2)="15",LEFT(TH!M1153,2)="15"),'152-CT'!$J$8=TH!F1153),"x","")</f>
        <v/>
      </c>
      <c r="Y1153" s="39" t="str">
        <f>IF(AND(OR(LEFT(TH!L1153,2)="15",LEFT(TH!M1153,2)="15"),TK!$E$7=TH!F1153),"x","")</f>
        <v/>
      </c>
      <c r="Z1153" s="39" t="str">
        <f>IF(AND(B1153&lt;=NKC!$N$8,B1153&gt;=NKC!$M$8),"x","")</f>
        <v>x</v>
      </c>
      <c r="AA1153" s="886"/>
    </row>
    <row r="1154" spans="1:27" s="211" customFormat="1" ht="15.75" customHeight="1">
      <c r="A1154" s="204" t="str">
        <f>IF(B1154&lt;&gt;"",IF(AND(B1154&gt;=_TM1,B1154&lt;=_TM2,OR(TH!L1154="1111",TH!M1154="1111")),TH!D1154,""),"")</f>
        <v/>
      </c>
      <c r="B1154" s="36">
        <f t="shared" si="224"/>
        <v>7</v>
      </c>
      <c r="C1154" s="191">
        <f t="shared" si="222"/>
        <v>41460</v>
      </c>
      <c r="D1154" s="191" t="s">
        <v>1294</v>
      </c>
      <c r="E1154" s="191">
        <v>41460</v>
      </c>
      <c r="F1154" s="192"/>
      <c r="G1154" s="487" t="s">
        <v>868</v>
      </c>
      <c r="H1154" s="7" t="s">
        <v>1287</v>
      </c>
      <c r="I1154" s="256"/>
      <c r="J1154" s="256"/>
      <c r="K1154" s="602">
        <f t="shared" si="223"/>
        <v>0</v>
      </c>
      <c r="L1154" s="39" t="s">
        <v>165</v>
      </c>
      <c r="M1154" s="603" t="s">
        <v>159</v>
      </c>
      <c r="N1154" s="39" t="str">
        <f>IF(AND('331-CT'!$E$7=TH!H1154,OR(L1154="331",M1154="331")),"331",IF(AND(OR(L1154="131",M1154="131"),H1154='131-CT'!$E$7),"131",""))</f>
        <v/>
      </c>
      <c r="O1154" s="39" t="str">
        <f>IF(AND($B1154&gt;='111'!$N$11,$B1154&lt;='111'!$O$11,OR($L1154=$O$7,$M1154=$O$7)),"x","")</f>
        <v/>
      </c>
      <c r="P1154" s="39" t="str">
        <f>IF(AND($L1154=$O$7,$B1154&lt;'111'!$N$11),"x","")</f>
        <v/>
      </c>
      <c r="Q1154" s="39" t="str">
        <f>IF(AND($M1154=$O$7,$B1154&lt;'111'!$N$11),"x","")</f>
        <v/>
      </c>
      <c r="R1154" s="39" t="str">
        <f>IF(ISERROR(FIND('112'!$M$9,G1154,1)),"",IF((AND(FIND('112'!$M$9,G1154,1)&gt;=1,$B1154&gt;='112'!$N$8,$B1154&lt;='112'!$O$8,OR($L1154='112'!$I$6,$M1154='112'!$I$6))),"x",""))</f>
        <v/>
      </c>
      <c r="S1154" s="39" t="str">
        <f>IF(ISERROR(FIND('112'!$M$9,G1154,1)),"",IF((AND(LEFT(G1154,2)=LEFT('112'!$M$9,2),B1154&lt;'112'!$N$8,$L1154='112'!$I$6)),"x",""))</f>
        <v/>
      </c>
      <c r="T1154" s="39" t="str">
        <f>IF(ISERROR(FIND('112'!$M$9,G1154,1)),"",IF((AND(RIGHT(G1154,2)=RIGHT('112'!$M$9,2),B1154&lt;'112'!$N$8,$M1154='112'!$I$6)),"x",""))</f>
        <v/>
      </c>
      <c r="U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39" t="str">
        <f>IF(OR(TH!L1154=TH!$V$7,M1154=TH!$V$7),"x","")</f>
        <v/>
      </c>
      <c r="W1154" s="39" t="str">
        <f>IF(AND(B1154&gt;='IN-NX'!$P$3,B1154&lt;='IN-NX'!$Q$3,'IN-NX'!$D$7=D1154,OR(LEFT(L1154,2)="15",AND(LEFT(M1154,2)&lt;&gt;"15",LEFT(M1154,2)&lt;&gt;"33"))),"x","")</f>
        <v/>
      </c>
      <c r="X1154" s="39" t="str">
        <f>IF(AND(OR(LEFT(TH!L1154,2)="15",LEFT(TH!M1154,2)="15"),'152-CT'!$J$8=TH!F1154),"x","")</f>
        <v/>
      </c>
      <c r="Y1154" s="39" t="str">
        <f>IF(AND(OR(LEFT(TH!L1154,2)="15",LEFT(TH!M1154,2)="15"),TK!$E$7=TH!F1154),"x","")</f>
        <v/>
      </c>
      <c r="Z1154" s="39" t="str">
        <f>IF(AND(B1154&lt;=NKC!$N$8,B1154&gt;=NKC!$M$8),"x","")</f>
        <v>x</v>
      </c>
      <c r="AA1154" s="886"/>
    </row>
    <row r="1155" spans="1:27" s="211" customFormat="1" ht="15.75" customHeight="1">
      <c r="A1155" s="204" t="str">
        <f>IF(B1155&lt;&gt;"",IF(AND(B1155&gt;=_TM1,B1155&lt;=_TM2,OR(TH!L1155="1111",TH!M1155="1111")),TH!D1155,""),"")</f>
        <v/>
      </c>
      <c r="B1155" s="36">
        <f t="shared" si="224"/>
        <v>7</v>
      </c>
      <c r="C1155" s="191">
        <f t="shared" si="222"/>
        <v>41460</v>
      </c>
      <c r="D1155" s="191" t="s">
        <v>1294</v>
      </c>
      <c r="E1155" s="191">
        <v>41460</v>
      </c>
      <c r="F1155" s="192"/>
      <c r="G1155" s="487" t="s">
        <v>870</v>
      </c>
      <c r="H1155" s="7" t="s">
        <v>1287</v>
      </c>
      <c r="I1155" s="256"/>
      <c r="J1155" s="256"/>
      <c r="K1155" s="602">
        <f t="shared" si="223"/>
        <v>0</v>
      </c>
      <c r="L1155" s="39" t="s">
        <v>165</v>
      </c>
      <c r="M1155" s="603" t="s">
        <v>159</v>
      </c>
      <c r="N1155" s="39" t="str">
        <f>IF(AND('331-CT'!$E$7=TH!H1155,OR(L1155="331",M1155="331")),"331",IF(AND(OR(L1155="131",M1155="131"),H1155='131-CT'!$E$7),"131",""))</f>
        <v/>
      </c>
      <c r="O1155" s="39" t="str">
        <f>IF(AND($B1155&gt;='111'!$N$11,$B1155&lt;='111'!$O$11,OR($L1155=$O$7,$M1155=$O$7)),"x","")</f>
        <v/>
      </c>
      <c r="P1155" s="39" t="str">
        <f>IF(AND($L1155=$O$7,$B1155&lt;'111'!$N$11),"x","")</f>
        <v/>
      </c>
      <c r="Q1155" s="39" t="str">
        <f>IF(AND($M1155=$O$7,$B1155&lt;'111'!$N$11),"x","")</f>
        <v/>
      </c>
      <c r="R1155" s="39" t="str">
        <f>IF(ISERROR(FIND('112'!$M$9,G1155,1)),"",IF((AND(FIND('112'!$M$9,G1155,1)&gt;=1,$B1155&gt;='112'!$N$8,$B1155&lt;='112'!$O$8,OR($L1155='112'!$I$6,$M1155='112'!$I$6))),"x",""))</f>
        <v/>
      </c>
      <c r="S1155" s="39" t="str">
        <f>IF(ISERROR(FIND('112'!$M$9,G1155,1)),"",IF((AND(LEFT(G1155,2)=LEFT('112'!$M$9,2),B1155&lt;'112'!$N$8,$L1155='112'!$I$6)),"x",""))</f>
        <v/>
      </c>
      <c r="T1155" s="39" t="str">
        <f>IF(ISERROR(FIND('112'!$M$9,G1155,1)),"",IF((AND(RIGHT(G1155,2)=RIGHT('112'!$M$9,2),B1155&lt;'112'!$N$8,$M1155='112'!$I$6)),"x",""))</f>
        <v/>
      </c>
      <c r="U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39" t="str">
        <f>IF(OR(TH!L1155=TH!$V$7,M1155=TH!$V$7),"x","")</f>
        <v/>
      </c>
      <c r="W1155" s="39" t="str">
        <f>IF(AND(B1155&gt;='IN-NX'!$P$3,B1155&lt;='IN-NX'!$Q$3,'IN-NX'!$D$7=D1155,OR(LEFT(L1155,2)="15",AND(LEFT(M1155,2)&lt;&gt;"15",LEFT(M1155,2)&lt;&gt;"33"))),"x","")</f>
        <v/>
      </c>
      <c r="X1155" s="39" t="str">
        <f>IF(AND(OR(LEFT(TH!L1155,2)="15",LEFT(TH!M1155,2)="15"),'152-CT'!$J$8=TH!F1155),"x","")</f>
        <v/>
      </c>
      <c r="Y1155" s="39" t="str">
        <f>IF(AND(OR(LEFT(TH!L1155,2)="15",LEFT(TH!M1155,2)="15"),TK!$E$7=TH!F1155),"x","")</f>
        <v/>
      </c>
      <c r="Z1155" s="39" t="str">
        <f>IF(AND(B1155&lt;=NKC!$N$8,B1155&gt;=NKC!$M$8),"x","")</f>
        <v>x</v>
      </c>
      <c r="AA1155" s="886"/>
    </row>
    <row r="1156" spans="1:27" s="211" customFormat="1" ht="15.75" customHeight="1">
      <c r="A1156" s="204" t="str">
        <f>IF(B1156&lt;&gt;"",IF(AND(B1156&gt;=_TM1,B1156&lt;=_TM2,OR(TH!L1156="1111",TH!M1156="1111")),TH!D1156,""),"")</f>
        <v/>
      </c>
      <c r="B1156" s="36">
        <f t="shared" si="224"/>
        <v>7</v>
      </c>
      <c r="C1156" s="191">
        <f t="shared" si="222"/>
        <v>41460</v>
      </c>
      <c r="D1156" s="191" t="s">
        <v>1294</v>
      </c>
      <c r="E1156" s="191">
        <v>41460</v>
      </c>
      <c r="F1156" s="192"/>
      <c r="G1156" s="487" t="s">
        <v>870</v>
      </c>
      <c r="H1156" s="7" t="s">
        <v>1287</v>
      </c>
      <c r="I1156" s="256"/>
      <c r="J1156" s="256"/>
      <c r="K1156" s="602">
        <f t="shared" si="223"/>
        <v>0</v>
      </c>
      <c r="L1156" s="39" t="s">
        <v>165</v>
      </c>
      <c r="M1156" s="603" t="s">
        <v>159</v>
      </c>
      <c r="N1156" s="39" t="str">
        <f>IF(AND('331-CT'!$E$7=TH!H1156,OR(L1156="331",M1156="331")),"331",IF(AND(OR(L1156="131",M1156="131"),H1156='131-CT'!$E$7),"131",""))</f>
        <v/>
      </c>
      <c r="O1156" s="39" t="str">
        <f>IF(AND($B1156&gt;='111'!$N$11,$B1156&lt;='111'!$O$11,OR($L1156=$O$7,$M1156=$O$7)),"x","")</f>
        <v/>
      </c>
      <c r="P1156" s="39" t="str">
        <f>IF(AND($L1156=$O$7,$B1156&lt;'111'!$N$11),"x","")</f>
        <v/>
      </c>
      <c r="Q1156" s="39" t="str">
        <f>IF(AND($M1156=$O$7,$B1156&lt;'111'!$N$11),"x","")</f>
        <v/>
      </c>
      <c r="R1156" s="39" t="str">
        <f>IF(ISERROR(FIND('112'!$M$9,G1156,1)),"",IF((AND(FIND('112'!$M$9,G1156,1)&gt;=1,$B1156&gt;='112'!$N$8,$B1156&lt;='112'!$O$8,OR($L1156='112'!$I$6,$M1156='112'!$I$6))),"x",""))</f>
        <v/>
      </c>
      <c r="S1156" s="39" t="str">
        <f>IF(ISERROR(FIND('112'!$M$9,G1156,1)),"",IF((AND(LEFT(G1156,2)=LEFT('112'!$M$9,2),B1156&lt;'112'!$N$8,$L1156='112'!$I$6)),"x",""))</f>
        <v/>
      </c>
      <c r="T1156" s="39" t="str">
        <f>IF(ISERROR(FIND('112'!$M$9,G1156,1)),"",IF((AND(RIGHT(G1156,2)=RIGHT('112'!$M$9,2),B1156&lt;'112'!$N$8,$M1156='112'!$I$6)),"x",""))</f>
        <v/>
      </c>
      <c r="U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39" t="str">
        <f>IF(OR(TH!L1156=TH!$V$7,M1156=TH!$V$7),"x","")</f>
        <v/>
      </c>
      <c r="W1156" s="39" t="str">
        <f>IF(AND(B1156&gt;='IN-NX'!$P$3,B1156&lt;='IN-NX'!$Q$3,'IN-NX'!$D$7=D1156,OR(LEFT(L1156,2)="15",AND(LEFT(M1156,2)&lt;&gt;"15",LEFT(M1156,2)&lt;&gt;"33"))),"x","")</f>
        <v/>
      </c>
      <c r="X1156" s="39" t="str">
        <f>IF(AND(OR(LEFT(TH!L1156,2)="15",LEFT(TH!M1156,2)="15"),'152-CT'!$J$8=TH!F1156),"x","")</f>
        <v/>
      </c>
      <c r="Y1156" s="39" t="str">
        <f>IF(AND(OR(LEFT(TH!L1156,2)="15",LEFT(TH!M1156,2)="15"),TK!$E$7=TH!F1156),"x","")</f>
        <v/>
      </c>
      <c r="Z1156" s="39" t="str">
        <f>IF(AND(B1156&lt;=NKC!$N$8,B1156&gt;=NKC!$M$8),"x","")</f>
        <v>x</v>
      </c>
      <c r="AA1156" s="886"/>
    </row>
    <row r="1157" spans="1:27" s="211" customFormat="1" ht="15.75" customHeight="1">
      <c r="A1157" s="204" t="str">
        <f>IF(B1157&lt;&gt;"",IF(AND(B1157&gt;=_TM1,B1157&lt;=_TM2,OR(TH!L1157="1111",TH!M1157="1111")),TH!D1157,""),"")</f>
        <v/>
      </c>
      <c r="B1157" s="36">
        <f t="shared" si="224"/>
        <v>7</v>
      </c>
      <c r="C1157" s="191">
        <f t="shared" si="222"/>
        <v>41460</v>
      </c>
      <c r="D1157" s="191" t="s">
        <v>1294</v>
      </c>
      <c r="E1157" s="191">
        <v>41460</v>
      </c>
      <c r="F1157" s="192"/>
      <c r="G1157" s="487" t="s">
        <v>870</v>
      </c>
      <c r="H1157" s="7" t="s">
        <v>1287</v>
      </c>
      <c r="I1157" s="257"/>
      <c r="J1157" s="257"/>
      <c r="K1157" s="602">
        <f t="shared" si="223"/>
        <v>0</v>
      </c>
      <c r="L1157" s="39" t="s">
        <v>165</v>
      </c>
      <c r="M1157" s="603" t="s">
        <v>159</v>
      </c>
      <c r="N1157" s="39" t="str">
        <f>IF(AND('331-CT'!$E$7=TH!H1157,OR(L1157="331",M1157="331")),"331",IF(AND(OR(L1157="131",M1157="131"),H1157='131-CT'!$E$7),"131",""))</f>
        <v/>
      </c>
      <c r="O1157" s="39" t="str">
        <f>IF(AND($B1157&gt;='111'!$N$11,$B1157&lt;='111'!$O$11,OR($L1157=$O$7,$M1157=$O$7)),"x","")</f>
        <v/>
      </c>
      <c r="P1157" s="39" t="str">
        <f>IF(AND($L1157=$O$7,$B1157&lt;'111'!$N$11),"x","")</f>
        <v/>
      </c>
      <c r="Q1157" s="39" t="str">
        <f>IF(AND($M1157=$O$7,$B1157&lt;'111'!$N$11),"x","")</f>
        <v/>
      </c>
      <c r="R1157" s="39" t="str">
        <f>IF(ISERROR(FIND('112'!$M$9,G1157,1)),"",IF((AND(FIND('112'!$M$9,G1157,1)&gt;=1,$B1157&gt;='112'!$N$8,$B1157&lt;='112'!$O$8,OR($L1157='112'!$I$6,$M1157='112'!$I$6))),"x",""))</f>
        <v/>
      </c>
      <c r="S1157" s="39" t="str">
        <f>IF(ISERROR(FIND('112'!$M$9,G1157,1)),"",IF((AND(LEFT(G1157,2)=LEFT('112'!$M$9,2),B1157&lt;'112'!$N$8,$L1157='112'!$I$6)),"x",""))</f>
        <v/>
      </c>
      <c r="T1157" s="39" t="str">
        <f>IF(ISERROR(FIND('112'!$M$9,G1157,1)),"",IF((AND(RIGHT(G1157,2)=RIGHT('112'!$M$9,2),B1157&lt;'112'!$N$8,$M1157='112'!$I$6)),"x",""))</f>
        <v/>
      </c>
      <c r="U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39" t="str">
        <f>IF(OR(TH!L1157=TH!$V$7,M1157=TH!$V$7),"x","")</f>
        <v/>
      </c>
      <c r="W1157" s="39" t="str">
        <f>IF(AND(B1157&gt;='IN-NX'!$P$3,B1157&lt;='IN-NX'!$Q$3,'IN-NX'!$D$7=D1157,OR(LEFT(L1157,2)="15",AND(LEFT(M1157,2)&lt;&gt;"15",LEFT(M1157,2)&lt;&gt;"33"))),"x","")</f>
        <v/>
      </c>
      <c r="X1157" s="39" t="str">
        <f>IF(AND(OR(LEFT(TH!L1157,2)="15",LEFT(TH!M1157,2)="15"),'152-CT'!$J$8=TH!F1157),"x","")</f>
        <v/>
      </c>
      <c r="Y1157" s="39" t="str">
        <f>IF(AND(OR(LEFT(TH!L1157,2)="15",LEFT(TH!M1157,2)="15"),TK!$E$7=TH!F1157),"x","")</f>
        <v/>
      </c>
      <c r="Z1157" s="39" t="str">
        <f>IF(AND(B1157&lt;=NKC!$N$8,B1157&gt;=NKC!$M$8),"x","")</f>
        <v>x</v>
      </c>
      <c r="AA1157" s="886"/>
    </row>
    <row r="1158" spans="1:27" s="211" customFormat="1" ht="15.75" customHeight="1">
      <c r="A1158" s="204" t="str">
        <f>IF(B1158&lt;&gt;"",IF(AND(B1158&gt;=_TM1,B1158&lt;=_TM2,OR(TH!L1158="1111",TH!M1158="1111")),TH!D1158,""),"")</f>
        <v/>
      </c>
      <c r="B1158" s="36">
        <f t="shared" si="224"/>
        <v>7</v>
      </c>
      <c r="C1158" s="191">
        <f t="shared" si="222"/>
        <v>41460</v>
      </c>
      <c r="D1158" s="191" t="s">
        <v>1294</v>
      </c>
      <c r="E1158" s="191">
        <v>41460</v>
      </c>
      <c r="F1158" s="192"/>
      <c r="G1158" s="487" t="s">
        <v>870</v>
      </c>
      <c r="H1158" s="7" t="s">
        <v>1287</v>
      </c>
      <c r="I1158" s="256"/>
      <c r="J1158" s="256"/>
      <c r="K1158" s="602">
        <f t="shared" si="223"/>
        <v>0</v>
      </c>
      <c r="L1158" s="39" t="s">
        <v>165</v>
      </c>
      <c r="M1158" s="603" t="s">
        <v>159</v>
      </c>
      <c r="N1158" s="39" t="str">
        <f>IF(AND('331-CT'!$E$7=TH!H1158,OR(L1158="331",M1158="331")),"331",IF(AND(OR(L1158="131",M1158="131"),H1158='131-CT'!$E$7),"131",""))</f>
        <v/>
      </c>
      <c r="O1158" s="39" t="str">
        <f>IF(AND($B1158&gt;='111'!$N$11,$B1158&lt;='111'!$O$11,OR($L1158=$O$7,$M1158=$O$7)),"x","")</f>
        <v/>
      </c>
      <c r="P1158" s="39" t="str">
        <f>IF(AND($L1158=$O$7,$B1158&lt;'111'!$N$11),"x","")</f>
        <v/>
      </c>
      <c r="Q1158" s="39" t="str">
        <f>IF(AND($M1158=$O$7,$B1158&lt;'111'!$N$11),"x","")</f>
        <v/>
      </c>
      <c r="R1158" s="39" t="str">
        <f>IF(ISERROR(FIND('112'!$M$9,G1158,1)),"",IF((AND(FIND('112'!$M$9,G1158,1)&gt;=1,$B1158&gt;='112'!$N$8,$B1158&lt;='112'!$O$8,OR($L1158='112'!$I$6,$M1158='112'!$I$6))),"x",""))</f>
        <v/>
      </c>
      <c r="S1158" s="39" t="str">
        <f>IF(ISERROR(FIND('112'!$M$9,G1158,1)),"",IF((AND(LEFT(G1158,2)=LEFT('112'!$M$9,2),B1158&lt;'112'!$N$8,$L1158='112'!$I$6)),"x",""))</f>
        <v/>
      </c>
      <c r="T1158" s="39" t="str">
        <f>IF(ISERROR(FIND('112'!$M$9,G1158,1)),"",IF((AND(RIGHT(G1158,2)=RIGHT('112'!$M$9,2),B1158&lt;'112'!$N$8,$M1158='112'!$I$6)),"x",""))</f>
        <v/>
      </c>
      <c r="U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39" t="str">
        <f>IF(OR(TH!L1158=TH!$V$7,M1158=TH!$V$7),"x","")</f>
        <v/>
      </c>
      <c r="W1158" s="39" t="str">
        <f>IF(AND(B1158&gt;='IN-NX'!$P$3,B1158&lt;='IN-NX'!$Q$3,'IN-NX'!$D$7=D1158,OR(LEFT(L1158,2)="15",AND(LEFT(M1158,2)&lt;&gt;"15",LEFT(M1158,2)&lt;&gt;"33"))),"x","")</f>
        <v/>
      </c>
      <c r="X1158" s="39" t="str">
        <f>IF(AND(OR(LEFT(TH!L1158,2)="15",LEFT(TH!M1158,2)="15"),'152-CT'!$J$8=TH!F1158),"x","")</f>
        <v/>
      </c>
      <c r="Y1158" s="39" t="str">
        <f>IF(AND(OR(LEFT(TH!L1158,2)="15",LEFT(TH!M1158,2)="15"),TK!$E$7=TH!F1158),"x","")</f>
        <v/>
      </c>
      <c r="Z1158" s="39" t="str">
        <f>IF(AND(B1158&lt;=NKC!$N$8,B1158&gt;=NKC!$M$8),"x","")</f>
        <v>x</v>
      </c>
      <c r="AA1158" s="886"/>
    </row>
    <row r="1159" spans="1:27" s="211" customFormat="1" ht="15.75" customHeight="1">
      <c r="A1159" s="204" t="str">
        <f>IF(B1159&lt;&gt;"",IF(AND(B1159&gt;=_TM1,B1159&lt;=_TM2,OR(TH!L1159="1111",TH!M1159="1111")),TH!D1159,""),"")</f>
        <v/>
      </c>
      <c r="B1159" s="36">
        <f t="shared" si="224"/>
        <v>7</v>
      </c>
      <c r="C1159" s="191">
        <f t="shared" ref="C1159:C1222" si="225">E1159</f>
        <v>41472</v>
      </c>
      <c r="D1159" s="191" t="s">
        <v>1294</v>
      </c>
      <c r="E1159" s="191">
        <v>41472</v>
      </c>
      <c r="F1159" s="192"/>
      <c r="G1159" s="487" t="s">
        <v>873</v>
      </c>
      <c r="H1159" s="7" t="s">
        <v>1287</v>
      </c>
      <c r="I1159" s="256"/>
      <c r="J1159" s="256"/>
      <c r="K1159" s="602">
        <f t="shared" ref="K1159:K1222" si="226">ROUND(I1159*J1159,0)</f>
        <v>0</v>
      </c>
      <c r="L1159" s="39" t="s">
        <v>165</v>
      </c>
      <c r="M1159" s="603" t="s">
        <v>159</v>
      </c>
      <c r="N1159" s="39" t="str">
        <f>IF(AND('331-CT'!$E$7=TH!H1159,OR(L1159="331",M1159="331")),"331",IF(AND(OR(L1159="131",M1159="131"),H1159='131-CT'!$E$7),"131",""))</f>
        <v/>
      </c>
      <c r="O1159" s="39" t="str">
        <f>IF(AND($B1159&gt;='111'!$N$11,$B1159&lt;='111'!$O$11,OR($L1159=$O$7,$M1159=$O$7)),"x","")</f>
        <v/>
      </c>
      <c r="P1159" s="39" t="str">
        <f>IF(AND($L1159=$O$7,$B1159&lt;'111'!$N$11),"x","")</f>
        <v/>
      </c>
      <c r="Q1159" s="39" t="str">
        <f>IF(AND($M1159=$O$7,$B1159&lt;'111'!$N$11),"x","")</f>
        <v/>
      </c>
      <c r="R1159" s="39" t="str">
        <f>IF(ISERROR(FIND('112'!$M$9,G1159,1)),"",IF((AND(FIND('112'!$M$9,G1159,1)&gt;=1,$B1159&gt;='112'!$N$8,$B1159&lt;='112'!$O$8,OR($L1159='112'!$I$6,$M1159='112'!$I$6))),"x",""))</f>
        <v/>
      </c>
      <c r="S1159" s="39" t="str">
        <f>IF(ISERROR(FIND('112'!$M$9,G1159,1)),"",IF((AND(LEFT(G1159,2)=LEFT('112'!$M$9,2),B1159&lt;'112'!$N$8,$L1159='112'!$I$6)),"x",""))</f>
        <v/>
      </c>
      <c r="T1159" s="39" t="str">
        <f>IF(ISERROR(FIND('112'!$M$9,G1159,1)),"",IF((AND(RIGHT(G1159,2)=RIGHT('112'!$M$9,2),B1159&lt;'112'!$N$8,$M1159='112'!$I$6)),"x",""))</f>
        <v/>
      </c>
      <c r="U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39" t="str">
        <f>IF(OR(TH!L1159=TH!$V$7,M1159=TH!$V$7),"x","")</f>
        <v/>
      </c>
      <c r="W1159" s="39" t="str">
        <f>IF(AND(B1159&gt;='IN-NX'!$P$3,B1159&lt;='IN-NX'!$Q$3,'IN-NX'!$D$7=D1159,OR(LEFT(L1159,2)="15",AND(LEFT(M1159,2)&lt;&gt;"15",LEFT(M1159,2)&lt;&gt;"33"))),"x","")</f>
        <v/>
      </c>
      <c r="X1159" s="39" t="str">
        <f>IF(AND(OR(LEFT(TH!L1159,2)="15",LEFT(TH!M1159,2)="15"),'152-CT'!$J$8=TH!F1159),"x","")</f>
        <v/>
      </c>
      <c r="Y1159" s="39" t="str">
        <f>IF(AND(OR(LEFT(TH!L1159,2)="15",LEFT(TH!M1159,2)="15"),TK!$E$7=TH!F1159),"x","")</f>
        <v/>
      </c>
      <c r="Z1159" s="39" t="str">
        <f>IF(AND(B1159&lt;=NKC!$N$8,B1159&gt;=NKC!$M$8),"x","")</f>
        <v>x</v>
      </c>
      <c r="AA1159" s="886"/>
    </row>
    <row r="1160" spans="1:27" s="211" customFormat="1" ht="15.75" customHeight="1">
      <c r="A1160" s="204" t="str">
        <f>IF(B1160&lt;&gt;"",IF(AND(B1160&gt;=_TM1,B1160&lt;=_TM2,OR(TH!L1160="1111",TH!M1160="1111")),TH!D1160,""),"")</f>
        <v/>
      </c>
      <c r="B1160" s="36">
        <f t="shared" si="224"/>
        <v>7</v>
      </c>
      <c r="C1160" s="191">
        <f t="shared" si="225"/>
        <v>41472</v>
      </c>
      <c r="D1160" s="191" t="s">
        <v>1294</v>
      </c>
      <c r="E1160" s="191">
        <v>41472</v>
      </c>
      <c r="F1160" s="192"/>
      <c r="G1160" s="487" t="s">
        <v>874</v>
      </c>
      <c r="H1160" s="7" t="s">
        <v>1287</v>
      </c>
      <c r="I1160" s="256"/>
      <c r="J1160" s="256"/>
      <c r="K1160" s="602">
        <f t="shared" si="226"/>
        <v>0</v>
      </c>
      <c r="L1160" s="39" t="s">
        <v>165</v>
      </c>
      <c r="M1160" s="603" t="s">
        <v>159</v>
      </c>
      <c r="N1160" s="39" t="str">
        <f>IF(AND('331-CT'!$E$7=TH!H1160,OR(L1160="331",M1160="331")),"331",IF(AND(OR(L1160="131",M1160="131"),H1160='131-CT'!$E$7),"131",""))</f>
        <v/>
      </c>
      <c r="O1160" s="39" t="str">
        <f>IF(AND($B1160&gt;='111'!$N$11,$B1160&lt;='111'!$O$11,OR($L1160=$O$7,$M1160=$O$7)),"x","")</f>
        <v/>
      </c>
      <c r="P1160" s="39" t="str">
        <f>IF(AND($L1160=$O$7,$B1160&lt;'111'!$N$11),"x","")</f>
        <v/>
      </c>
      <c r="Q1160" s="39" t="str">
        <f>IF(AND($M1160=$O$7,$B1160&lt;'111'!$N$11),"x","")</f>
        <v/>
      </c>
      <c r="R1160" s="39" t="str">
        <f>IF(ISERROR(FIND('112'!$M$9,G1160,1)),"",IF((AND(FIND('112'!$M$9,G1160,1)&gt;=1,$B1160&gt;='112'!$N$8,$B1160&lt;='112'!$O$8,OR($L1160='112'!$I$6,$M1160='112'!$I$6))),"x",""))</f>
        <v/>
      </c>
      <c r="S1160" s="39" t="str">
        <f>IF(ISERROR(FIND('112'!$M$9,G1160,1)),"",IF((AND(LEFT(G1160,2)=LEFT('112'!$M$9,2),B1160&lt;'112'!$N$8,$L1160='112'!$I$6)),"x",""))</f>
        <v/>
      </c>
      <c r="T1160" s="39" t="str">
        <f>IF(ISERROR(FIND('112'!$M$9,G1160,1)),"",IF((AND(RIGHT(G1160,2)=RIGHT('112'!$M$9,2),B1160&lt;'112'!$N$8,$M1160='112'!$I$6)),"x",""))</f>
        <v/>
      </c>
      <c r="U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39" t="str">
        <f>IF(OR(TH!L1160=TH!$V$7,M1160=TH!$V$7),"x","")</f>
        <v/>
      </c>
      <c r="W1160" s="39" t="str">
        <f>IF(AND(B1160&gt;='IN-NX'!$P$3,B1160&lt;='IN-NX'!$Q$3,'IN-NX'!$D$7=D1160,OR(LEFT(L1160,2)="15",AND(LEFT(M1160,2)&lt;&gt;"15",LEFT(M1160,2)&lt;&gt;"33"))),"x","")</f>
        <v/>
      </c>
      <c r="X1160" s="39" t="str">
        <f>IF(AND(OR(LEFT(TH!L1160,2)="15",LEFT(TH!M1160,2)="15"),'152-CT'!$J$8=TH!F1160),"x","")</f>
        <v/>
      </c>
      <c r="Y1160" s="39" t="str">
        <f>IF(AND(OR(LEFT(TH!L1160,2)="15",LEFT(TH!M1160,2)="15"),TK!$E$7=TH!F1160),"x","")</f>
        <v/>
      </c>
      <c r="Z1160" s="39" t="str">
        <f>IF(AND(B1160&lt;=NKC!$N$8,B1160&gt;=NKC!$M$8),"x","")</f>
        <v>x</v>
      </c>
      <c r="AA1160" s="886"/>
    </row>
    <row r="1161" spans="1:27" s="211" customFormat="1" ht="15.75" customHeight="1">
      <c r="A1161" s="204" t="str">
        <f>IF(B1161&lt;&gt;"",IF(AND(B1161&gt;=_TM1,B1161&lt;=_TM2,OR(TH!L1161="1111",TH!M1161="1111")),TH!D1161,""),"")</f>
        <v/>
      </c>
      <c r="B1161" s="36">
        <f t="shared" si="224"/>
        <v>7</v>
      </c>
      <c r="C1161" s="191">
        <f t="shared" si="225"/>
        <v>41474</v>
      </c>
      <c r="D1161" s="191" t="s">
        <v>1294</v>
      </c>
      <c r="E1161" s="774">
        <v>41474</v>
      </c>
      <c r="F1161" s="189"/>
      <c r="G1161" s="40" t="s">
        <v>875</v>
      </c>
      <c r="H1161" s="7" t="s">
        <v>1287</v>
      </c>
      <c r="I1161" s="256"/>
      <c r="J1161" s="256"/>
      <c r="K1161" s="602">
        <f t="shared" si="226"/>
        <v>0</v>
      </c>
      <c r="L1161" s="39" t="s">
        <v>165</v>
      </c>
      <c r="M1161" s="603" t="s">
        <v>159</v>
      </c>
      <c r="N1161" s="39" t="str">
        <f>IF(AND('331-CT'!$E$7=TH!H1161,OR(L1161="331",M1161="331")),"331",IF(AND(OR(L1161="131",M1161="131"),H1161='131-CT'!$E$7),"131",""))</f>
        <v/>
      </c>
      <c r="O1161" s="39" t="str">
        <f>IF(AND($B1161&gt;='111'!$N$11,$B1161&lt;='111'!$O$11,OR($L1161=$O$7,$M1161=$O$7)),"x","")</f>
        <v/>
      </c>
      <c r="P1161" s="39" t="str">
        <f>IF(AND($L1161=$O$7,$B1161&lt;'111'!$N$11),"x","")</f>
        <v/>
      </c>
      <c r="Q1161" s="39" t="str">
        <f>IF(AND($M1161=$O$7,$B1161&lt;'111'!$N$11),"x","")</f>
        <v/>
      </c>
      <c r="R1161" s="39" t="str">
        <f>IF(ISERROR(FIND('112'!$M$9,G1161,1)),"",IF((AND(FIND('112'!$M$9,G1161,1)&gt;=1,$B1161&gt;='112'!$N$8,$B1161&lt;='112'!$O$8,OR($L1161='112'!$I$6,$M1161='112'!$I$6))),"x",""))</f>
        <v/>
      </c>
      <c r="S1161" s="39" t="str">
        <f>IF(ISERROR(FIND('112'!$M$9,G1161,1)),"",IF((AND(LEFT(G1161,2)=LEFT('112'!$M$9,2),B1161&lt;'112'!$N$8,$L1161='112'!$I$6)),"x",""))</f>
        <v/>
      </c>
      <c r="T1161" s="39" t="str">
        <f>IF(ISERROR(FIND('112'!$M$9,G1161,1)),"",IF((AND(RIGHT(G1161,2)=RIGHT('112'!$M$9,2),B1161&lt;'112'!$N$8,$M1161='112'!$I$6)),"x",""))</f>
        <v/>
      </c>
      <c r="U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39" t="str">
        <f>IF(OR(TH!L1161=TH!$V$7,M1161=TH!$V$7),"x","")</f>
        <v/>
      </c>
      <c r="W1161" s="39" t="str">
        <f>IF(AND(B1161&gt;='IN-NX'!$P$3,B1161&lt;='IN-NX'!$Q$3,'IN-NX'!$D$7=D1161,OR(LEFT(L1161,2)="15",AND(LEFT(M1161,2)&lt;&gt;"15",LEFT(M1161,2)&lt;&gt;"33"))),"x","")</f>
        <v/>
      </c>
      <c r="X1161" s="39" t="str">
        <f>IF(AND(OR(LEFT(TH!L1161,2)="15",LEFT(TH!M1161,2)="15"),'152-CT'!$J$8=TH!F1161),"x","")</f>
        <v/>
      </c>
      <c r="Y1161" s="39" t="str">
        <f>IF(AND(OR(LEFT(TH!L1161,2)="15",LEFT(TH!M1161,2)="15"),TK!$E$7=TH!F1161),"x","")</f>
        <v/>
      </c>
      <c r="Z1161" s="39" t="str">
        <f>IF(AND(B1161&lt;=NKC!$N$8,B1161&gt;=NKC!$M$8),"x","")</f>
        <v>x</v>
      </c>
      <c r="AA1161" s="886"/>
    </row>
    <row r="1162" spans="1:27" s="211" customFormat="1" ht="15.75" customHeight="1">
      <c r="A1162" s="204" t="str">
        <f>IF(B1162&lt;&gt;"",IF(AND(B1162&gt;=_TM1,B1162&lt;=_TM2,OR(TH!L1162="1111",TH!M1162="1111")),TH!D1162,""),"")</f>
        <v/>
      </c>
      <c r="B1162" s="36">
        <f t="shared" si="224"/>
        <v>7</v>
      </c>
      <c r="C1162" s="191">
        <f t="shared" si="225"/>
        <v>41474</v>
      </c>
      <c r="D1162" s="191" t="s">
        <v>1294</v>
      </c>
      <c r="E1162" s="774">
        <v>41474</v>
      </c>
      <c r="F1162" s="189"/>
      <c r="G1162" s="40" t="s">
        <v>875</v>
      </c>
      <c r="H1162" s="7" t="s">
        <v>1287</v>
      </c>
      <c r="I1162" s="256"/>
      <c r="J1162" s="256"/>
      <c r="K1162" s="602">
        <f t="shared" si="226"/>
        <v>0</v>
      </c>
      <c r="L1162" s="39" t="s">
        <v>165</v>
      </c>
      <c r="M1162" s="603" t="s">
        <v>159</v>
      </c>
      <c r="N1162" s="39" t="str">
        <f>IF(AND('331-CT'!$E$7=TH!H1162,OR(L1162="331",M1162="331")),"331",IF(AND(OR(L1162="131",M1162="131"),H1162='131-CT'!$E$7),"131",""))</f>
        <v/>
      </c>
      <c r="O1162" s="39" t="str">
        <f>IF(AND($B1162&gt;='111'!$N$11,$B1162&lt;='111'!$O$11,OR($L1162=$O$7,$M1162=$O$7)),"x","")</f>
        <v/>
      </c>
      <c r="P1162" s="39" t="str">
        <f>IF(AND($L1162=$O$7,$B1162&lt;'111'!$N$11),"x","")</f>
        <v/>
      </c>
      <c r="Q1162" s="39" t="str">
        <f>IF(AND($M1162=$O$7,$B1162&lt;'111'!$N$11),"x","")</f>
        <v/>
      </c>
      <c r="R1162" s="39" t="str">
        <f>IF(ISERROR(FIND('112'!$M$9,G1162,1)),"",IF((AND(FIND('112'!$M$9,G1162,1)&gt;=1,$B1162&gt;='112'!$N$8,$B1162&lt;='112'!$O$8,OR($L1162='112'!$I$6,$M1162='112'!$I$6))),"x",""))</f>
        <v/>
      </c>
      <c r="S1162" s="39" t="str">
        <f>IF(ISERROR(FIND('112'!$M$9,G1162,1)),"",IF((AND(LEFT(G1162,2)=LEFT('112'!$M$9,2),B1162&lt;'112'!$N$8,$L1162='112'!$I$6)),"x",""))</f>
        <v/>
      </c>
      <c r="T1162" s="39" t="str">
        <f>IF(ISERROR(FIND('112'!$M$9,G1162,1)),"",IF((AND(RIGHT(G1162,2)=RIGHT('112'!$M$9,2),B1162&lt;'112'!$N$8,$M1162='112'!$I$6)),"x",""))</f>
        <v/>
      </c>
      <c r="U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39" t="str">
        <f>IF(OR(TH!L1162=TH!$V$7,M1162=TH!$V$7),"x","")</f>
        <v/>
      </c>
      <c r="W1162" s="39" t="str">
        <f>IF(AND(B1162&gt;='IN-NX'!$P$3,B1162&lt;='IN-NX'!$Q$3,'IN-NX'!$D$7=D1162,OR(LEFT(L1162,2)="15",AND(LEFT(M1162,2)&lt;&gt;"15",LEFT(M1162,2)&lt;&gt;"33"))),"x","")</f>
        <v/>
      </c>
      <c r="X1162" s="39" t="str">
        <f>IF(AND(OR(LEFT(TH!L1162,2)="15",LEFT(TH!M1162,2)="15"),'152-CT'!$J$8=TH!F1162),"x","")</f>
        <v/>
      </c>
      <c r="Y1162" s="39" t="str">
        <f>IF(AND(OR(LEFT(TH!L1162,2)="15",LEFT(TH!M1162,2)="15"),TK!$E$7=TH!F1162),"x","")</f>
        <v/>
      </c>
      <c r="Z1162" s="39" t="str">
        <f>IF(AND(B1162&lt;=NKC!$N$8,B1162&gt;=NKC!$M$8),"x","")</f>
        <v>x</v>
      </c>
      <c r="AA1162" s="886"/>
    </row>
    <row r="1163" spans="1:27" s="211" customFormat="1" ht="15.75" customHeight="1">
      <c r="A1163" s="204" t="str">
        <f>IF(B1163&lt;&gt;"",IF(AND(B1163&gt;=_TM1,B1163&lt;=_TM2,OR(TH!L1163="1111",TH!M1163="1111")),TH!D1163,""),"")</f>
        <v/>
      </c>
      <c r="B1163" s="36">
        <f t="shared" si="224"/>
        <v>7</v>
      </c>
      <c r="C1163" s="191">
        <f t="shared" si="225"/>
        <v>41474</v>
      </c>
      <c r="D1163" s="191" t="s">
        <v>1294</v>
      </c>
      <c r="E1163" s="774">
        <v>41474</v>
      </c>
      <c r="F1163" s="189"/>
      <c r="G1163" s="40" t="s">
        <v>878</v>
      </c>
      <c r="H1163" s="7" t="s">
        <v>1287</v>
      </c>
      <c r="I1163" s="256"/>
      <c r="J1163" s="256"/>
      <c r="K1163" s="602">
        <f t="shared" si="226"/>
        <v>0</v>
      </c>
      <c r="L1163" s="39" t="s">
        <v>165</v>
      </c>
      <c r="M1163" s="603" t="s">
        <v>159</v>
      </c>
      <c r="N1163" s="39" t="str">
        <f>IF(AND('331-CT'!$E$7=TH!H1163,OR(L1163="331",M1163="331")),"331",IF(AND(OR(L1163="131",M1163="131"),H1163='131-CT'!$E$7),"131",""))</f>
        <v/>
      </c>
      <c r="O1163" s="39" t="str">
        <f>IF(AND($B1163&gt;='111'!$N$11,$B1163&lt;='111'!$O$11,OR($L1163=$O$7,$M1163=$O$7)),"x","")</f>
        <v/>
      </c>
      <c r="P1163" s="39" t="str">
        <f>IF(AND($L1163=$O$7,$B1163&lt;'111'!$N$11),"x","")</f>
        <v/>
      </c>
      <c r="Q1163" s="39" t="str">
        <f>IF(AND($M1163=$O$7,$B1163&lt;'111'!$N$11),"x","")</f>
        <v/>
      </c>
      <c r="R1163" s="39" t="str">
        <f>IF(ISERROR(FIND('112'!$M$9,G1163,1)),"",IF((AND(FIND('112'!$M$9,G1163,1)&gt;=1,$B1163&gt;='112'!$N$8,$B1163&lt;='112'!$O$8,OR($L1163='112'!$I$6,$M1163='112'!$I$6))),"x",""))</f>
        <v/>
      </c>
      <c r="S1163" s="39" t="str">
        <f>IF(ISERROR(FIND('112'!$M$9,G1163,1)),"",IF((AND(LEFT(G1163,2)=LEFT('112'!$M$9,2),B1163&lt;'112'!$N$8,$L1163='112'!$I$6)),"x",""))</f>
        <v/>
      </c>
      <c r="T1163" s="39" t="str">
        <f>IF(ISERROR(FIND('112'!$M$9,G1163,1)),"",IF((AND(RIGHT(G1163,2)=RIGHT('112'!$M$9,2),B1163&lt;'112'!$N$8,$M1163='112'!$I$6)),"x",""))</f>
        <v/>
      </c>
      <c r="U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39" t="str">
        <f>IF(OR(TH!L1163=TH!$V$7,M1163=TH!$V$7),"x","")</f>
        <v/>
      </c>
      <c r="W1163" s="39" t="str">
        <f>IF(AND(B1163&gt;='IN-NX'!$P$3,B1163&lt;='IN-NX'!$Q$3,'IN-NX'!$D$7=D1163,OR(LEFT(L1163,2)="15",AND(LEFT(M1163,2)&lt;&gt;"15",LEFT(M1163,2)&lt;&gt;"33"))),"x","")</f>
        <v/>
      </c>
      <c r="X1163" s="39" t="str">
        <f>IF(AND(OR(LEFT(TH!L1163,2)="15",LEFT(TH!M1163,2)="15"),'152-CT'!$J$8=TH!F1163),"x","")</f>
        <v/>
      </c>
      <c r="Y1163" s="39" t="str">
        <f>IF(AND(OR(LEFT(TH!L1163,2)="15",LEFT(TH!M1163,2)="15"),TK!$E$7=TH!F1163),"x","")</f>
        <v/>
      </c>
      <c r="Z1163" s="39" t="str">
        <f>IF(AND(B1163&lt;=NKC!$N$8,B1163&gt;=NKC!$M$8),"x","")</f>
        <v>x</v>
      </c>
      <c r="AA1163" s="886"/>
    </row>
    <row r="1164" spans="1:27" s="211" customFormat="1" ht="15.75" customHeight="1">
      <c r="A1164" s="204" t="str">
        <f>IF(B1164&lt;&gt;"",IF(AND(B1164&gt;=_TM1,B1164&lt;=_TM2,OR(TH!L1164="1111",TH!M1164="1111")),TH!D1164,""),"")</f>
        <v/>
      </c>
      <c r="B1164" s="36">
        <f t="shared" si="224"/>
        <v>7</v>
      </c>
      <c r="C1164" s="191">
        <f t="shared" si="225"/>
        <v>41474</v>
      </c>
      <c r="D1164" s="191" t="s">
        <v>1294</v>
      </c>
      <c r="E1164" s="774">
        <v>41474</v>
      </c>
      <c r="F1164" s="297"/>
      <c r="G1164" s="40" t="s">
        <v>878</v>
      </c>
      <c r="H1164" s="7" t="s">
        <v>1287</v>
      </c>
      <c r="I1164" s="256"/>
      <c r="J1164" s="256"/>
      <c r="K1164" s="602">
        <f t="shared" si="226"/>
        <v>0</v>
      </c>
      <c r="L1164" s="39" t="s">
        <v>165</v>
      </c>
      <c r="M1164" s="603" t="s">
        <v>159</v>
      </c>
      <c r="N1164" s="39" t="str">
        <f>IF(AND('331-CT'!$E$7=TH!H1164,OR(L1164="331",M1164="331")),"331",IF(AND(OR(L1164="131",M1164="131"),H1164='131-CT'!$E$7),"131",""))</f>
        <v/>
      </c>
      <c r="O1164" s="39" t="str">
        <f>IF(AND($B1164&gt;='111'!$N$11,$B1164&lt;='111'!$O$11,OR($L1164=$O$7,$M1164=$O$7)),"x","")</f>
        <v/>
      </c>
      <c r="P1164" s="39" t="str">
        <f>IF(AND($L1164=$O$7,$B1164&lt;'111'!$N$11),"x","")</f>
        <v/>
      </c>
      <c r="Q1164" s="39" t="str">
        <f>IF(AND($M1164=$O$7,$B1164&lt;'111'!$N$11),"x","")</f>
        <v/>
      </c>
      <c r="R1164" s="39" t="str">
        <f>IF(ISERROR(FIND('112'!$M$9,G1164,1)),"",IF((AND(FIND('112'!$M$9,G1164,1)&gt;=1,$B1164&gt;='112'!$N$8,$B1164&lt;='112'!$O$8,OR($L1164='112'!$I$6,$M1164='112'!$I$6))),"x",""))</f>
        <v/>
      </c>
      <c r="S1164" s="39" t="str">
        <f>IF(ISERROR(FIND('112'!$M$9,G1164,1)),"",IF((AND(LEFT(G1164,2)=LEFT('112'!$M$9,2),B1164&lt;'112'!$N$8,$L1164='112'!$I$6)),"x",""))</f>
        <v/>
      </c>
      <c r="T1164" s="39" t="str">
        <f>IF(ISERROR(FIND('112'!$M$9,G1164,1)),"",IF((AND(RIGHT(G1164,2)=RIGHT('112'!$M$9,2),B1164&lt;'112'!$N$8,$M1164='112'!$I$6)),"x",""))</f>
        <v/>
      </c>
      <c r="U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39" t="str">
        <f>IF(OR(TH!L1164=TH!$V$7,M1164=TH!$V$7),"x","")</f>
        <v/>
      </c>
      <c r="W1164" s="39" t="str">
        <f>IF(AND(B1164&gt;='IN-NX'!$P$3,B1164&lt;='IN-NX'!$Q$3,'IN-NX'!$D$7=D1164,OR(LEFT(L1164,2)="15",AND(LEFT(M1164,2)&lt;&gt;"15",LEFT(M1164,2)&lt;&gt;"33"))),"x","")</f>
        <v/>
      </c>
      <c r="X1164" s="39" t="str">
        <f>IF(AND(OR(LEFT(TH!L1164,2)="15",LEFT(TH!M1164,2)="15"),'152-CT'!$J$8=TH!F1164),"x","")</f>
        <v/>
      </c>
      <c r="Y1164" s="39" t="str">
        <f>IF(AND(OR(LEFT(TH!L1164,2)="15",LEFT(TH!M1164,2)="15"),TK!$E$7=TH!F1164),"x","")</f>
        <v/>
      </c>
      <c r="Z1164" s="39" t="str">
        <f>IF(AND(B1164&lt;=NKC!$N$8,B1164&gt;=NKC!$M$8),"x","")</f>
        <v>x</v>
      </c>
      <c r="AA1164" s="886"/>
    </row>
    <row r="1165" spans="1:27" s="211" customFormat="1" ht="15.75" customHeight="1">
      <c r="A1165" s="204" t="str">
        <f>IF(B1165&lt;&gt;"",IF(AND(B1165&gt;=_TM1,B1165&lt;=_TM2,OR(TH!L1165="1111",TH!M1165="1111")),TH!D1165,""),"")</f>
        <v/>
      </c>
      <c r="B1165" s="36">
        <f t="shared" si="224"/>
        <v>7</v>
      </c>
      <c r="C1165" s="191">
        <f t="shared" si="225"/>
        <v>41474</v>
      </c>
      <c r="D1165" s="191" t="s">
        <v>1294</v>
      </c>
      <c r="E1165" s="774">
        <v>41474</v>
      </c>
      <c r="F1165" s="189"/>
      <c r="G1165" s="40" t="s">
        <v>878</v>
      </c>
      <c r="H1165" s="7" t="s">
        <v>1287</v>
      </c>
      <c r="I1165" s="256"/>
      <c r="J1165" s="256"/>
      <c r="K1165" s="602">
        <f t="shared" si="226"/>
        <v>0</v>
      </c>
      <c r="L1165" s="39" t="s">
        <v>165</v>
      </c>
      <c r="M1165" s="603" t="s">
        <v>159</v>
      </c>
      <c r="N1165" s="39" t="str">
        <f>IF(AND('331-CT'!$E$7=TH!H1165,OR(L1165="331",M1165="331")),"331",IF(AND(OR(L1165="131",M1165="131"),H1165='131-CT'!$E$7),"131",""))</f>
        <v/>
      </c>
      <c r="O1165" s="39" t="str">
        <f>IF(AND($B1165&gt;='111'!$N$11,$B1165&lt;='111'!$O$11,OR($L1165=$O$7,$M1165=$O$7)),"x","")</f>
        <v/>
      </c>
      <c r="P1165" s="39" t="str">
        <f>IF(AND($L1165=$O$7,$B1165&lt;'111'!$N$11),"x","")</f>
        <v/>
      </c>
      <c r="Q1165" s="39" t="str">
        <f>IF(AND($M1165=$O$7,$B1165&lt;'111'!$N$11),"x","")</f>
        <v/>
      </c>
      <c r="R1165" s="39" t="str">
        <f>IF(ISERROR(FIND('112'!$M$9,G1165,1)),"",IF((AND(FIND('112'!$M$9,G1165,1)&gt;=1,$B1165&gt;='112'!$N$8,$B1165&lt;='112'!$O$8,OR($L1165='112'!$I$6,$M1165='112'!$I$6))),"x",""))</f>
        <v/>
      </c>
      <c r="S1165" s="39" t="str">
        <f>IF(ISERROR(FIND('112'!$M$9,G1165,1)),"",IF((AND(LEFT(G1165,2)=LEFT('112'!$M$9,2),B1165&lt;'112'!$N$8,$L1165='112'!$I$6)),"x",""))</f>
        <v/>
      </c>
      <c r="T1165" s="39" t="str">
        <f>IF(ISERROR(FIND('112'!$M$9,G1165,1)),"",IF((AND(RIGHT(G1165,2)=RIGHT('112'!$M$9,2),B1165&lt;'112'!$N$8,$M1165='112'!$I$6)),"x",""))</f>
        <v/>
      </c>
      <c r="U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39" t="str">
        <f>IF(OR(TH!L1165=TH!$V$7,M1165=TH!$V$7),"x","")</f>
        <v/>
      </c>
      <c r="W1165" s="39" t="str">
        <f>IF(AND(B1165&gt;='IN-NX'!$P$3,B1165&lt;='IN-NX'!$Q$3,'IN-NX'!$D$7=D1165,OR(LEFT(L1165,2)="15",AND(LEFT(M1165,2)&lt;&gt;"15",LEFT(M1165,2)&lt;&gt;"33"))),"x","")</f>
        <v/>
      </c>
      <c r="X1165" s="39" t="str">
        <f>IF(AND(OR(LEFT(TH!L1165,2)="15",LEFT(TH!M1165,2)="15"),'152-CT'!$J$8=TH!F1165),"x","")</f>
        <v/>
      </c>
      <c r="Y1165" s="39" t="str">
        <f>IF(AND(OR(LEFT(TH!L1165,2)="15",LEFT(TH!M1165,2)="15"),TK!$E$7=TH!F1165),"x","")</f>
        <v/>
      </c>
      <c r="Z1165" s="39" t="str">
        <f>IF(AND(B1165&lt;=NKC!$N$8,B1165&gt;=NKC!$M$8),"x","")</f>
        <v>x</v>
      </c>
      <c r="AA1165" s="886"/>
    </row>
    <row r="1166" spans="1:27" s="211" customFormat="1" ht="15.75" customHeight="1">
      <c r="A1166" s="204" t="str">
        <f>IF(B1166&lt;&gt;"",IF(AND(B1166&gt;=_TM1,B1166&lt;=_TM2,OR(TH!L1166="1111",TH!M1166="1111")),TH!D1166,""),"")</f>
        <v/>
      </c>
      <c r="B1166" s="36">
        <f t="shared" si="224"/>
        <v>7</v>
      </c>
      <c r="C1166" s="191">
        <f t="shared" si="225"/>
        <v>41474</v>
      </c>
      <c r="D1166" s="191" t="s">
        <v>1294</v>
      </c>
      <c r="E1166" s="774">
        <v>41474</v>
      </c>
      <c r="F1166" s="297"/>
      <c r="G1166" s="40" t="s">
        <v>878</v>
      </c>
      <c r="H1166" s="7" t="s">
        <v>1287</v>
      </c>
      <c r="I1166" s="256"/>
      <c r="J1166" s="256"/>
      <c r="K1166" s="602">
        <f t="shared" si="226"/>
        <v>0</v>
      </c>
      <c r="L1166" s="39" t="s">
        <v>165</v>
      </c>
      <c r="M1166" s="603" t="s">
        <v>159</v>
      </c>
      <c r="N1166" s="39" t="str">
        <f>IF(AND('331-CT'!$E$7=TH!H1166,OR(L1166="331",M1166="331")),"331",IF(AND(OR(L1166="131",M1166="131"),H1166='131-CT'!$E$7),"131",""))</f>
        <v/>
      </c>
      <c r="O1166" s="39" t="str">
        <f>IF(AND($B1166&gt;='111'!$N$11,$B1166&lt;='111'!$O$11,OR($L1166=$O$7,$M1166=$O$7)),"x","")</f>
        <v/>
      </c>
      <c r="P1166" s="39" t="str">
        <f>IF(AND($L1166=$O$7,$B1166&lt;'111'!$N$11),"x","")</f>
        <v/>
      </c>
      <c r="Q1166" s="39" t="str">
        <f>IF(AND($M1166=$O$7,$B1166&lt;'111'!$N$11),"x","")</f>
        <v/>
      </c>
      <c r="R1166" s="39" t="str">
        <f>IF(ISERROR(FIND('112'!$M$9,G1166,1)),"",IF((AND(FIND('112'!$M$9,G1166,1)&gt;=1,$B1166&gt;='112'!$N$8,$B1166&lt;='112'!$O$8,OR($L1166='112'!$I$6,$M1166='112'!$I$6))),"x",""))</f>
        <v/>
      </c>
      <c r="S1166" s="39" t="str">
        <f>IF(ISERROR(FIND('112'!$M$9,G1166,1)),"",IF((AND(LEFT(G1166,2)=LEFT('112'!$M$9,2),B1166&lt;'112'!$N$8,$L1166='112'!$I$6)),"x",""))</f>
        <v/>
      </c>
      <c r="T1166" s="39" t="str">
        <f>IF(ISERROR(FIND('112'!$M$9,G1166,1)),"",IF((AND(RIGHT(G1166,2)=RIGHT('112'!$M$9,2),B1166&lt;'112'!$N$8,$M1166='112'!$I$6)),"x",""))</f>
        <v/>
      </c>
      <c r="U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39" t="str">
        <f>IF(OR(TH!L1166=TH!$V$7,M1166=TH!$V$7),"x","")</f>
        <v/>
      </c>
      <c r="W1166" s="39" t="str">
        <f>IF(AND(B1166&gt;='IN-NX'!$P$3,B1166&lt;='IN-NX'!$Q$3,'IN-NX'!$D$7=D1166,OR(LEFT(L1166,2)="15",AND(LEFT(M1166,2)&lt;&gt;"15",LEFT(M1166,2)&lt;&gt;"33"))),"x","")</f>
        <v/>
      </c>
      <c r="X1166" s="39" t="str">
        <f>IF(AND(OR(LEFT(TH!L1166,2)="15",LEFT(TH!M1166,2)="15"),'152-CT'!$J$8=TH!F1166),"x","")</f>
        <v/>
      </c>
      <c r="Y1166" s="39" t="str">
        <f>IF(AND(OR(LEFT(TH!L1166,2)="15",LEFT(TH!M1166,2)="15"),TK!$E$7=TH!F1166),"x","")</f>
        <v/>
      </c>
      <c r="Z1166" s="39" t="str">
        <f>IF(AND(B1166&lt;=NKC!$N$8,B1166&gt;=NKC!$M$8),"x","")</f>
        <v>x</v>
      </c>
      <c r="AA1166" s="886"/>
    </row>
    <row r="1167" spans="1:27" s="211" customFormat="1" ht="15.75" customHeight="1">
      <c r="A1167" s="204" t="str">
        <f>IF(B1167&lt;&gt;"",IF(AND(B1167&gt;=_TM1,B1167&lt;=_TM2,OR(TH!L1167="1111",TH!M1167="1111")),TH!D1167,""),"")</f>
        <v/>
      </c>
      <c r="B1167" s="36">
        <f t="shared" si="224"/>
        <v>7</v>
      </c>
      <c r="C1167" s="191">
        <f t="shared" si="225"/>
        <v>41474</v>
      </c>
      <c r="D1167" s="191" t="s">
        <v>1294</v>
      </c>
      <c r="E1167" s="37">
        <v>41474</v>
      </c>
      <c r="F1167" s="40"/>
      <c r="G1167" s="40" t="s">
        <v>878</v>
      </c>
      <c r="H1167" s="7" t="s">
        <v>1287</v>
      </c>
      <c r="I1167" s="256"/>
      <c r="J1167" s="256"/>
      <c r="K1167" s="602">
        <f t="shared" si="226"/>
        <v>0</v>
      </c>
      <c r="L1167" s="39" t="s">
        <v>165</v>
      </c>
      <c r="M1167" s="603" t="s">
        <v>159</v>
      </c>
      <c r="N1167" s="39" t="str">
        <f>IF(AND('331-CT'!$E$7=TH!H1167,OR(L1167="331",M1167="331")),"331",IF(AND(OR(L1167="131",M1167="131"),H1167='131-CT'!$E$7),"131",""))</f>
        <v/>
      </c>
      <c r="O1167" s="39" t="str">
        <f>IF(AND($B1167&gt;='111'!$N$11,$B1167&lt;='111'!$O$11,OR($L1167=$O$7,$M1167=$O$7)),"x","")</f>
        <v/>
      </c>
      <c r="P1167" s="39" t="str">
        <f>IF(AND($L1167=$O$7,$B1167&lt;'111'!$N$11),"x","")</f>
        <v/>
      </c>
      <c r="Q1167" s="39" t="str">
        <f>IF(AND($M1167=$O$7,$B1167&lt;'111'!$N$11),"x","")</f>
        <v/>
      </c>
      <c r="R1167" s="39" t="str">
        <f>IF(ISERROR(FIND('112'!$M$9,G1167,1)),"",IF((AND(FIND('112'!$M$9,G1167,1)&gt;=1,$B1167&gt;='112'!$N$8,$B1167&lt;='112'!$O$8,OR($L1167='112'!$I$6,$M1167='112'!$I$6))),"x",""))</f>
        <v/>
      </c>
      <c r="S1167" s="39" t="str">
        <f>IF(ISERROR(FIND('112'!$M$9,G1167,1)),"",IF((AND(LEFT(G1167,2)=LEFT('112'!$M$9,2),B1167&lt;'112'!$N$8,$L1167='112'!$I$6)),"x",""))</f>
        <v/>
      </c>
      <c r="T1167" s="39" t="str">
        <f>IF(ISERROR(FIND('112'!$M$9,G1167,1)),"",IF((AND(RIGHT(G1167,2)=RIGHT('112'!$M$9,2),B1167&lt;'112'!$N$8,$M1167='112'!$I$6)),"x",""))</f>
        <v/>
      </c>
      <c r="U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39" t="str">
        <f>IF(OR(TH!L1167=TH!$V$7,M1167=TH!$V$7),"x","")</f>
        <v/>
      </c>
      <c r="W1167" s="39" t="str">
        <f>IF(AND(B1167&gt;='IN-NX'!$P$3,B1167&lt;='IN-NX'!$Q$3,'IN-NX'!$D$7=D1167,OR(LEFT(L1167,2)="15",AND(LEFT(M1167,2)&lt;&gt;"15",LEFT(M1167,2)&lt;&gt;"33"))),"x","")</f>
        <v/>
      </c>
      <c r="X1167" s="39" t="str">
        <f>IF(AND(OR(LEFT(TH!L1167,2)="15",LEFT(TH!M1167,2)="15"),'152-CT'!$J$8=TH!F1167),"x","")</f>
        <v/>
      </c>
      <c r="Y1167" s="39" t="str">
        <f>IF(AND(OR(LEFT(TH!L1167,2)="15",LEFT(TH!M1167,2)="15"),TK!$E$7=TH!F1167),"x","")</f>
        <v/>
      </c>
      <c r="Z1167" s="39" t="str">
        <f>IF(AND(B1167&lt;=NKC!$N$8,B1167&gt;=NKC!$M$8),"x","")</f>
        <v>x</v>
      </c>
      <c r="AA1167" s="886"/>
    </row>
    <row r="1168" spans="1:27" s="211" customFormat="1" ht="15.75" customHeight="1">
      <c r="A1168" s="204" t="str">
        <f>IF(B1168&lt;&gt;"",IF(AND(B1168&gt;=_TM1,B1168&lt;=_TM2,OR(TH!L1168="1111",TH!M1168="1111")),TH!D1168,""),"")</f>
        <v/>
      </c>
      <c r="B1168" s="36">
        <f t="shared" si="224"/>
        <v>7</v>
      </c>
      <c r="C1168" s="191">
        <f t="shared" si="225"/>
        <v>41474</v>
      </c>
      <c r="D1168" s="191" t="s">
        <v>1294</v>
      </c>
      <c r="E1168" s="37">
        <v>41474</v>
      </c>
      <c r="F1168" s="40"/>
      <c r="G1168" s="40" t="s">
        <v>878</v>
      </c>
      <c r="H1168" s="7" t="s">
        <v>1287</v>
      </c>
      <c r="I1168" s="256"/>
      <c r="J1168" s="256"/>
      <c r="K1168" s="602">
        <f t="shared" si="226"/>
        <v>0</v>
      </c>
      <c r="L1168" s="39" t="s">
        <v>165</v>
      </c>
      <c r="M1168" s="603" t="s">
        <v>159</v>
      </c>
      <c r="N1168" s="39" t="str">
        <f>IF(AND('331-CT'!$E$7=TH!H1168,OR(L1168="331",M1168="331")),"331",IF(AND(OR(L1168="131",M1168="131"),H1168='131-CT'!$E$7),"131",""))</f>
        <v/>
      </c>
      <c r="O1168" s="39" t="str">
        <f>IF(AND($B1168&gt;='111'!$N$11,$B1168&lt;='111'!$O$11,OR($L1168=$O$7,$M1168=$O$7)),"x","")</f>
        <v/>
      </c>
      <c r="P1168" s="39" t="str">
        <f>IF(AND($L1168=$O$7,$B1168&lt;'111'!$N$11),"x","")</f>
        <v/>
      </c>
      <c r="Q1168" s="39" t="str">
        <f>IF(AND($M1168=$O$7,$B1168&lt;'111'!$N$11),"x","")</f>
        <v/>
      </c>
      <c r="R1168" s="39" t="str">
        <f>IF(ISERROR(FIND('112'!$M$9,G1168,1)),"",IF((AND(FIND('112'!$M$9,G1168,1)&gt;=1,$B1168&gt;='112'!$N$8,$B1168&lt;='112'!$O$8,OR($L1168='112'!$I$6,$M1168='112'!$I$6))),"x",""))</f>
        <v/>
      </c>
      <c r="S1168" s="39" t="str">
        <f>IF(ISERROR(FIND('112'!$M$9,G1168,1)),"",IF((AND(LEFT(G1168,2)=LEFT('112'!$M$9,2),B1168&lt;'112'!$N$8,$L1168='112'!$I$6)),"x",""))</f>
        <v/>
      </c>
      <c r="T1168" s="39" t="str">
        <f>IF(ISERROR(FIND('112'!$M$9,G1168,1)),"",IF((AND(RIGHT(G1168,2)=RIGHT('112'!$M$9,2),B1168&lt;'112'!$N$8,$M1168='112'!$I$6)),"x",""))</f>
        <v/>
      </c>
      <c r="U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39" t="str">
        <f>IF(OR(TH!L1168=TH!$V$7,M1168=TH!$V$7),"x","")</f>
        <v/>
      </c>
      <c r="W1168" s="39" t="str">
        <f>IF(AND(B1168&gt;='IN-NX'!$P$3,B1168&lt;='IN-NX'!$Q$3,'IN-NX'!$D$7=D1168,OR(LEFT(L1168,2)="15",AND(LEFT(M1168,2)&lt;&gt;"15",LEFT(M1168,2)&lt;&gt;"33"))),"x","")</f>
        <v/>
      </c>
      <c r="X1168" s="39" t="str">
        <f>IF(AND(OR(LEFT(TH!L1168,2)="15",LEFT(TH!M1168,2)="15"),'152-CT'!$J$8=TH!F1168),"x","")</f>
        <v/>
      </c>
      <c r="Y1168" s="39" t="str">
        <f>IF(AND(OR(LEFT(TH!L1168,2)="15",LEFT(TH!M1168,2)="15"),TK!$E$7=TH!F1168),"x","")</f>
        <v/>
      </c>
      <c r="Z1168" s="39" t="str">
        <f>IF(AND(B1168&lt;=NKC!$N$8,B1168&gt;=NKC!$M$8),"x","")</f>
        <v>x</v>
      </c>
      <c r="AA1168" s="886"/>
    </row>
    <row r="1169" spans="1:27" s="211" customFormat="1" ht="15.75" customHeight="1">
      <c r="A1169" s="204" t="str">
        <f>IF(B1169&lt;&gt;"",IF(AND(B1169&gt;=_TM1,B1169&lt;=_TM2,OR(TH!L1169="1111",TH!M1169="1111")),TH!D1169,""),"")</f>
        <v/>
      </c>
      <c r="B1169" s="36">
        <f t="shared" si="224"/>
        <v>7</v>
      </c>
      <c r="C1169" s="191">
        <f t="shared" si="225"/>
        <v>41476</v>
      </c>
      <c r="D1169" s="191" t="s">
        <v>1294</v>
      </c>
      <c r="E1169" s="37">
        <v>41476</v>
      </c>
      <c r="F1169" s="40"/>
      <c r="G1169" s="40" t="s">
        <v>886</v>
      </c>
      <c r="H1169" s="7" t="s">
        <v>1287</v>
      </c>
      <c r="I1169" s="256"/>
      <c r="J1169" s="256"/>
      <c r="K1169" s="602">
        <f t="shared" si="226"/>
        <v>0</v>
      </c>
      <c r="L1169" s="39" t="s">
        <v>165</v>
      </c>
      <c r="M1169" s="603" t="s">
        <v>159</v>
      </c>
      <c r="N1169" s="39" t="str">
        <f>IF(AND('331-CT'!$E$7=TH!H1169,OR(L1169="331",M1169="331")),"331",IF(AND(OR(L1169="131",M1169="131"),H1169='131-CT'!$E$7),"131",""))</f>
        <v/>
      </c>
      <c r="O1169" s="39" t="str">
        <f>IF(AND($B1169&gt;='111'!$N$11,$B1169&lt;='111'!$O$11,OR($L1169=$O$7,$M1169=$O$7)),"x","")</f>
        <v/>
      </c>
      <c r="P1169" s="39" t="str">
        <f>IF(AND($L1169=$O$7,$B1169&lt;'111'!$N$11),"x","")</f>
        <v/>
      </c>
      <c r="Q1169" s="39" t="str">
        <f>IF(AND($M1169=$O$7,$B1169&lt;'111'!$N$11),"x","")</f>
        <v/>
      </c>
      <c r="R1169" s="39" t="str">
        <f>IF(ISERROR(FIND('112'!$M$9,G1169,1)),"",IF((AND(FIND('112'!$M$9,G1169,1)&gt;=1,$B1169&gt;='112'!$N$8,$B1169&lt;='112'!$O$8,OR($L1169='112'!$I$6,$M1169='112'!$I$6))),"x",""))</f>
        <v/>
      </c>
      <c r="S1169" s="39" t="str">
        <f>IF(ISERROR(FIND('112'!$M$9,G1169,1)),"",IF((AND(LEFT(G1169,2)=LEFT('112'!$M$9,2),B1169&lt;'112'!$N$8,$L1169='112'!$I$6)),"x",""))</f>
        <v/>
      </c>
      <c r="T1169" s="39" t="str">
        <f>IF(ISERROR(FIND('112'!$M$9,G1169,1)),"",IF((AND(RIGHT(G1169,2)=RIGHT('112'!$M$9,2),B1169&lt;'112'!$N$8,$M1169='112'!$I$6)),"x",""))</f>
        <v/>
      </c>
      <c r="U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39" t="str">
        <f>IF(OR(TH!L1169=TH!$V$7,M1169=TH!$V$7),"x","")</f>
        <v/>
      </c>
      <c r="W1169" s="39" t="str">
        <f>IF(AND(B1169&gt;='IN-NX'!$P$3,B1169&lt;='IN-NX'!$Q$3,'IN-NX'!$D$7=D1169,OR(LEFT(L1169,2)="15",AND(LEFT(M1169,2)&lt;&gt;"15",LEFT(M1169,2)&lt;&gt;"33"))),"x","")</f>
        <v/>
      </c>
      <c r="X1169" s="39" t="str">
        <f>IF(AND(OR(LEFT(TH!L1169,2)="15",LEFT(TH!M1169,2)="15"),'152-CT'!$J$8=TH!F1169),"x","")</f>
        <v/>
      </c>
      <c r="Y1169" s="39" t="str">
        <f>IF(AND(OR(LEFT(TH!L1169,2)="15",LEFT(TH!M1169,2)="15"),TK!$E$7=TH!F1169),"x","")</f>
        <v/>
      </c>
      <c r="Z1169" s="39" t="str">
        <f>IF(AND(B1169&lt;=NKC!$N$8,B1169&gt;=NKC!$M$8),"x","")</f>
        <v>x</v>
      </c>
      <c r="AA1169" s="886"/>
    </row>
    <row r="1170" spans="1:27" s="211" customFormat="1" ht="15.75" customHeight="1">
      <c r="A1170" s="204" t="str">
        <f>IF(B1170&lt;&gt;"",IF(AND(B1170&gt;=_TM1,B1170&lt;=_TM2,OR(TH!L1170="1111",TH!M1170="1111")),TH!D1170,""),"")</f>
        <v/>
      </c>
      <c r="B1170" s="36">
        <f t="shared" si="224"/>
        <v>7</v>
      </c>
      <c r="C1170" s="191">
        <f t="shared" si="225"/>
        <v>41476</v>
      </c>
      <c r="D1170" s="191" t="s">
        <v>1294</v>
      </c>
      <c r="E1170" s="37">
        <v>41476</v>
      </c>
      <c r="F1170" s="40"/>
      <c r="G1170" s="40" t="s">
        <v>886</v>
      </c>
      <c r="H1170" s="7" t="s">
        <v>1287</v>
      </c>
      <c r="I1170" s="256"/>
      <c r="J1170" s="256"/>
      <c r="K1170" s="602">
        <f t="shared" si="226"/>
        <v>0</v>
      </c>
      <c r="L1170" s="39" t="s">
        <v>165</v>
      </c>
      <c r="M1170" s="603" t="s">
        <v>159</v>
      </c>
      <c r="N1170" s="39" t="str">
        <f>IF(AND('331-CT'!$E$7=TH!H1170,OR(L1170="331",M1170="331")),"331",IF(AND(OR(L1170="131",M1170="131"),H1170='131-CT'!$E$7),"131",""))</f>
        <v/>
      </c>
      <c r="O1170" s="39" t="str">
        <f>IF(AND($B1170&gt;='111'!$N$11,$B1170&lt;='111'!$O$11,OR($L1170=$O$7,$M1170=$O$7)),"x","")</f>
        <v/>
      </c>
      <c r="P1170" s="39" t="str">
        <f>IF(AND($L1170=$O$7,$B1170&lt;'111'!$N$11),"x","")</f>
        <v/>
      </c>
      <c r="Q1170" s="39" t="str">
        <f>IF(AND($M1170=$O$7,$B1170&lt;'111'!$N$11),"x","")</f>
        <v/>
      </c>
      <c r="R1170" s="39" t="str">
        <f>IF(ISERROR(FIND('112'!$M$9,G1170,1)),"",IF((AND(FIND('112'!$M$9,G1170,1)&gt;=1,$B1170&gt;='112'!$N$8,$B1170&lt;='112'!$O$8,OR($L1170='112'!$I$6,$M1170='112'!$I$6))),"x",""))</f>
        <v/>
      </c>
      <c r="S1170" s="39" t="str">
        <f>IF(ISERROR(FIND('112'!$M$9,G1170,1)),"",IF((AND(LEFT(G1170,2)=LEFT('112'!$M$9,2),B1170&lt;'112'!$N$8,$L1170='112'!$I$6)),"x",""))</f>
        <v/>
      </c>
      <c r="T1170" s="39" t="str">
        <f>IF(ISERROR(FIND('112'!$M$9,G1170,1)),"",IF((AND(RIGHT(G1170,2)=RIGHT('112'!$M$9,2),B1170&lt;'112'!$N$8,$M1170='112'!$I$6)),"x",""))</f>
        <v/>
      </c>
      <c r="U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39" t="str">
        <f>IF(OR(TH!L1170=TH!$V$7,M1170=TH!$V$7),"x","")</f>
        <v/>
      </c>
      <c r="W1170" s="39" t="str">
        <f>IF(AND(B1170&gt;='IN-NX'!$P$3,B1170&lt;='IN-NX'!$Q$3,'IN-NX'!$D$7=D1170,OR(LEFT(L1170,2)="15",AND(LEFT(M1170,2)&lt;&gt;"15",LEFT(M1170,2)&lt;&gt;"33"))),"x","")</f>
        <v/>
      </c>
      <c r="X1170" s="39" t="str">
        <f>IF(AND(OR(LEFT(TH!L1170,2)="15",LEFT(TH!M1170,2)="15"),'152-CT'!$J$8=TH!F1170),"x","")</f>
        <v/>
      </c>
      <c r="Y1170" s="39" t="str">
        <f>IF(AND(OR(LEFT(TH!L1170,2)="15",LEFT(TH!M1170,2)="15"),TK!$E$7=TH!F1170),"x","")</f>
        <v/>
      </c>
      <c r="Z1170" s="39" t="str">
        <f>IF(AND(B1170&lt;=NKC!$N$8,B1170&gt;=NKC!$M$8),"x","")</f>
        <v>x</v>
      </c>
      <c r="AA1170" s="886"/>
    </row>
    <row r="1171" spans="1:27" s="211" customFormat="1" ht="15.75" customHeight="1">
      <c r="A1171" s="204" t="str">
        <f>IF(B1171&lt;&gt;"",IF(AND(B1171&gt;=_TM1,B1171&lt;=_TM2,OR(TH!L1171="1111",TH!M1171="1111")),TH!D1171,""),"")</f>
        <v/>
      </c>
      <c r="B1171" s="36">
        <f t="shared" si="224"/>
        <v>7</v>
      </c>
      <c r="C1171" s="191">
        <f t="shared" si="225"/>
        <v>41476</v>
      </c>
      <c r="D1171" s="191" t="s">
        <v>1294</v>
      </c>
      <c r="E1171" s="37">
        <v>41476</v>
      </c>
      <c r="F1171" s="40"/>
      <c r="G1171" s="40" t="s">
        <v>886</v>
      </c>
      <c r="H1171" s="7" t="s">
        <v>1287</v>
      </c>
      <c r="I1171" s="256"/>
      <c r="J1171" s="256"/>
      <c r="K1171" s="602">
        <f t="shared" si="226"/>
        <v>0</v>
      </c>
      <c r="L1171" s="39" t="s">
        <v>165</v>
      </c>
      <c r="M1171" s="603" t="s">
        <v>159</v>
      </c>
      <c r="N1171" s="39" t="str">
        <f>IF(AND('331-CT'!$E$7=TH!H1171,OR(L1171="331",M1171="331")),"331",IF(AND(OR(L1171="131",M1171="131"),H1171='131-CT'!$E$7),"131",""))</f>
        <v/>
      </c>
      <c r="O1171" s="39" t="str">
        <f>IF(AND($B1171&gt;='111'!$N$11,$B1171&lt;='111'!$O$11,OR($L1171=$O$7,$M1171=$O$7)),"x","")</f>
        <v/>
      </c>
      <c r="P1171" s="39" t="str">
        <f>IF(AND($L1171=$O$7,$B1171&lt;'111'!$N$11),"x","")</f>
        <v/>
      </c>
      <c r="Q1171" s="39" t="str">
        <f>IF(AND($M1171=$O$7,$B1171&lt;'111'!$N$11),"x","")</f>
        <v/>
      </c>
      <c r="R1171" s="39" t="str">
        <f>IF(ISERROR(FIND('112'!$M$9,G1171,1)),"",IF((AND(FIND('112'!$M$9,G1171,1)&gt;=1,$B1171&gt;='112'!$N$8,$B1171&lt;='112'!$O$8,OR($L1171='112'!$I$6,$M1171='112'!$I$6))),"x",""))</f>
        <v/>
      </c>
      <c r="S1171" s="39" t="str">
        <f>IF(ISERROR(FIND('112'!$M$9,G1171,1)),"",IF((AND(LEFT(G1171,2)=LEFT('112'!$M$9,2),B1171&lt;'112'!$N$8,$L1171='112'!$I$6)),"x",""))</f>
        <v/>
      </c>
      <c r="T1171" s="39" t="str">
        <f>IF(ISERROR(FIND('112'!$M$9,G1171,1)),"",IF((AND(RIGHT(G1171,2)=RIGHT('112'!$M$9,2),B1171&lt;'112'!$N$8,$M1171='112'!$I$6)),"x",""))</f>
        <v/>
      </c>
      <c r="U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39" t="str">
        <f>IF(OR(TH!L1171=TH!$V$7,M1171=TH!$V$7),"x","")</f>
        <v/>
      </c>
      <c r="W1171" s="39" t="str">
        <f>IF(AND(B1171&gt;='IN-NX'!$P$3,B1171&lt;='IN-NX'!$Q$3,'IN-NX'!$D$7=D1171,OR(LEFT(L1171,2)="15",AND(LEFT(M1171,2)&lt;&gt;"15",LEFT(M1171,2)&lt;&gt;"33"))),"x","")</f>
        <v/>
      </c>
      <c r="X1171" s="39" t="str">
        <f>IF(AND(OR(LEFT(TH!L1171,2)="15",LEFT(TH!M1171,2)="15"),'152-CT'!$J$8=TH!F1171),"x","")</f>
        <v/>
      </c>
      <c r="Y1171" s="39" t="str">
        <f>IF(AND(OR(LEFT(TH!L1171,2)="15",LEFT(TH!M1171,2)="15"),TK!$E$7=TH!F1171),"x","")</f>
        <v/>
      </c>
      <c r="Z1171" s="39" t="str">
        <f>IF(AND(B1171&lt;=NKC!$N$8,B1171&gt;=NKC!$M$8),"x","")</f>
        <v>x</v>
      </c>
      <c r="AA1171" s="886"/>
    </row>
    <row r="1172" spans="1:27" s="211" customFormat="1" ht="15.75" customHeight="1">
      <c r="A1172" s="204" t="str">
        <f>IF(B1172&lt;&gt;"",IF(AND(B1172&gt;=_TM1,B1172&lt;=_TM2,OR(TH!L1172="1111",TH!M1172="1111")),TH!D1172,""),"")</f>
        <v/>
      </c>
      <c r="B1172" s="36">
        <f t="shared" si="224"/>
        <v>7</v>
      </c>
      <c r="C1172" s="191">
        <f t="shared" si="225"/>
        <v>41477</v>
      </c>
      <c r="D1172" s="191" t="s">
        <v>1294</v>
      </c>
      <c r="E1172" s="37">
        <v>41477</v>
      </c>
      <c r="F1172" s="40"/>
      <c r="G1172" s="40" t="s">
        <v>888</v>
      </c>
      <c r="H1172" s="7" t="s">
        <v>1287</v>
      </c>
      <c r="I1172" s="256"/>
      <c r="J1172" s="256"/>
      <c r="K1172" s="602">
        <f t="shared" si="226"/>
        <v>0</v>
      </c>
      <c r="L1172" s="39" t="s">
        <v>165</v>
      </c>
      <c r="M1172" s="603" t="s">
        <v>159</v>
      </c>
      <c r="N1172" s="39" t="str">
        <f>IF(AND('331-CT'!$E$7=TH!H1172,OR(L1172="331",M1172="331")),"331",IF(AND(OR(L1172="131",M1172="131"),H1172='131-CT'!$E$7),"131",""))</f>
        <v/>
      </c>
      <c r="O1172" s="39" t="str">
        <f>IF(AND($B1172&gt;='111'!$N$11,$B1172&lt;='111'!$O$11,OR($L1172=$O$7,$M1172=$O$7)),"x","")</f>
        <v/>
      </c>
      <c r="P1172" s="39" t="str">
        <f>IF(AND($L1172=$O$7,$B1172&lt;'111'!$N$11),"x","")</f>
        <v/>
      </c>
      <c r="Q1172" s="39" t="str">
        <f>IF(AND($M1172=$O$7,$B1172&lt;'111'!$N$11),"x","")</f>
        <v/>
      </c>
      <c r="R1172" s="39" t="str">
        <f>IF(ISERROR(FIND('112'!$M$9,G1172,1)),"",IF((AND(FIND('112'!$M$9,G1172,1)&gt;=1,$B1172&gt;='112'!$N$8,$B1172&lt;='112'!$O$8,OR($L1172='112'!$I$6,$M1172='112'!$I$6))),"x",""))</f>
        <v/>
      </c>
      <c r="S1172" s="39" t="str">
        <f>IF(ISERROR(FIND('112'!$M$9,G1172,1)),"",IF((AND(LEFT(G1172,2)=LEFT('112'!$M$9,2),B1172&lt;'112'!$N$8,$L1172='112'!$I$6)),"x",""))</f>
        <v/>
      </c>
      <c r="T1172" s="39" t="str">
        <f>IF(ISERROR(FIND('112'!$M$9,G1172,1)),"",IF((AND(RIGHT(G1172,2)=RIGHT('112'!$M$9,2),B1172&lt;'112'!$N$8,$M1172='112'!$I$6)),"x",""))</f>
        <v/>
      </c>
      <c r="U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39" t="str">
        <f>IF(OR(TH!L1172=TH!$V$7,M1172=TH!$V$7),"x","")</f>
        <v/>
      </c>
      <c r="W1172" s="39" t="str">
        <f>IF(AND(B1172&gt;='IN-NX'!$P$3,B1172&lt;='IN-NX'!$Q$3,'IN-NX'!$D$7=D1172,OR(LEFT(L1172,2)="15",AND(LEFT(M1172,2)&lt;&gt;"15",LEFT(M1172,2)&lt;&gt;"33"))),"x","")</f>
        <v/>
      </c>
      <c r="X1172" s="39" t="str">
        <f>IF(AND(OR(LEFT(TH!L1172,2)="15",LEFT(TH!M1172,2)="15"),'152-CT'!$J$8=TH!F1172),"x","")</f>
        <v/>
      </c>
      <c r="Y1172" s="39" t="str">
        <f>IF(AND(OR(LEFT(TH!L1172,2)="15",LEFT(TH!M1172,2)="15"),TK!$E$7=TH!F1172),"x","")</f>
        <v/>
      </c>
      <c r="Z1172" s="39" t="str">
        <f>IF(AND(B1172&lt;=NKC!$N$8,B1172&gt;=NKC!$M$8),"x","")</f>
        <v>x</v>
      </c>
      <c r="AA1172" s="886"/>
    </row>
    <row r="1173" spans="1:27" s="211" customFormat="1" ht="15.75" customHeight="1">
      <c r="A1173" s="204" t="str">
        <f>IF(B1173&lt;&gt;"",IF(AND(B1173&gt;=_TM1,B1173&lt;=_TM2,OR(TH!L1173="1111",TH!M1173="1111")),TH!D1173,""),"")</f>
        <v/>
      </c>
      <c r="B1173" s="36">
        <f t="shared" si="224"/>
        <v>7</v>
      </c>
      <c r="C1173" s="191">
        <f t="shared" si="225"/>
        <v>41477</v>
      </c>
      <c r="D1173" s="191" t="s">
        <v>1294</v>
      </c>
      <c r="E1173" s="37">
        <v>41477</v>
      </c>
      <c r="F1173" s="40"/>
      <c r="G1173" s="40" t="s">
        <v>888</v>
      </c>
      <c r="H1173" s="7" t="s">
        <v>1287</v>
      </c>
      <c r="I1173" s="256"/>
      <c r="J1173" s="256"/>
      <c r="K1173" s="602">
        <f t="shared" si="226"/>
        <v>0</v>
      </c>
      <c r="L1173" s="39" t="s">
        <v>165</v>
      </c>
      <c r="M1173" s="603" t="s">
        <v>159</v>
      </c>
      <c r="N1173" s="39" t="str">
        <f>IF(AND('331-CT'!$E$7=TH!H1173,OR(L1173="331",M1173="331")),"331",IF(AND(OR(L1173="131",M1173="131"),H1173='131-CT'!$E$7),"131",""))</f>
        <v/>
      </c>
      <c r="O1173" s="39" t="str">
        <f>IF(AND($B1173&gt;='111'!$N$11,$B1173&lt;='111'!$O$11,OR($L1173=$O$7,$M1173=$O$7)),"x","")</f>
        <v/>
      </c>
      <c r="P1173" s="39" t="str">
        <f>IF(AND($L1173=$O$7,$B1173&lt;'111'!$N$11),"x","")</f>
        <v/>
      </c>
      <c r="Q1173" s="39" t="str">
        <f>IF(AND($M1173=$O$7,$B1173&lt;'111'!$N$11),"x","")</f>
        <v/>
      </c>
      <c r="R1173" s="39" t="str">
        <f>IF(ISERROR(FIND('112'!$M$9,G1173,1)),"",IF((AND(FIND('112'!$M$9,G1173,1)&gt;=1,$B1173&gt;='112'!$N$8,$B1173&lt;='112'!$O$8,OR($L1173='112'!$I$6,$M1173='112'!$I$6))),"x",""))</f>
        <v/>
      </c>
      <c r="S1173" s="39" t="str">
        <f>IF(ISERROR(FIND('112'!$M$9,G1173,1)),"",IF((AND(LEFT(G1173,2)=LEFT('112'!$M$9,2),B1173&lt;'112'!$N$8,$L1173='112'!$I$6)),"x",""))</f>
        <v/>
      </c>
      <c r="T1173" s="39" t="str">
        <f>IF(ISERROR(FIND('112'!$M$9,G1173,1)),"",IF((AND(RIGHT(G1173,2)=RIGHT('112'!$M$9,2),B1173&lt;'112'!$N$8,$M1173='112'!$I$6)),"x",""))</f>
        <v/>
      </c>
      <c r="U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39" t="str">
        <f>IF(OR(TH!L1173=TH!$V$7,M1173=TH!$V$7),"x","")</f>
        <v/>
      </c>
      <c r="W1173" s="39" t="str">
        <f>IF(AND(B1173&gt;='IN-NX'!$P$3,B1173&lt;='IN-NX'!$Q$3,'IN-NX'!$D$7=D1173,OR(LEFT(L1173,2)="15",AND(LEFT(M1173,2)&lt;&gt;"15",LEFT(M1173,2)&lt;&gt;"33"))),"x","")</f>
        <v/>
      </c>
      <c r="X1173" s="39" t="str">
        <f>IF(AND(OR(LEFT(TH!L1173,2)="15",LEFT(TH!M1173,2)="15"),'152-CT'!$J$8=TH!F1173),"x","")</f>
        <v/>
      </c>
      <c r="Y1173" s="39" t="str">
        <f>IF(AND(OR(LEFT(TH!L1173,2)="15",LEFT(TH!M1173,2)="15"),TK!$E$7=TH!F1173),"x","")</f>
        <v/>
      </c>
      <c r="Z1173" s="39" t="str">
        <f>IF(AND(B1173&lt;=NKC!$N$8,B1173&gt;=NKC!$M$8),"x","")</f>
        <v>x</v>
      </c>
      <c r="AA1173" s="886"/>
    </row>
    <row r="1174" spans="1:27" s="211" customFormat="1" ht="15.75" customHeight="1">
      <c r="A1174" s="204" t="str">
        <f>IF(B1174&lt;&gt;"",IF(AND(B1174&gt;=_TM1,B1174&lt;=_TM2,OR(TH!L1174="1111",TH!M1174="1111")),TH!D1174,""),"")</f>
        <v/>
      </c>
      <c r="B1174" s="36">
        <f t="shared" si="224"/>
        <v>7</v>
      </c>
      <c r="C1174" s="191">
        <f t="shared" si="225"/>
        <v>41477</v>
      </c>
      <c r="D1174" s="191" t="s">
        <v>1294</v>
      </c>
      <c r="E1174" s="37">
        <v>41477</v>
      </c>
      <c r="F1174" s="40"/>
      <c r="G1174" s="40" t="s">
        <v>888</v>
      </c>
      <c r="H1174" s="7" t="s">
        <v>1287</v>
      </c>
      <c r="I1174" s="256"/>
      <c r="J1174" s="256"/>
      <c r="K1174" s="602">
        <f t="shared" si="226"/>
        <v>0</v>
      </c>
      <c r="L1174" s="39" t="s">
        <v>165</v>
      </c>
      <c r="M1174" s="603" t="s">
        <v>159</v>
      </c>
      <c r="N1174" s="39" t="str">
        <f>IF(AND('331-CT'!$E$7=TH!H1174,OR(L1174="331",M1174="331")),"331",IF(AND(OR(L1174="131",M1174="131"),H1174='131-CT'!$E$7),"131",""))</f>
        <v/>
      </c>
      <c r="O1174" s="39" t="str">
        <f>IF(AND($B1174&gt;='111'!$N$11,$B1174&lt;='111'!$O$11,OR($L1174=$O$7,$M1174=$O$7)),"x","")</f>
        <v/>
      </c>
      <c r="P1174" s="39" t="str">
        <f>IF(AND($L1174=$O$7,$B1174&lt;'111'!$N$11),"x","")</f>
        <v/>
      </c>
      <c r="Q1174" s="39" t="str">
        <f>IF(AND($M1174=$O$7,$B1174&lt;'111'!$N$11),"x","")</f>
        <v/>
      </c>
      <c r="R1174" s="39" t="str">
        <f>IF(ISERROR(FIND('112'!$M$9,G1174,1)),"",IF((AND(FIND('112'!$M$9,G1174,1)&gt;=1,$B1174&gt;='112'!$N$8,$B1174&lt;='112'!$O$8,OR($L1174='112'!$I$6,$M1174='112'!$I$6))),"x",""))</f>
        <v/>
      </c>
      <c r="S1174" s="39" t="str">
        <f>IF(ISERROR(FIND('112'!$M$9,G1174,1)),"",IF((AND(LEFT(G1174,2)=LEFT('112'!$M$9,2),B1174&lt;'112'!$N$8,$L1174='112'!$I$6)),"x",""))</f>
        <v/>
      </c>
      <c r="T1174" s="39" t="str">
        <f>IF(ISERROR(FIND('112'!$M$9,G1174,1)),"",IF((AND(RIGHT(G1174,2)=RIGHT('112'!$M$9,2),B1174&lt;'112'!$N$8,$M1174='112'!$I$6)),"x",""))</f>
        <v/>
      </c>
      <c r="U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39" t="str">
        <f>IF(OR(TH!L1174=TH!$V$7,M1174=TH!$V$7),"x","")</f>
        <v/>
      </c>
      <c r="W1174" s="39" t="str">
        <f>IF(AND(B1174&gt;='IN-NX'!$P$3,B1174&lt;='IN-NX'!$Q$3,'IN-NX'!$D$7=D1174,OR(LEFT(L1174,2)="15",AND(LEFT(M1174,2)&lt;&gt;"15",LEFT(M1174,2)&lt;&gt;"33"))),"x","")</f>
        <v/>
      </c>
      <c r="X1174" s="39" t="str">
        <f>IF(AND(OR(LEFT(TH!L1174,2)="15",LEFT(TH!M1174,2)="15"),'152-CT'!$J$8=TH!F1174),"x","")</f>
        <v/>
      </c>
      <c r="Y1174" s="39" t="str">
        <f>IF(AND(OR(LEFT(TH!L1174,2)="15",LEFT(TH!M1174,2)="15"),TK!$E$7=TH!F1174),"x","")</f>
        <v/>
      </c>
      <c r="Z1174" s="39" t="str">
        <f>IF(AND(B1174&lt;=NKC!$N$8,B1174&gt;=NKC!$M$8),"x","")</f>
        <v>x</v>
      </c>
      <c r="AA1174" s="886"/>
    </row>
    <row r="1175" spans="1:27" s="211" customFormat="1" ht="15.75" customHeight="1">
      <c r="A1175" s="204" t="str">
        <f>IF(B1175&lt;&gt;"",IF(AND(B1175&gt;=_TM1,B1175&lt;=_TM2,OR(TH!L1175="1111",TH!M1175="1111")),TH!D1175,""),"")</f>
        <v/>
      </c>
      <c r="B1175" s="36">
        <f t="shared" si="224"/>
        <v>7</v>
      </c>
      <c r="C1175" s="191">
        <f t="shared" si="225"/>
        <v>41477</v>
      </c>
      <c r="D1175" s="191" t="s">
        <v>1294</v>
      </c>
      <c r="E1175" s="37">
        <v>41477</v>
      </c>
      <c r="F1175" s="40"/>
      <c r="G1175" s="40" t="s">
        <v>888</v>
      </c>
      <c r="H1175" s="7" t="s">
        <v>1287</v>
      </c>
      <c r="I1175" s="256"/>
      <c r="J1175" s="256"/>
      <c r="K1175" s="602">
        <f t="shared" si="226"/>
        <v>0</v>
      </c>
      <c r="L1175" s="39" t="s">
        <v>165</v>
      </c>
      <c r="M1175" s="603" t="s">
        <v>159</v>
      </c>
      <c r="N1175" s="39" t="str">
        <f>IF(AND('331-CT'!$E$7=TH!H1175,OR(L1175="331",M1175="331")),"331",IF(AND(OR(L1175="131",M1175="131"),H1175='131-CT'!$E$7),"131",""))</f>
        <v/>
      </c>
      <c r="O1175" s="39" t="str">
        <f>IF(AND($B1175&gt;='111'!$N$11,$B1175&lt;='111'!$O$11,OR($L1175=$O$7,$M1175=$O$7)),"x","")</f>
        <v/>
      </c>
      <c r="P1175" s="39" t="str">
        <f>IF(AND($L1175=$O$7,$B1175&lt;'111'!$N$11),"x","")</f>
        <v/>
      </c>
      <c r="Q1175" s="39" t="str">
        <f>IF(AND($M1175=$O$7,$B1175&lt;'111'!$N$11),"x","")</f>
        <v/>
      </c>
      <c r="R1175" s="39" t="str">
        <f>IF(ISERROR(FIND('112'!$M$9,G1175,1)),"",IF((AND(FIND('112'!$M$9,G1175,1)&gt;=1,$B1175&gt;='112'!$N$8,$B1175&lt;='112'!$O$8,OR($L1175='112'!$I$6,$M1175='112'!$I$6))),"x",""))</f>
        <v/>
      </c>
      <c r="S1175" s="39" t="str">
        <f>IF(ISERROR(FIND('112'!$M$9,G1175,1)),"",IF((AND(LEFT(G1175,2)=LEFT('112'!$M$9,2),B1175&lt;'112'!$N$8,$L1175='112'!$I$6)),"x",""))</f>
        <v/>
      </c>
      <c r="T1175" s="39" t="str">
        <f>IF(ISERROR(FIND('112'!$M$9,G1175,1)),"",IF((AND(RIGHT(G1175,2)=RIGHT('112'!$M$9,2),B1175&lt;'112'!$N$8,$M1175='112'!$I$6)),"x",""))</f>
        <v/>
      </c>
      <c r="U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39" t="str">
        <f>IF(OR(TH!L1175=TH!$V$7,M1175=TH!$V$7),"x","")</f>
        <v/>
      </c>
      <c r="W1175" s="39" t="str">
        <f>IF(AND(B1175&gt;='IN-NX'!$P$3,B1175&lt;='IN-NX'!$Q$3,'IN-NX'!$D$7=D1175,OR(LEFT(L1175,2)="15",AND(LEFT(M1175,2)&lt;&gt;"15",LEFT(M1175,2)&lt;&gt;"33"))),"x","")</f>
        <v/>
      </c>
      <c r="X1175" s="39" t="str">
        <f>IF(AND(OR(LEFT(TH!L1175,2)="15",LEFT(TH!M1175,2)="15"),'152-CT'!$J$8=TH!F1175),"x","")</f>
        <v/>
      </c>
      <c r="Y1175" s="39" t="str">
        <f>IF(AND(OR(LEFT(TH!L1175,2)="15",LEFT(TH!M1175,2)="15"),TK!$E$7=TH!F1175),"x","")</f>
        <v/>
      </c>
      <c r="Z1175" s="39" t="str">
        <f>IF(AND(B1175&lt;=NKC!$N$8,B1175&gt;=NKC!$M$8),"x","")</f>
        <v>x</v>
      </c>
      <c r="AA1175" s="886"/>
    </row>
    <row r="1176" spans="1:27" s="211" customFormat="1" ht="15.75" customHeight="1">
      <c r="A1176" s="204" t="str">
        <f>IF(B1176&lt;&gt;"",IF(AND(B1176&gt;=_TM1,B1176&lt;=_TM2,OR(TH!L1176="1111",TH!M1176="1111")),TH!D1176,""),"")</f>
        <v/>
      </c>
      <c r="B1176" s="36">
        <f t="shared" si="224"/>
        <v>7</v>
      </c>
      <c r="C1176" s="191">
        <f t="shared" si="225"/>
        <v>41478</v>
      </c>
      <c r="D1176" s="191" t="s">
        <v>1294</v>
      </c>
      <c r="E1176" s="37">
        <v>41478</v>
      </c>
      <c r="F1176" s="40"/>
      <c r="G1176" s="40" t="s">
        <v>890</v>
      </c>
      <c r="H1176" s="7" t="s">
        <v>1287</v>
      </c>
      <c r="I1176" s="256"/>
      <c r="J1176" s="256"/>
      <c r="K1176" s="602">
        <f t="shared" si="226"/>
        <v>0</v>
      </c>
      <c r="L1176" s="39" t="s">
        <v>165</v>
      </c>
      <c r="M1176" s="603" t="s">
        <v>159</v>
      </c>
      <c r="N1176" s="39" t="str">
        <f>IF(AND('331-CT'!$E$7=TH!H1176,OR(L1176="331",M1176="331")),"331",IF(AND(OR(L1176="131",M1176="131"),H1176='131-CT'!$E$7),"131",""))</f>
        <v/>
      </c>
      <c r="O1176" s="39" t="str">
        <f>IF(AND($B1176&gt;='111'!$N$11,$B1176&lt;='111'!$O$11,OR($L1176=$O$7,$M1176=$O$7)),"x","")</f>
        <v/>
      </c>
      <c r="P1176" s="39" t="str">
        <f>IF(AND($L1176=$O$7,$B1176&lt;'111'!$N$11),"x","")</f>
        <v/>
      </c>
      <c r="Q1176" s="39" t="str">
        <f>IF(AND($M1176=$O$7,$B1176&lt;'111'!$N$11),"x","")</f>
        <v/>
      </c>
      <c r="R1176" s="39" t="str">
        <f>IF(ISERROR(FIND('112'!$M$9,G1176,1)),"",IF((AND(FIND('112'!$M$9,G1176,1)&gt;=1,$B1176&gt;='112'!$N$8,$B1176&lt;='112'!$O$8,OR($L1176='112'!$I$6,$M1176='112'!$I$6))),"x",""))</f>
        <v/>
      </c>
      <c r="S1176" s="39" t="str">
        <f>IF(ISERROR(FIND('112'!$M$9,G1176,1)),"",IF((AND(LEFT(G1176,2)=LEFT('112'!$M$9,2),B1176&lt;'112'!$N$8,$L1176='112'!$I$6)),"x",""))</f>
        <v/>
      </c>
      <c r="T1176" s="39" t="str">
        <f>IF(ISERROR(FIND('112'!$M$9,G1176,1)),"",IF((AND(RIGHT(G1176,2)=RIGHT('112'!$M$9,2),B1176&lt;'112'!$N$8,$M1176='112'!$I$6)),"x",""))</f>
        <v/>
      </c>
      <c r="U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39" t="str">
        <f>IF(OR(TH!L1176=TH!$V$7,M1176=TH!$V$7),"x","")</f>
        <v/>
      </c>
      <c r="W1176" s="39" t="str">
        <f>IF(AND(B1176&gt;='IN-NX'!$P$3,B1176&lt;='IN-NX'!$Q$3,'IN-NX'!$D$7=D1176,OR(LEFT(L1176,2)="15",AND(LEFT(M1176,2)&lt;&gt;"15",LEFT(M1176,2)&lt;&gt;"33"))),"x","")</f>
        <v/>
      </c>
      <c r="X1176" s="39" t="str">
        <f>IF(AND(OR(LEFT(TH!L1176,2)="15",LEFT(TH!M1176,2)="15"),'152-CT'!$J$8=TH!F1176),"x","")</f>
        <v/>
      </c>
      <c r="Y1176" s="39" t="str">
        <f>IF(AND(OR(LEFT(TH!L1176,2)="15",LEFT(TH!M1176,2)="15"),TK!$E$7=TH!F1176),"x","")</f>
        <v/>
      </c>
      <c r="Z1176" s="39" t="str">
        <f>IF(AND(B1176&lt;=NKC!$N$8,B1176&gt;=NKC!$M$8),"x","")</f>
        <v>x</v>
      </c>
      <c r="AA1176" s="886"/>
    </row>
    <row r="1177" spans="1:27" s="211" customFormat="1" ht="15.75" customHeight="1">
      <c r="A1177" s="204" t="str">
        <f>IF(B1177&lt;&gt;"",IF(AND(B1177&gt;=_TM1,B1177&lt;=_TM2,OR(TH!L1177="1111",TH!M1177="1111")),TH!D1177,""),"")</f>
        <v/>
      </c>
      <c r="B1177" s="36">
        <f t="shared" si="224"/>
        <v>7</v>
      </c>
      <c r="C1177" s="191">
        <f t="shared" si="225"/>
        <v>41481</v>
      </c>
      <c r="D1177" s="191" t="s">
        <v>1294</v>
      </c>
      <c r="E1177" s="37">
        <v>41481</v>
      </c>
      <c r="F1177" s="40"/>
      <c r="G1177" s="40" t="s">
        <v>891</v>
      </c>
      <c r="H1177" s="7" t="s">
        <v>1287</v>
      </c>
      <c r="I1177" s="256"/>
      <c r="J1177" s="256"/>
      <c r="K1177" s="602">
        <f t="shared" si="226"/>
        <v>0</v>
      </c>
      <c r="L1177" s="39" t="s">
        <v>165</v>
      </c>
      <c r="M1177" s="603" t="s">
        <v>159</v>
      </c>
      <c r="N1177" s="39" t="str">
        <f>IF(AND('331-CT'!$E$7=TH!H1177,OR(L1177="331",M1177="331")),"331",IF(AND(OR(L1177="131",M1177="131"),H1177='131-CT'!$E$7),"131",""))</f>
        <v/>
      </c>
      <c r="O1177" s="39" t="str">
        <f>IF(AND($B1177&gt;='111'!$N$11,$B1177&lt;='111'!$O$11,OR($L1177=$O$7,$M1177=$O$7)),"x","")</f>
        <v/>
      </c>
      <c r="P1177" s="39" t="str">
        <f>IF(AND($L1177=$O$7,$B1177&lt;'111'!$N$11),"x","")</f>
        <v/>
      </c>
      <c r="Q1177" s="39" t="str">
        <f>IF(AND($M1177=$O$7,$B1177&lt;'111'!$N$11),"x","")</f>
        <v/>
      </c>
      <c r="R1177" s="39" t="str">
        <f>IF(ISERROR(FIND('112'!$M$9,G1177,1)),"",IF((AND(FIND('112'!$M$9,G1177,1)&gt;=1,$B1177&gt;='112'!$N$8,$B1177&lt;='112'!$O$8,OR($L1177='112'!$I$6,$M1177='112'!$I$6))),"x",""))</f>
        <v/>
      </c>
      <c r="S1177" s="39" t="str">
        <f>IF(ISERROR(FIND('112'!$M$9,G1177,1)),"",IF((AND(LEFT(G1177,2)=LEFT('112'!$M$9,2),B1177&lt;'112'!$N$8,$L1177='112'!$I$6)),"x",""))</f>
        <v/>
      </c>
      <c r="T1177" s="39" t="str">
        <f>IF(ISERROR(FIND('112'!$M$9,G1177,1)),"",IF((AND(RIGHT(G1177,2)=RIGHT('112'!$M$9,2),B1177&lt;'112'!$N$8,$M1177='112'!$I$6)),"x",""))</f>
        <v/>
      </c>
      <c r="U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39" t="str">
        <f>IF(OR(TH!L1177=TH!$V$7,M1177=TH!$V$7),"x","")</f>
        <v/>
      </c>
      <c r="W1177" s="39" t="str">
        <f>IF(AND(B1177&gt;='IN-NX'!$P$3,B1177&lt;='IN-NX'!$Q$3,'IN-NX'!$D$7=D1177,OR(LEFT(L1177,2)="15",AND(LEFT(M1177,2)&lt;&gt;"15",LEFT(M1177,2)&lt;&gt;"33"))),"x","")</f>
        <v/>
      </c>
      <c r="X1177" s="39" t="str">
        <f>IF(AND(OR(LEFT(TH!L1177,2)="15",LEFT(TH!M1177,2)="15"),'152-CT'!$J$8=TH!F1177),"x","")</f>
        <v/>
      </c>
      <c r="Y1177" s="39" t="str">
        <f>IF(AND(OR(LEFT(TH!L1177,2)="15",LEFT(TH!M1177,2)="15"),TK!$E$7=TH!F1177),"x","")</f>
        <v/>
      </c>
      <c r="Z1177" s="39" t="str">
        <f>IF(AND(B1177&lt;=NKC!$N$8,B1177&gt;=NKC!$M$8),"x","")</f>
        <v>x</v>
      </c>
      <c r="AA1177" s="886"/>
    </row>
    <row r="1178" spans="1:27" s="211" customFormat="1" ht="15.75" customHeight="1">
      <c r="A1178" s="204" t="str">
        <f>IF(B1178&lt;&gt;"",IF(AND(B1178&gt;=_TM1,B1178&lt;=_TM2,OR(TH!L1178="1111",TH!M1178="1111")),TH!D1178,""),"")</f>
        <v/>
      </c>
      <c r="B1178" s="36">
        <f t="shared" si="224"/>
        <v>7</v>
      </c>
      <c r="C1178" s="191">
        <f t="shared" si="225"/>
        <v>41484</v>
      </c>
      <c r="D1178" s="191" t="s">
        <v>1294</v>
      </c>
      <c r="E1178" s="37">
        <v>41484</v>
      </c>
      <c r="F1178" s="40"/>
      <c r="G1178" s="40" t="s">
        <v>892</v>
      </c>
      <c r="H1178" s="7" t="s">
        <v>1287</v>
      </c>
      <c r="I1178" s="256"/>
      <c r="J1178" s="256"/>
      <c r="K1178" s="602">
        <f t="shared" si="226"/>
        <v>0</v>
      </c>
      <c r="L1178" s="39" t="s">
        <v>165</v>
      </c>
      <c r="M1178" s="603" t="s">
        <v>159</v>
      </c>
      <c r="N1178" s="39" t="str">
        <f>IF(AND('331-CT'!$E$7=TH!H1178,OR(L1178="331",M1178="331")),"331",IF(AND(OR(L1178="131",M1178="131"),H1178='131-CT'!$E$7),"131",""))</f>
        <v/>
      </c>
      <c r="O1178" s="39" t="str">
        <f>IF(AND($B1178&gt;='111'!$N$11,$B1178&lt;='111'!$O$11,OR($L1178=$O$7,$M1178=$O$7)),"x","")</f>
        <v/>
      </c>
      <c r="P1178" s="39" t="str">
        <f>IF(AND($L1178=$O$7,$B1178&lt;'111'!$N$11),"x","")</f>
        <v/>
      </c>
      <c r="Q1178" s="39" t="str">
        <f>IF(AND($M1178=$O$7,$B1178&lt;'111'!$N$11),"x","")</f>
        <v/>
      </c>
      <c r="R1178" s="39" t="str">
        <f>IF(ISERROR(FIND('112'!$M$9,G1178,1)),"",IF((AND(FIND('112'!$M$9,G1178,1)&gt;=1,$B1178&gt;='112'!$N$8,$B1178&lt;='112'!$O$8,OR($L1178='112'!$I$6,$M1178='112'!$I$6))),"x",""))</f>
        <v/>
      </c>
      <c r="S1178" s="39" t="str">
        <f>IF(ISERROR(FIND('112'!$M$9,G1178,1)),"",IF((AND(LEFT(G1178,2)=LEFT('112'!$M$9,2),B1178&lt;'112'!$N$8,$L1178='112'!$I$6)),"x",""))</f>
        <v/>
      </c>
      <c r="T1178" s="39" t="str">
        <f>IF(ISERROR(FIND('112'!$M$9,G1178,1)),"",IF((AND(RIGHT(G1178,2)=RIGHT('112'!$M$9,2),B1178&lt;'112'!$N$8,$M1178='112'!$I$6)),"x",""))</f>
        <v/>
      </c>
      <c r="U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39" t="str">
        <f>IF(OR(TH!L1178=TH!$V$7,M1178=TH!$V$7),"x","")</f>
        <v/>
      </c>
      <c r="W1178" s="39" t="str">
        <f>IF(AND(B1178&gt;='IN-NX'!$P$3,B1178&lt;='IN-NX'!$Q$3,'IN-NX'!$D$7=D1178,OR(LEFT(L1178,2)="15",AND(LEFT(M1178,2)&lt;&gt;"15",LEFT(M1178,2)&lt;&gt;"33"))),"x","")</f>
        <v/>
      </c>
      <c r="X1178" s="39" t="str">
        <f>IF(AND(OR(LEFT(TH!L1178,2)="15",LEFT(TH!M1178,2)="15"),'152-CT'!$J$8=TH!F1178),"x","")</f>
        <v/>
      </c>
      <c r="Y1178" s="39" t="str">
        <f>IF(AND(OR(LEFT(TH!L1178,2)="15",LEFT(TH!M1178,2)="15"),TK!$E$7=TH!F1178),"x","")</f>
        <v/>
      </c>
      <c r="Z1178" s="39" t="str">
        <f>IF(AND(B1178&lt;=NKC!$N$8,B1178&gt;=NKC!$M$8),"x","")</f>
        <v>x</v>
      </c>
      <c r="AA1178" s="886"/>
    </row>
    <row r="1179" spans="1:27" s="211" customFormat="1" ht="15.75" customHeight="1">
      <c r="A1179" s="204" t="str">
        <f>IF(B1179&lt;&gt;"",IF(AND(B1179&gt;=_TM1,B1179&lt;=_TM2,OR(TH!L1179="1111",TH!M1179="1111")),TH!D1179,""),"")</f>
        <v/>
      </c>
      <c r="B1179" s="36">
        <f t="shared" si="224"/>
        <v>7</v>
      </c>
      <c r="C1179" s="191">
        <f t="shared" si="225"/>
        <v>41484</v>
      </c>
      <c r="D1179" s="191" t="s">
        <v>1294</v>
      </c>
      <c r="E1179" s="37">
        <v>41484</v>
      </c>
      <c r="F1179" s="40"/>
      <c r="G1179" s="40" t="s">
        <v>893</v>
      </c>
      <c r="H1179" s="7" t="s">
        <v>1287</v>
      </c>
      <c r="I1179" s="256"/>
      <c r="J1179" s="256"/>
      <c r="K1179" s="602">
        <f t="shared" si="226"/>
        <v>0</v>
      </c>
      <c r="L1179" s="39" t="s">
        <v>165</v>
      </c>
      <c r="M1179" s="603" t="s">
        <v>159</v>
      </c>
      <c r="N1179" s="39" t="str">
        <f>IF(AND('331-CT'!$E$7=TH!H1179,OR(L1179="331",M1179="331")),"331",IF(AND(OR(L1179="131",M1179="131"),H1179='131-CT'!$E$7),"131",""))</f>
        <v/>
      </c>
      <c r="O1179" s="39" t="str">
        <f>IF(AND($B1179&gt;='111'!$N$11,$B1179&lt;='111'!$O$11,OR($L1179=$O$7,$M1179=$O$7)),"x","")</f>
        <v/>
      </c>
      <c r="P1179" s="39" t="str">
        <f>IF(AND($L1179=$O$7,$B1179&lt;'111'!$N$11),"x","")</f>
        <v/>
      </c>
      <c r="Q1179" s="39" t="str">
        <f>IF(AND($M1179=$O$7,$B1179&lt;'111'!$N$11),"x","")</f>
        <v/>
      </c>
      <c r="R1179" s="39" t="str">
        <f>IF(ISERROR(FIND('112'!$M$9,G1179,1)),"",IF((AND(FIND('112'!$M$9,G1179,1)&gt;=1,$B1179&gt;='112'!$N$8,$B1179&lt;='112'!$O$8,OR($L1179='112'!$I$6,$M1179='112'!$I$6))),"x",""))</f>
        <v/>
      </c>
      <c r="S1179" s="39" t="str">
        <f>IF(ISERROR(FIND('112'!$M$9,G1179,1)),"",IF((AND(LEFT(G1179,2)=LEFT('112'!$M$9,2),B1179&lt;'112'!$N$8,$L1179='112'!$I$6)),"x",""))</f>
        <v/>
      </c>
      <c r="T1179" s="39" t="str">
        <f>IF(ISERROR(FIND('112'!$M$9,G1179,1)),"",IF((AND(RIGHT(G1179,2)=RIGHT('112'!$M$9,2),B1179&lt;'112'!$N$8,$M1179='112'!$I$6)),"x",""))</f>
        <v/>
      </c>
      <c r="U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39" t="str">
        <f>IF(OR(TH!L1179=TH!$V$7,M1179=TH!$V$7),"x","")</f>
        <v/>
      </c>
      <c r="W1179" s="39" t="str">
        <f>IF(AND(B1179&gt;='IN-NX'!$P$3,B1179&lt;='IN-NX'!$Q$3,'IN-NX'!$D$7=D1179,OR(LEFT(L1179,2)="15",AND(LEFT(M1179,2)&lt;&gt;"15",LEFT(M1179,2)&lt;&gt;"33"))),"x","")</f>
        <v/>
      </c>
      <c r="X1179" s="39" t="str">
        <f>IF(AND(OR(LEFT(TH!L1179,2)="15",LEFT(TH!M1179,2)="15"),'152-CT'!$J$8=TH!F1179),"x","")</f>
        <v/>
      </c>
      <c r="Y1179" s="39" t="str">
        <f>IF(AND(OR(LEFT(TH!L1179,2)="15",LEFT(TH!M1179,2)="15"),TK!$E$7=TH!F1179),"x","")</f>
        <v/>
      </c>
      <c r="Z1179" s="39" t="str">
        <f>IF(AND(B1179&lt;=NKC!$N$8,B1179&gt;=NKC!$M$8),"x","")</f>
        <v>x</v>
      </c>
      <c r="AA1179" s="886"/>
    </row>
    <row r="1180" spans="1:27" s="211" customFormat="1" ht="15.75" customHeight="1">
      <c r="A1180" s="204" t="str">
        <f>IF(B1180&lt;&gt;"",IF(AND(B1180&gt;=_TM1,B1180&lt;=_TM2,OR(TH!L1180="1111",TH!M1180="1111")),TH!D1180,""),"")</f>
        <v/>
      </c>
      <c r="B1180" s="36">
        <f t="shared" si="224"/>
        <v>7</v>
      </c>
      <c r="C1180" s="191">
        <f t="shared" si="225"/>
        <v>41485</v>
      </c>
      <c r="D1180" s="191" t="s">
        <v>1294</v>
      </c>
      <c r="E1180" s="37">
        <v>41485</v>
      </c>
      <c r="F1180" s="40"/>
      <c r="G1180" s="40" t="s">
        <v>894</v>
      </c>
      <c r="H1180" s="7" t="s">
        <v>1287</v>
      </c>
      <c r="I1180" s="256"/>
      <c r="J1180" s="256"/>
      <c r="K1180" s="602">
        <f t="shared" si="226"/>
        <v>0</v>
      </c>
      <c r="L1180" s="39" t="s">
        <v>165</v>
      </c>
      <c r="M1180" s="603" t="s">
        <v>159</v>
      </c>
      <c r="N1180" s="39" t="str">
        <f>IF(AND('331-CT'!$E$7=TH!H1180,OR(L1180="331",M1180="331")),"331",IF(AND(OR(L1180="131",M1180="131"),H1180='131-CT'!$E$7),"131",""))</f>
        <v/>
      </c>
      <c r="O1180" s="39" t="str">
        <f>IF(AND($B1180&gt;='111'!$N$11,$B1180&lt;='111'!$O$11,OR($L1180=$O$7,$M1180=$O$7)),"x","")</f>
        <v/>
      </c>
      <c r="P1180" s="39" t="str">
        <f>IF(AND($L1180=$O$7,$B1180&lt;'111'!$N$11),"x","")</f>
        <v/>
      </c>
      <c r="Q1180" s="39" t="str">
        <f>IF(AND($M1180=$O$7,$B1180&lt;'111'!$N$11),"x","")</f>
        <v/>
      </c>
      <c r="R1180" s="39" t="str">
        <f>IF(ISERROR(FIND('112'!$M$9,G1180,1)),"",IF((AND(FIND('112'!$M$9,G1180,1)&gt;=1,$B1180&gt;='112'!$N$8,$B1180&lt;='112'!$O$8,OR($L1180='112'!$I$6,$M1180='112'!$I$6))),"x",""))</f>
        <v/>
      </c>
      <c r="S1180" s="39" t="str">
        <f>IF(ISERROR(FIND('112'!$M$9,G1180,1)),"",IF((AND(LEFT(G1180,2)=LEFT('112'!$M$9,2),B1180&lt;'112'!$N$8,$L1180='112'!$I$6)),"x",""))</f>
        <v/>
      </c>
      <c r="T1180" s="39" t="str">
        <f>IF(ISERROR(FIND('112'!$M$9,G1180,1)),"",IF((AND(RIGHT(G1180,2)=RIGHT('112'!$M$9,2),B1180&lt;'112'!$N$8,$M1180='112'!$I$6)),"x",""))</f>
        <v/>
      </c>
      <c r="U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39" t="str">
        <f>IF(OR(TH!L1180=TH!$V$7,M1180=TH!$V$7),"x","")</f>
        <v/>
      </c>
      <c r="W1180" s="39" t="str">
        <f>IF(AND(B1180&gt;='IN-NX'!$P$3,B1180&lt;='IN-NX'!$Q$3,'IN-NX'!$D$7=D1180,OR(LEFT(L1180,2)="15",AND(LEFT(M1180,2)&lt;&gt;"15",LEFT(M1180,2)&lt;&gt;"33"))),"x","")</f>
        <v/>
      </c>
      <c r="X1180" s="39" t="str">
        <f>IF(AND(OR(LEFT(TH!L1180,2)="15",LEFT(TH!M1180,2)="15"),'152-CT'!$J$8=TH!F1180),"x","")</f>
        <v/>
      </c>
      <c r="Y1180" s="39" t="str">
        <f>IF(AND(OR(LEFT(TH!L1180,2)="15",LEFT(TH!M1180,2)="15"),TK!$E$7=TH!F1180),"x","")</f>
        <v/>
      </c>
      <c r="Z1180" s="39" t="str">
        <f>IF(AND(B1180&lt;=NKC!$N$8,B1180&gt;=NKC!$M$8),"x","")</f>
        <v>x</v>
      </c>
      <c r="AA1180" s="886"/>
    </row>
    <row r="1181" spans="1:27" s="211" customFormat="1" ht="15.75" customHeight="1">
      <c r="A1181" s="204" t="str">
        <f>IF(B1181&lt;&gt;"",IF(AND(B1181&gt;=_TM1,B1181&lt;=_TM2,OR(TH!L1181="1111",TH!M1181="1111")),TH!D1181,""),"")</f>
        <v/>
      </c>
      <c r="B1181" s="36">
        <f t="shared" si="224"/>
        <v>7</v>
      </c>
      <c r="C1181" s="191">
        <f t="shared" si="225"/>
        <v>41485</v>
      </c>
      <c r="D1181" s="191" t="s">
        <v>1294</v>
      </c>
      <c r="E1181" s="37">
        <v>41485</v>
      </c>
      <c r="F1181" s="40"/>
      <c r="G1181" s="40" t="s">
        <v>895</v>
      </c>
      <c r="H1181" s="7" t="s">
        <v>1287</v>
      </c>
      <c r="I1181" s="256"/>
      <c r="J1181" s="256"/>
      <c r="K1181" s="602">
        <f t="shared" si="226"/>
        <v>0</v>
      </c>
      <c r="L1181" s="39" t="s">
        <v>165</v>
      </c>
      <c r="M1181" s="603" t="s">
        <v>159</v>
      </c>
      <c r="N1181" s="39" t="str">
        <f>IF(AND('331-CT'!$E$7=TH!H1181,OR(L1181="331",M1181="331")),"331",IF(AND(OR(L1181="131",M1181="131"),H1181='131-CT'!$E$7),"131",""))</f>
        <v/>
      </c>
      <c r="O1181" s="39" t="str">
        <f>IF(AND($B1181&gt;='111'!$N$11,$B1181&lt;='111'!$O$11,OR($L1181=$O$7,$M1181=$O$7)),"x","")</f>
        <v/>
      </c>
      <c r="P1181" s="39" t="str">
        <f>IF(AND($L1181=$O$7,$B1181&lt;'111'!$N$11),"x","")</f>
        <v/>
      </c>
      <c r="Q1181" s="39" t="str">
        <f>IF(AND($M1181=$O$7,$B1181&lt;'111'!$N$11),"x","")</f>
        <v/>
      </c>
      <c r="R1181" s="39" t="str">
        <f>IF(ISERROR(FIND('112'!$M$9,G1181,1)),"",IF((AND(FIND('112'!$M$9,G1181,1)&gt;=1,$B1181&gt;='112'!$N$8,$B1181&lt;='112'!$O$8,OR($L1181='112'!$I$6,$M1181='112'!$I$6))),"x",""))</f>
        <v/>
      </c>
      <c r="S1181" s="39" t="str">
        <f>IF(ISERROR(FIND('112'!$M$9,G1181,1)),"",IF((AND(LEFT(G1181,2)=LEFT('112'!$M$9,2),B1181&lt;'112'!$N$8,$L1181='112'!$I$6)),"x",""))</f>
        <v/>
      </c>
      <c r="T1181" s="39" t="str">
        <f>IF(ISERROR(FIND('112'!$M$9,G1181,1)),"",IF((AND(RIGHT(G1181,2)=RIGHT('112'!$M$9,2),B1181&lt;'112'!$N$8,$M1181='112'!$I$6)),"x",""))</f>
        <v/>
      </c>
      <c r="U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39" t="str">
        <f>IF(OR(TH!L1181=TH!$V$7,M1181=TH!$V$7),"x","")</f>
        <v/>
      </c>
      <c r="W1181" s="39" t="str">
        <f>IF(AND(B1181&gt;='IN-NX'!$P$3,B1181&lt;='IN-NX'!$Q$3,'IN-NX'!$D$7=D1181,OR(LEFT(L1181,2)="15",AND(LEFT(M1181,2)&lt;&gt;"15",LEFT(M1181,2)&lt;&gt;"33"))),"x","")</f>
        <v/>
      </c>
      <c r="X1181" s="39" t="str">
        <f>IF(AND(OR(LEFT(TH!L1181,2)="15",LEFT(TH!M1181,2)="15"),'152-CT'!$J$8=TH!F1181),"x","")</f>
        <v/>
      </c>
      <c r="Y1181" s="39" t="str">
        <f>IF(AND(OR(LEFT(TH!L1181,2)="15",LEFT(TH!M1181,2)="15"),TK!$E$7=TH!F1181),"x","")</f>
        <v/>
      </c>
      <c r="Z1181" s="39" t="str">
        <f>IF(AND(B1181&lt;=NKC!$N$8,B1181&gt;=NKC!$M$8),"x","")</f>
        <v>x</v>
      </c>
      <c r="AA1181" s="886"/>
    </row>
    <row r="1182" spans="1:27" s="211" customFormat="1" ht="15.75" customHeight="1">
      <c r="A1182" s="204" t="str">
        <f>IF(B1182&lt;&gt;"",IF(AND(B1182&gt;=_TM1,B1182&lt;=_TM2,OR(TH!L1182="1111",TH!M1182="1111")),TH!D1182,""),"")</f>
        <v/>
      </c>
      <c r="B1182" s="36">
        <f t="shared" si="224"/>
        <v>7</v>
      </c>
      <c r="C1182" s="191">
        <f t="shared" si="225"/>
        <v>41486</v>
      </c>
      <c r="D1182" s="191" t="s">
        <v>1294</v>
      </c>
      <c r="E1182" s="37">
        <v>41486</v>
      </c>
      <c r="F1182" s="40"/>
      <c r="G1182" s="40" t="s">
        <v>897</v>
      </c>
      <c r="H1182" s="7" t="s">
        <v>1287</v>
      </c>
      <c r="I1182" s="256"/>
      <c r="J1182" s="256"/>
      <c r="K1182" s="602">
        <f t="shared" si="226"/>
        <v>0</v>
      </c>
      <c r="L1182" s="39" t="s">
        <v>165</v>
      </c>
      <c r="M1182" s="603" t="s">
        <v>159</v>
      </c>
      <c r="N1182" s="39" t="str">
        <f>IF(AND('331-CT'!$E$7=TH!H1182,OR(L1182="331",M1182="331")),"331",IF(AND(OR(L1182="131",M1182="131"),H1182='131-CT'!$E$7),"131",""))</f>
        <v/>
      </c>
      <c r="O1182" s="39" t="str">
        <f>IF(AND($B1182&gt;='111'!$N$11,$B1182&lt;='111'!$O$11,OR($L1182=$O$7,$M1182=$O$7)),"x","")</f>
        <v/>
      </c>
      <c r="P1182" s="39" t="str">
        <f>IF(AND($L1182=$O$7,$B1182&lt;'111'!$N$11),"x","")</f>
        <v/>
      </c>
      <c r="Q1182" s="39" t="str">
        <f>IF(AND($M1182=$O$7,$B1182&lt;'111'!$N$11),"x","")</f>
        <v/>
      </c>
      <c r="R1182" s="39" t="str">
        <f>IF(ISERROR(FIND('112'!$M$9,G1182,1)),"",IF((AND(FIND('112'!$M$9,G1182,1)&gt;=1,$B1182&gt;='112'!$N$8,$B1182&lt;='112'!$O$8,OR($L1182='112'!$I$6,$M1182='112'!$I$6))),"x",""))</f>
        <v/>
      </c>
      <c r="S1182" s="39" t="str">
        <f>IF(ISERROR(FIND('112'!$M$9,G1182,1)),"",IF((AND(LEFT(G1182,2)=LEFT('112'!$M$9,2),B1182&lt;'112'!$N$8,$L1182='112'!$I$6)),"x",""))</f>
        <v/>
      </c>
      <c r="T1182" s="39" t="str">
        <f>IF(ISERROR(FIND('112'!$M$9,G1182,1)),"",IF((AND(RIGHT(G1182,2)=RIGHT('112'!$M$9,2),B1182&lt;'112'!$N$8,$M1182='112'!$I$6)),"x",""))</f>
        <v/>
      </c>
      <c r="U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39" t="str">
        <f>IF(OR(TH!L1182=TH!$V$7,M1182=TH!$V$7),"x","")</f>
        <v/>
      </c>
      <c r="W1182" s="39" t="str">
        <f>IF(AND(B1182&gt;='IN-NX'!$P$3,B1182&lt;='IN-NX'!$Q$3,'IN-NX'!$D$7=D1182,OR(LEFT(L1182,2)="15",AND(LEFT(M1182,2)&lt;&gt;"15",LEFT(M1182,2)&lt;&gt;"33"))),"x","")</f>
        <v/>
      </c>
      <c r="X1182" s="39" t="str">
        <f>IF(AND(OR(LEFT(TH!L1182,2)="15",LEFT(TH!M1182,2)="15"),'152-CT'!$J$8=TH!F1182),"x","")</f>
        <v/>
      </c>
      <c r="Y1182" s="39" t="str">
        <f>IF(AND(OR(LEFT(TH!L1182,2)="15",LEFT(TH!M1182,2)="15"),TK!$E$7=TH!F1182),"x","")</f>
        <v/>
      </c>
      <c r="Z1182" s="39" t="str">
        <f>IF(AND(B1182&lt;=NKC!$N$8,B1182&gt;=NKC!$M$8),"x","")</f>
        <v>x</v>
      </c>
      <c r="AA1182" s="886"/>
    </row>
    <row r="1183" spans="1:27" s="211" customFormat="1" ht="15.75" customHeight="1">
      <c r="A1183" s="204" t="str">
        <f>IF(B1183&lt;&gt;"",IF(AND(B1183&gt;=_TM1,B1183&lt;=_TM2,OR(TH!L1183="1111",TH!M1183="1111")),TH!D1183,""),"")</f>
        <v/>
      </c>
      <c r="B1183" s="36">
        <f t="shared" si="224"/>
        <v>8</v>
      </c>
      <c r="C1183" s="191">
        <f t="shared" si="225"/>
        <v>41489</v>
      </c>
      <c r="D1183" s="191" t="s">
        <v>1294</v>
      </c>
      <c r="E1183" s="191">
        <v>41489</v>
      </c>
      <c r="F1183" s="192"/>
      <c r="G1183" s="487" t="s">
        <v>898</v>
      </c>
      <c r="H1183" s="7" t="s">
        <v>1287</v>
      </c>
      <c r="I1183" s="256"/>
      <c r="J1183" s="256"/>
      <c r="K1183" s="602">
        <f t="shared" si="226"/>
        <v>0</v>
      </c>
      <c r="L1183" s="39" t="s">
        <v>165</v>
      </c>
      <c r="M1183" s="603" t="s">
        <v>159</v>
      </c>
      <c r="N1183" s="39" t="str">
        <f>IF(AND('331-CT'!$E$7=TH!H1183,OR(L1183="331",M1183="331")),"331",IF(AND(OR(L1183="131",M1183="131"),H1183='131-CT'!$E$7),"131",""))</f>
        <v/>
      </c>
      <c r="O1183" s="39" t="str">
        <f>IF(AND($B1183&gt;='111'!$N$11,$B1183&lt;='111'!$O$11,OR($L1183=$O$7,$M1183=$O$7)),"x","")</f>
        <v/>
      </c>
      <c r="P1183" s="39" t="str">
        <f>IF(AND($L1183=$O$7,$B1183&lt;'111'!$N$11),"x","")</f>
        <v/>
      </c>
      <c r="Q1183" s="39" t="str">
        <f>IF(AND($M1183=$O$7,$B1183&lt;'111'!$N$11),"x","")</f>
        <v/>
      </c>
      <c r="R1183" s="39" t="str">
        <f>IF(ISERROR(FIND('112'!$M$9,G1183,1)),"",IF((AND(FIND('112'!$M$9,G1183,1)&gt;=1,$B1183&gt;='112'!$N$8,$B1183&lt;='112'!$O$8,OR($L1183='112'!$I$6,$M1183='112'!$I$6))),"x",""))</f>
        <v/>
      </c>
      <c r="S1183" s="39" t="str">
        <f>IF(ISERROR(FIND('112'!$M$9,G1183,1)),"",IF((AND(LEFT(G1183,2)=LEFT('112'!$M$9,2),B1183&lt;'112'!$N$8,$L1183='112'!$I$6)),"x",""))</f>
        <v/>
      </c>
      <c r="T1183" s="39" t="str">
        <f>IF(ISERROR(FIND('112'!$M$9,G1183,1)),"",IF((AND(RIGHT(G1183,2)=RIGHT('112'!$M$9,2),B1183&lt;'112'!$N$8,$M1183='112'!$I$6)),"x",""))</f>
        <v/>
      </c>
      <c r="U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39" t="str">
        <f>IF(OR(TH!L1183=TH!$V$7,M1183=TH!$V$7),"x","")</f>
        <v/>
      </c>
      <c r="W1183" s="39" t="str">
        <f>IF(AND(B1183&gt;='IN-NX'!$P$3,B1183&lt;='IN-NX'!$Q$3,'IN-NX'!$D$7=D1183,OR(LEFT(L1183,2)="15",AND(LEFT(M1183,2)&lt;&gt;"15",LEFT(M1183,2)&lt;&gt;"33"))),"x","")</f>
        <v/>
      </c>
      <c r="X1183" s="39" t="str">
        <f>IF(AND(OR(LEFT(TH!L1183,2)="15",LEFT(TH!M1183,2)="15"),'152-CT'!$J$8=TH!F1183),"x","")</f>
        <v/>
      </c>
      <c r="Y1183" s="39" t="str">
        <f>IF(AND(OR(LEFT(TH!L1183,2)="15",LEFT(TH!M1183,2)="15"),TK!$E$7=TH!F1183),"x","")</f>
        <v/>
      </c>
      <c r="Z1183" s="39" t="str">
        <f>IF(AND(B1183&lt;=NKC!$N$8,B1183&gt;=NKC!$M$8),"x","")</f>
        <v>x</v>
      </c>
      <c r="AA1183" s="886"/>
    </row>
    <row r="1184" spans="1:27" s="211" customFormat="1" ht="15.75" customHeight="1">
      <c r="A1184" s="204" t="str">
        <f>IF(B1184&lt;&gt;"",IF(AND(B1184&gt;=_TM1,B1184&lt;=_TM2,OR(TH!L1184="1111",TH!M1184="1111")),TH!D1184,""),"")</f>
        <v/>
      </c>
      <c r="B1184" s="36">
        <f t="shared" si="224"/>
        <v>8</v>
      </c>
      <c r="C1184" s="191">
        <f t="shared" si="225"/>
        <v>41489</v>
      </c>
      <c r="D1184" s="191" t="s">
        <v>1294</v>
      </c>
      <c r="E1184" s="191">
        <v>41489</v>
      </c>
      <c r="F1184" s="192"/>
      <c r="G1184" s="487" t="s">
        <v>900</v>
      </c>
      <c r="H1184" s="7" t="s">
        <v>1287</v>
      </c>
      <c r="I1184" s="256"/>
      <c r="J1184" s="256"/>
      <c r="K1184" s="602">
        <f t="shared" si="226"/>
        <v>0</v>
      </c>
      <c r="L1184" s="39" t="s">
        <v>165</v>
      </c>
      <c r="M1184" s="603" t="s">
        <v>159</v>
      </c>
      <c r="N1184" s="39" t="str">
        <f>IF(AND('331-CT'!$E$7=TH!H1184,OR(L1184="331",M1184="331")),"331",IF(AND(OR(L1184="131",M1184="131"),H1184='131-CT'!$E$7),"131",""))</f>
        <v/>
      </c>
      <c r="O1184" s="39" t="str">
        <f>IF(AND($B1184&gt;='111'!$N$11,$B1184&lt;='111'!$O$11,OR($L1184=$O$7,$M1184=$O$7)),"x","")</f>
        <v/>
      </c>
      <c r="P1184" s="39" t="str">
        <f>IF(AND($L1184=$O$7,$B1184&lt;'111'!$N$11),"x","")</f>
        <v/>
      </c>
      <c r="Q1184" s="39" t="str">
        <f>IF(AND($M1184=$O$7,$B1184&lt;'111'!$N$11),"x","")</f>
        <v/>
      </c>
      <c r="R1184" s="39" t="str">
        <f>IF(ISERROR(FIND('112'!$M$9,G1184,1)),"",IF((AND(FIND('112'!$M$9,G1184,1)&gt;=1,$B1184&gt;='112'!$N$8,$B1184&lt;='112'!$O$8,OR($L1184='112'!$I$6,$M1184='112'!$I$6))),"x",""))</f>
        <v/>
      </c>
      <c r="S1184" s="39" t="str">
        <f>IF(ISERROR(FIND('112'!$M$9,G1184,1)),"",IF((AND(LEFT(G1184,2)=LEFT('112'!$M$9,2),B1184&lt;'112'!$N$8,$L1184='112'!$I$6)),"x",""))</f>
        <v/>
      </c>
      <c r="T1184" s="39" t="str">
        <f>IF(ISERROR(FIND('112'!$M$9,G1184,1)),"",IF((AND(RIGHT(G1184,2)=RIGHT('112'!$M$9,2),B1184&lt;'112'!$N$8,$M1184='112'!$I$6)),"x",""))</f>
        <v/>
      </c>
      <c r="U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39" t="str">
        <f>IF(OR(TH!L1184=TH!$V$7,M1184=TH!$V$7),"x","")</f>
        <v/>
      </c>
      <c r="W1184" s="39" t="str">
        <f>IF(AND(B1184&gt;='IN-NX'!$P$3,B1184&lt;='IN-NX'!$Q$3,'IN-NX'!$D$7=D1184,OR(LEFT(L1184,2)="15",AND(LEFT(M1184,2)&lt;&gt;"15",LEFT(M1184,2)&lt;&gt;"33"))),"x","")</f>
        <v/>
      </c>
      <c r="X1184" s="39" t="str">
        <f>IF(AND(OR(LEFT(TH!L1184,2)="15",LEFT(TH!M1184,2)="15"),'152-CT'!$J$8=TH!F1184),"x","")</f>
        <v/>
      </c>
      <c r="Y1184" s="39" t="str">
        <f>IF(AND(OR(LEFT(TH!L1184,2)="15",LEFT(TH!M1184,2)="15"),TK!$E$7=TH!F1184),"x","")</f>
        <v/>
      </c>
      <c r="Z1184" s="39" t="str">
        <f>IF(AND(B1184&lt;=NKC!$N$8,B1184&gt;=NKC!$M$8),"x","")</f>
        <v>x</v>
      </c>
      <c r="AA1184" s="886"/>
    </row>
    <row r="1185" spans="1:27" s="211" customFormat="1" ht="15.75" customHeight="1">
      <c r="A1185" s="204" t="str">
        <f>IF(B1185&lt;&gt;"",IF(AND(B1185&gt;=_TM1,B1185&lt;=_TM2,OR(TH!L1185="1111",TH!M1185="1111")),TH!D1185,""),"")</f>
        <v/>
      </c>
      <c r="B1185" s="36">
        <f t="shared" ref="B1185:B1248" si="227">IF(C1185&lt;&gt;"",MONTH(C1185),"")</f>
        <v>8</v>
      </c>
      <c r="C1185" s="191">
        <f t="shared" si="225"/>
        <v>41489</v>
      </c>
      <c r="D1185" s="191" t="s">
        <v>1294</v>
      </c>
      <c r="E1185" s="774">
        <v>41489</v>
      </c>
      <c r="F1185" s="297"/>
      <c r="G1185" s="40" t="s">
        <v>900</v>
      </c>
      <c r="H1185" s="7" t="s">
        <v>1287</v>
      </c>
      <c r="I1185" s="256"/>
      <c r="J1185" s="256"/>
      <c r="K1185" s="602">
        <f t="shared" si="226"/>
        <v>0</v>
      </c>
      <c r="L1185" s="39" t="s">
        <v>165</v>
      </c>
      <c r="M1185" s="603" t="s">
        <v>159</v>
      </c>
      <c r="N1185" s="39" t="str">
        <f>IF(AND('331-CT'!$E$7=TH!H1185,OR(L1185="331",M1185="331")),"331",IF(AND(OR(L1185="131",M1185="131"),H1185='131-CT'!$E$7),"131",""))</f>
        <v/>
      </c>
      <c r="O1185" s="39" t="str">
        <f>IF(AND($B1185&gt;='111'!$N$11,$B1185&lt;='111'!$O$11,OR($L1185=$O$7,$M1185=$O$7)),"x","")</f>
        <v/>
      </c>
      <c r="P1185" s="39" t="str">
        <f>IF(AND($L1185=$O$7,$B1185&lt;'111'!$N$11),"x","")</f>
        <v/>
      </c>
      <c r="Q1185" s="39" t="str">
        <f>IF(AND($M1185=$O$7,$B1185&lt;'111'!$N$11),"x","")</f>
        <v/>
      </c>
      <c r="R1185" s="39" t="str">
        <f>IF(ISERROR(FIND('112'!$M$9,G1185,1)),"",IF((AND(FIND('112'!$M$9,G1185,1)&gt;=1,$B1185&gt;='112'!$N$8,$B1185&lt;='112'!$O$8,OR($L1185='112'!$I$6,$M1185='112'!$I$6))),"x",""))</f>
        <v/>
      </c>
      <c r="S1185" s="39" t="str">
        <f>IF(ISERROR(FIND('112'!$M$9,G1185,1)),"",IF((AND(LEFT(G1185,2)=LEFT('112'!$M$9,2),B1185&lt;'112'!$N$8,$L1185='112'!$I$6)),"x",""))</f>
        <v/>
      </c>
      <c r="T1185" s="39" t="str">
        <f>IF(ISERROR(FIND('112'!$M$9,G1185,1)),"",IF((AND(RIGHT(G1185,2)=RIGHT('112'!$M$9,2),B1185&lt;'112'!$N$8,$M1185='112'!$I$6)),"x",""))</f>
        <v/>
      </c>
      <c r="U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39" t="str">
        <f>IF(OR(TH!L1185=TH!$V$7,M1185=TH!$V$7),"x","")</f>
        <v/>
      </c>
      <c r="W1185" s="39" t="str">
        <f>IF(AND(B1185&gt;='IN-NX'!$P$3,B1185&lt;='IN-NX'!$Q$3,'IN-NX'!$D$7=D1185,OR(LEFT(L1185,2)="15",AND(LEFT(M1185,2)&lt;&gt;"15",LEFT(M1185,2)&lt;&gt;"33"))),"x","")</f>
        <v/>
      </c>
      <c r="X1185" s="39" t="str">
        <f>IF(AND(OR(LEFT(TH!L1185,2)="15",LEFT(TH!M1185,2)="15"),'152-CT'!$J$8=TH!F1185),"x","")</f>
        <v/>
      </c>
      <c r="Y1185" s="39" t="str">
        <f>IF(AND(OR(LEFT(TH!L1185,2)="15",LEFT(TH!M1185,2)="15"),TK!$E$7=TH!F1185),"x","")</f>
        <v/>
      </c>
      <c r="Z1185" s="39" t="str">
        <f>IF(AND(B1185&lt;=NKC!$N$8,B1185&gt;=NKC!$M$8),"x","")</f>
        <v>x</v>
      </c>
      <c r="AA1185" s="886"/>
    </row>
    <row r="1186" spans="1:27" s="211" customFormat="1" ht="15.75" customHeight="1">
      <c r="A1186" s="204" t="str">
        <f>IF(B1186&lt;&gt;"",IF(AND(B1186&gt;=_TM1,B1186&lt;=_TM2,OR(TH!L1186="1111",TH!M1186="1111")),TH!D1186,""),"")</f>
        <v/>
      </c>
      <c r="B1186" s="36">
        <f t="shared" si="227"/>
        <v>8</v>
      </c>
      <c r="C1186" s="191">
        <f t="shared" si="225"/>
        <v>41489</v>
      </c>
      <c r="D1186" s="191" t="s">
        <v>1294</v>
      </c>
      <c r="E1186" s="774">
        <v>41489</v>
      </c>
      <c r="F1186" s="40"/>
      <c r="G1186" s="40" t="s">
        <v>901</v>
      </c>
      <c r="H1186" s="7" t="s">
        <v>1287</v>
      </c>
      <c r="I1186" s="256"/>
      <c r="J1186" s="256"/>
      <c r="K1186" s="602">
        <f t="shared" si="226"/>
        <v>0</v>
      </c>
      <c r="L1186" s="39" t="s">
        <v>165</v>
      </c>
      <c r="M1186" s="603" t="s">
        <v>159</v>
      </c>
      <c r="N1186" s="39" t="str">
        <f>IF(AND('331-CT'!$E$7=TH!H1186,OR(L1186="331",M1186="331")),"331",IF(AND(OR(L1186="131",M1186="131"),H1186='131-CT'!$E$7),"131",""))</f>
        <v/>
      </c>
      <c r="O1186" s="39" t="str">
        <f>IF(AND($B1186&gt;='111'!$N$11,$B1186&lt;='111'!$O$11,OR($L1186=$O$7,$M1186=$O$7)),"x","")</f>
        <v/>
      </c>
      <c r="P1186" s="39" t="str">
        <f>IF(AND($L1186=$O$7,$B1186&lt;'111'!$N$11),"x","")</f>
        <v/>
      </c>
      <c r="Q1186" s="39" t="str">
        <f>IF(AND($M1186=$O$7,$B1186&lt;'111'!$N$11),"x","")</f>
        <v/>
      </c>
      <c r="R1186" s="39" t="str">
        <f>IF(ISERROR(FIND('112'!$M$9,G1186,1)),"",IF((AND(FIND('112'!$M$9,G1186,1)&gt;=1,$B1186&gt;='112'!$N$8,$B1186&lt;='112'!$O$8,OR($L1186='112'!$I$6,$M1186='112'!$I$6))),"x",""))</f>
        <v/>
      </c>
      <c r="S1186" s="39" t="str">
        <f>IF(ISERROR(FIND('112'!$M$9,G1186,1)),"",IF((AND(LEFT(G1186,2)=LEFT('112'!$M$9,2),B1186&lt;'112'!$N$8,$L1186='112'!$I$6)),"x",""))</f>
        <v/>
      </c>
      <c r="T1186" s="39" t="str">
        <f>IF(ISERROR(FIND('112'!$M$9,G1186,1)),"",IF((AND(RIGHT(G1186,2)=RIGHT('112'!$M$9,2),B1186&lt;'112'!$N$8,$M1186='112'!$I$6)),"x",""))</f>
        <v/>
      </c>
      <c r="U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39" t="str">
        <f>IF(OR(TH!L1186=TH!$V$7,M1186=TH!$V$7),"x","")</f>
        <v/>
      </c>
      <c r="W1186" s="39" t="str">
        <f>IF(AND(B1186&gt;='IN-NX'!$P$3,B1186&lt;='IN-NX'!$Q$3,'IN-NX'!$D$7=D1186,OR(LEFT(L1186,2)="15",AND(LEFT(M1186,2)&lt;&gt;"15",LEFT(M1186,2)&lt;&gt;"33"))),"x","")</f>
        <v/>
      </c>
      <c r="X1186" s="39" t="str">
        <f>IF(AND(OR(LEFT(TH!L1186,2)="15",LEFT(TH!M1186,2)="15"),'152-CT'!$J$8=TH!F1186),"x","")</f>
        <v/>
      </c>
      <c r="Y1186" s="39" t="str">
        <f>IF(AND(OR(LEFT(TH!L1186,2)="15",LEFT(TH!M1186,2)="15"),TK!$E$7=TH!F1186),"x","")</f>
        <v/>
      </c>
      <c r="Z1186" s="39" t="str">
        <f>IF(AND(B1186&lt;=NKC!$N$8,B1186&gt;=NKC!$M$8),"x","")</f>
        <v>x</v>
      </c>
      <c r="AA1186" s="886"/>
    </row>
    <row r="1187" spans="1:27" s="211" customFormat="1" ht="15.75" customHeight="1">
      <c r="A1187" s="204" t="str">
        <f>IF(B1187&lt;&gt;"",IF(AND(B1187&gt;=_TM1,B1187&lt;=_TM2,OR(TH!L1187="1111",TH!M1187="1111")),TH!D1187,""),"")</f>
        <v/>
      </c>
      <c r="B1187" s="36">
        <f t="shared" si="227"/>
        <v>8</v>
      </c>
      <c r="C1187" s="191">
        <f t="shared" si="225"/>
        <v>41489</v>
      </c>
      <c r="D1187" s="191" t="s">
        <v>1294</v>
      </c>
      <c r="E1187" s="774">
        <v>41489</v>
      </c>
      <c r="F1187" s="189"/>
      <c r="G1187" s="40" t="s">
        <v>901</v>
      </c>
      <c r="H1187" s="7" t="s">
        <v>1287</v>
      </c>
      <c r="I1187" s="256"/>
      <c r="J1187" s="256"/>
      <c r="K1187" s="602">
        <f t="shared" si="226"/>
        <v>0</v>
      </c>
      <c r="L1187" s="39" t="s">
        <v>165</v>
      </c>
      <c r="M1187" s="603" t="s">
        <v>159</v>
      </c>
      <c r="N1187" s="39" t="str">
        <f>IF(AND('331-CT'!$E$7=TH!H1187,OR(L1187="331",M1187="331")),"331",IF(AND(OR(L1187="131",M1187="131"),H1187='131-CT'!$E$7),"131",""))</f>
        <v/>
      </c>
      <c r="O1187" s="39" t="str">
        <f>IF(AND($B1187&gt;='111'!$N$11,$B1187&lt;='111'!$O$11,OR($L1187=$O$7,$M1187=$O$7)),"x","")</f>
        <v/>
      </c>
      <c r="P1187" s="39" t="str">
        <f>IF(AND($L1187=$O$7,$B1187&lt;'111'!$N$11),"x","")</f>
        <v/>
      </c>
      <c r="Q1187" s="39" t="str">
        <f>IF(AND($M1187=$O$7,$B1187&lt;'111'!$N$11),"x","")</f>
        <v/>
      </c>
      <c r="R1187" s="39" t="str">
        <f>IF(ISERROR(FIND('112'!$M$9,G1187,1)),"",IF((AND(FIND('112'!$M$9,G1187,1)&gt;=1,$B1187&gt;='112'!$N$8,$B1187&lt;='112'!$O$8,OR($L1187='112'!$I$6,$M1187='112'!$I$6))),"x",""))</f>
        <v/>
      </c>
      <c r="S1187" s="39" t="str">
        <f>IF(ISERROR(FIND('112'!$M$9,G1187,1)),"",IF((AND(LEFT(G1187,2)=LEFT('112'!$M$9,2),B1187&lt;'112'!$N$8,$L1187='112'!$I$6)),"x",""))</f>
        <v/>
      </c>
      <c r="T1187" s="39" t="str">
        <f>IF(ISERROR(FIND('112'!$M$9,G1187,1)),"",IF((AND(RIGHT(G1187,2)=RIGHT('112'!$M$9,2),B1187&lt;'112'!$N$8,$M1187='112'!$I$6)),"x",""))</f>
        <v/>
      </c>
      <c r="U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39" t="str">
        <f>IF(OR(TH!L1187=TH!$V$7,M1187=TH!$V$7),"x","")</f>
        <v/>
      </c>
      <c r="W1187" s="39" t="str">
        <f>IF(AND(B1187&gt;='IN-NX'!$P$3,B1187&lt;='IN-NX'!$Q$3,'IN-NX'!$D$7=D1187,OR(LEFT(L1187,2)="15",AND(LEFT(M1187,2)&lt;&gt;"15",LEFT(M1187,2)&lt;&gt;"33"))),"x","")</f>
        <v/>
      </c>
      <c r="X1187" s="39" t="str">
        <f>IF(AND(OR(LEFT(TH!L1187,2)="15",LEFT(TH!M1187,2)="15"),'152-CT'!$J$8=TH!F1187),"x","")</f>
        <v/>
      </c>
      <c r="Y1187" s="39" t="str">
        <f>IF(AND(OR(LEFT(TH!L1187,2)="15",LEFT(TH!M1187,2)="15"),TK!$E$7=TH!F1187),"x","")</f>
        <v/>
      </c>
      <c r="Z1187" s="39" t="str">
        <f>IF(AND(B1187&lt;=NKC!$N$8,B1187&gt;=NKC!$M$8),"x","")</f>
        <v>x</v>
      </c>
      <c r="AA1187" s="886"/>
    </row>
    <row r="1188" spans="1:27" s="211" customFormat="1" ht="15.75" customHeight="1">
      <c r="A1188" s="204" t="str">
        <f>IF(B1188&lt;&gt;"",IF(AND(B1188&gt;=_TM1,B1188&lt;=_TM2,OR(TH!L1188="1111",TH!M1188="1111")),TH!D1188,""),"")</f>
        <v/>
      </c>
      <c r="B1188" s="36">
        <f t="shared" si="227"/>
        <v>8</v>
      </c>
      <c r="C1188" s="191">
        <f t="shared" si="225"/>
        <v>41492</v>
      </c>
      <c r="D1188" s="191" t="s">
        <v>1294</v>
      </c>
      <c r="E1188" s="774">
        <v>41492</v>
      </c>
      <c r="F1188" s="189"/>
      <c r="G1188" s="40" t="s">
        <v>902</v>
      </c>
      <c r="H1188" s="7" t="s">
        <v>1287</v>
      </c>
      <c r="I1188" s="256"/>
      <c r="J1188" s="256"/>
      <c r="K1188" s="602">
        <f t="shared" si="226"/>
        <v>0</v>
      </c>
      <c r="L1188" s="39" t="s">
        <v>165</v>
      </c>
      <c r="M1188" s="603" t="s">
        <v>159</v>
      </c>
      <c r="N1188" s="39" t="str">
        <f>IF(AND('331-CT'!$E$7=TH!H1188,OR(L1188="331",M1188="331")),"331",IF(AND(OR(L1188="131",M1188="131"),H1188='131-CT'!$E$7),"131",""))</f>
        <v/>
      </c>
      <c r="O1188" s="39" t="str">
        <f>IF(AND($B1188&gt;='111'!$N$11,$B1188&lt;='111'!$O$11,OR($L1188=$O$7,$M1188=$O$7)),"x","")</f>
        <v/>
      </c>
      <c r="P1188" s="39" t="str">
        <f>IF(AND($L1188=$O$7,$B1188&lt;'111'!$N$11),"x","")</f>
        <v/>
      </c>
      <c r="Q1188" s="39" t="str">
        <f>IF(AND($M1188=$O$7,$B1188&lt;'111'!$N$11),"x","")</f>
        <v/>
      </c>
      <c r="R1188" s="39" t="str">
        <f>IF(ISERROR(FIND('112'!$M$9,G1188,1)),"",IF((AND(FIND('112'!$M$9,G1188,1)&gt;=1,$B1188&gt;='112'!$N$8,$B1188&lt;='112'!$O$8,OR($L1188='112'!$I$6,$M1188='112'!$I$6))),"x",""))</f>
        <v/>
      </c>
      <c r="S1188" s="39" t="str">
        <f>IF(ISERROR(FIND('112'!$M$9,G1188,1)),"",IF((AND(LEFT(G1188,2)=LEFT('112'!$M$9,2),B1188&lt;'112'!$N$8,$L1188='112'!$I$6)),"x",""))</f>
        <v/>
      </c>
      <c r="T1188" s="39" t="str">
        <f>IF(ISERROR(FIND('112'!$M$9,G1188,1)),"",IF((AND(RIGHT(G1188,2)=RIGHT('112'!$M$9,2),B1188&lt;'112'!$N$8,$M1188='112'!$I$6)),"x",""))</f>
        <v/>
      </c>
      <c r="U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39" t="str">
        <f>IF(OR(TH!L1188=TH!$V$7,M1188=TH!$V$7),"x","")</f>
        <v/>
      </c>
      <c r="W1188" s="39" t="str">
        <f>IF(AND(B1188&gt;='IN-NX'!$P$3,B1188&lt;='IN-NX'!$Q$3,'IN-NX'!$D$7=D1188,OR(LEFT(L1188,2)="15",AND(LEFT(M1188,2)&lt;&gt;"15",LEFT(M1188,2)&lt;&gt;"33"))),"x","")</f>
        <v/>
      </c>
      <c r="X1188" s="39" t="str">
        <f>IF(AND(OR(LEFT(TH!L1188,2)="15",LEFT(TH!M1188,2)="15"),'152-CT'!$J$8=TH!F1188),"x","")</f>
        <v/>
      </c>
      <c r="Y1188" s="39" t="str">
        <f>IF(AND(OR(LEFT(TH!L1188,2)="15",LEFT(TH!M1188,2)="15"),TK!$E$7=TH!F1188),"x","")</f>
        <v/>
      </c>
      <c r="Z1188" s="39" t="str">
        <f>IF(AND(B1188&lt;=NKC!$N$8,B1188&gt;=NKC!$M$8),"x","")</f>
        <v>x</v>
      </c>
      <c r="AA1188" s="886"/>
    </row>
    <row r="1189" spans="1:27" s="211" customFormat="1" ht="15.75" customHeight="1">
      <c r="A1189" s="204" t="str">
        <f>IF(B1189&lt;&gt;"",IF(AND(B1189&gt;=_TM1,B1189&lt;=_TM2,OR(TH!L1189="1111",TH!M1189="1111")),TH!D1189,""),"")</f>
        <v/>
      </c>
      <c r="B1189" s="36">
        <f t="shared" si="227"/>
        <v>8</v>
      </c>
      <c r="C1189" s="191">
        <f t="shared" si="225"/>
        <v>41492</v>
      </c>
      <c r="D1189" s="191" t="s">
        <v>1294</v>
      </c>
      <c r="E1189" s="774">
        <v>41492</v>
      </c>
      <c r="F1189" s="40"/>
      <c r="G1189" s="40" t="s">
        <v>903</v>
      </c>
      <c r="H1189" s="7" t="s">
        <v>1287</v>
      </c>
      <c r="I1189" s="256"/>
      <c r="J1189" s="256"/>
      <c r="K1189" s="602">
        <f t="shared" si="226"/>
        <v>0</v>
      </c>
      <c r="L1189" s="39" t="s">
        <v>165</v>
      </c>
      <c r="M1189" s="603" t="s">
        <v>159</v>
      </c>
      <c r="N1189" s="39" t="str">
        <f>IF(AND('331-CT'!$E$7=TH!H1189,OR(L1189="331",M1189="331")),"331",IF(AND(OR(L1189="131",M1189="131"),H1189='131-CT'!$E$7),"131",""))</f>
        <v/>
      </c>
      <c r="O1189" s="39" t="str">
        <f>IF(AND($B1189&gt;='111'!$N$11,$B1189&lt;='111'!$O$11,OR($L1189=$O$7,$M1189=$O$7)),"x","")</f>
        <v/>
      </c>
      <c r="P1189" s="39" t="str">
        <f>IF(AND($L1189=$O$7,$B1189&lt;'111'!$N$11),"x","")</f>
        <v/>
      </c>
      <c r="Q1189" s="39" t="str">
        <f>IF(AND($M1189=$O$7,$B1189&lt;'111'!$N$11),"x","")</f>
        <v/>
      </c>
      <c r="R1189" s="39" t="str">
        <f>IF(ISERROR(FIND('112'!$M$9,G1189,1)),"",IF((AND(FIND('112'!$M$9,G1189,1)&gt;=1,$B1189&gt;='112'!$N$8,$B1189&lt;='112'!$O$8,OR($L1189='112'!$I$6,$M1189='112'!$I$6))),"x",""))</f>
        <v/>
      </c>
      <c r="S1189" s="39" t="str">
        <f>IF(ISERROR(FIND('112'!$M$9,G1189,1)),"",IF((AND(LEFT(G1189,2)=LEFT('112'!$M$9,2),B1189&lt;'112'!$N$8,$L1189='112'!$I$6)),"x",""))</f>
        <v/>
      </c>
      <c r="T1189" s="39" t="str">
        <f>IF(ISERROR(FIND('112'!$M$9,G1189,1)),"",IF((AND(RIGHT(G1189,2)=RIGHT('112'!$M$9,2),B1189&lt;'112'!$N$8,$M1189='112'!$I$6)),"x",""))</f>
        <v/>
      </c>
      <c r="U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39" t="str">
        <f>IF(OR(TH!L1189=TH!$V$7,M1189=TH!$V$7),"x","")</f>
        <v/>
      </c>
      <c r="W1189" s="39" t="str">
        <f>IF(AND(B1189&gt;='IN-NX'!$P$3,B1189&lt;='IN-NX'!$Q$3,'IN-NX'!$D$7=D1189,OR(LEFT(L1189,2)="15",AND(LEFT(M1189,2)&lt;&gt;"15",LEFT(M1189,2)&lt;&gt;"33"))),"x","")</f>
        <v/>
      </c>
      <c r="X1189" s="39" t="str">
        <f>IF(AND(OR(LEFT(TH!L1189,2)="15",LEFT(TH!M1189,2)="15"),'152-CT'!$J$8=TH!F1189),"x","")</f>
        <v/>
      </c>
      <c r="Y1189" s="39" t="str">
        <f>IF(AND(OR(LEFT(TH!L1189,2)="15",LEFT(TH!M1189,2)="15"),TK!$E$7=TH!F1189),"x","")</f>
        <v/>
      </c>
      <c r="Z1189" s="39" t="str">
        <f>IF(AND(B1189&lt;=NKC!$N$8,B1189&gt;=NKC!$M$8),"x","")</f>
        <v>x</v>
      </c>
      <c r="AA1189" s="886"/>
    </row>
    <row r="1190" spans="1:27" s="211" customFormat="1" ht="15.75" customHeight="1">
      <c r="A1190" s="204" t="str">
        <f>IF(B1190&lt;&gt;"",IF(AND(B1190&gt;=_TM1,B1190&lt;=_TM2,OR(TH!L1190="1111",TH!M1190="1111")),TH!D1190,""),"")</f>
        <v/>
      </c>
      <c r="B1190" s="36">
        <f t="shared" si="227"/>
        <v>8</v>
      </c>
      <c r="C1190" s="191">
        <f t="shared" si="225"/>
        <v>41493</v>
      </c>
      <c r="D1190" s="191" t="s">
        <v>1294</v>
      </c>
      <c r="E1190" s="774">
        <v>41493</v>
      </c>
      <c r="F1190" s="189"/>
      <c r="G1190" s="40" t="s">
        <v>904</v>
      </c>
      <c r="H1190" s="7" t="s">
        <v>1287</v>
      </c>
      <c r="I1190" s="256"/>
      <c r="J1190" s="256"/>
      <c r="K1190" s="602">
        <f t="shared" si="226"/>
        <v>0</v>
      </c>
      <c r="L1190" s="39" t="s">
        <v>165</v>
      </c>
      <c r="M1190" s="603" t="s">
        <v>159</v>
      </c>
      <c r="N1190" s="39" t="str">
        <f>IF(AND('331-CT'!$E$7=TH!H1190,OR(L1190="331",M1190="331")),"331",IF(AND(OR(L1190="131",M1190="131"),H1190='131-CT'!$E$7),"131",""))</f>
        <v/>
      </c>
      <c r="O1190" s="39" t="str">
        <f>IF(AND($B1190&gt;='111'!$N$11,$B1190&lt;='111'!$O$11,OR($L1190=$O$7,$M1190=$O$7)),"x","")</f>
        <v/>
      </c>
      <c r="P1190" s="39" t="str">
        <f>IF(AND($L1190=$O$7,$B1190&lt;'111'!$N$11),"x","")</f>
        <v/>
      </c>
      <c r="Q1190" s="39" t="str">
        <f>IF(AND($M1190=$O$7,$B1190&lt;'111'!$N$11),"x","")</f>
        <v/>
      </c>
      <c r="R1190" s="39" t="str">
        <f>IF(ISERROR(FIND('112'!$M$9,G1190,1)),"",IF((AND(FIND('112'!$M$9,G1190,1)&gt;=1,$B1190&gt;='112'!$N$8,$B1190&lt;='112'!$O$8,OR($L1190='112'!$I$6,$M1190='112'!$I$6))),"x",""))</f>
        <v/>
      </c>
      <c r="S1190" s="39" t="str">
        <f>IF(ISERROR(FIND('112'!$M$9,G1190,1)),"",IF((AND(LEFT(G1190,2)=LEFT('112'!$M$9,2),B1190&lt;'112'!$N$8,$L1190='112'!$I$6)),"x",""))</f>
        <v/>
      </c>
      <c r="T1190" s="39" t="str">
        <f>IF(ISERROR(FIND('112'!$M$9,G1190,1)),"",IF((AND(RIGHT(G1190,2)=RIGHT('112'!$M$9,2),B1190&lt;'112'!$N$8,$M1190='112'!$I$6)),"x",""))</f>
        <v/>
      </c>
      <c r="U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39" t="str">
        <f>IF(OR(TH!L1190=TH!$V$7,M1190=TH!$V$7),"x","")</f>
        <v/>
      </c>
      <c r="W1190" s="39" t="str">
        <f>IF(AND(B1190&gt;='IN-NX'!$P$3,B1190&lt;='IN-NX'!$Q$3,'IN-NX'!$D$7=D1190,OR(LEFT(L1190,2)="15",AND(LEFT(M1190,2)&lt;&gt;"15",LEFT(M1190,2)&lt;&gt;"33"))),"x","")</f>
        <v/>
      </c>
      <c r="X1190" s="39" t="str">
        <f>IF(AND(OR(LEFT(TH!L1190,2)="15",LEFT(TH!M1190,2)="15"),'152-CT'!$J$8=TH!F1190),"x","")</f>
        <v/>
      </c>
      <c r="Y1190" s="39" t="str">
        <f>IF(AND(OR(LEFT(TH!L1190,2)="15",LEFT(TH!M1190,2)="15"),TK!$E$7=TH!F1190),"x","")</f>
        <v/>
      </c>
      <c r="Z1190" s="39" t="str">
        <f>IF(AND(B1190&lt;=NKC!$N$8,B1190&gt;=NKC!$M$8),"x","")</f>
        <v>x</v>
      </c>
      <c r="AA1190" s="886"/>
    </row>
    <row r="1191" spans="1:27" s="211" customFormat="1" ht="15.75" customHeight="1">
      <c r="A1191" s="204" t="str">
        <f>IF(B1191&lt;&gt;"",IF(AND(B1191&gt;=_TM1,B1191&lt;=_TM2,OR(TH!L1191="1111",TH!M1191="1111")),TH!D1191,""),"")</f>
        <v/>
      </c>
      <c r="B1191" s="36">
        <f t="shared" si="227"/>
        <v>8</v>
      </c>
      <c r="C1191" s="191">
        <f t="shared" si="225"/>
        <v>41493</v>
      </c>
      <c r="D1191" s="191" t="s">
        <v>1294</v>
      </c>
      <c r="E1191" s="774">
        <v>41493</v>
      </c>
      <c r="F1191" s="40"/>
      <c r="G1191" s="40" t="s">
        <v>906</v>
      </c>
      <c r="H1191" s="7" t="s">
        <v>1287</v>
      </c>
      <c r="I1191" s="256"/>
      <c r="J1191" s="256"/>
      <c r="K1191" s="602">
        <f t="shared" si="226"/>
        <v>0</v>
      </c>
      <c r="L1191" s="39" t="s">
        <v>165</v>
      </c>
      <c r="M1191" s="603" t="s">
        <v>159</v>
      </c>
      <c r="N1191" s="39" t="str">
        <f>IF(AND('331-CT'!$E$7=TH!H1191,OR(L1191="331",M1191="331")),"331",IF(AND(OR(L1191="131",M1191="131"),H1191='131-CT'!$E$7),"131",""))</f>
        <v/>
      </c>
      <c r="O1191" s="39" t="str">
        <f>IF(AND($B1191&gt;='111'!$N$11,$B1191&lt;='111'!$O$11,OR($L1191=$O$7,$M1191=$O$7)),"x","")</f>
        <v/>
      </c>
      <c r="P1191" s="39" t="str">
        <f>IF(AND($L1191=$O$7,$B1191&lt;'111'!$N$11),"x","")</f>
        <v/>
      </c>
      <c r="Q1191" s="39" t="str">
        <f>IF(AND($M1191=$O$7,$B1191&lt;'111'!$N$11),"x","")</f>
        <v/>
      </c>
      <c r="R1191" s="39" t="str">
        <f>IF(ISERROR(FIND('112'!$M$9,G1191,1)),"",IF((AND(FIND('112'!$M$9,G1191,1)&gt;=1,$B1191&gt;='112'!$N$8,$B1191&lt;='112'!$O$8,OR($L1191='112'!$I$6,$M1191='112'!$I$6))),"x",""))</f>
        <v/>
      </c>
      <c r="S1191" s="39" t="str">
        <f>IF(ISERROR(FIND('112'!$M$9,G1191,1)),"",IF((AND(LEFT(G1191,2)=LEFT('112'!$M$9,2),B1191&lt;'112'!$N$8,$L1191='112'!$I$6)),"x",""))</f>
        <v/>
      </c>
      <c r="T1191" s="39" t="str">
        <f>IF(ISERROR(FIND('112'!$M$9,G1191,1)),"",IF((AND(RIGHT(G1191,2)=RIGHT('112'!$M$9,2),B1191&lt;'112'!$N$8,$M1191='112'!$I$6)),"x",""))</f>
        <v/>
      </c>
      <c r="U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39" t="str">
        <f>IF(OR(TH!L1191=TH!$V$7,M1191=TH!$V$7),"x","")</f>
        <v/>
      </c>
      <c r="W1191" s="39" t="str">
        <f>IF(AND(B1191&gt;='IN-NX'!$P$3,B1191&lt;='IN-NX'!$Q$3,'IN-NX'!$D$7=D1191,OR(LEFT(L1191,2)="15",AND(LEFT(M1191,2)&lt;&gt;"15",LEFT(M1191,2)&lt;&gt;"33"))),"x","")</f>
        <v/>
      </c>
      <c r="X1191" s="39" t="str">
        <f>IF(AND(OR(LEFT(TH!L1191,2)="15",LEFT(TH!M1191,2)="15"),'152-CT'!$J$8=TH!F1191),"x","")</f>
        <v/>
      </c>
      <c r="Y1191" s="39" t="str">
        <f>IF(AND(OR(LEFT(TH!L1191,2)="15",LEFT(TH!M1191,2)="15"),TK!$E$7=TH!F1191),"x","")</f>
        <v/>
      </c>
      <c r="Z1191" s="39" t="str">
        <f>IF(AND(B1191&lt;=NKC!$N$8,B1191&gt;=NKC!$M$8),"x","")</f>
        <v>x</v>
      </c>
      <c r="AA1191" s="886"/>
    </row>
    <row r="1192" spans="1:27" s="211" customFormat="1" ht="15.75" customHeight="1">
      <c r="A1192" s="204" t="str">
        <f>IF(B1192&lt;&gt;"",IF(AND(B1192&gt;=_TM1,B1192&lt;=_TM2,OR(TH!L1192="1111",TH!M1192="1111")),TH!D1192,""),"")</f>
        <v/>
      </c>
      <c r="B1192" s="36">
        <f t="shared" si="227"/>
        <v>8</v>
      </c>
      <c r="C1192" s="191">
        <f t="shared" si="225"/>
        <v>41493</v>
      </c>
      <c r="D1192" s="191" t="s">
        <v>1294</v>
      </c>
      <c r="E1192" s="774">
        <v>41493</v>
      </c>
      <c r="F1192" s="189"/>
      <c r="G1192" s="40" t="s">
        <v>906</v>
      </c>
      <c r="H1192" s="7" t="s">
        <v>1287</v>
      </c>
      <c r="I1192" s="256"/>
      <c r="J1192" s="256"/>
      <c r="K1192" s="602">
        <f t="shared" si="226"/>
        <v>0</v>
      </c>
      <c r="L1192" s="39" t="s">
        <v>165</v>
      </c>
      <c r="M1192" s="603" t="s">
        <v>159</v>
      </c>
      <c r="N1192" s="39" t="str">
        <f>IF(AND('331-CT'!$E$7=TH!H1192,OR(L1192="331",M1192="331")),"331",IF(AND(OR(L1192="131",M1192="131"),H1192='131-CT'!$E$7),"131",""))</f>
        <v/>
      </c>
      <c r="O1192" s="39" t="str">
        <f>IF(AND($B1192&gt;='111'!$N$11,$B1192&lt;='111'!$O$11,OR($L1192=$O$7,$M1192=$O$7)),"x","")</f>
        <v/>
      </c>
      <c r="P1192" s="39" t="str">
        <f>IF(AND($L1192=$O$7,$B1192&lt;'111'!$N$11),"x","")</f>
        <v/>
      </c>
      <c r="Q1192" s="39" t="str">
        <f>IF(AND($M1192=$O$7,$B1192&lt;'111'!$N$11),"x","")</f>
        <v/>
      </c>
      <c r="R1192" s="39" t="str">
        <f>IF(ISERROR(FIND('112'!$M$9,G1192,1)),"",IF((AND(FIND('112'!$M$9,G1192,1)&gt;=1,$B1192&gt;='112'!$N$8,$B1192&lt;='112'!$O$8,OR($L1192='112'!$I$6,$M1192='112'!$I$6))),"x",""))</f>
        <v/>
      </c>
      <c r="S1192" s="39" t="str">
        <f>IF(ISERROR(FIND('112'!$M$9,G1192,1)),"",IF((AND(LEFT(G1192,2)=LEFT('112'!$M$9,2),B1192&lt;'112'!$N$8,$L1192='112'!$I$6)),"x",""))</f>
        <v/>
      </c>
      <c r="T1192" s="39" t="str">
        <f>IF(ISERROR(FIND('112'!$M$9,G1192,1)),"",IF((AND(RIGHT(G1192,2)=RIGHT('112'!$M$9,2),B1192&lt;'112'!$N$8,$M1192='112'!$I$6)),"x",""))</f>
        <v/>
      </c>
      <c r="U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39" t="str">
        <f>IF(OR(TH!L1192=TH!$V$7,M1192=TH!$V$7),"x","")</f>
        <v/>
      </c>
      <c r="W1192" s="39" t="str">
        <f>IF(AND(B1192&gt;='IN-NX'!$P$3,B1192&lt;='IN-NX'!$Q$3,'IN-NX'!$D$7=D1192,OR(LEFT(L1192,2)="15",AND(LEFT(M1192,2)&lt;&gt;"15",LEFT(M1192,2)&lt;&gt;"33"))),"x","")</f>
        <v/>
      </c>
      <c r="X1192" s="39" t="str">
        <f>IF(AND(OR(LEFT(TH!L1192,2)="15",LEFT(TH!M1192,2)="15"),'152-CT'!$J$8=TH!F1192),"x","")</f>
        <v/>
      </c>
      <c r="Y1192" s="39" t="str">
        <f>IF(AND(OR(LEFT(TH!L1192,2)="15",LEFT(TH!M1192,2)="15"),TK!$E$7=TH!F1192),"x","")</f>
        <v/>
      </c>
      <c r="Z1192" s="39" t="str">
        <f>IF(AND(B1192&lt;=NKC!$N$8,B1192&gt;=NKC!$M$8),"x","")</f>
        <v>x</v>
      </c>
      <c r="AA1192" s="886"/>
    </row>
    <row r="1193" spans="1:27" s="211" customFormat="1" ht="15.75" customHeight="1">
      <c r="A1193" s="204" t="str">
        <f>IF(B1193&lt;&gt;"",IF(AND(B1193&gt;=_TM1,B1193&lt;=_TM2,OR(TH!L1193="1111",TH!M1193="1111")),TH!D1193,""),"")</f>
        <v/>
      </c>
      <c r="B1193" s="36">
        <f t="shared" si="227"/>
        <v>8</v>
      </c>
      <c r="C1193" s="191">
        <f t="shared" si="225"/>
        <v>41495</v>
      </c>
      <c r="D1193" s="191" t="s">
        <v>1294</v>
      </c>
      <c r="E1193" s="191">
        <v>41495</v>
      </c>
      <c r="F1193" s="192"/>
      <c r="G1193" s="487" t="s">
        <v>908</v>
      </c>
      <c r="H1193" s="7" t="s">
        <v>1287</v>
      </c>
      <c r="I1193" s="256"/>
      <c r="J1193" s="256"/>
      <c r="K1193" s="602">
        <f t="shared" si="226"/>
        <v>0</v>
      </c>
      <c r="L1193" s="39" t="s">
        <v>165</v>
      </c>
      <c r="M1193" s="603" t="s">
        <v>159</v>
      </c>
      <c r="N1193" s="39" t="str">
        <f>IF(AND('331-CT'!$E$7=TH!H1193,OR(L1193="331",M1193="331")),"331",IF(AND(OR(L1193="131",M1193="131"),H1193='131-CT'!$E$7),"131",""))</f>
        <v/>
      </c>
      <c r="O1193" s="39" t="str">
        <f>IF(AND($B1193&gt;='111'!$N$11,$B1193&lt;='111'!$O$11,OR($L1193=$O$7,$M1193=$O$7)),"x","")</f>
        <v/>
      </c>
      <c r="P1193" s="39" t="str">
        <f>IF(AND($L1193=$O$7,$B1193&lt;'111'!$N$11),"x","")</f>
        <v/>
      </c>
      <c r="Q1193" s="39" t="str">
        <f>IF(AND($M1193=$O$7,$B1193&lt;'111'!$N$11),"x","")</f>
        <v/>
      </c>
      <c r="R1193" s="39" t="str">
        <f>IF(ISERROR(FIND('112'!$M$9,G1193,1)),"",IF((AND(FIND('112'!$M$9,G1193,1)&gt;=1,$B1193&gt;='112'!$N$8,$B1193&lt;='112'!$O$8,OR($L1193='112'!$I$6,$M1193='112'!$I$6))),"x",""))</f>
        <v/>
      </c>
      <c r="S1193" s="39" t="str">
        <f>IF(ISERROR(FIND('112'!$M$9,G1193,1)),"",IF((AND(LEFT(G1193,2)=LEFT('112'!$M$9,2),B1193&lt;'112'!$N$8,$L1193='112'!$I$6)),"x",""))</f>
        <v/>
      </c>
      <c r="T1193" s="39" t="str">
        <f>IF(ISERROR(FIND('112'!$M$9,G1193,1)),"",IF((AND(RIGHT(G1193,2)=RIGHT('112'!$M$9,2),B1193&lt;'112'!$N$8,$M1193='112'!$I$6)),"x",""))</f>
        <v/>
      </c>
      <c r="U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39" t="str">
        <f>IF(OR(TH!L1193=TH!$V$7,M1193=TH!$V$7),"x","")</f>
        <v/>
      </c>
      <c r="W1193" s="39" t="str">
        <f>IF(AND(B1193&gt;='IN-NX'!$P$3,B1193&lt;='IN-NX'!$Q$3,'IN-NX'!$D$7=D1193,OR(LEFT(L1193,2)="15",AND(LEFT(M1193,2)&lt;&gt;"15",LEFT(M1193,2)&lt;&gt;"33"))),"x","")</f>
        <v/>
      </c>
      <c r="X1193" s="39" t="str">
        <f>IF(AND(OR(LEFT(TH!L1193,2)="15",LEFT(TH!M1193,2)="15"),'152-CT'!$J$8=TH!F1193),"x","")</f>
        <v/>
      </c>
      <c r="Y1193" s="39" t="str">
        <f>IF(AND(OR(LEFT(TH!L1193,2)="15",LEFT(TH!M1193,2)="15"),TK!$E$7=TH!F1193),"x","")</f>
        <v/>
      </c>
      <c r="Z1193" s="39" t="str">
        <f>IF(AND(B1193&lt;=NKC!$N$8,B1193&gt;=NKC!$M$8),"x","")</f>
        <v>x</v>
      </c>
      <c r="AA1193" s="886"/>
    </row>
    <row r="1194" spans="1:27" s="211" customFormat="1" ht="15.75" customHeight="1">
      <c r="A1194" s="204" t="str">
        <f>IF(B1194&lt;&gt;"",IF(AND(B1194&gt;=_TM1,B1194&lt;=_TM2,OR(TH!L1194="1111",TH!M1194="1111")),TH!D1194,""),"")</f>
        <v/>
      </c>
      <c r="B1194" s="36">
        <f t="shared" si="227"/>
        <v>8</v>
      </c>
      <c r="C1194" s="191">
        <f t="shared" si="225"/>
        <v>41496</v>
      </c>
      <c r="D1194" s="191" t="s">
        <v>1294</v>
      </c>
      <c r="E1194" s="191">
        <v>41496</v>
      </c>
      <c r="F1194" s="192"/>
      <c r="G1194" s="487" t="s">
        <v>909</v>
      </c>
      <c r="H1194" s="7" t="s">
        <v>1287</v>
      </c>
      <c r="I1194" s="256"/>
      <c r="J1194" s="256"/>
      <c r="K1194" s="602">
        <f t="shared" si="226"/>
        <v>0</v>
      </c>
      <c r="L1194" s="39" t="s">
        <v>165</v>
      </c>
      <c r="M1194" s="603" t="s">
        <v>159</v>
      </c>
      <c r="N1194" s="39" t="str">
        <f>IF(AND('331-CT'!$E$7=TH!H1194,OR(L1194="331",M1194="331")),"331",IF(AND(OR(L1194="131",M1194="131"),H1194='131-CT'!$E$7),"131",""))</f>
        <v/>
      </c>
      <c r="O1194" s="39" t="str">
        <f>IF(AND($B1194&gt;='111'!$N$11,$B1194&lt;='111'!$O$11,OR($L1194=$O$7,$M1194=$O$7)),"x","")</f>
        <v/>
      </c>
      <c r="P1194" s="39" t="str">
        <f>IF(AND($L1194=$O$7,$B1194&lt;'111'!$N$11),"x","")</f>
        <v/>
      </c>
      <c r="Q1194" s="39" t="str">
        <f>IF(AND($M1194=$O$7,$B1194&lt;'111'!$N$11),"x","")</f>
        <v/>
      </c>
      <c r="R1194" s="39" t="str">
        <f>IF(ISERROR(FIND('112'!$M$9,G1194,1)),"",IF((AND(FIND('112'!$M$9,G1194,1)&gt;=1,$B1194&gt;='112'!$N$8,$B1194&lt;='112'!$O$8,OR($L1194='112'!$I$6,$M1194='112'!$I$6))),"x",""))</f>
        <v/>
      </c>
      <c r="S1194" s="39" t="str">
        <f>IF(ISERROR(FIND('112'!$M$9,G1194,1)),"",IF((AND(LEFT(G1194,2)=LEFT('112'!$M$9,2),B1194&lt;'112'!$N$8,$L1194='112'!$I$6)),"x",""))</f>
        <v/>
      </c>
      <c r="T1194" s="39" t="str">
        <f>IF(ISERROR(FIND('112'!$M$9,G1194,1)),"",IF((AND(RIGHT(G1194,2)=RIGHT('112'!$M$9,2),B1194&lt;'112'!$N$8,$M1194='112'!$I$6)),"x",""))</f>
        <v/>
      </c>
      <c r="U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39" t="str">
        <f>IF(OR(TH!L1194=TH!$V$7,M1194=TH!$V$7),"x","")</f>
        <v/>
      </c>
      <c r="W1194" s="39" t="str">
        <f>IF(AND(B1194&gt;='IN-NX'!$P$3,B1194&lt;='IN-NX'!$Q$3,'IN-NX'!$D$7=D1194,OR(LEFT(L1194,2)="15",AND(LEFT(M1194,2)&lt;&gt;"15",LEFT(M1194,2)&lt;&gt;"33"))),"x","")</f>
        <v/>
      </c>
      <c r="X1194" s="39" t="str">
        <f>IF(AND(OR(LEFT(TH!L1194,2)="15",LEFT(TH!M1194,2)="15"),'152-CT'!$J$8=TH!F1194),"x","")</f>
        <v/>
      </c>
      <c r="Y1194" s="39" t="str">
        <f>IF(AND(OR(LEFT(TH!L1194,2)="15",LEFT(TH!M1194,2)="15"),TK!$E$7=TH!F1194),"x","")</f>
        <v/>
      </c>
      <c r="Z1194" s="39" t="str">
        <f>IF(AND(B1194&lt;=NKC!$N$8,B1194&gt;=NKC!$M$8),"x","")</f>
        <v>x</v>
      </c>
      <c r="AA1194" s="886"/>
    </row>
    <row r="1195" spans="1:27" s="211" customFormat="1" ht="15.75" customHeight="1">
      <c r="A1195" s="204" t="str">
        <f>IF(B1195&lt;&gt;"",IF(AND(B1195&gt;=_TM1,B1195&lt;=_TM2,OR(TH!L1195="1111",TH!M1195="1111")),TH!D1195,""),"")</f>
        <v/>
      </c>
      <c r="B1195" s="36">
        <f t="shared" si="227"/>
        <v>8</v>
      </c>
      <c r="C1195" s="191">
        <f t="shared" si="225"/>
        <v>41496</v>
      </c>
      <c r="D1195" s="191" t="s">
        <v>1294</v>
      </c>
      <c r="E1195" s="191">
        <v>41496</v>
      </c>
      <c r="F1195" s="192"/>
      <c r="G1195" s="487" t="s">
        <v>909</v>
      </c>
      <c r="H1195" s="7" t="s">
        <v>1287</v>
      </c>
      <c r="I1195" s="256"/>
      <c r="J1195" s="256"/>
      <c r="K1195" s="602">
        <f t="shared" si="226"/>
        <v>0</v>
      </c>
      <c r="L1195" s="39" t="s">
        <v>165</v>
      </c>
      <c r="M1195" s="603" t="s">
        <v>159</v>
      </c>
      <c r="N1195" s="39" t="str">
        <f>IF(AND('331-CT'!$E$7=TH!H1195,OR(L1195="331",M1195="331")),"331",IF(AND(OR(L1195="131",M1195="131"),H1195='131-CT'!$E$7),"131",""))</f>
        <v/>
      </c>
      <c r="O1195" s="39" t="str">
        <f>IF(AND($B1195&gt;='111'!$N$11,$B1195&lt;='111'!$O$11,OR($L1195=$O$7,$M1195=$O$7)),"x","")</f>
        <v/>
      </c>
      <c r="P1195" s="39" t="str">
        <f>IF(AND($L1195=$O$7,$B1195&lt;'111'!$N$11),"x","")</f>
        <v/>
      </c>
      <c r="Q1195" s="39" t="str">
        <f>IF(AND($M1195=$O$7,$B1195&lt;'111'!$N$11),"x","")</f>
        <v/>
      </c>
      <c r="R1195" s="39" t="str">
        <f>IF(ISERROR(FIND('112'!$M$9,G1195,1)),"",IF((AND(FIND('112'!$M$9,G1195,1)&gt;=1,$B1195&gt;='112'!$N$8,$B1195&lt;='112'!$O$8,OR($L1195='112'!$I$6,$M1195='112'!$I$6))),"x",""))</f>
        <v/>
      </c>
      <c r="S1195" s="39" t="str">
        <f>IF(ISERROR(FIND('112'!$M$9,G1195,1)),"",IF((AND(LEFT(G1195,2)=LEFT('112'!$M$9,2),B1195&lt;'112'!$N$8,$L1195='112'!$I$6)),"x",""))</f>
        <v/>
      </c>
      <c r="T1195" s="39" t="str">
        <f>IF(ISERROR(FIND('112'!$M$9,G1195,1)),"",IF((AND(RIGHT(G1195,2)=RIGHT('112'!$M$9,2),B1195&lt;'112'!$N$8,$M1195='112'!$I$6)),"x",""))</f>
        <v/>
      </c>
      <c r="U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39" t="str">
        <f>IF(OR(TH!L1195=TH!$V$7,M1195=TH!$V$7),"x","")</f>
        <v/>
      </c>
      <c r="W1195" s="39" t="str">
        <f>IF(AND(B1195&gt;='IN-NX'!$P$3,B1195&lt;='IN-NX'!$Q$3,'IN-NX'!$D$7=D1195,OR(LEFT(L1195,2)="15",AND(LEFT(M1195,2)&lt;&gt;"15",LEFT(M1195,2)&lt;&gt;"33"))),"x","")</f>
        <v/>
      </c>
      <c r="X1195" s="39" t="str">
        <f>IF(AND(OR(LEFT(TH!L1195,2)="15",LEFT(TH!M1195,2)="15"),'152-CT'!$J$8=TH!F1195),"x","")</f>
        <v/>
      </c>
      <c r="Y1195" s="39" t="str">
        <f>IF(AND(OR(LEFT(TH!L1195,2)="15",LEFT(TH!M1195,2)="15"),TK!$E$7=TH!F1195),"x","")</f>
        <v/>
      </c>
      <c r="Z1195" s="39" t="str">
        <f>IF(AND(B1195&lt;=NKC!$N$8,B1195&gt;=NKC!$M$8),"x","")</f>
        <v>x</v>
      </c>
      <c r="AA1195" s="886"/>
    </row>
    <row r="1196" spans="1:27" s="211" customFormat="1" ht="15.75" customHeight="1">
      <c r="A1196" s="204" t="str">
        <f>IF(B1196&lt;&gt;"",IF(AND(B1196&gt;=_TM1,B1196&lt;=_TM2,OR(TH!L1196="1111",TH!M1196="1111")),TH!D1196,""),"")</f>
        <v/>
      </c>
      <c r="B1196" s="36">
        <f t="shared" si="227"/>
        <v>8</v>
      </c>
      <c r="C1196" s="191">
        <f t="shared" si="225"/>
        <v>41496</v>
      </c>
      <c r="D1196" s="191" t="s">
        <v>1294</v>
      </c>
      <c r="E1196" s="191">
        <v>41496</v>
      </c>
      <c r="F1196" s="192"/>
      <c r="G1196" s="487" t="s">
        <v>909</v>
      </c>
      <c r="H1196" s="7" t="s">
        <v>1287</v>
      </c>
      <c r="I1196" s="256"/>
      <c r="J1196" s="256"/>
      <c r="K1196" s="602">
        <f t="shared" si="226"/>
        <v>0</v>
      </c>
      <c r="L1196" s="39" t="s">
        <v>165</v>
      </c>
      <c r="M1196" s="603" t="s">
        <v>159</v>
      </c>
      <c r="N1196" s="39" t="str">
        <f>IF(AND('331-CT'!$E$7=TH!H1196,OR(L1196="331",M1196="331")),"331",IF(AND(OR(L1196="131",M1196="131"),H1196='131-CT'!$E$7),"131",""))</f>
        <v/>
      </c>
      <c r="O1196" s="39" t="str">
        <f>IF(AND($B1196&gt;='111'!$N$11,$B1196&lt;='111'!$O$11,OR($L1196=$O$7,$M1196=$O$7)),"x","")</f>
        <v/>
      </c>
      <c r="P1196" s="39" t="str">
        <f>IF(AND($L1196=$O$7,$B1196&lt;'111'!$N$11),"x","")</f>
        <v/>
      </c>
      <c r="Q1196" s="39" t="str">
        <f>IF(AND($M1196=$O$7,$B1196&lt;'111'!$N$11),"x","")</f>
        <v/>
      </c>
      <c r="R1196" s="39" t="str">
        <f>IF(ISERROR(FIND('112'!$M$9,G1196,1)),"",IF((AND(FIND('112'!$M$9,G1196,1)&gt;=1,$B1196&gt;='112'!$N$8,$B1196&lt;='112'!$O$8,OR($L1196='112'!$I$6,$M1196='112'!$I$6))),"x",""))</f>
        <v/>
      </c>
      <c r="S1196" s="39" t="str">
        <f>IF(ISERROR(FIND('112'!$M$9,G1196,1)),"",IF((AND(LEFT(G1196,2)=LEFT('112'!$M$9,2),B1196&lt;'112'!$N$8,$L1196='112'!$I$6)),"x",""))</f>
        <v/>
      </c>
      <c r="T1196" s="39" t="str">
        <f>IF(ISERROR(FIND('112'!$M$9,G1196,1)),"",IF((AND(RIGHT(G1196,2)=RIGHT('112'!$M$9,2),B1196&lt;'112'!$N$8,$M1196='112'!$I$6)),"x",""))</f>
        <v/>
      </c>
      <c r="U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39" t="str">
        <f>IF(OR(TH!L1196=TH!$V$7,M1196=TH!$V$7),"x","")</f>
        <v/>
      </c>
      <c r="W1196" s="39" t="str">
        <f>IF(AND(B1196&gt;='IN-NX'!$P$3,B1196&lt;='IN-NX'!$Q$3,'IN-NX'!$D$7=D1196,OR(LEFT(L1196,2)="15",AND(LEFT(M1196,2)&lt;&gt;"15",LEFT(M1196,2)&lt;&gt;"33"))),"x","")</f>
        <v/>
      </c>
      <c r="X1196" s="39" t="str">
        <f>IF(AND(OR(LEFT(TH!L1196,2)="15",LEFT(TH!M1196,2)="15"),'152-CT'!$J$8=TH!F1196),"x","")</f>
        <v/>
      </c>
      <c r="Y1196" s="39" t="str">
        <f>IF(AND(OR(LEFT(TH!L1196,2)="15",LEFT(TH!M1196,2)="15"),TK!$E$7=TH!F1196),"x","")</f>
        <v/>
      </c>
      <c r="Z1196" s="39" t="str">
        <f>IF(AND(B1196&lt;=NKC!$N$8,B1196&gt;=NKC!$M$8),"x","")</f>
        <v>x</v>
      </c>
      <c r="AA1196" s="886"/>
    </row>
    <row r="1197" spans="1:27" s="211" customFormat="1" ht="15.75" customHeight="1">
      <c r="A1197" s="204" t="str">
        <f>IF(B1197&lt;&gt;"",IF(AND(B1197&gt;=_TM1,B1197&lt;=_TM2,OR(TH!L1197="1111",TH!M1197="1111")),TH!D1197,""),"")</f>
        <v/>
      </c>
      <c r="B1197" s="36">
        <f t="shared" si="227"/>
        <v>8</v>
      </c>
      <c r="C1197" s="191">
        <f t="shared" si="225"/>
        <v>41497</v>
      </c>
      <c r="D1197" s="191" t="s">
        <v>1294</v>
      </c>
      <c r="E1197" s="191">
        <v>41497</v>
      </c>
      <c r="F1197" s="192"/>
      <c r="G1197" s="487" t="s">
        <v>911</v>
      </c>
      <c r="H1197" s="7" t="s">
        <v>1287</v>
      </c>
      <c r="I1197" s="256"/>
      <c r="J1197" s="256"/>
      <c r="K1197" s="602">
        <f t="shared" si="226"/>
        <v>0</v>
      </c>
      <c r="L1197" s="39" t="s">
        <v>165</v>
      </c>
      <c r="M1197" s="603" t="s">
        <v>159</v>
      </c>
      <c r="N1197" s="39" t="str">
        <f>IF(AND('331-CT'!$E$7=TH!H1197,OR(L1197="331",M1197="331")),"331",IF(AND(OR(L1197="131",M1197="131"),H1197='131-CT'!$E$7),"131",""))</f>
        <v/>
      </c>
      <c r="O1197" s="39" t="str">
        <f>IF(AND($B1197&gt;='111'!$N$11,$B1197&lt;='111'!$O$11,OR($L1197=$O$7,$M1197=$O$7)),"x","")</f>
        <v/>
      </c>
      <c r="P1197" s="39" t="str">
        <f>IF(AND($L1197=$O$7,$B1197&lt;'111'!$N$11),"x","")</f>
        <v/>
      </c>
      <c r="Q1197" s="39" t="str">
        <f>IF(AND($M1197=$O$7,$B1197&lt;'111'!$N$11),"x","")</f>
        <v/>
      </c>
      <c r="R1197" s="39" t="str">
        <f>IF(ISERROR(FIND('112'!$M$9,G1197,1)),"",IF((AND(FIND('112'!$M$9,G1197,1)&gt;=1,$B1197&gt;='112'!$N$8,$B1197&lt;='112'!$O$8,OR($L1197='112'!$I$6,$M1197='112'!$I$6))),"x",""))</f>
        <v/>
      </c>
      <c r="S1197" s="39" t="str">
        <f>IF(ISERROR(FIND('112'!$M$9,G1197,1)),"",IF((AND(LEFT(G1197,2)=LEFT('112'!$M$9,2),B1197&lt;'112'!$N$8,$L1197='112'!$I$6)),"x",""))</f>
        <v/>
      </c>
      <c r="T1197" s="39" t="str">
        <f>IF(ISERROR(FIND('112'!$M$9,G1197,1)),"",IF((AND(RIGHT(G1197,2)=RIGHT('112'!$M$9,2),B1197&lt;'112'!$N$8,$M1197='112'!$I$6)),"x",""))</f>
        <v/>
      </c>
      <c r="U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39" t="str">
        <f>IF(OR(TH!L1197=TH!$V$7,M1197=TH!$V$7),"x","")</f>
        <v/>
      </c>
      <c r="W1197" s="39" t="str">
        <f>IF(AND(B1197&gt;='IN-NX'!$P$3,B1197&lt;='IN-NX'!$Q$3,'IN-NX'!$D$7=D1197,OR(LEFT(L1197,2)="15",AND(LEFT(M1197,2)&lt;&gt;"15",LEFT(M1197,2)&lt;&gt;"33"))),"x","")</f>
        <v/>
      </c>
      <c r="X1197" s="39" t="str">
        <f>IF(AND(OR(LEFT(TH!L1197,2)="15",LEFT(TH!M1197,2)="15"),'152-CT'!$J$8=TH!F1197),"x","")</f>
        <v/>
      </c>
      <c r="Y1197" s="39" t="str">
        <f>IF(AND(OR(LEFT(TH!L1197,2)="15",LEFT(TH!M1197,2)="15"),TK!$E$7=TH!F1197),"x","")</f>
        <v/>
      </c>
      <c r="Z1197" s="39" t="str">
        <f>IF(AND(B1197&lt;=NKC!$N$8,B1197&gt;=NKC!$M$8),"x","")</f>
        <v>x</v>
      </c>
      <c r="AA1197" s="886"/>
    </row>
    <row r="1198" spans="1:27" s="211" customFormat="1" ht="15.75" customHeight="1">
      <c r="A1198" s="204" t="str">
        <f>IF(B1198&lt;&gt;"",IF(AND(B1198&gt;=_TM1,B1198&lt;=_TM2,OR(TH!L1198="1111",TH!M1198="1111")),TH!D1198,""),"")</f>
        <v/>
      </c>
      <c r="B1198" s="36">
        <f t="shared" si="227"/>
        <v>8</v>
      </c>
      <c r="C1198" s="191">
        <f t="shared" si="225"/>
        <v>41499</v>
      </c>
      <c r="D1198" s="191" t="s">
        <v>1294</v>
      </c>
      <c r="E1198" s="191">
        <v>41499</v>
      </c>
      <c r="F1198" s="189"/>
      <c r="G1198" s="487" t="s">
        <v>912</v>
      </c>
      <c r="H1198" s="7" t="s">
        <v>1287</v>
      </c>
      <c r="I1198" s="256"/>
      <c r="J1198" s="256"/>
      <c r="K1198" s="602">
        <f t="shared" si="226"/>
        <v>0</v>
      </c>
      <c r="L1198" s="39" t="s">
        <v>165</v>
      </c>
      <c r="M1198" s="603" t="s">
        <v>159</v>
      </c>
      <c r="N1198" s="39" t="str">
        <f>IF(AND('331-CT'!$E$7=TH!H1198,OR(L1198="331",M1198="331")),"331",IF(AND(OR(L1198="131",M1198="131"),H1198='131-CT'!$E$7),"131",""))</f>
        <v/>
      </c>
      <c r="O1198" s="39" t="str">
        <f>IF(AND($B1198&gt;='111'!$N$11,$B1198&lt;='111'!$O$11,OR($L1198=$O$7,$M1198=$O$7)),"x","")</f>
        <v/>
      </c>
      <c r="P1198" s="39" t="str">
        <f>IF(AND($L1198=$O$7,$B1198&lt;'111'!$N$11),"x","")</f>
        <v/>
      </c>
      <c r="Q1198" s="39" t="str">
        <f>IF(AND($M1198=$O$7,$B1198&lt;'111'!$N$11),"x","")</f>
        <v/>
      </c>
      <c r="R1198" s="39" t="str">
        <f>IF(ISERROR(FIND('112'!$M$9,G1198,1)),"",IF((AND(FIND('112'!$M$9,G1198,1)&gt;=1,$B1198&gt;='112'!$N$8,$B1198&lt;='112'!$O$8,OR($L1198='112'!$I$6,$M1198='112'!$I$6))),"x",""))</f>
        <v/>
      </c>
      <c r="S1198" s="39" t="str">
        <f>IF(ISERROR(FIND('112'!$M$9,G1198,1)),"",IF((AND(LEFT(G1198,2)=LEFT('112'!$M$9,2),B1198&lt;'112'!$N$8,$L1198='112'!$I$6)),"x",""))</f>
        <v/>
      </c>
      <c r="T1198" s="39" t="str">
        <f>IF(ISERROR(FIND('112'!$M$9,G1198,1)),"",IF((AND(RIGHT(G1198,2)=RIGHT('112'!$M$9,2),B1198&lt;'112'!$N$8,$M1198='112'!$I$6)),"x",""))</f>
        <v/>
      </c>
      <c r="U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39" t="str">
        <f>IF(OR(TH!L1198=TH!$V$7,M1198=TH!$V$7),"x","")</f>
        <v/>
      </c>
      <c r="W1198" s="39" t="str">
        <f>IF(AND(B1198&gt;='IN-NX'!$P$3,B1198&lt;='IN-NX'!$Q$3,'IN-NX'!$D$7=D1198,OR(LEFT(L1198,2)="15",AND(LEFT(M1198,2)&lt;&gt;"15",LEFT(M1198,2)&lt;&gt;"33"))),"x","")</f>
        <v/>
      </c>
      <c r="X1198" s="39" t="str">
        <f>IF(AND(OR(LEFT(TH!L1198,2)="15",LEFT(TH!M1198,2)="15"),'152-CT'!$J$8=TH!F1198),"x","")</f>
        <v/>
      </c>
      <c r="Y1198" s="39" t="str">
        <f>IF(AND(OR(LEFT(TH!L1198,2)="15",LEFT(TH!M1198,2)="15"),TK!$E$7=TH!F1198),"x","")</f>
        <v/>
      </c>
      <c r="Z1198" s="39" t="str">
        <f>IF(AND(B1198&lt;=NKC!$N$8,B1198&gt;=NKC!$M$8),"x","")</f>
        <v>x</v>
      </c>
      <c r="AA1198" s="886"/>
    </row>
    <row r="1199" spans="1:27" s="211" customFormat="1" ht="15.75" customHeight="1">
      <c r="A1199" s="204" t="str">
        <f>IF(B1199&lt;&gt;"",IF(AND(B1199&gt;=_TM1,B1199&lt;=_TM2,OR(TH!L1199="1111",TH!M1199="1111")),TH!D1199,""),"")</f>
        <v/>
      </c>
      <c r="B1199" s="36">
        <f t="shared" si="227"/>
        <v>8</v>
      </c>
      <c r="C1199" s="191">
        <f t="shared" si="225"/>
        <v>41499</v>
      </c>
      <c r="D1199" s="191" t="s">
        <v>1294</v>
      </c>
      <c r="E1199" s="191">
        <v>41499</v>
      </c>
      <c r="F1199" s="192"/>
      <c r="G1199" s="487" t="s">
        <v>913</v>
      </c>
      <c r="H1199" s="7" t="s">
        <v>1287</v>
      </c>
      <c r="I1199" s="256"/>
      <c r="J1199" s="256"/>
      <c r="K1199" s="602">
        <f t="shared" si="226"/>
        <v>0</v>
      </c>
      <c r="L1199" s="39" t="s">
        <v>165</v>
      </c>
      <c r="M1199" s="603" t="s">
        <v>159</v>
      </c>
      <c r="N1199" s="39" t="str">
        <f>IF(AND('331-CT'!$E$7=TH!H1199,OR(L1199="331",M1199="331")),"331",IF(AND(OR(L1199="131",M1199="131"),H1199='131-CT'!$E$7),"131",""))</f>
        <v/>
      </c>
      <c r="O1199" s="39" t="str">
        <f>IF(AND($B1199&gt;='111'!$N$11,$B1199&lt;='111'!$O$11,OR($L1199=$O$7,$M1199=$O$7)),"x","")</f>
        <v/>
      </c>
      <c r="P1199" s="39" t="str">
        <f>IF(AND($L1199=$O$7,$B1199&lt;'111'!$N$11),"x","")</f>
        <v/>
      </c>
      <c r="Q1199" s="39" t="str">
        <f>IF(AND($M1199=$O$7,$B1199&lt;'111'!$N$11),"x","")</f>
        <v/>
      </c>
      <c r="R1199" s="39" t="str">
        <f>IF(ISERROR(FIND('112'!$M$9,G1199,1)),"",IF((AND(FIND('112'!$M$9,G1199,1)&gt;=1,$B1199&gt;='112'!$N$8,$B1199&lt;='112'!$O$8,OR($L1199='112'!$I$6,$M1199='112'!$I$6))),"x",""))</f>
        <v/>
      </c>
      <c r="S1199" s="39" t="str">
        <f>IF(ISERROR(FIND('112'!$M$9,G1199,1)),"",IF((AND(LEFT(G1199,2)=LEFT('112'!$M$9,2),B1199&lt;'112'!$N$8,$L1199='112'!$I$6)),"x",""))</f>
        <v/>
      </c>
      <c r="T1199" s="39" t="str">
        <f>IF(ISERROR(FIND('112'!$M$9,G1199,1)),"",IF((AND(RIGHT(G1199,2)=RIGHT('112'!$M$9,2),B1199&lt;'112'!$N$8,$M1199='112'!$I$6)),"x",""))</f>
        <v/>
      </c>
      <c r="U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39" t="str">
        <f>IF(OR(TH!L1199=TH!$V$7,M1199=TH!$V$7),"x","")</f>
        <v/>
      </c>
      <c r="W1199" s="39" t="str">
        <f>IF(AND(B1199&gt;='IN-NX'!$P$3,B1199&lt;='IN-NX'!$Q$3,'IN-NX'!$D$7=D1199,OR(LEFT(L1199,2)="15",AND(LEFT(M1199,2)&lt;&gt;"15",LEFT(M1199,2)&lt;&gt;"33"))),"x","")</f>
        <v/>
      </c>
      <c r="X1199" s="39" t="str">
        <f>IF(AND(OR(LEFT(TH!L1199,2)="15",LEFT(TH!M1199,2)="15"),'152-CT'!$J$8=TH!F1199),"x","")</f>
        <v/>
      </c>
      <c r="Y1199" s="39" t="str">
        <f>IF(AND(OR(LEFT(TH!L1199,2)="15",LEFT(TH!M1199,2)="15"),TK!$E$7=TH!F1199),"x","")</f>
        <v/>
      </c>
      <c r="Z1199" s="39" t="str">
        <f>IF(AND(B1199&lt;=NKC!$N$8,B1199&gt;=NKC!$M$8),"x","")</f>
        <v>x</v>
      </c>
      <c r="AA1199" s="886"/>
    </row>
    <row r="1200" spans="1:27" s="211" customFormat="1" ht="15.75" customHeight="1">
      <c r="A1200" s="204" t="str">
        <f>IF(B1200&lt;&gt;"",IF(AND(B1200&gt;=_TM1,B1200&lt;=_TM2,OR(TH!L1200="1111",TH!M1200="1111")),TH!D1200,""),"")</f>
        <v/>
      </c>
      <c r="B1200" s="36">
        <f t="shared" si="227"/>
        <v>8</v>
      </c>
      <c r="C1200" s="191">
        <f t="shared" si="225"/>
        <v>41502</v>
      </c>
      <c r="D1200" s="191" t="s">
        <v>1294</v>
      </c>
      <c r="E1200" s="191">
        <v>41502</v>
      </c>
      <c r="F1200" s="192"/>
      <c r="G1200" s="487" t="s">
        <v>914</v>
      </c>
      <c r="H1200" s="7" t="s">
        <v>1287</v>
      </c>
      <c r="I1200" s="256"/>
      <c r="J1200" s="256"/>
      <c r="K1200" s="602">
        <f t="shared" si="226"/>
        <v>0</v>
      </c>
      <c r="L1200" s="39" t="s">
        <v>165</v>
      </c>
      <c r="M1200" s="603" t="s">
        <v>159</v>
      </c>
      <c r="N1200" s="39" t="str">
        <f>IF(AND('331-CT'!$E$7=TH!H1200,OR(L1200="331",M1200="331")),"331",IF(AND(OR(L1200="131",M1200="131"),H1200='131-CT'!$E$7),"131",""))</f>
        <v/>
      </c>
      <c r="O1200" s="39" t="str">
        <f>IF(AND($B1200&gt;='111'!$N$11,$B1200&lt;='111'!$O$11,OR($L1200=$O$7,$M1200=$O$7)),"x","")</f>
        <v/>
      </c>
      <c r="P1200" s="39" t="str">
        <f>IF(AND($L1200=$O$7,$B1200&lt;'111'!$N$11),"x","")</f>
        <v/>
      </c>
      <c r="Q1200" s="39" t="str">
        <f>IF(AND($M1200=$O$7,$B1200&lt;'111'!$N$11),"x","")</f>
        <v/>
      </c>
      <c r="R1200" s="39" t="str">
        <f>IF(ISERROR(FIND('112'!$M$9,G1200,1)),"",IF((AND(FIND('112'!$M$9,G1200,1)&gt;=1,$B1200&gt;='112'!$N$8,$B1200&lt;='112'!$O$8,OR($L1200='112'!$I$6,$M1200='112'!$I$6))),"x",""))</f>
        <v/>
      </c>
      <c r="S1200" s="39" t="str">
        <f>IF(ISERROR(FIND('112'!$M$9,G1200,1)),"",IF((AND(LEFT(G1200,2)=LEFT('112'!$M$9,2),B1200&lt;'112'!$N$8,$L1200='112'!$I$6)),"x",""))</f>
        <v/>
      </c>
      <c r="T1200" s="39" t="str">
        <f>IF(ISERROR(FIND('112'!$M$9,G1200,1)),"",IF((AND(RIGHT(G1200,2)=RIGHT('112'!$M$9,2),B1200&lt;'112'!$N$8,$M1200='112'!$I$6)),"x",""))</f>
        <v/>
      </c>
      <c r="U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39" t="str">
        <f>IF(OR(TH!L1200=TH!$V$7,M1200=TH!$V$7),"x","")</f>
        <v/>
      </c>
      <c r="W1200" s="39" t="str">
        <f>IF(AND(B1200&gt;='IN-NX'!$P$3,B1200&lt;='IN-NX'!$Q$3,'IN-NX'!$D$7=D1200,OR(LEFT(L1200,2)="15",AND(LEFT(M1200,2)&lt;&gt;"15",LEFT(M1200,2)&lt;&gt;"33"))),"x","")</f>
        <v/>
      </c>
      <c r="X1200" s="39" t="str">
        <f>IF(AND(OR(LEFT(TH!L1200,2)="15",LEFT(TH!M1200,2)="15"),'152-CT'!$J$8=TH!F1200),"x","")</f>
        <v/>
      </c>
      <c r="Y1200" s="39" t="str">
        <f>IF(AND(OR(LEFT(TH!L1200,2)="15",LEFT(TH!M1200,2)="15"),TK!$E$7=TH!F1200),"x","")</f>
        <v/>
      </c>
      <c r="Z1200" s="39" t="str">
        <f>IF(AND(B1200&lt;=NKC!$N$8,B1200&gt;=NKC!$M$8),"x","")</f>
        <v>x</v>
      </c>
      <c r="AA1200" s="886"/>
    </row>
    <row r="1201" spans="1:27" s="211" customFormat="1" ht="15.75" customHeight="1">
      <c r="A1201" s="204" t="str">
        <f>IF(B1201&lt;&gt;"",IF(AND(B1201&gt;=_TM1,B1201&lt;=_TM2,OR(TH!L1201="1111",TH!M1201="1111")),TH!D1201,""),"")</f>
        <v/>
      </c>
      <c r="B1201" s="36">
        <f t="shared" si="227"/>
        <v>8</v>
      </c>
      <c r="C1201" s="191">
        <f t="shared" si="225"/>
        <v>41503</v>
      </c>
      <c r="D1201" s="191" t="s">
        <v>1294</v>
      </c>
      <c r="E1201" s="191">
        <v>41503</v>
      </c>
      <c r="F1201" s="192"/>
      <c r="G1201" s="487" t="s">
        <v>915</v>
      </c>
      <c r="H1201" s="7" t="s">
        <v>1287</v>
      </c>
      <c r="I1201" s="256"/>
      <c r="J1201" s="256"/>
      <c r="K1201" s="602">
        <f t="shared" si="226"/>
        <v>0</v>
      </c>
      <c r="L1201" s="39" t="s">
        <v>165</v>
      </c>
      <c r="M1201" s="603" t="s">
        <v>159</v>
      </c>
      <c r="N1201" s="39" t="str">
        <f>IF(AND('331-CT'!$E$7=TH!H1201,OR(L1201="331",M1201="331")),"331",IF(AND(OR(L1201="131",M1201="131"),H1201='131-CT'!$E$7),"131",""))</f>
        <v/>
      </c>
      <c r="O1201" s="39" t="str">
        <f>IF(AND($B1201&gt;='111'!$N$11,$B1201&lt;='111'!$O$11,OR($L1201=$O$7,$M1201=$O$7)),"x","")</f>
        <v/>
      </c>
      <c r="P1201" s="39" t="str">
        <f>IF(AND($L1201=$O$7,$B1201&lt;'111'!$N$11),"x","")</f>
        <v/>
      </c>
      <c r="Q1201" s="39" t="str">
        <f>IF(AND($M1201=$O$7,$B1201&lt;'111'!$N$11),"x","")</f>
        <v/>
      </c>
      <c r="R1201" s="39" t="str">
        <f>IF(ISERROR(FIND('112'!$M$9,G1201,1)),"",IF((AND(FIND('112'!$M$9,G1201,1)&gt;=1,$B1201&gt;='112'!$N$8,$B1201&lt;='112'!$O$8,OR($L1201='112'!$I$6,$M1201='112'!$I$6))),"x",""))</f>
        <v/>
      </c>
      <c r="S1201" s="39" t="str">
        <f>IF(ISERROR(FIND('112'!$M$9,G1201,1)),"",IF((AND(LEFT(G1201,2)=LEFT('112'!$M$9,2),B1201&lt;'112'!$N$8,$L1201='112'!$I$6)),"x",""))</f>
        <v/>
      </c>
      <c r="T1201" s="39" t="str">
        <f>IF(ISERROR(FIND('112'!$M$9,G1201,1)),"",IF((AND(RIGHT(G1201,2)=RIGHT('112'!$M$9,2),B1201&lt;'112'!$N$8,$M1201='112'!$I$6)),"x",""))</f>
        <v/>
      </c>
      <c r="U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39" t="str">
        <f>IF(OR(TH!L1201=TH!$V$7,M1201=TH!$V$7),"x","")</f>
        <v/>
      </c>
      <c r="W1201" s="39" t="str">
        <f>IF(AND(B1201&gt;='IN-NX'!$P$3,B1201&lt;='IN-NX'!$Q$3,'IN-NX'!$D$7=D1201,OR(LEFT(L1201,2)="15",AND(LEFT(M1201,2)&lt;&gt;"15",LEFT(M1201,2)&lt;&gt;"33"))),"x","")</f>
        <v/>
      </c>
      <c r="X1201" s="39" t="str">
        <f>IF(AND(OR(LEFT(TH!L1201,2)="15",LEFT(TH!M1201,2)="15"),'152-CT'!$J$8=TH!F1201),"x","")</f>
        <v/>
      </c>
      <c r="Y1201" s="39" t="str">
        <f>IF(AND(OR(LEFT(TH!L1201,2)="15",LEFT(TH!M1201,2)="15"),TK!$E$7=TH!F1201),"x","")</f>
        <v/>
      </c>
      <c r="Z1201" s="39" t="str">
        <f>IF(AND(B1201&lt;=NKC!$N$8,B1201&gt;=NKC!$M$8),"x","")</f>
        <v>x</v>
      </c>
      <c r="AA1201" s="886"/>
    </row>
    <row r="1202" spans="1:27" s="211" customFormat="1" ht="15.75" customHeight="1">
      <c r="A1202" s="204" t="str">
        <f>IF(B1202&lt;&gt;"",IF(AND(B1202&gt;=_TM1,B1202&lt;=_TM2,OR(TH!L1202="1111",TH!M1202="1111")),TH!D1202,""),"")</f>
        <v/>
      </c>
      <c r="B1202" s="36">
        <f t="shared" si="227"/>
        <v>8</v>
      </c>
      <c r="C1202" s="191">
        <f t="shared" si="225"/>
        <v>41503</v>
      </c>
      <c r="D1202" s="191" t="s">
        <v>1294</v>
      </c>
      <c r="E1202" s="774">
        <v>41503</v>
      </c>
      <c r="F1202" s="189"/>
      <c r="G1202" s="40" t="s">
        <v>917</v>
      </c>
      <c r="H1202" s="7" t="s">
        <v>1287</v>
      </c>
      <c r="I1202" s="256"/>
      <c r="J1202" s="256"/>
      <c r="K1202" s="602">
        <f t="shared" si="226"/>
        <v>0</v>
      </c>
      <c r="L1202" s="39" t="s">
        <v>165</v>
      </c>
      <c r="M1202" s="603" t="s">
        <v>159</v>
      </c>
      <c r="N1202" s="39" t="str">
        <f>IF(AND('331-CT'!$E$7=TH!H1202,OR(L1202="331",M1202="331")),"331",IF(AND(OR(L1202="131",M1202="131"),H1202='131-CT'!$E$7),"131",""))</f>
        <v/>
      </c>
      <c r="O1202" s="39" t="str">
        <f>IF(AND($B1202&gt;='111'!$N$11,$B1202&lt;='111'!$O$11,OR($L1202=$O$7,$M1202=$O$7)),"x","")</f>
        <v/>
      </c>
      <c r="P1202" s="39" t="str">
        <f>IF(AND($L1202=$O$7,$B1202&lt;'111'!$N$11),"x","")</f>
        <v/>
      </c>
      <c r="Q1202" s="39" t="str">
        <f>IF(AND($M1202=$O$7,$B1202&lt;'111'!$N$11),"x","")</f>
        <v/>
      </c>
      <c r="R1202" s="39" t="str">
        <f>IF(ISERROR(FIND('112'!$M$9,G1202,1)),"",IF((AND(FIND('112'!$M$9,G1202,1)&gt;=1,$B1202&gt;='112'!$N$8,$B1202&lt;='112'!$O$8,OR($L1202='112'!$I$6,$M1202='112'!$I$6))),"x",""))</f>
        <v/>
      </c>
      <c r="S1202" s="39" t="str">
        <f>IF(ISERROR(FIND('112'!$M$9,G1202,1)),"",IF((AND(LEFT(G1202,2)=LEFT('112'!$M$9,2),B1202&lt;'112'!$N$8,$L1202='112'!$I$6)),"x",""))</f>
        <v/>
      </c>
      <c r="T1202" s="39" t="str">
        <f>IF(ISERROR(FIND('112'!$M$9,G1202,1)),"",IF((AND(RIGHT(G1202,2)=RIGHT('112'!$M$9,2),B1202&lt;'112'!$N$8,$M1202='112'!$I$6)),"x",""))</f>
        <v/>
      </c>
      <c r="U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39" t="str">
        <f>IF(OR(TH!L1202=TH!$V$7,M1202=TH!$V$7),"x","")</f>
        <v/>
      </c>
      <c r="W1202" s="39" t="str">
        <f>IF(AND(B1202&gt;='IN-NX'!$P$3,B1202&lt;='IN-NX'!$Q$3,'IN-NX'!$D$7=D1202,OR(LEFT(L1202,2)="15",AND(LEFT(M1202,2)&lt;&gt;"15",LEFT(M1202,2)&lt;&gt;"33"))),"x","")</f>
        <v/>
      </c>
      <c r="X1202" s="39" t="str">
        <f>IF(AND(OR(LEFT(TH!L1202,2)="15",LEFT(TH!M1202,2)="15"),'152-CT'!$J$8=TH!F1202),"x","")</f>
        <v/>
      </c>
      <c r="Y1202" s="39" t="str">
        <f>IF(AND(OR(LEFT(TH!L1202,2)="15",LEFT(TH!M1202,2)="15"),TK!$E$7=TH!F1202),"x","")</f>
        <v/>
      </c>
      <c r="Z1202" s="39" t="str">
        <f>IF(AND(B1202&lt;=NKC!$N$8,B1202&gt;=NKC!$M$8),"x","")</f>
        <v>x</v>
      </c>
      <c r="AA1202" s="886"/>
    </row>
    <row r="1203" spans="1:27" s="211" customFormat="1" ht="15.75" customHeight="1">
      <c r="A1203" s="204" t="str">
        <f>IF(B1203&lt;&gt;"",IF(AND(B1203&gt;=_TM1,B1203&lt;=_TM2,OR(TH!L1203="1111",TH!M1203="1111")),TH!D1203,""),"")</f>
        <v/>
      </c>
      <c r="B1203" s="36">
        <f t="shared" si="227"/>
        <v>8</v>
      </c>
      <c r="C1203" s="191">
        <f t="shared" si="225"/>
        <v>41503</v>
      </c>
      <c r="D1203" s="191" t="s">
        <v>1294</v>
      </c>
      <c r="E1203" s="774">
        <v>41503</v>
      </c>
      <c r="F1203" s="40"/>
      <c r="G1203" s="40" t="s">
        <v>918</v>
      </c>
      <c r="H1203" s="7" t="s">
        <v>1287</v>
      </c>
      <c r="I1203" s="256"/>
      <c r="J1203" s="256"/>
      <c r="K1203" s="602">
        <f t="shared" si="226"/>
        <v>0</v>
      </c>
      <c r="L1203" s="39" t="s">
        <v>165</v>
      </c>
      <c r="M1203" s="603" t="s">
        <v>159</v>
      </c>
      <c r="N1203" s="39" t="str">
        <f>IF(AND('331-CT'!$E$7=TH!H1203,OR(L1203="331",M1203="331")),"331",IF(AND(OR(L1203="131",M1203="131"),H1203='131-CT'!$E$7),"131",""))</f>
        <v/>
      </c>
      <c r="O1203" s="39" t="str">
        <f>IF(AND($B1203&gt;='111'!$N$11,$B1203&lt;='111'!$O$11,OR($L1203=$O$7,$M1203=$O$7)),"x","")</f>
        <v/>
      </c>
      <c r="P1203" s="39" t="str">
        <f>IF(AND($L1203=$O$7,$B1203&lt;'111'!$N$11),"x","")</f>
        <v/>
      </c>
      <c r="Q1203" s="39" t="str">
        <f>IF(AND($M1203=$O$7,$B1203&lt;'111'!$N$11),"x","")</f>
        <v/>
      </c>
      <c r="R1203" s="39" t="str">
        <f>IF(ISERROR(FIND('112'!$M$9,G1203,1)),"",IF((AND(FIND('112'!$M$9,G1203,1)&gt;=1,$B1203&gt;='112'!$N$8,$B1203&lt;='112'!$O$8,OR($L1203='112'!$I$6,$M1203='112'!$I$6))),"x",""))</f>
        <v/>
      </c>
      <c r="S1203" s="39" t="str">
        <f>IF(ISERROR(FIND('112'!$M$9,G1203,1)),"",IF((AND(LEFT(G1203,2)=LEFT('112'!$M$9,2),B1203&lt;'112'!$N$8,$L1203='112'!$I$6)),"x",""))</f>
        <v/>
      </c>
      <c r="T1203" s="39" t="str">
        <f>IF(ISERROR(FIND('112'!$M$9,G1203,1)),"",IF((AND(RIGHT(G1203,2)=RIGHT('112'!$M$9,2),B1203&lt;'112'!$N$8,$M1203='112'!$I$6)),"x",""))</f>
        <v/>
      </c>
      <c r="U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39" t="str">
        <f>IF(OR(TH!L1203=TH!$V$7,M1203=TH!$V$7),"x","")</f>
        <v/>
      </c>
      <c r="W1203" s="39" t="str">
        <f>IF(AND(B1203&gt;='IN-NX'!$P$3,B1203&lt;='IN-NX'!$Q$3,'IN-NX'!$D$7=D1203,OR(LEFT(L1203,2)="15",AND(LEFT(M1203,2)&lt;&gt;"15",LEFT(M1203,2)&lt;&gt;"33"))),"x","")</f>
        <v/>
      </c>
      <c r="X1203" s="39" t="str">
        <f>IF(AND(OR(LEFT(TH!L1203,2)="15",LEFT(TH!M1203,2)="15"),'152-CT'!$J$8=TH!F1203),"x","")</f>
        <v/>
      </c>
      <c r="Y1203" s="39" t="str">
        <f>IF(AND(OR(LEFT(TH!L1203,2)="15",LEFT(TH!M1203,2)="15"),TK!$E$7=TH!F1203),"x","")</f>
        <v/>
      </c>
      <c r="Z1203" s="39" t="str">
        <f>IF(AND(B1203&lt;=NKC!$N$8,B1203&gt;=NKC!$M$8),"x","")</f>
        <v>x</v>
      </c>
      <c r="AA1203" s="886"/>
    </row>
    <row r="1204" spans="1:27" s="211" customFormat="1" ht="15.75" customHeight="1">
      <c r="A1204" s="204" t="str">
        <f>IF(B1204&lt;&gt;"",IF(AND(B1204&gt;=_TM1,B1204&lt;=_TM2,OR(TH!L1204="1111",TH!M1204="1111")),TH!D1204,""),"")</f>
        <v/>
      </c>
      <c r="B1204" s="36">
        <f t="shared" si="227"/>
        <v>8</v>
      </c>
      <c r="C1204" s="191">
        <f t="shared" si="225"/>
        <v>41504</v>
      </c>
      <c r="D1204" s="191" t="s">
        <v>1294</v>
      </c>
      <c r="E1204" s="774">
        <v>41504</v>
      </c>
      <c r="F1204" s="189"/>
      <c r="G1204" s="40" t="s">
        <v>919</v>
      </c>
      <c r="H1204" s="7" t="s">
        <v>1287</v>
      </c>
      <c r="I1204" s="816"/>
      <c r="J1204" s="256"/>
      <c r="K1204" s="602">
        <f t="shared" si="226"/>
        <v>0</v>
      </c>
      <c r="L1204" s="39" t="s">
        <v>165</v>
      </c>
      <c r="M1204" s="603" t="s">
        <v>159</v>
      </c>
      <c r="N1204" s="39" t="str">
        <f>IF(AND('331-CT'!$E$7=TH!H1204,OR(L1204="331",M1204="331")),"331",IF(AND(OR(L1204="131",M1204="131"),H1204='131-CT'!$E$7),"131",""))</f>
        <v/>
      </c>
      <c r="O1204" s="39" t="str">
        <f>IF(AND($B1204&gt;='111'!$N$11,$B1204&lt;='111'!$O$11,OR($L1204=$O$7,$M1204=$O$7)),"x","")</f>
        <v/>
      </c>
      <c r="P1204" s="39" t="str">
        <f>IF(AND($L1204=$O$7,$B1204&lt;'111'!$N$11),"x","")</f>
        <v/>
      </c>
      <c r="Q1204" s="39" t="str">
        <f>IF(AND($M1204=$O$7,$B1204&lt;'111'!$N$11),"x","")</f>
        <v/>
      </c>
      <c r="R1204" s="39" t="str">
        <f>IF(ISERROR(FIND('112'!$M$9,G1204,1)),"",IF((AND(FIND('112'!$M$9,G1204,1)&gt;=1,$B1204&gt;='112'!$N$8,$B1204&lt;='112'!$O$8,OR($L1204='112'!$I$6,$M1204='112'!$I$6))),"x",""))</f>
        <v/>
      </c>
      <c r="S1204" s="39" t="str">
        <f>IF(ISERROR(FIND('112'!$M$9,G1204,1)),"",IF((AND(LEFT(G1204,2)=LEFT('112'!$M$9,2),B1204&lt;'112'!$N$8,$L1204='112'!$I$6)),"x",""))</f>
        <v/>
      </c>
      <c r="T1204" s="39" t="str">
        <f>IF(ISERROR(FIND('112'!$M$9,G1204,1)),"",IF((AND(RIGHT(G1204,2)=RIGHT('112'!$M$9,2),B1204&lt;'112'!$N$8,$M1204='112'!$I$6)),"x",""))</f>
        <v/>
      </c>
      <c r="U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39" t="str">
        <f>IF(OR(TH!L1204=TH!$V$7,M1204=TH!$V$7),"x","")</f>
        <v/>
      </c>
      <c r="W1204" s="39" t="str">
        <f>IF(AND(B1204&gt;='IN-NX'!$P$3,B1204&lt;='IN-NX'!$Q$3,'IN-NX'!$D$7=D1204,OR(LEFT(L1204,2)="15",AND(LEFT(M1204,2)&lt;&gt;"15",LEFT(M1204,2)&lt;&gt;"33"))),"x","")</f>
        <v/>
      </c>
      <c r="X1204" s="39" t="str">
        <f>IF(AND(OR(LEFT(TH!L1204,2)="15",LEFT(TH!M1204,2)="15"),'152-CT'!$J$8=TH!F1204),"x","")</f>
        <v/>
      </c>
      <c r="Y1204" s="39" t="str">
        <f>IF(AND(OR(LEFT(TH!L1204,2)="15",LEFT(TH!M1204,2)="15"),TK!$E$7=TH!F1204),"x","")</f>
        <v/>
      </c>
      <c r="Z1204" s="39" t="str">
        <f>IF(AND(B1204&lt;=NKC!$N$8,B1204&gt;=NKC!$M$8),"x","")</f>
        <v>x</v>
      </c>
      <c r="AA1204" s="886"/>
    </row>
    <row r="1205" spans="1:27" s="211" customFormat="1" ht="15.75" customHeight="1">
      <c r="A1205" s="204" t="str">
        <f>IF(B1205&lt;&gt;"",IF(AND(B1205&gt;=_TM1,B1205&lt;=_TM2,OR(TH!L1205="1111",TH!M1205="1111")),TH!D1205,""),"")</f>
        <v/>
      </c>
      <c r="B1205" s="36">
        <f t="shared" si="227"/>
        <v>8</v>
      </c>
      <c r="C1205" s="191">
        <f t="shared" si="225"/>
        <v>41508</v>
      </c>
      <c r="D1205" s="191" t="s">
        <v>1294</v>
      </c>
      <c r="E1205" s="774">
        <v>41508</v>
      </c>
      <c r="F1205" s="40"/>
      <c r="G1205" s="40" t="s">
        <v>921</v>
      </c>
      <c r="H1205" s="7" t="s">
        <v>1287</v>
      </c>
      <c r="I1205" s="256"/>
      <c r="J1205" s="256"/>
      <c r="K1205" s="602">
        <f t="shared" si="226"/>
        <v>0</v>
      </c>
      <c r="L1205" s="39" t="s">
        <v>165</v>
      </c>
      <c r="M1205" s="603" t="s">
        <v>159</v>
      </c>
      <c r="N1205" s="39" t="str">
        <f>IF(AND('331-CT'!$E$7=TH!H1205,OR(L1205="331",M1205="331")),"331",IF(AND(OR(L1205="131",M1205="131"),H1205='131-CT'!$E$7),"131",""))</f>
        <v/>
      </c>
      <c r="O1205" s="39" t="str">
        <f>IF(AND($B1205&gt;='111'!$N$11,$B1205&lt;='111'!$O$11,OR($L1205=$O$7,$M1205=$O$7)),"x","")</f>
        <v/>
      </c>
      <c r="P1205" s="39" t="str">
        <f>IF(AND($L1205=$O$7,$B1205&lt;'111'!$N$11),"x","")</f>
        <v/>
      </c>
      <c r="Q1205" s="39" t="str">
        <f>IF(AND($M1205=$O$7,$B1205&lt;'111'!$N$11),"x","")</f>
        <v/>
      </c>
      <c r="R1205" s="39" t="str">
        <f>IF(ISERROR(FIND('112'!$M$9,G1205,1)),"",IF((AND(FIND('112'!$M$9,G1205,1)&gt;=1,$B1205&gt;='112'!$N$8,$B1205&lt;='112'!$O$8,OR($L1205='112'!$I$6,$M1205='112'!$I$6))),"x",""))</f>
        <v/>
      </c>
      <c r="S1205" s="39" t="str">
        <f>IF(ISERROR(FIND('112'!$M$9,G1205,1)),"",IF((AND(LEFT(G1205,2)=LEFT('112'!$M$9,2),B1205&lt;'112'!$N$8,$L1205='112'!$I$6)),"x",""))</f>
        <v/>
      </c>
      <c r="T1205" s="39" t="str">
        <f>IF(ISERROR(FIND('112'!$M$9,G1205,1)),"",IF((AND(RIGHT(G1205,2)=RIGHT('112'!$M$9,2),B1205&lt;'112'!$N$8,$M1205='112'!$I$6)),"x",""))</f>
        <v/>
      </c>
      <c r="U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39" t="str">
        <f>IF(OR(TH!L1205=TH!$V$7,M1205=TH!$V$7),"x","")</f>
        <v/>
      </c>
      <c r="W1205" s="39" t="str">
        <f>IF(AND(B1205&gt;='IN-NX'!$P$3,B1205&lt;='IN-NX'!$Q$3,'IN-NX'!$D$7=D1205,OR(LEFT(L1205,2)="15",AND(LEFT(M1205,2)&lt;&gt;"15",LEFT(M1205,2)&lt;&gt;"33"))),"x","")</f>
        <v/>
      </c>
      <c r="X1205" s="39" t="str">
        <f>IF(AND(OR(LEFT(TH!L1205,2)="15",LEFT(TH!M1205,2)="15"),'152-CT'!$J$8=TH!F1205),"x","")</f>
        <v/>
      </c>
      <c r="Y1205" s="39" t="str">
        <f>IF(AND(OR(LEFT(TH!L1205,2)="15",LEFT(TH!M1205,2)="15"),TK!$E$7=TH!F1205),"x","")</f>
        <v/>
      </c>
      <c r="Z1205" s="39" t="str">
        <f>IF(AND(B1205&lt;=NKC!$N$8,B1205&gt;=NKC!$M$8),"x","")</f>
        <v>x</v>
      </c>
      <c r="AA1205" s="886"/>
    </row>
    <row r="1206" spans="1:27" s="211" customFormat="1" ht="15.75" customHeight="1">
      <c r="A1206" s="204" t="str">
        <f>IF(B1206&lt;&gt;"",IF(AND(B1206&gt;=_TM1,B1206&lt;=_TM2,OR(TH!L1206="1111",TH!M1206="1111")),TH!D1206,""),"")</f>
        <v/>
      </c>
      <c r="B1206" s="36">
        <f t="shared" si="227"/>
        <v>8</v>
      </c>
      <c r="C1206" s="191">
        <f t="shared" si="225"/>
        <v>41508</v>
      </c>
      <c r="D1206" s="191" t="s">
        <v>1294</v>
      </c>
      <c r="E1206" s="774">
        <v>41508</v>
      </c>
      <c r="F1206" s="189"/>
      <c r="G1206" s="40" t="s">
        <v>921</v>
      </c>
      <c r="H1206" s="7" t="s">
        <v>1287</v>
      </c>
      <c r="I1206" s="816"/>
      <c r="J1206" s="256"/>
      <c r="K1206" s="602">
        <f t="shared" si="226"/>
        <v>0</v>
      </c>
      <c r="L1206" s="39" t="s">
        <v>165</v>
      </c>
      <c r="M1206" s="603" t="s">
        <v>159</v>
      </c>
      <c r="N1206" s="39" t="str">
        <f>IF(AND('331-CT'!$E$7=TH!H1206,OR(L1206="331",M1206="331")),"331",IF(AND(OR(L1206="131",M1206="131"),H1206='131-CT'!$E$7),"131",""))</f>
        <v/>
      </c>
      <c r="O1206" s="39" t="str">
        <f>IF(AND($B1206&gt;='111'!$N$11,$B1206&lt;='111'!$O$11,OR($L1206=$O$7,$M1206=$O$7)),"x","")</f>
        <v/>
      </c>
      <c r="P1206" s="39" t="str">
        <f>IF(AND($L1206=$O$7,$B1206&lt;'111'!$N$11),"x","")</f>
        <v/>
      </c>
      <c r="Q1206" s="39" t="str">
        <f>IF(AND($M1206=$O$7,$B1206&lt;'111'!$N$11),"x","")</f>
        <v/>
      </c>
      <c r="R1206" s="39" t="str">
        <f>IF(ISERROR(FIND('112'!$M$9,G1206,1)),"",IF((AND(FIND('112'!$M$9,G1206,1)&gt;=1,$B1206&gt;='112'!$N$8,$B1206&lt;='112'!$O$8,OR($L1206='112'!$I$6,$M1206='112'!$I$6))),"x",""))</f>
        <v/>
      </c>
      <c r="S1206" s="39" t="str">
        <f>IF(ISERROR(FIND('112'!$M$9,G1206,1)),"",IF((AND(LEFT(G1206,2)=LEFT('112'!$M$9,2),B1206&lt;'112'!$N$8,$L1206='112'!$I$6)),"x",""))</f>
        <v/>
      </c>
      <c r="T1206" s="39" t="str">
        <f>IF(ISERROR(FIND('112'!$M$9,G1206,1)),"",IF((AND(RIGHT(G1206,2)=RIGHT('112'!$M$9,2),B1206&lt;'112'!$N$8,$M1206='112'!$I$6)),"x",""))</f>
        <v/>
      </c>
      <c r="U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39" t="str">
        <f>IF(OR(TH!L1206=TH!$V$7,M1206=TH!$V$7),"x","")</f>
        <v/>
      </c>
      <c r="W1206" s="39" t="str">
        <f>IF(AND(B1206&gt;='IN-NX'!$P$3,B1206&lt;='IN-NX'!$Q$3,'IN-NX'!$D$7=D1206,OR(LEFT(L1206,2)="15",AND(LEFT(M1206,2)&lt;&gt;"15",LEFT(M1206,2)&lt;&gt;"33"))),"x","")</f>
        <v/>
      </c>
      <c r="X1206" s="39" t="str">
        <f>IF(AND(OR(LEFT(TH!L1206,2)="15",LEFT(TH!M1206,2)="15"),'152-CT'!$J$8=TH!F1206),"x","")</f>
        <v/>
      </c>
      <c r="Y1206" s="39" t="str">
        <f>IF(AND(OR(LEFT(TH!L1206,2)="15",LEFT(TH!M1206,2)="15"),TK!$E$7=TH!F1206),"x","")</f>
        <v/>
      </c>
      <c r="Z1206" s="39" t="str">
        <f>IF(AND(B1206&lt;=NKC!$N$8,B1206&gt;=NKC!$M$8),"x","")</f>
        <v>x</v>
      </c>
      <c r="AA1206" s="886"/>
    </row>
    <row r="1207" spans="1:27" s="211" customFormat="1" ht="15.75" customHeight="1">
      <c r="A1207" s="204" t="str">
        <f>IF(B1207&lt;&gt;"",IF(AND(B1207&gt;=_TM1,B1207&lt;=_TM2,OR(TH!L1207="1111",TH!M1207="1111")),TH!D1207,""),"")</f>
        <v/>
      </c>
      <c r="B1207" s="36">
        <f t="shared" si="227"/>
        <v>8</v>
      </c>
      <c r="C1207" s="191">
        <f t="shared" si="225"/>
        <v>41508</v>
      </c>
      <c r="D1207" s="191" t="s">
        <v>1294</v>
      </c>
      <c r="E1207" s="774">
        <v>41508</v>
      </c>
      <c r="F1207" s="189"/>
      <c r="G1207" s="40" t="s">
        <v>921</v>
      </c>
      <c r="H1207" s="7" t="s">
        <v>1287</v>
      </c>
      <c r="I1207" s="816"/>
      <c r="J1207" s="256"/>
      <c r="K1207" s="602">
        <f t="shared" si="226"/>
        <v>0</v>
      </c>
      <c r="L1207" s="39" t="s">
        <v>165</v>
      </c>
      <c r="M1207" s="603" t="s">
        <v>159</v>
      </c>
      <c r="N1207" s="39" t="str">
        <f>IF(AND('331-CT'!$E$7=TH!H1207,OR(L1207="331",M1207="331")),"331",IF(AND(OR(L1207="131",M1207="131"),H1207='131-CT'!$E$7),"131",""))</f>
        <v/>
      </c>
      <c r="O1207" s="39" t="str">
        <f>IF(AND($B1207&gt;='111'!$N$11,$B1207&lt;='111'!$O$11,OR($L1207=$O$7,$M1207=$O$7)),"x","")</f>
        <v/>
      </c>
      <c r="P1207" s="39" t="str">
        <f>IF(AND($L1207=$O$7,$B1207&lt;'111'!$N$11),"x","")</f>
        <v/>
      </c>
      <c r="Q1207" s="39" t="str">
        <f>IF(AND($M1207=$O$7,$B1207&lt;'111'!$N$11),"x","")</f>
        <v/>
      </c>
      <c r="R1207" s="39" t="str">
        <f>IF(ISERROR(FIND('112'!$M$9,G1207,1)),"",IF((AND(FIND('112'!$M$9,G1207,1)&gt;=1,$B1207&gt;='112'!$N$8,$B1207&lt;='112'!$O$8,OR($L1207='112'!$I$6,$M1207='112'!$I$6))),"x",""))</f>
        <v/>
      </c>
      <c r="S1207" s="39" t="str">
        <f>IF(ISERROR(FIND('112'!$M$9,G1207,1)),"",IF((AND(LEFT(G1207,2)=LEFT('112'!$M$9,2),B1207&lt;'112'!$N$8,$L1207='112'!$I$6)),"x",""))</f>
        <v/>
      </c>
      <c r="T1207" s="39" t="str">
        <f>IF(ISERROR(FIND('112'!$M$9,G1207,1)),"",IF((AND(RIGHT(G1207,2)=RIGHT('112'!$M$9,2),B1207&lt;'112'!$N$8,$M1207='112'!$I$6)),"x",""))</f>
        <v/>
      </c>
      <c r="U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39" t="str">
        <f>IF(OR(TH!L1207=TH!$V$7,M1207=TH!$V$7),"x","")</f>
        <v/>
      </c>
      <c r="W1207" s="39" t="str">
        <f>IF(AND(B1207&gt;='IN-NX'!$P$3,B1207&lt;='IN-NX'!$Q$3,'IN-NX'!$D$7=D1207,OR(LEFT(L1207,2)="15",AND(LEFT(M1207,2)&lt;&gt;"15",LEFT(M1207,2)&lt;&gt;"33"))),"x","")</f>
        <v/>
      </c>
      <c r="X1207" s="39" t="str">
        <f>IF(AND(OR(LEFT(TH!L1207,2)="15",LEFT(TH!M1207,2)="15"),'152-CT'!$J$8=TH!F1207),"x","")</f>
        <v/>
      </c>
      <c r="Y1207" s="39" t="str">
        <f>IF(AND(OR(LEFT(TH!L1207,2)="15",LEFT(TH!M1207,2)="15"),TK!$E$7=TH!F1207),"x","")</f>
        <v/>
      </c>
      <c r="Z1207" s="39" t="str">
        <f>IF(AND(B1207&lt;=NKC!$N$8,B1207&gt;=NKC!$M$8),"x","")</f>
        <v>x</v>
      </c>
      <c r="AA1207" s="886"/>
    </row>
    <row r="1208" spans="1:27" s="211" customFormat="1" ht="15.75" customHeight="1">
      <c r="A1208" s="204" t="str">
        <f>IF(B1208&lt;&gt;"",IF(AND(B1208&gt;=_TM1,B1208&lt;=_TM2,OR(TH!L1208="1111",TH!M1208="1111")),TH!D1208,""),"")</f>
        <v/>
      </c>
      <c r="B1208" s="36">
        <f t="shared" si="227"/>
        <v>8</v>
      </c>
      <c r="C1208" s="191">
        <f t="shared" si="225"/>
        <v>41508</v>
      </c>
      <c r="D1208" s="191" t="s">
        <v>1294</v>
      </c>
      <c r="E1208" s="774">
        <v>41508</v>
      </c>
      <c r="F1208" s="297"/>
      <c r="G1208" s="40" t="s">
        <v>921</v>
      </c>
      <c r="H1208" s="7" t="s">
        <v>1287</v>
      </c>
      <c r="I1208" s="256"/>
      <c r="J1208" s="256"/>
      <c r="K1208" s="602">
        <f t="shared" si="226"/>
        <v>0</v>
      </c>
      <c r="L1208" s="39" t="s">
        <v>165</v>
      </c>
      <c r="M1208" s="603" t="s">
        <v>159</v>
      </c>
      <c r="N1208" s="39" t="str">
        <f>IF(AND('331-CT'!$E$7=TH!H1208,OR(L1208="331",M1208="331")),"331",IF(AND(OR(L1208="131",M1208="131"),H1208='131-CT'!$E$7),"131",""))</f>
        <v/>
      </c>
      <c r="O1208" s="39" t="str">
        <f>IF(AND($B1208&gt;='111'!$N$11,$B1208&lt;='111'!$O$11,OR($L1208=$O$7,$M1208=$O$7)),"x","")</f>
        <v/>
      </c>
      <c r="P1208" s="39" t="str">
        <f>IF(AND($L1208=$O$7,$B1208&lt;'111'!$N$11),"x","")</f>
        <v/>
      </c>
      <c r="Q1208" s="39" t="str">
        <f>IF(AND($M1208=$O$7,$B1208&lt;'111'!$N$11),"x","")</f>
        <v/>
      </c>
      <c r="R1208" s="39" t="str">
        <f>IF(ISERROR(FIND('112'!$M$9,G1208,1)),"",IF((AND(FIND('112'!$M$9,G1208,1)&gt;=1,$B1208&gt;='112'!$N$8,$B1208&lt;='112'!$O$8,OR($L1208='112'!$I$6,$M1208='112'!$I$6))),"x",""))</f>
        <v/>
      </c>
      <c r="S1208" s="39" t="str">
        <f>IF(ISERROR(FIND('112'!$M$9,G1208,1)),"",IF((AND(LEFT(G1208,2)=LEFT('112'!$M$9,2),B1208&lt;'112'!$N$8,$L1208='112'!$I$6)),"x",""))</f>
        <v/>
      </c>
      <c r="T1208" s="39" t="str">
        <f>IF(ISERROR(FIND('112'!$M$9,G1208,1)),"",IF((AND(RIGHT(G1208,2)=RIGHT('112'!$M$9,2),B1208&lt;'112'!$N$8,$M1208='112'!$I$6)),"x",""))</f>
        <v/>
      </c>
      <c r="U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39" t="str">
        <f>IF(OR(TH!L1208=TH!$V$7,M1208=TH!$V$7),"x","")</f>
        <v/>
      </c>
      <c r="W1208" s="39" t="str">
        <f>IF(AND(B1208&gt;='IN-NX'!$P$3,B1208&lt;='IN-NX'!$Q$3,'IN-NX'!$D$7=D1208,OR(LEFT(L1208,2)="15",AND(LEFT(M1208,2)&lt;&gt;"15",LEFT(M1208,2)&lt;&gt;"33"))),"x","")</f>
        <v/>
      </c>
      <c r="X1208" s="39" t="str">
        <f>IF(AND(OR(LEFT(TH!L1208,2)="15",LEFT(TH!M1208,2)="15"),'152-CT'!$J$8=TH!F1208),"x","")</f>
        <v/>
      </c>
      <c r="Y1208" s="39" t="str">
        <f>IF(AND(OR(LEFT(TH!L1208,2)="15",LEFT(TH!M1208,2)="15"),TK!$E$7=TH!F1208),"x","")</f>
        <v/>
      </c>
      <c r="Z1208" s="39" t="str">
        <f>IF(AND(B1208&lt;=NKC!$N$8,B1208&gt;=NKC!$M$8),"x","")</f>
        <v>x</v>
      </c>
      <c r="AA1208" s="886"/>
    </row>
    <row r="1209" spans="1:27" s="211" customFormat="1" ht="15.75" customHeight="1">
      <c r="A1209" s="204" t="str">
        <f>IF(B1209&lt;&gt;"",IF(AND(B1209&gt;=_TM1,B1209&lt;=_TM2,OR(TH!L1209="1111",TH!M1209="1111")),TH!D1209,""),"")</f>
        <v/>
      </c>
      <c r="B1209" s="36">
        <f t="shared" si="227"/>
        <v>8</v>
      </c>
      <c r="C1209" s="191">
        <f t="shared" si="225"/>
        <v>41509</v>
      </c>
      <c r="D1209" s="191" t="s">
        <v>1294</v>
      </c>
      <c r="E1209" s="774">
        <v>41509</v>
      </c>
      <c r="F1209" s="40"/>
      <c r="G1209" s="40" t="s">
        <v>923</v>
      </c>
      <c r="H1209" s="7" t="s">
        <v>1287</v>
      </c>
      <c r="I1209" s="256"/>
      <c r="J1209" s="256"/>
      <c r="K1209" s="602">
        <f t="shared" si="226"/>
        <v>0</v>
      </c>
      <c r="L1209" s="39" t="s">
        <v>165</v>
      </c>
      <c r="M1209" s="603" t="s">
        <v>159</v>
      </c>
      <c r="N1209" s="39" t="str">
        <f>IF(AND('331-CT'!$E$7=TH!H1209,OR(L1209="331",M1209="331")),"331",IF(AND(OR(L1209="131",M1209="131"),H1209='131-CT'!$E$7),"131",""))</f>
        <v/>
      </c>
      <c r="O1209" s="39" t="str">
        <f>IF(AND($B1209&gt;='111'!$N$11,$B1209&lt;='111'!$O$11,OR($L1209=$O$7,$M1209=$O$7)),"x","")</f>
        <v/>
      </c>
      <c r="P1209" s="39" t="str">
        <f>IF(AND($L1209=$O$7,$B1209&lt;'111'!$N$11),"x","")</f>
        <v/>
      </c>
      <c r="Q1209" s="39" t="str">
        <f>IF(AND($M1209=$O$7,$B1209&lt;'111'!$N$11),"x","")</f>
        <v/>
      </c>
      <c r="R1209" s="39" t="str">
        <f>IF(ISERROR(FIND('112'!$M$9,G1209,1)),"",IF((AND(FIND('112'!$M$9,G1209,1)&gt;=1,$B1209&gt;='112'!$N$8,$B1209&lt;='112'!$O$8,OR($L1209='112'!$I$6,$M1209='112'!$I$6))),"x",""))</f>
        <v/>
      </c>
      <c r="S1209" s="39" t="str">
        <f>IF(ISERROR(FIND('112'!$M$9,G1209,1)),"",IF((AND(LEFT(G1209,2)=LEFT('112'!$M$9,2),B1209&lt;'112'!$N$8,$L1209='112'!$I$6)),"x",""))</f>
        <v/>
      </c>
      <c r="T1209" s="39" t="str">
        <f>IF(ISERROR(FIND('112'!$M$9,G1209,1)),"",IF((AND(RIGHT(G1209,2)=RIGHT('112'!$M$9,2),B1209&lt;'112'!$N$8,$M1209='112'!$I$6)),"x",""))</f>
        <v/>
      </c>
      <c r="U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39" t="str">
        <f>IF(OR(TH!L1209=TH!$V$7,M1209=TH!$V$7),"x","")</f>
        <v/>
      </c>
      <c r="W1209" s="39" t="str">
        <f>IF(AND(B1209&gt;='IN-NX'!$P$3,B1209&lt;='IN-NX'!$Q$3,'IN-NX'!$D$7=D1209,OR(LEFT(L1209,2)="15",AND(LEFT(M1209,2)&lt;&gt;"15",LEFT(M1209,2)&lt;&gt;"33"))),"x","")</f>
        <v/>
      </c>
      <c r="X1209" s="39" t="str">
        <f>IF(AND(OR(LEFT(TH!L1209,2)="15",LEFT(TH!M1209,2)="15"),'152-CT'!$J$8=TH!F1209),"x","")</f>
        <v/>
      </c>
      <c r="Y1209" s="39" t="str">
        <f>IF(AND(OR(LEFT(TH!L1209,2)="15",LEFT(TH!M1209,2)="15"),TK!$E$7=TH!F1209),"x","")</f>
        <v/>
      </c>
      <c r="Z1209" s="39" t="str">
        <f>IF(AND(B1209&lt;=NKC!$N$8,B1209&gt;=NKC!$M$8),"x","")</f>
        <v>x</v>
      </c>
      <c r="AA1209" s="886"/>
    </row>
    <row r="1210" spans="1:27" s="211" customFormat="1" ht="15.75" customHeight="1">
      <c r="A1210" s="204" t="str">
        <f>IF(B1210&lt;&gt;"",IF(AND(B1210&gt;=_TM1,B1210&lt;=_TM2,OR(TH!L1210="1111",TH!M1210="1111")),TH!D1210,""),"")</f>
        <v/>
      </c>
      <c r="B1210" s="36">
        <f t="shared" si="227"/>
        <v>8</v>
      </c>
      <c r="C1210" s="191">
        <f t="shared" si="225"/>
        <v>41509</v>
      </c>
      <c r="D1210" s="191" t="s">
        <v>1294</v>
      </c>
      <c r="E1210" s="37">
        <v>41509</v>
      </c>
      <c r="F1210" s="40"/>
      <c r="G1210" s="40" t="s">
        <v>923</v>
      </c>
      <c r="H1210" s="7" t="s">
        <v>1287</v>
      </c>
      <c r="I1210" s="256"/>
      <c r="J1210" s="256"/>
      <c r="K1210" s="602">
        <f t="shared" si="226"/>
        <v>0</v>
      </c>
      <c r="L1210" s="39" t="s">
        <v>165</v>
      </c>
      <c r="M1210" s="603" t="s">
        <v>159</v>
      </c>
      <c r="N1210" s="39" t="str">
        <f>IF(AND('331-CT'!$E$7=TH!H1210,OR(L1210="331",M1210="331")),"331",IF(AND(OR(L1210="131",M1210="131"),H1210='131-CT'!$E$7),"131",""))</f>
        <v/>
      </c>
      <c r="O1210" s="39" t="str">
        <f>IF(AND($B1210&gt;='111'!$N$11,$B1210&lt;='111'!$O$11,OR($L1210=$O$7,$M1210=$O$7)),"x","")</f>
        <v/>
      </c>
      <c r="P1210" s="39" t="str">
        <f>IF(AND($L1210=$O$7,$B1210&lt;'111'!$N$11),"x","")</f>
        <v/>
      </c>
      <c r="Q1210" s="39" t="str">
        <f>IF(AND($M1210=$O$7,$B1210&lt;'111'!$N$11),"x","")</f>
        <v/>
      </c>
      <c r="R1210" s="39" t="str">
        <f>IF(ISERROR(FIND('112'!$M$9,G1210,1)),"",IF((AND(FIND('112'!$M$9,G1210,1)&gt;=1,$B1210&gt;='112'!$N$8,$B1210&lt;='112'!$O$8,OR($L1210='112'!$I$6,$M1210='112'!$I$6))),"x",""))</f>
        <v/>
      </c>
      <c r="S1210" s="39" t="str">
        <f>IF(ISERROR(FIND('112'!$M$9,G1210,1)),"",IF((AND(LEFT(G1210,2)=LEFT('112'!$M$9,2),B1210&lt;'112'!$N$8,$L1210='112'!$I$6)),"x",""))</f>
        <v/>
      </c>
      <c r="T1210" s="39" t="str">
        <f>IF(ISERROR(FIND('112'!$M$9,G1210,1)),"",IF((AND(RIGHT(G1210,2)=RIGHT('112'!$M$9,2),B1210&lt;'112'!$N$8,$M1210='112'!$I$6)),"x",""))</f>
        <v/>
      </c>
      <c r="U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39" t="str">
        <f>IF(OR(TH!L1210=TH!$V$7,M1210=TH!$V$7),"x","")</f>
        <v/>
      </c>
      <c r="W1210" s="39" t="str">
        <f>IF(AND(B1210&gt;='IN-NX'!$P$3,B1210&lt;='IN-NX'!$Q$3,'IN-NX'!$D$7=D1210,OR(LEFT(L1210,2)="15",AND(LEFT(M1210,2)&lt;&gt;"15",LEFT(M1210,2)&lt;&gt;"33"))),"x","")</f>
        <v/>
      </c>
      <c r="X1210" s="39" t="str">
        <f>IF(AND(OR(LEFT(TH!L1210,2)="15",LEFT(TH!M1210,2)="15"),'152-CT'!$J$8=TH!F1210),"x","")</f>
        <v/>
      </c>
      <c r="Y1210" s="39" t="str">
        <f>IF(AND(OR(LEFT(TH!L1210,2)="15",LEFT(TH!M1210,2)="15"),TK!$E$7=TH!F1210),"x","")</f>
        <v/>
      </c>
      <c r="Z1210" s="39" t="str">
        <f>IF(AND(B1210&lt;=NKC!$N$8,B1210&gt;=NKC!$M$8),"x","")</f>
        <v>x</v>
      </c>
      <c r="AA1210" s="886"/>
    </row>
    <row r="1211" spans="1:27" s="211" customFormat="1" ht="15.75" customHeight="1">
      <c r="A1211" s="204" t="str">
        <f>IF(B1211&lt;&gt;"",IF(AND(B1211&gt;=_TM1,B1211&lt;=_TM2,OR(TH!L1211="1111",TH!M1211="1111")),TH!D1211,""),"")</f>
        <v/>
      </c>
      <c r="B1211" s="36">
        <f t="shared" si="227"/>
        <v>8</v>
      </c>
      <c r="C1211" s="191">
        <f t="shared" si="225"/>
        <v>41509</v>
      </c>
      <c r="D1211" s="191" t="s">
        <v>1294</v>
      </c>
      <c r="E1211" s="37">
        <v>41509</v>
      </c>
      <c r="F1211" s="192"/>
      <c r="G1211" s="40" t="s">
        <v>1116</v>
      </c>
      <c r="H1211" s="7" t="s">
        <v>1287</v>
      </c>
      <c r="I1211" s="256"/>
      <c r="J1211" s="256"/>
      <c r="K1211" s="602">
        <f t="shared" si="226"/>
        <v>0</v>
      </c>
      <c r="L1211" s="39" t="s">
        <v>165</v>
      </c>
      <c r="M1211" s="603" t="s">
        <v>159</v>
      </c>
      <c r="N1211" s="39" t="str">
        <f>IF(AND('331-CT'!$E$7=TH!H1211,OR(L1211="331",M1211="331")),"331",IF(AND(OR(L1211="131",M1211="131"),H1211='131-CT'!$E$7),"131",""))</f>
        <v/>
      </c>
      <c r="O1211" s="39" t="str">
        <f>IF(AND($B1211&gt;='111'!$N$11,$B1211&lt;='111'!$O$11,OR($L1211=$O$7,$M1211=$O$7)),"x","")</f>
        <v/>
      </c>
      <c r="P1211" s="39" t="str">
        <f>IF(AND($L1211=$O$7,$B1211&lt;'111'!$N$11),"x","")</f>
        <v/>
      </c>
      <c r="Q1211" s="39" t="str">
        <f>IF(AND($M1211=$O$7,$B1211&lt;'111'!$N$11),"x","")</f>
        <v/>
      </c>
      <c r="R1211" s="39" t="str">
        <f>IF(ISERROR(FIND('112'!$M$9,G1211,1)),"",IF((AND(FIND('112'!$M$9,G1211,1)&gt;=1,$B1211&gt;='112'!$N$8,$B1211&lt;='112'!$O$8,OR($L1211='112'!$I$6,$M1211='112'!$I$6))),"x",""))</f>
        <v/>
      </c>
      <c r="S1211" s="39" t="str">
        <f>IF(ISERROR(FIND('112'!$M$9,G1211,1)),"",IF((AND(LEFT(G1211,2)=LEFT('112'!$M$9,2),B1211&lt;'112'!$N$8,$L1211='112'!$I$6)),"x",""))</f>
        <v/>
      </c>
      <c r="T1211" s="39" t="str">
        <f>IF(ISERROR(FIND('112'!$M$9,G1211,1)),"",IF((AND(RIGHT(G1211,2)=RIGHT('112'!$M$9,2),B1211&lt;'112'!$N$8,$M1211='112'!$I$6)),"x",""))</f>
        <v/>
      </c>
      <c r="U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39" t="str">
        <f>IF(OR(TH!L1211=TH!$V$7,M1211=TH!$V$7),"x","")</f>
        <v/>
      </c>
      <c r="W1211" s="39" t="str">
        <f>IF(AND(B1211&gt;='IN-NX'!$P$3,B1211&lt;='IN-NX'!$Q$3,'IN-NX'!$D$7=D1211,OR(LEFT(L1211,2)="15",AND(LEFT(M1211,2)&lt;&gt;"15",LEFT(M1211,2)&lt;&gt;"33"))),"x","")</f>
        <v/>
      </c>
      <c r="X1211" s="39" t="str">
        <f>IF(AND(OR(LEFT(TH!L1211,2)="15",LEFT(TH!M1211,2)="15"),'152-CT'!$J$8=TH!F1211),"x","")</f>
        <v/>
      </c>
      <c r="Y1211" s="39" t="str">
        <f>IF(AND(OR(LEFT(TH!L1211,2)="15",LEFT(TH!M1211,2)="15"),TK!$E$7=TH!F1211),"x","")</f>
        <v/>
      </c>
      <c r="Z1211" s="39" t="str">
        <f>IF(AND(B1211&lt;=NKC!$N$8,B1211&gt;=NKC!$M$8),"x","")</f>
        <v>x</v>
      </c>
      <c r="AA1211" s="886"/>
    </row>
    <row r="1212" spans="1:27" s="211" customFormat="1" ht="15.75" customHeight="1">
      <c r="A1212" s="204" t="str">
        <f>IF(B1212&lt;&gt;"",IF(AND(B1212&gt;=_TM1,B1212&lt;=_TM2,OR(TH!L1212="1111",TH!M1212="1111")),TH!D1212,""),"")</f>
        <v/>
      </c>
      <c r="B1212" s="36">
        <f t="shared" si="227"/>
        <v>8</v>
      </c>
      <c r="C1212" s="191">
        <f t="shared" si="225"/>
        <v>41509</v>
      </c>
      <c r="D1212" s="191" t="s">
        <v>1294</v>
      </c>
      <c r="E1212" s="37">
        <v>41509</v>
      </c>
      <c r="F1212" s="40"/>
      <c r="G1212" s="40" t="s">
        <v>1116</v>
      </c>
      <c r="H1212" s="7" t="s">
        <v>1287</v>
      </c>
      <c r="I1212" s="256"/>
      <c r="J1212" s="256"/>
      <c r="K1212" s="602">
        <f t="shared" si="226"/>
        <v>0</v>
      </c>
      <c r="L1212" s="39" t="s">
        <v>165</v>
      </c>
      <c r="M1212" s="603" t="s">
        <v>159</v>
      </c>
      <c r="N1212" s="39" t="str">
        <f>IF(AND('331-CT'!$E$7=TH!H1212,OR(L1212="331",M1212="331")),"331",IF(AND(OR(L1212="131",M1212="131"),H1212='131-CT'!$E$7),"131",""))</f>
        <v/>
      </c>
      <c r="O1212" s="39" t="str">
        <f>IF(AND($B1212&gt;='111'!$N$11,$B1212&lt;='111'!$O$11,OR($L1212=$O$7,$M1212=$O$7)),"x","")</f>
        <v/>
      </c>
      <c r="P1212" s="39" t="str">
        <f>IF(AND($L1212=$O$7,$B1212&lt;'111'!$N$11),"x","")</f>
        <v/>
      </c>
      <c r="Q1212" s="39" t="str">
        <f>IF(AND($M1212=$O$7,$B1212&lt;'111'!$N$11),"x","")</f>
        <v/>
      </c>
      <c r="R1212" s="39" t="str">
        <f>IF(ISERROR(FIND('112'!$M$9,G1212,1)),"",IF((AND(FIND('112'!$M$9,G1212,1)&gt;=1,$B1212&gt;='112'!$N$8,$B1212&lt;='112'!$O$8,OR($L1212='112'!$I$6,$M1212='112'!$I$6))),"x",""))</f>
        <v/>
      </c>
      <c r="S1212" s="39" t="str">
        <f>IF(ISERROR(FIND('112'!$M$9,G1212,1)),"",IF((AND(LEFT(G1212,2)=LEFT('112'!$M$9,2),B1212&lt;'112'!$N$8,$L1212='112'!$I$6)),"x",""))</f>
        <v/>
      </c>
      <c r="T1212" s="39" t="str">
        <f>IF(ISERROR(FIND('112'!$M$9,G1212,1)),"",IF((AND(RIGHT(G1212,2)=RIGHT('112'!$M$9,2),B1212&lt;'112'!$N$8,$M1212='112'!$I$6)),"x",""))</f>
        <v/>
      </c>
      <c r="U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39" t="str">
        <f>IF(OR(TH!L1212=TH!$V$7,M1212=TH!$V$7),"x","")</f>
        <v/>
      </c>
      <c r="W1212" s="39" t="str">
        <f>IF(AND(B1212&gt;='IN-NX'!$P$3,B1212&lt;='IN-NX'!$Q$3,'IN-NX'!$D$7=D1212,OR(LEFT(L1212,2)="15",AND(LEFT(M1212,2)&lt;&gt;"15",LEFT(M1212,2)&lt;&gt;"33"))),"x","")</f>
        <v/>
      </c>
      <c r="X1212" s="39" t="str">
        <f>IF(AND(OR(LEFT(TH!L1212,2)="15",LEFT(TH!M1212,2)="15"),'152-CT'!$J$8=TH!F1212),"x","")</f>
        <v/>
      </c>
      <c r="Y1212" s="39" t="str">
        <f>IF(AND(OR(LEFT(TH!L1212,2)="15",LEFT(TH!M1212,2)="15"),TK!$E$7=TH!F1212),"x","")</f>
        <v/>
      </c>
      <c r="Z1212" s="39" t="str">
        <f>IF(AND(B1212&lt;=NKC!$N$8,B1212&gt;=NKC!$M$8),"x","")</f>
        <v>x</v>
      </c>
      <c r="AA1212" s="886"/>
    </row>
    <row r="1213" spans="1:27" s="211" customFormat="1" ht="15.75" customHeight="1">
      <c r="A1213" s="204" t="str">
        <f>IF(B1213&lt;&gt;"",IF(AND(B1213&gt;=_TM1,B1213&lt;=_TM2,OR(TH!L1213="1111",TH!M1213="1111")),TH!D1213,""),"")</f>
        <v/>
      </c>
      <c r="B1213" s="36">
        <f t="shared" si="227"/>
        <v>8</v>
      </c>
      <c r="C1213" s="191">
        <f t="shared" si="225"/>
        <v>41513</v>
      </c>
      <c r="D1213" s="191" t="s">
        <v>1294</v>
      </c>
      <c r="E1213" s="37">
        <v>41513</v>
      </c>
      <c r="F1213" s="40"/>
      <c r="G1213" s="40" t="s">
        <v>1117</v>
      </c>
      <c r="H1213" s="7" t="s">
        <v>1287</v>
      </c>
      <c r="I1213" s="256"/>
      <c r="J1213" s="256"/>
      <c r="K1213" s="602">
        <f t="shared" si="226"/>
        <v>0</v>
      </c>
      <c r="L1213" s="39" t="s">
        <v>165</v>
      </c>
      <c r="M1213" s="603" t="s">
        <v>159</v>
      </c>
      <c r="N1213" s="39" t="str">
        <f>IF(AND('331-CT'!$E$7=TH!H1213,OR(L1213="331",M1213="331")),"331",IF(AND(OR(L1213="131",M1213="131"),H1213='131-CT'!$E$7),"131",""))</f>
        <v/>
      </c>
      <c r="O1213" s="39" t="str">
        <f>IF(AND($B1213&gt;='111'!$N$11,$B1213&lt;='111'!$O$11,OR($L1213=$O$7,$M1213=$O$7)),"x","")</f>
        <v/>
      </c>
      <c r="P1213" s="39" t="str">
        <f>IF(AND($L1213=$O$7,$B1213&lt;'111'!$N$11),"x","")</f>
        <v/>
      </c>
      <c r="Q1213" s="39" t="str">
        <f>IF(AND($M1213=$O$7,$B1213&lt;'111'!$N$11),"x","")</f>
        <v/>
      </c>
      <c r="R1213" s="39" t="str">
        <f>IF(ISERROR(FIND('112'!$M$9,G1213,1)),"",IF((AND(FIND('112'!$M$9,G1213,1)&gt;=1,$B1213&gt;='112'!$N$8,$B1213&lt;='112'!$O$8,OR($L1213='112'!$I$6,$M1213='112'!$I$6))),"x",""))</f>
        <v/>
      </c>
      <c r="S1213" s="39" t="str">
        <f>IF(ISERROR(FIND('112'!$M$9,G1213,1)),"",IF((AND(LEFT(G1213,2)=LEFT('112'!$M$9,2),B1213&lt;'112'!$N$8,$L1213='112'!$I$6)),"x",""))</f>
        <v/>
      </c>
      <c r="T1213" s="39" t="str">
        <f>IF(ISERROR(FIND('112'!$M$9,G1213,1)),"",IF((AND(RIGHT(G1213,2)=RIGHT('112'!$M$9,2),B1213&lt;'112'!$N$8,$M1213='112'!$I$6)),"x",""))</f>
        <v/>
      </c>
      <c r="U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39" t="str">
        <f>IF(OR(TH!L1213=TH!$V$7,M1213=TH!$V$7),"x","")</f>
        <v/>
      </c>
      <c r="W1213" s="39" t="str">
        <f>IF(AND(B1213&gt;='IN-NX'!$P$3,B1213&lt;='IN-NX'!$Q$3,'IN-NX'!$D$7=D1213,OR(LEFT(L1213,2)="15",AND(LEFT(M1213,2)&lt;&gt;"15",LEFT(M1213,2)&lt;&gt;"33"))),"x","")</f>
        <v/>
      </c>
      <c r="X1213" s="39" t="str">
        <f>IF(AND(OR(LEFT(TH!L1213,2)="15",LEFT(TH!M1213,2)="15"),'152-CT'!$J$8=TH!F1213),"x","")</f>
        <v/>
      </c>
      <c r="Y1213" s="39" t="str">
        <f>IF(AND(OR(LEFT(TH!L1213,2)="15",LEFT(TH!M1213,2)="15"),TK!$E$7=TH!F1213),"x","")</f>
        <v/>
      </c>
      <c r="Z1213" s="39" t="str">
        <f>IF(AND(B1213&lt;=NKC!$N$8,B1213&gt;=NKC!$M$8),"x","")</f>
        <v>x</v>
      </c>
      <c r="AA1213" s="886"/>
    </row>
    <row r="1214" spans="1:27" s="211" customFormat="1" ht="15.75" customHeight="1">
      <c r="A1214" s="204" t="str">
        <f>IF(B1214&lt;&gt;"",IF(AND(B1214&gt;=_TM1,B1214&lt;=_TM2,OR(TH!L1214="1111",TH!M1214="1111")),TH!D1214,""),"")</f>
        <v/>
      </c>
      <c r="B1214" s="36">
        <f t="shared" si="227"/>
        <v>8</v>
      </c>
      <c r="C1214" s="191">
        <f t="shared" si="225"/>
        <v>41513</v>
      </c>
      <c r="D1214" s="191" t="s">
        <v>1294</v>
      </c>
      <c r="E1214" s="37">
        <v>41513</v>
      </c>
      <c r="F1214" s="192"/>
      <c r="G1214" s="40" t="s">
        <v>1117</v>
      </c>
      <c r="H1214" s="7" t="s">
        <v>1287</v>
      </c>
      <c r="I1214" s="256"/>
      <c r="J1214" s="256"/>
      <c r="K1214" s="602">
        <f t="shared" si="226"/>
        <v>0</v>
      </c>
      <c r="L1214" s="39" t="s">
        <v>165</v>
      </c>
      <c r="M1214" s="603" t="s">
        <v>159</v>
      </c>
      <c r="N1214" s="39" t="str">
        <f>IF(AND('331-CT'!$E$7=TH!H1214,OR(L1214="331",M1214="331")),"331",IF(AND(OR(L1214="131",M1214="131"),H1214='131-CT'!$E$7),"131",""))</f>
        <v/>
      </c>
      <c r="O1214" s="39" t="str">
        <f>IF(AND($B1214&gt;='111'!$N$11,$B1214&lt;='111'!$O$11,OR($L1214=$O$7,$M1214=$O$7)),"x","")</f>
        <v/>
      </c>
      <c r="P1214" s="39" t="str">
        <f>IF(AND($L1214=$O$7,$B1214&lt;'111'!$N$11),"x","")</f>
        <v/>
      </c>
      <c r="Q1214" s="39" t="str">
        <f>IF(AND($M1214=$O$7,$B1214&lt;'111'!$N$11),"x","")</f>
        <v/>
      </c>
      <c r="R1214" s="39" t="str">
        <f>IF(ISERROR(FIND('112'!$M$9,G1214,1)),"",IF((AND(FIND('112'!$M$9,G1214,1)&gt;=1,$B1214&gt;='112'!$N$8,$B1214&lt;='112'!$O$8,OR($L1214='112'!$I$6,$M1214='112'!$I$6))),"x",""))</f>
        <v/>
      </c>
      <c r="S1214" s="39" t="str">
        <f>IF(ISERROR(FIND('112'!$M$9,G1214,1)),"",IF((AND(LEFT(G1214,2)=LEFT('112'!$M$9,2),B1214&lt;'112'!$N$8,$L1214='112'!$I$6)),"x",""))</f>
        <v/>
      </c>
      <c r="T1214" s="39" t="str">
        <f>IF(ISERROR(FIND('112'!$M$9,G1214,1)),"",IF((AND(RIGHT(G1214,2)=RIGHT('112'!$M$9,2),B1214&lt;'112'!$N$8,$M1214='112'!$I$6)),"x",""))</f>
        <v/>
      </c>
      <c r="U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39" t="str">
        <f>IF(OR(TH!L1214=TH!$V$7,M1214=TH!$V$7),"x","")</f>
        <v/>
      </c>
      <c r="W1214" s="39" t="str">
        <f>IF(AND(B1214&gt;='IN-NX'!$P$3,B1214&lt;='IN-NX'!$Q$3,'IN-NX'!$D$7=D1214,OR(LEFT(L1214,2)="15",AND(LEFT(M1214,2)&lt;&gt;"15",LEFT(M1214,2)&lt;&gt;"33"))),"x","")</f>
        <v/>
      </c>
      <c r="X1214" s="39" t="str">
        <f>IF(AND(OR(LEFT(TH!L1214,2)="15",LEFT(TH!M1214,2)="15"),'152-CT'!$J$8=TH!F1214),"x","")</f>
        <v/>
      </c>
      <c r="Y1214" s="39" t="str">
        <f>IF(AND(OR(LEFT(TH!L1214,2)="15",LEFT(TH!M1214,2)="15"),TK!$E$7=TH!F1214),"x","")</f>
        <v/>
      </c>
      <c r="Z1214" s="39" t="str">
        <f>IF(AND(B1214&lt;=NKC!$N$8,B1214&gt;=NKC!$M$8),"x","")</f>
        <v>x</v>
      </c>
      <c r="AA1214" s="886"/>
    </row>
    <row r="1215" spans="1:27" s="211" customFormat="1" ht="15.75" customHeight="1">
      <c r="A1215" s="204" t="str">
        <f>IF(B1215&lt;&gt;"",IF(AND(B1215&gt;=_TM1,B1215&lt;=_TM2,OR(TH!L1215="1111",TH!M1215="1111")),TH!D1215,""),"")</f>
        <v/>
      </c>
      <c r="B1215" s="36">
        <f t="shared" si="227"/>
        <v>8</v>
      </c>
      <c r="C1215" s="191">
        <f t="shared" si="225"/>
        <v>41513</v>
      </c>
      <c r="D1215" s="191" t="s">
        <v>1294</v>
      </c>
      <c r="E1215" s="37">
        <v>41513</v>
      </c>
      <c r="F1215" s="189"/>
      <c r="G1215" s="40" t="s">
        <v>1117</v>
      </c>
      <c r="H1215" s="7" t="s">
        <v>1287</v>
      </c>
      <c r="I1215" s="256"/>
      <c r="J1215" s="256"/>
      <c r="K1215" s="602">
        <f t="shared" si="226"/>
        <v>0</v>
      </c>
      <c r="L1215" s="39" t="s">
        <v>165</v>
      </c>
      <c r="M1215" s="603" t="s">
        <v>159</v>
      </c>
      <c r="N1215" s="39" t="str">
        <f>IF(AND('331-CT'!$E$7=TH!H1215,OR(L1215="331",M1215="331")),"331",IF(AND(OR(L1215="131",M1215="131"),H1215='131-CT'!$E$7),"131",""))</f>
        <v/>
      </c>
      <c r="O1215" s="39" t="str">
        <f>IF(AND($B1215&gt;='111'!$N$11,$B1215&lt;='111'!$O$11,OR($L1215=$O$7,$M1215=$O$7)),"x","")</f>
        <v/>
      </c>
      <c r="P1215" s="39" t="str">
        <f>IF(AND($L1215=$O$7,$B1215&lt;'111'!$N$11),"x","")</f>
        <v/>
      </c>
      <c r="Q1215" s="39" t="str">
        <f>IF(AND($M1215=$O$7,$B1215&lt;'111'!$N$11),"x","")</f>
        <v/>
      </c>
      <c r="R1215" s="39" t="str">
        <f>IF(ISERROR(FIND('112'!$M$9,G1215,1)),"",IF((AND(FIND('112'!$M$9,G1215,1)&gt;=1,$B1215&gt;='112'!$N$8,$B1215&lt;='112'!$O$8,OR($L1215='112'!$I$6,$M1215='112'!$I$6))),"x",""))</f>
        <v/>
      </c>
      <c r="S1215" s="39" t="str">
        <f>IF(ISERROR(FIND('112'!$M$9,G1215,1)),"",IF((AND(LEFT(G1215,2)=LEFT('112'!$M$9,2),B1215&lt;'112'!$N$8,$L1215='112'!$I$6)),"x",""))</f>
        <v/>
      </c>
      <c r="T1215" s="39" t="str">
        <f>IF(ISERROR(FIND('112'!$M$9,G1215,1)),"",IF((AND(RIGHT(G1215,2)=RIGHT('112'!$M$9,2),B1215&lt;'112'!$N$8,$M1215='112'!$I$6)),"x",""))</f>
        <v/>
      </c>
      <c r="U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39" t="str">
        <f>IF(OR(TH!L1215=TH!$V$7,M1215=TH!$V$7),"x","")</f>
        <v/>
      </c>
      <c r="W1215" s="39" t="str">
        <f>IF(AND(B1215&gt;='IN-NX'!$P$3,B1215&lt;='IN-NX'!$Q$3,'IN-NX'!$D$7=D1215,OR(LEFT(L1215,2)="15",AND(LEFT(M1215,2)&lt;&gt;"15",LEFT(M1215,2)&lt;&gt;"33"))),"x","")</f>
        <v/>
      </c>
      <c r="X1215" s="39" t="str">
        <f>IF(AND(OR(LEFT(TH!L1215,2)="15",LEFT(TH!M1215,2)="15"),'152-CT'!$J$8=TH!F1215),"x","")</f>
        <v/>
      </c>
      <c r="Y1215" s="39" t="str">
        <f>IF(AND(OR(LEFT(TH!L1215,2)="15",LEFT(TH!M1215,2)="15"),TK!$E$7=TH!F1215),"x","")</f>
        <v/>
      </c>
      <c r="Z1215" s="39" t="str">
        <f>IF(AND(B1215&lt;=NKC!$N$8,B1215&gt;=NKC!$M$8),"x","")</f>
        <v>x</v>
      </c>
      <c r="AA1215" s="886"/>
    </row>
    <row r="1216" spans="1:27" s="211" customFormat="1" ht="15.75" customHeight="1">
      <c r="A1216" s="204" t="str">
        <f>IF(B1216&lt;&gt;"",IF(AND(B1216&gt;=_TM1,B1216&lt;=_TM2,OR(TH!L1216="1111",TH!M1216="1111")),TH!D1216,""),"")</f>
        <v/>
      </c>
      <c r="B1216" s="36">
        <f t="shared" si="227"/>
        <v>8</v>
      </c>
      <c r="C1216" s="191">
        <f t="shared" si="225"/>
        <v>41509</v>
      </c>
      <c r="D1216" s="191" t="s">
        <v>1294</v>
      </c>
      <c r="E1216" s="37">
        <v>41509</v>
      </c>
      <c r="F1216" s="40"/>
      <c r="G1216" s="40" t="s">
        <v>1118</v>
      </c>
      <c r="H1216" s="7" t="s">
        <v>1287</v>
      </c>
      <c r="I1216" s="256"/>
      <c r="J1216" s="256"/>
      <c r="K1216" s="602">
        <f t="shared" si="226"/>
        <v>0</v>
      </c>
      <c r="L1216" s="39" t="s">
        <v>165</v>
      </c>
      <c r="M1216" s="603" t="s">
        <v>159</v>
      </c>
      <c r="N1216" s="39" t="str">
        <f>IF(AND('331-CT'!$E$7=TH!H1216,OR(L1216="331",M1216="331")),"331",IF(AND(OR(L1216="131",M1216="131"),H1216='131-CT'!$E$7),"131",""))</f>
        <v/>
      </c>
      <c r="O1216" s="39" t="str">
        <f>IF(AND($B1216&gt;='111'!$N$11,$B1216&lt;='111'!$O$11,OR($L1216=$O$7,$M1216=$O$7)),"x","")</f>
        <v/>
      </c>
      <c r="P1216" s="39" t="str">
        <f>IF(AND($L1216=$O$7,$B1216&lt;'111'!$N$11),"x","")</f>
        <v/>
      </c>
      <c r="Q1216" s="39" t="str">
        <f>IF(AND($M1216=$O$7,$B1216&lt;'111'!$N$11),"x","")</f>
        <v/>
      </c>
      <c r="R1216" s="39" t="str">
        <f>IF(ISERROR(FIND('112'!$M$9,G1216,1)),"",IF((AND(FIND('112'!$M$9,G1216,1)&gt;=1,$B1216&gt;='112'!$N$8,$B1216&lt;='112'!$O$8,OR($L1216='112'!$I$6,$M1216='112'!$I$6))),"x",""))</f>
        <v/>
      </c>
      <c r="S1216" s="39" t="str">
        <f>IF(ISERROR(FIND('112'!$M$9,G1216,1)),"",IF((AND(LEFT(G1216,2)=LEFT('112'!$M$9,2),B1216&lt;'112'!$N$8,$L1216='112'!$I$6)),"x",""))</f>
        <v/>
      </c>
      <c r="T1216" s="39" t="str">
        <f>IF(ISERROR(FIND('112'!$M$9,G1216,1)),"",IF((AND(RIGHT(G1216,2)=RIGHT('112'!$M$9,2),B1216&lt;'112'!$N$8,$M1216='112'!$I$6)),"x",""))</f>
        <v/>
      </c>
      <c r="U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39" t="str">
        <f>IF(OR(TH!L1216=TH!$V$7,M1216=TH!$V$7),"x","")</f>
        <v/>
      </c>
      <c r="W1216" s="39" t="str">
        <f>IF(AND(B1216&gt;='IN-NX'!$P$3,B1216&lt;='IN-NX'!$Q$3,'IN-NX'!$D$7=D1216,OR(LEFT(L1216,2)="15",AND(LEFT(M1216,2)&lt;&gt;"15",LEFT(M1216,2)&lt;&gt;"33"))),"x","")</f>
        <v/>
      </c>
      <c r="X1216" s="39" t="str">
        <f>IF(AND(OR(LEFT(TH!L1216,2)="15",LEFT(TH!M1216,2)="15"),'152-CT'!$J$8=TH!F1216),"x","")</f>
        <v/>
      </c>
      <c r="Y1216" s="39" t="str">
        <f>IF(AND(OR(LEFT(TH!L1216,2)="15",LEFT(TH!M1216,2)="15"),TK!$E$7=TH!F1216),"x","")</f>
        <v/>
      </c>
      <c r="Z1216" s="39" t="str">
        <f>IF(AND(B1216&lt;=NKC!$N$8,B1216&gt;=NKC!$M$8),"x","")</f>
        <v>x</v>
      </c>
      <c r="AA1216" s="886"/>
    </row>
    <row r="1217" spans="1:27" s="211" customFormat="1" ht="15.75" customHeight="1">
      <c r="A1217" s="204" t="str">
        <f>IF(B1217&lt;&gt;"",IF(AND(B1217&gt;=_TM1,B1217&lt;=_TM2,OR(TH!L1217="1111",TH!M1217="1111")),TH!D1217,""),"")</f>
        <v/>
      </c>
      <c r="B1217" s="36">
        <f t="shared" si="227"/>
        <v>8</v>
      </c>
      <c r="C1217" s="191">
        <f t="shared" si="225"/>
        <v>41509</v>
      </c>
      <c r="D1217" s="191" t="s">
        <v>1294</v>
      </c>
      <c r="E1217" s="37">
        <v>41509</v>
      </c>
      <c r="F1217" s="40"/>
      <c r="G1217" s="40" t="s">
        <v>1118</v>
      </c>
      <c r="H1217" s="7" t="s">
        <v>1287</v>
      </c>
      <c r="I1217" s="256"/>
      <c r="J1217" s="256"/>
      <c r="K1217" s="602">
        <f t="shared" si="226"/>
        <v>0</v>
      </c>
      <c r="L1217" s="39" t="s">
        <v>165</v>
      </c>
      <c r="M1217" s="603" t="s">
        <v>159</v>
      </c>
      <c r="N1217" s="39" t="str">
        <f>IF(AND('331-CT'!$E$7=TH!H1217,OR(L1217="331",M1217="331")),"331",IF(AND(OR(L1217="131",M1217="131"),H1217='131-CT'!$E$7),"131",""))</f>
        <v/>
      </c>
      <c r="O1217" s="39" t="str">
        <f>IF(AND($B1217&gt;='111'!$N$11,$B1217&lt;='111'!$O$11,OR($L1217=$O$7,$M1217=$O$7)),"x","")</f>
        <v/>
      </c>
      <c r="P1217" s="39" t="str">
        <f>IF(AND($L1217=$O$7,$B1217&lt;'111'!$N$11),"x","")</f>
        <v/>
      </c>
      <c r="Q1217" s="39" t="str">
        <f>IF(AND($M1217=$O$7,$B1217&lt;'111'!$N$11),"x","")</f>
        <v/>
      </c>
      <c r="R1217" s="39" t="str">
        <f>IF(ISERROR(FIND('112'!$M$9,G1217,1)),"",IF((AND(FIND('112'!$M$9,G1217,1)&gt;=1,$B1217&gt;='112'!$N$8,$B1217&lt;='112'!$O$8,OR($L1217='112'!$I$6,$M1217='112'!$I$6))),"x",""))</f>
        <v/>
      </c>
      <c r="S1217" s="39" t="str">
        <f>IF(ISERROR(FIND('112'!$M$9,G1217,1)),"",IF((AND(LEFT(G1217,2)=LEFT('112'!$M$9,2),B1217&lt;'112'!$N$8,$L1217='112'!$I$6)),"x",""))</f>
        <v/>
      </c>
      <c r="T1217" s="39" t="str">
        <f>IF(ISERROR(FIND('112'!$M$9,G1217,1)),"",IF((AND(RIGHT(G1217,2)=RIGHT('112'!$M$9,2),B1217&lt;'112'!$N$8,$M1217='112'!$I$6)),"x",""))</f>
        <v/>
      </c>
      <c r="U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39" t="str">
        <f>IF(OR(TH!L1217=TH!$V$7,M1217=TH!$V$7),"x","")</f>
        <v/>
      </c>
      <c r="W1217" s="39" t="str">
        <f>IF(AND(B1217&gt;='IN-NX'!$P$3,B1217&lt;='IN-NX'!$Q$3,'IN-NX'!$D$7=D1217,OR(LEFT(L1217,2)="15",AND(LEFT(M1217,2)&lt;&gt;"15",LEFT(M1217,2)&lt;&gt;"33"))),"x","")</f>
        <v/>
      </c>
      <c r="X1217" s="39" t="str">
        <f>IF(AND(OR(LEFT(TH!L1217,2)="15",LEFT(TH!M1217,2)="15"),'152-CT'!$J$8=TH!F1217),"x","")</f>
        <v/>
      </c>
      <c r="Y1217" s="39" t="str">
        <f>IF(AND(OR(LEFT(TH!L1217,2)="15",LEFT(TH!M1217,2)="15"),TK!$E$7=TH!F1217),"x","")</f>
        <v/>
      </c>
      <c r="Z1217" s="39" t="str">
        <f>IF(AND(B1217&lt;=NKC!$N$8,B1217&gt;=NKC!$M$8),"x","")</f>
        <v>x</v>
      </c>
      <c r="AA1217" s="886"/>
    </row>
    <row r="1218" spans="1:27" s="211" customFormat="1" ht="15.75" customHeight="1">
      <c r="A1218" s="204" t="str">
        <f>IF(B1218&lt;&gt;"",IF(AND(B1218&gt;=_TM1,B1218&lt;=_TM2,OR(TH!L1218="1111",TH!M1218="1111")),TH!D1218,""),"")</f>
        <v/>
      </c>
      <c r="B1218" s="36">
        <f t="shared" si="227"/>
        <v>9</v>
      </c>
      <c r="C1218" s="191">
        <f t="shared" si="225"/>
        <v>41519</v>
      </c>
      <c r="D1218" s="191" t="s">
        <v>1294</v>
      </c>
      <c r="E1218" s="37">
        <v>41519</v>
      </c>
      <c r="F1218" s="40"/>
      <c r="G1218" s="40" t="s">
        <v>1119</v>
      </c>
      <c r="H1218" s="7" t="s">
        <v>1287</v>
      </c>
      <c r="I1218" s="256"/>
      <c r="J1218" s="256"/>
      <c r="K1218" s="602">
        <f t="shared" si="226"/>
        <v>0</v>
      </c>
      <c r="L1218" s="39" t="s">
        <v>165</v>
      </c>
      <c r="M1218" s="603" t="s">
        <v>159</v>
      </c>
      <c r="N1218" s="39" t="str">
        <f>IF(AND('331-CT'!$E$7=TH!H1218,OR(L1218="331",M1218="331")),"331",IF(AND(OR(L1218="131",M1218="131"),H1218='131-CT'!$E$7),"131",""))</f>
        <v/>
      </c>
      <c r="O1218" s="39" t="str">
        <f>IF(AND($B1218&gt;='111'!$N$11,$B1218&lt;='111'!$O$11,OR($L1218=$O$7,$M1218=$O$7)),"x","")</f>
        <v/>
      </c>
      <c r="P1218" s="39" t="str">
        <f>IF(AND($L1218=$O$7,$B1218&lt;'111'!$N$11),"x","")</f>
        <v/>
      </c>
      <c r="Q1218" s="39" t="str">
        <f>IF(AND($M1218=$O$7,$B1218&lt;'111'!$N$11),"x","")</f>
        <v/>
      </c>
      <c r="R1218" s="39" t="str">
        <f>IF(ISERROR(FIND('112'!$M$9,G1218,1)),"",IF((AND(FIND('112'!$M$9,G1218,1)&gt;=1,$B1218&gt;='112'!$N$8,$B1218&lt;='112'!$O$8,OR($L1218='112'!$I$6,$M1218='112'!$I$6))),"x",""))</f>
        <v/>
      </c>
      <c r="S1218" s="39" t="str">
        <f>IF(ISERROR(FIND('112'!$M$9,G1218,1)),"",IF((AND(LEFT(G1218,2)=LEFT('112'!$M$9,2),B1218&lt;'112'!$N$8,$L1218='112'!$I$6)),"x",""))</f>
        <v/>
      </c>
      <c r="T1218" s="39" t="str">
        <f>IF(ISERROR(FIND('112'!$M$9,G1218,1)),"",IF((AND(RIGHT(G1218,2)=RIGHT('112'!$M$9,2),B1218&lt;'112'!$N$8,$M1218='112'!$I$6)),"x",""))</f>
        <v/>
      </c>
      <c r="U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39" t="str">
        <f>IF(OR(TH!L1218=TH!$V$7,M1218=TH!$V$7),"x","")</f>
        <v/>
      </c>
      <c r="W1218" s="39" t="str">
        <f>IF(AND(B1218&gt;='IN-NX'!$P$3,B1218&lt;='IN-NX'!$Q$3,'IN-NX'!$D$7=D1218,OR(LEFT(L1218,2)="15",AND(LEFT(M1218,2)&lt;&gt;"15",LEFT(M1218,2)&lt;&gt;"33"))),"x","")</f>
        <v/>
      </c>
      <c r="X1218" s="39" t="str">
        <f>IF(AND(OR(LEFT(TH!L1218,2)="15",LEFT(TH!M1218,2)="15"),'152-CT'!$J$8=TH!F1218),"x","")</f>
        <v/>
      </c>
      <c r="Y1218" s="39" t="str">
        <f>IF(AND(OR(LEFT(TH!L1218,2)="15",LEFT(TH!M1218,2)="15"),TK!$E$7=TH!F1218),"x","")</f>
        <v/>
      </c>
      <c r="Z1218" s="39" t="str">
        <f>IF(AND(B1218&lt;=NKC!$N$8,B1218&gt;=NKC!$M$8),"x","")</f>
        <v>x</v>
      </c>
      <c r="AA1218" s="886"/>
    </row>
    <row r="1219" spans="1:27" s="211" customFormat="1" ht="15.75" customHeight="1">
      <c r="A1219" s="204" t="str">
        <f>IF(B1219&lt;&gt;"",IF(AND(B1219&gt;=_TM1,B1219&lt;=_TM2,OR(TH!L1219="1111",TH!M1219="1111")),TH!D1219,""),"")</f>
        <v/>
      </c>
      <c r="B1219" s="36">
        <f t="shared" si="227"/>
        <v>9</v>
      </c>
      <c r="C1219" s="191">
        <f t="shared" si="225"/>
        <v>41520</v>
      </c>
      <c r="D1219" s="191" t="s">
        <v>1294</v>
      </c>
      <c r="E1219" s="37">
        <v>41520</v>
      </c>
      <c r="F1219" s="192"/>
      <c r="G1219" s="40" t="s">
        <v>1120</v>
      </c>
      <c r="H1219" s="7" t="s">
        <v>1287</v>
      </c>
      <c r="I1219" s="256"/>
      <c r="J1219" s="256"/>
      <c r="K1219" s="602">
        <f t="shared" si="226"/>
        <v>0</v>
      </c>
      <c r="L1219" s="39" t="s">
        <v>165</v>
      </c>
      <c r="M1219" s="603" t="s">
        <v>159</v>
      </c>
      <c r="N1219" s="39" t="str">
        <f>IF(AND('331-CT'!$E$7=TH!H1219,OR(L1219="331",M1219="331")),"331",IF(AND(OR(L1219="131",M1219="131"),H1219='131-CT'!$E$7),"131",""))</f>
        <v/>
      </c>
      <c r="O1219" s="39" t="str">
        <f>IF(AND($B1219&gt;='111'!$N$11,$B1219&lt;='111'!$O$11,OR($L1219=$O$7,$M1219=$O$7)),"x","")</f>
        <v/>
      </c>
      <c r="P1219" s="39" t="str">
        <f>IF(AND($L1219=$O$7,$B1219&lt;'111'!$N$11),"x","")</f>
        <v/>
      </c>
      <c r="Q1219" s="39" t="str">
        <f>IF(AND($M1219=$O$7,$B1219&lt;'111'!$N$11),"x","")</f>
        <v/>
      </c>
      <c r="R1219" s="39" t="str">
        <f>IF(ISERROR(FIND('112'!$M$9,G1219,1)),"",IF((AND(FIND('112'!$M$9,G1219,1)&gt;=1,$B1219&gt;='112'!$N$8,$B1219&lt;='112'!$O$8,OR($L1219='112'!$I$6,$M1219='112'!$I$6))),"x",""))</f>
        <v/>
      </c>
      <c r="S1219" s="39" t="str">
        <f>IF(ISERROR(FIND('112'!$M$9,G1219,1)),"",IF((AND(LEFT(G1219,2)=LEFT('112'!$M$9,2),B1219&lt;'112'!$N$8,$L1219='112'!$I$6)),"x",""))</f>
        <v/>
      </c>
      <c r="T1219" s="39" t="str">
        <f>IF(ISERROR(FIND('112'!$M$9,G1219,1)),"",IF((AND(RIGHT(G1219,2)=RIGHT('112'!$M$9,2),B1219&lt;'112'!$N$8,$M1219='112'!$I$6)),"x",""))</f>
        <v/>
      </c>
      <c r="U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39" t="str">
        <f>IF(OR(TH!L1219=TH!$V$7,M1219=TH!$V$7),"x","")</f>
        <v/>
      </c>
      <c r="W1219" s="39" t="str">
        <f>IF(AND(B1219&gt;='IN-NX'!$P$3,B1219&lt;='IN-NX'!$Q$3,'IN-NX'!$D$7=D1219,OR(LEFT(L1219,2)="15",AND(LEFT(M1219,2)&lt;&gt;"15",LEFT(M1219,2)&lt;&gt;"33"))),"x","")</f>
        <v/>
      </c>
      <c r="X1219" s="39" t="str">
        <f>IF(AND(OR(LEFT(TH!L1219,2)="15",LEFT(TH!M1219,2)="15"),'152-CT'!$J$8=TH!F1219),"x","")</f>
        <v/>
      </c>
      <c r="Y1219" s="39" t="str">
        <f>IF(AND(OR(LEFT(TH!L1219,2)="15",LEFT(TH!M1219,2)="15"),TK!$E$7=TH!F1219),"x","")</f>
        <v/>
      </c>
      <c r="Z1219" s="39" t="str">
        <f>IF(AND(B1219&lt;=NKC!$N$8,B1219&gt;=NKC!$M$8),"x","")</f>
        <v>x</v>
      </c>
      <c r="AA1219" s="886"/>
    </row>
    <row r="1220" spans="1:27" s="211" customFormat="1" ht="15.75" customHeight="1">
      <c r="A1220" s="204" t="str">
        <f>IF(B1220&lt;&gt;"",IF(AND(B1220&gt;=_TM1,B1220&lt;=_TM2,OR(TH!L1220="1111",TH!M1220="1111")),TH!D1220,""),"")</f>
        <v/>
      </c>
      <c r="B1220" s="36">
        <f t="shared" si="227"/>
        <v>9</v>
      </c>
      <c r="C1220" s="191">
        <f t="shared" si="225"/>
        <v>41520</v>
      </c>
      <c r="D1220" s="191" t="s">
        <v>1294</v>
      </c>
      <c r="E1220" s="37">
        <v>41520</v>
      </c>
      <c r="F1220" s="40"/>
      <c r="G1220" s="40" t="s">
        <v>1120</v>
      </c>
      <c r="H1220" s="7" t="s">
        <v>1287</v>
      </c>
      <c r="I1220" s="256"/>
      <c r="J1220" s="256"/>
      <c r="K1220" s="602">
        <f t="shared" si="226"/>
        <v>0</v>
      </c>
      <c r="L1220" s="39" t="s">
        <v>165</v>
      </c>
      <c r="M1220" s="603" t="s">
        <v>159</v>
      </c>
      <c r="N1220" s="39" t="str">
        <f>IF(AND('331-CT'!$E$7=TH!H1220,OR(L1220="331",M1220="331")),"331",IF(AND(OR(L1220="131",M1220="131"),H1220='131-CT'!$E$7),"131",""))</f>
        <v/>
      </c>
      <c r="O1220" s="39" t="str">
        <f>IF(AND($B1220&gt;='111'!$N$11,$B1220&lt;='111'!$O$11,OR($L1220=$O$7,$M1220=$O$7)),"x","")</f>
        <v/>
      </c>
      <c r="P1220" s="39" t="str">
        <f>IF(AND($L1220=$O$7,$B1220&lt;'111'!$N$11),"x","")</f>
        <v/>
      </c>
      <c r="Q1220" s="39" t="str">
        <f>IF(AND($M1220=$O$7,$B1220&lt;'111'!$N$11),"x","")</f>
        <v/>
      </c>
      <c r="R1220" s="39" t="str">
        <f>IF(ISERROR(FIND('112'!$M$9,G1220,1)),"",IF((AND(FIND('112'!$M$9,G1220,1)&gt;=1,$B1220&gt;='112'!$N$8,$B1220&lt;='112'!$O$8,OR($L1220='112'!$I$6,$M1220='112'!$I$6))),"x",""))</f>
        <v/>
      </c>
      <c r="S1220" s="39" t="str">
        <f>IF(ISERROR(FIND('112'!$M$9,G1220,1)),"",IF((AND(LEFT(G1220,2)=LEFT('112'!$M$9,2),B1220&lt;'112'!$N$8,$L1220='112'!$I$6)),"x",""))</f>
        <v/>
      </c>
      <c r="T1220" s="39" t="str">
        <f>IF(ISERROR(FIND('112'!$M$9,G1220,1)),"",IF((AND(RIGHT(G1220,2)=RIGHT('112'!$M$9,2),B1220&lt;'112'!$N$8,$M1220='112'!$I$6)),"x",""))</f>
        <v/>
      </c>
      <c r="U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39" t="str">
        <f>IF(OR(TH!L1220=TH!$V$7,M1220=TH!$V$7),"x","")</f>
        <v/>
      </c>
      <c r="W1220" s="39" t="str">
        <f>IF(AND(B1220&gt;='IN-NX'!$P$3,B1220&lt;='IN-NX'!$Q$3,'IN-NX'!$D$7=D1220,OR(LEFT(L1220,2)="15",AND(LEFT(M1220,2)&lt;&gt;"15",LEFT(M1220,2)&lt;&gt;"33"))),"x","")</f>
        <v/>
      </c>
      <c r="X1220" s="39" t="str">
        <f>IF(AND(OR(LEFT(TH!L1220,2)="15",LEFT(TH!M1220,2)="15"),'152-CT'!$J$8=TH!F1220),"x","")</f>
        <v/>
      </c>
      <c r="Y1220" s="39" t="str">
        <f>IF(AND(OR(LEFT(TH!L1220,2)="15",LEFT(TH!M1220,2)="15"),TK!$E$7=TH!F1220),"x","")</f>
        <v/>
      </c>
      <c r="Z1220" s="39" t="str">
        <f>IF(AND(B1220&lt;=NKC!$N$8,B1220&gt;=NKC!$M$8),"x","")</f>
        <v>x</v>
      </c>
      <c r="AA1220" s="886"/>
    </row>
    <row r="1221" spans="1:27" s="211" customFormat="1" ht="15.75" customHeight="1">
      <c r="A1221" s="204" t="str">
        <f>IF(B1221&lt;&gt;"",IF(AND(B1221&gt;=_TM1,B1221&lt;=_TM2,OR(TH!L1221="1111",TH!M1221="1111")),TH!D1221,""),"")</f>
        <v/>
      </c>
      <c r="B1221" s="36">
        <f t="shared" si="227"/>
        <v>9</v>
      </c>
      <c r="C1221" s="191">
        <f t="shared" si="225"/>
        <v>41523</v>
      </c>
      <c r="D1221" s="191" t="s">
        <v>1294</v>
      </c>
      <c r="E1221" s="37">
        <v>41523</v>
      </c>
      <c r="F1221" s="40"/>
      <c r="G1221" s="40" t="s">
        <v>1123</v>
      </c>
      <c r="H1221" s="7" t="s">
        <v>1287</v>
      </c>
      <c r="I1221" s="256"/>
      <c r="J1221" s="256"/>
      <c r="K1221" s="602">
        <f t="shared" si="226"/>
        <v>0</v>
      </c>
      <c r="L1221" s="39" t="s">
        <v>165</v>
      </c>
      <c r="M1221" s="603" t="s">
        <v>159</v>
      </c>
      <c r="N1221" s="39" t="str">
        <f>IF(AND('331-CT'!$E$7=TH!H1221,OR(L1221="331",M1221="331")),"331",IF(AND(OR(L1221="131",M1221="131"),H1221='131-CT'!$E$7),"131",""))</f>
        <v/>
      </c>
      <c r="O1221" s="39" t="str">
        <f>IF(AND($B1221&gt;='111'!$N$11,$B1221&lt;='111'!$O$11,OR($L1221=$O$7,$M1221=$O$7)),"x","")</f>
        <v/>
      </c>
      <c r="P1221" s="39" t="str">
        <f>IF(AND($L1221=$O$7,$B1221&lt;'111'!$N$11),"x","")</f>
        <v/>
      </c>
      <c r="Q1221" s="39" t="str">
        <f>IF(AND($M1221=$O$7,$B1221&lt;'111'!$N$11),"x","")</f>
        <v/>
      </c>
      <c r="R1221" s="39" t="str">
        <f>IF(ISERROR(FIND('112'!$M$9,G1221,1)),"",IF((AND(FIND('112'!$M$9,G1221,1)&gt;=1,$B1221&gt;='112'!$N$8,$B1221&lt;='112'!$O$8,OR($L1221='112'!$I$6,$M1221='112'!$I$6))),"x",""))</f>
        <v/>
      </c>
      <c r="S1221" s="39" t="str">
        <f>IF(ISERROR(FIND('112'!$M$9,G1221,1)),"",IF((AND(LEFT(G1221,2)=LEFT('112'!$M$9,2),B1221&lt;'112'!$N$8,$L1221='112'!$I$6)),"x",""))</f>
        <v/>
      </c>
      <c r="T1221" s="39" t="str">
        <f>IF(ISERROR(FIND('112'!$M$9,G1221,1)),"",IF((AND(RIGHT(G1221,2)=RIGHT('112'!$M$9,2),B1221&lt;'112'!$N$8,$M1221='112'!$I$6)),"x",""))</f>
        <v/>
      </c>
      <c r="U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39" t="str">
        <f>IF(OR(TH!L1221=TH!$V$7,M1221=TH!$V$7),"x","")</f>
        <v/>
      </c>
      <c r="W1221" s="39" t="str">
        <f>IF(AND(B1221&gt;='IN-NX'!$P$3,B1221&lt;='IN-NX'!$Q$3,'IN-NX'!$D$7=D1221,OR(LEFT(L1221,2)="15",AND(LEFT(M1221,2)&lt;&gt;"15",LEFT(M1221,2)&lt;&gt;"33"))),"x","")</f>
        <v/>
      </c>
      <c r="X1221" s="39" t="str">
        <f>IF(AND(OR(LEFT(TH!L1221,2)="15",LEFT(TH!M1221,2)="15"),'152-CT'!$J$8=TH!F1221),"x","")</f>
        <v/>
      </c>
      <c r="Y1221" s="39" t="str">
        <f>IF(AND(OR(LEFT(TH!L1221,2)="15",LEFT(TH!M1221,2)="15"),TK!$E$7=TH!F1221),"x","")</f>
        <v/>
      </c>
      <c r="Z1221" s="39" t="str">
        <f>IF(AND(B1221&lt;=NKC!$N$8,B1221&gt;=NKC!$M$8),"x","")</f>
        <v>x</v>
      </c>
      <c r="AA1221" s="886"/>
    </row>
    <row r="1222" spans="1:27" s="211" customFormat="1" ht="15.75" customHeight="1">
      <c r="A1222" s="204" t="str">
        <f>IF(B1222&lt;&gt;"",IF(AND(B1222&gt;=_TM1,B1222&lt;=_TM2,OR(TH!L1222="1111",TH!M1222="1111")),TH!D1222,""),"")</f>
        <v/>
      </c>
      <c r="B1222" s="36">
        <f t="shared" si="227"/>
        <v>9</v>
      </c>
      <c r="C1222" s="191">
        <f t="shared" si="225"/>
        <v>41523</v>
      </c>
      <c r="D1222" s="191" t="s">
        <v>1294</v>
      </c>
      <c r="E1222" s="37">
        <v>41523</v>
      </c>
      <c r="F1222" s="192"/>
      <c r="G1222" s="40" t="s">
        <v>1124</v>
      </c>
      <c r="H1222" s="7" t="s">
        <v>1287</v>
      </c>
      <c r="I1222" s="256"/>
      <c r="J1222" s="256"/>
      <c r="K1222" s="602">
        <f t="shared" si="226"/>
        <v>0</v>
      </c>
      <c r="L1222" s="39" t="s">
        <v>165</v>
      </c>
      <c r="M1222" s="603" t="s">
        <v>159</v>
      </c>
      <c r="N1222" s="39" t="str">
        <f>IF(AND('331-CT'!$E$7=TH!H1222,OR(L1222="331",M1222="331")),"331",IF(AND(OR(L1222="131",M1222="131"),H1222='131-CT'!$E$7),"131",""))</f>
        <v/>
      </c>
      <c r="O1222" s="39" t="str">
        <f>IF(AND($B1222&gt;='111'!$N$11,$B1222&lt;='111'!$O$11,OR($L1222=$O$7,$M1222=$O$7)),"x","")</f>
        <v/>
      </c>
      <c r="P1222" s="39" t="str">
        <f>IF(AND($L1222=$O$7,$B1222&lt;'111'!$N$11),"x","")</f>
        <v/>
      </c>
      <c r="Q1222" s="39" t="str">
        <f>IF(AND($M1222=$O$7,$B1222&lt;'111'!$N$11),"x","")</f>
        <v/>
      </c>
      <c r="R1222" s="39" t="str">
        <f>IF(ISERROR(FIND('112'!$M$9,G1222,1)),"",IF((AND(FIND('112'!$M$9,G1222,1)&gt;=1,$B1222&gt;='112'!$N$8,$B1222&lt;='112'!$O$8,OR($L1222='112'!$I$6,$M1222='112'!$I$6))),"x",""))</f>
        <v/>
      </c>
      <c r="S1222" s="39" t="str">
        <f>IF(ISERROR(FIND('112'!$M$9,G1222,1)),"",IF((AND(LEFT(G1222,2)=LEFT('112'!$M$9,2),B1222&lt;'112'!$N$8,$L1222='112'!$I$6)),"x",""))</f>
        <v/>
      </c>
      <c r="T1222" s="39" t="str">
        <f>IF(ISERROR(FIND('112'!$M$9,G1222,1)),"",IF((AND(RIGHT(G1222,2)=RIGHT('112'!$M$9,2),B1222&lt;'112'!$N$8,$M1222='112'!$I$6)),"x",""))</f>
        <v/>
      </c>
      <c r="U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39" t="str">
        <f>IF(OR(TH!L1222=TH!$V$7,M1222=TH!$V$7),"x","")</f>
        <v/>
      </c>
      <c r="W1222" s="39" t="str">
        <f>IF(AND(B1222&gt;='IN-NX'!$P$3,B1222&lt;='IN-NX'!$Q$3,'IN-NX'!$D$7=D1222,OR(LEFT(L1222,2)="15",AND(LEFT(M1222,2)&lt;&gt;"15",LEFT(M1222,2)&lt;&gt;"33"))),"x","")</f>
        <v/>
      </c>
      <c r="X1222" s="39" t="str">
        <f>IF(AND(OR(LEFT(TH!L1222,2)="15",LEFT(TH!M1222,2)="15"),'152-CT'!$J$8=TH!F1222),"x","")</f>
        <v/>
      </c>
      <c r="Y1222" s="39" t="str">
        <f>IF(AND(OR(LEFT(TH!L1222,2)="15",LEFT(TH!M1222,2)="15"),TK!$E$7=TH!F1222),"x","")</f>
        <v/>
      </c>
      <c r="Z1222" s="39" t="str">
        <f>IF(AND(B1222&lt;=NKC!$N$8,B1222&gt;=NKC!$M$8),"x","")</f>
        <v>x</v>
      </c>
      <c r="AA1222" s="886"/>
    </row>
    <row r="1223" spans="1:27" s="211" customFormat="1" ht="15.75" customHeight="1">
      <c r="A1223" s="204" t="str">
        <f>IF(B1223&lt;&gt;"",IF(AND(B1223&gt;=_TM1,B1223&lt;=_TM2,OR(TH!L1223="1111",TH!M1223="1111")),TH!D1223,""),"")</f>
        <v/>
      </c>
      <c r="B1223" s="36">
        <f t="shared" si="227"/>
        <v>9</v>
      </c>
      <c r="C1223" s="191">
        <f t="shared" ref="C1223:C1286" si="228">E1223</f>
        <v>41523</v>
      </c>
      <c r="D1223" s="191" t="s">
        <v>1294</v>
      </c>
      <c r="E1223" s="37">
        <v>41523</v>
      </c>
      <c r="F1223" s="189"/>
      <c r="G1223" s="40" t="s">
        <v>1125</v>
      </c>
      <c r="H1223" s="7" t="s">
        <v>1287</v>
      </c>
      <c r="I1223" s="256"/>
      <c r="J1223" s="256"/>
      <c r="K1223" s="602">
        <f t="shared" ref="K1223:K1286" si="229">ROUND(I1223*J1223,0)</f>
        <v>0</v>
      </c>
      <c r="L1223" s="39" t="s">
        <v>165</v>
      </c>
      <c r="M1223" s="603" t="s">
        <v>159</v>
      </c>
      <c r="N1223" s="39" t="str">
        <f>IF(AND('331-CT'!$E$7=TH!H1223,OR(L1223="331",M1223="331")),"331",IF(AND(OR(L1223="131",M1223="131"),H1223='131-CT'!$E$7),"131",""))</f>
        <v/>
      </c>
      <c r="O1223" s="39" t="str">
        <f>IF(AND($B1223&gt;='111'!$N$11,$B1223&lt;='111'!$O$11,OR($L1223=$O$7,$M1223=$O$7)),"x","")</f>
        <v/>
      </c>
      <c r="P1223" s="39" t="str">
        <f>IF(AND($L1223=$O$7,$B1223&lt;'111'!$N$11),"x","")</f>
        <v/>
      </c>
      <c r="Q1223" s="39" t="str">
        <f>IF(AND($M1223=$O$7,$B1223&lt;'111'!$N$11),"x","")</f>
        <v/>
      </c>
      <c r="R1223" s="39" t="str">
        <f>IF(ISERROR(FIND('112'!$M$9,G1223,1)),"",IF((AND(FIND('112'!$M$9,G1223,1)&gt;=1,$B1223&gt;='112'!$N$8,$B1223&lt;='112'!$O$8,OR($L1223='112'!$I$6,$M1223='112'!$I$6))),"x",""))</f>
        <v/>
      </c>
      <c r="S1223" s="39" t="str">
        <f>IF(ISERROR(FIND('112'!$M$9,G1223,1)),"",IF((AND(LEFT(G1223,2)=LEFT('112'!$M$9,2),B1223&lt;'112'!$N$8,$L1223='112'!$I$6)),"x",""))</f>
        <v/>
      </c>
      <c r="T1223" s="39" t="str">
        <f>IF(ISERROR(FIND('112'!$M$9,G1223,1)),"",IF((AND(RIGHT(G1223,2)=RIGHT('112'!$M$9,2),B1223&lt;'112'!$N$8,$M1223='112'!$I$6)),"x",""))</f>
        <v/>
      </c>
      <c r="U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39" t="str">
        <f>IF(OR(TH!L1223=TH!$V$7,M1223=TH!$V$7),"x","")</f>
        <v/>
      </c>
      <c r="W1223" s="39" t="str">
        <f>IF(AND(B1223&gt;='IN-NX'!$P$3,B1223&lt;='IN-NX'!$Q$3,'IN-NX'!$D$7=D1223,OR(LEFT(L1223,2)="15",AND(LEFT(M1223,2)&lt;&gt;"15",LEFT(M1223,2)&lt;&gt;"33"))),"x","")</f>
        <v/>
      </c>
      <c r="X1223" s="39" t="str">
        <f>IF(AND(OR(LEFT(TH!L1223,2)="15",LEFT(TH!M1223,2)="15"),'152-CT'!$J$8=TH!F1223),"x","")</f>
        <v/>
      </c>
      <c r="Y1223" s="39" t="str">
        <f>IF(AND(OR(LEFT(TH!L1223,2)="15",LEFT(TH!M1223,2)="15"),TK!$E$7=TH!F1223),"x","")</f>
        <v/>
      </c>
      <c r="Z1223" s="39" t="str">
        <f>IF(AND(B1223&lt;=NKC!$N$8,B1223&gt;=NKC!$M$8),"x","")</f>
        <v>x</v>
      </c>
      <c r="AA1223" s="886"/>
    </row>
    <row r="1224" spans="1:27" s="211" customFormat="1" ht="15.75" customHeight="1">
      <c r="A1224" s="204" t="str">
        <f>IF(B1224&lt;&gt;"",IF(AND(B1224&gt;=_TM1,B1224&lt;=_TM2,OR(TH!L1224="1111",TH!M1224="1111")),TH!D1224,""),"")</f>
        <v/>
      </c>
      <c r="B1224" s="36">
        <f t="shared" si="227"/>
        <v>9</v>
      </c>
      <c r="C1224" s="191">
        <f t="shared" si="228"/>
        <v>41523</v>
      </c>
      <c r="D1224" s="191" t="s">
        <v>1294</v>
      </c>
      <c r="E1224" s="37">
        <v>41523</v>
      </c>
      <c r="F1224" s="40"/>
      <c r="G1224" s="40" t="s">
        <v>1125</v>
      </c>
      <c r="H1224" s="7" t="s">
        <v>1287</v>
      </c>
      <c r="I1224" s="256"/>
      <c r="J1224" s="256"/>
      <c r="K1224" s="602">
        <f t="shared" si="229"/>
        <v>0</v>
      </c>
      <c r="L1224" s="39" t="s">
        <v>165</v>
      </c>
      <c r="M1224" s="603" t="s">
        <v>159</v>
      </c>
      <c r="N1224" s="39" t="str">
        <f>IF(AND('331-CT'!$E$7=TH!H1224,OR(L1224="331",M1224="331")),"331",IF(AND(OR(L1224="131",M1224="131"),H1224='131-CT'!$E$7),"131",""))</f>
        <v/>
      </c>
      <c r="O1224" s="39" t="str">
        <f>IF(AND($B1224&gt;='111'!$N$11,$B1224&lt;='111'!$O$11,OR($L1224=$O$7,$M1224=$O$7)),"x","")</f>
        <v/>
      </c>
      <c r="P1224" s="39" t="str">
        <f>IF(AND($L1224=$O$7,$B1224&lt;'111'!$N$11),"x","")</f>
        <v/>
      </c>
      <c r="Q1224" s="39" t="str">
        <f>IF(AND($M1224=$O$7,$B1224&lt;'111'!$N$11),"x","")</f>
        <v/>
      </c>
      <c r="R1224" s="39" t="str">
        <f>IF(ISERROR(FIND('112'!$M$9,G1224,1)),"",IF((AND(FIND('112'!$M$9,G1224,1)&gt;=1,$B1224&gt;='112'!$N$8,$B1224&lt;='112'!$O$8,OR($L1224='112'!$I$6,$M1224='112'!$I$6))),"x",""))</f>
        <v/>
      </c>
      <c r="S1224" s="39" t="str">
        <f>IF(ISERROR(FIND('112'!$M$9,G1224,1)),"",IF((AND(LEFT(G1224,2)=LEFT('112'!$M$9,2),B1224&lt;'112'!$N$8,$L1224='112'!$I$6)),"x",""))</f>
        <v/>
      </c>
      <c r="T1224" s="39" t="str">
        <f>IF(ISERROR(FIND('112'!$M$9,G1224,1)),"",IF((AND(RIGHT(G1224,2)=RIGHT('112'!$M$9,2),B1224&lt;'112'!$N$8,$M1224='112'!$I$6)),"x",""))</f>
        <v/>
      </c>
      <c r="U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39" t="str">
        <f>IF(OR(TH!L1224=TH!$V$7,M1224=TH!$V$7),"x","")</f>
        <v/>
      </c>
      <c r="W1224" s="39" t="str">
        <f>IF(AND(B1224&gt;='IN-NX'!$P$3,B1224&lt;='IN-NX'!$Q$3,'IN-NX'!$D$7=D1224,OR(LEFT(L1224,2)="15",AND(LEFT(M1224,2)&lt;&gt;"15",LEFT(M1224,2)&lt;&gt;"33"))),"x","")</f>
        <v/>
      </c>
      <c r="X1224" s="39" t="str">
        <f>IF(AND(OR(LEFT(TH!L1224,2)="15",LEFT(TH!M1224,2)="15"),'152-CT'!$J$8=TH!F1224),"x","")</f>
        <v/>
      </c>
      <c r="Y1224" s="39" t="str">
        <f>IF(AND(OR(LEFT(TH!L1224,2)="15",LEFT(TH!M1224,2)="15"),TK!$E$7=TH!F1224),"x","")</f>
        <v/>
      </c>
      <c r="Z1224" s="39" t="str">
        <f>IF(AND(B1224&lt;=NKC!$N$8,B1224&gt;=NKC!$M$8),"x","")</f>
        <v>x</v>
      </c>
      <c r="AA1224" s="886"/>
    </row>
    <row r="1225" spans="1:27" s="211" customFormat="1" ht="15.75" customHeight="1">
      <c r="A1225" s="204" t="str">
        <f>IF(B1225&lt;&gt;"",IF(AND(B1225&gt;=_TM1,B1225&lt;=_TM2,OR(TH!L1225="1111",TH!M1225="1111")),TH!D1225,""),"")</f>
        <v/>
      </c>
      <c r="B1225" s="36">
        <f t="shared" si="227"/>
        <v>9</v>
      </c>
      <c r="C1225" s="191">
        <f t="shared" si="228"/>
        <v>41523</v>
      </c>
      <c r="D1225" s="191" t="s">
        <v>1294</v>
      </c>
      <c r="E1225" s="37">
        <v>41523</v>
      </c>
      <c r="F1225" s="40"/>
      <c r="G1225" s="40" t="s">
        <v>924</v>
      </c>
      <c r="H1225" s="7" t="s">
        <v>1287</v>
      </c>
      <c r="I1225" s="256"/>
      <c r="J1225" s="256"/>
      <c r="K1225" s="602">
        <f t="shared" si="229"/>
        <v>0</v>
      </c>
      <c r="L1225" s="39" t="s">
        <v>165</v>
      </c>
      <c r="M1225" s="603" t="s">
        <v>159</v>
      </c>
      <c r="N1225" s="39" t="str">
        <f>IF(AND('331-CT'!$E$7=TH!H1225,OR(L1225="331",M1225="331")),"331",IF(AND(OR(L1225="131",M1225="131"),H1225='131-CT'!$E$7),"131",""))</f>
        <v/>
      </c>
      <c r="O1225" s="39" t="str">
        <f>IF(AND($B1225&gt;='111'!$N$11,$B1225&lt;='111'!$O$11,OR($L1225=$O$7,$M1225=$O$7)),"x","")</f>
        <v/>
      </c>
      <c r="P1225" s="39" t="str">
        <f>IF(AND($L1225=$O$7,$B1225&lt;'111'!$N$11),"x","")</f>
        <v/>
      </c>
      <c r="Q1225" s="39" t="str">
        <f>IF(AND($M1225=$O$7,$B1225&lt;'111'!$N$11),"x","")</f>
        <v/>
      </c>
      <c r="R1225" s="39" t="str">
        <f>IF(ISERROR(FIND('112'!$M$9,G1225,1)),"",IF((AND(FIND('112'!$M$9,G1225,1)&gt;=1,$B1225&gt;='112'!$N$8,$B1225&lt;='112'!$O$8,OR($L1225='112'!$I$6,$M1225='112'!$I$6))),"x",""))</f>
        <v/>
      </c>
      <c r="S1225" s="39" t="str">
        <f>IF(ISERROR(FIND('112'!$M$9,G1225,1)),"",IF((AND(LEFT(G1225,2)=LEFT('112'!$M$9,2),B1225&lt;'112'!$N$8,$L1225='112'!$I$6)),"x",""))</f>
        <v/>
      </c>
      <c r="T1225" s="39" t="str">
        <f>IF(ISERROR(FIND('112'!$M$9,G1225,1)),"",IF((AND(RIGHT(G1225,2)=RIGHT('112'!$M$9,2),B1225&lt;'112'!$N$8,$M1225='112'!$I$6)),"x",""))</f>
        <v/>
      </c>
      <c r="U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39" t="str">
        <f>IF(OR(TH!L1225=TH!$V$7,M1225=TH!$V$7),"x","")</f>
        <v/>
      </c>
      <c r="W1225" s="39" t="str">
        <f>IF(AND(B1225&gt;='IN-NX'!$P$3,B1225&lt;='IN-NX'!$Q$3,'IN-NX'!$D$7=D1225,OR(LEFT(L1225,2)="15",AND(LEFT(M1225,2)&lt;&gt;"15",LEFT(M1225,2)&lt;&gt;"33"))),"x","")</f>
        <v/>
      </c>
      <c r="X1225" s="39" t="str">
        <f>IF(AND(OR(LEFT(TH!L1225,2)="15",LEFT(TH!M1225,2)="15"),'152-CT'!$J$8=TH!F1225),"x","")</f>
        <v/>
      </c>
      <c r="Y1225" s="39" t="str">
        <f>IF(AND(OR(LEFT(TH!L1225,2)="15",LEFT(TH!M1225,2)="15"),TK!$E$7=TH!F1225),"x","")</f>
        <v/>
      </c>
      <c r="Z1225" s="39" t="str">
        <f>IF(AND(B1225&lt;=NKC!$N$8,B1225&gt;=NKC!$M$8),"x","")</f>
        <v>x</v>
      </c>
      <c r="AA1225" s="886"/>
    </row>
    <row r="1226" spans="1:27" s="211" customFormat="1" ht="15.75" customHeight="1">
      <c r="A1226" s="204" t="str">
        <f>IF(B1226&lt;&gt;"",IF(AND(B1226&gt;=_TM1,B1226&lt;=_TM2,OR(TH!L1226="1111",TH!M1226="1111")),TH!D1226,""),"")</f>
        <v/>
      </c>
      <c r="B1226" s="36">
        <f t="shared" si="227"/>
        <v>9</v>
      </c>
      <c r="C1226" s="191">
        <f t="shared" si="228"/>
        <v>41525</v>
      </c>
      <c r="D1226" s="191" t="s">
        <v>1294</v>
      </c>
      <c r="E1226" s="796">
        <v>41525</v>
      </c>
      <c r="F1226" s="192"/>
      <c r="G1226" s="487" t="s">
        <v>926</v>
      </c>
      <c r="H1226" s="7" t="s">
        <v>1287</v>
      </c>
      <c r="I1226" s="257"/>
      <c r="J1226" s="257"/>
      <c r="K1226" s="602">
        <f t="shared" si="229"/>
        <v>0</v>
      </c>
      <c r="L1226" s="39" t="s">
        <v>165</v>
      </c>
      <c r="M1226" s="603" t="s">
        <v>159</v>
      </c>
      <c r="N1226" s="39" t="str">
        <f>IF(AND('331-CT'!$E$7=TH!H1226,OR(L1226="331",M1226="331")),"331",IF(AND(OR(L1226="131",M1226="131"),H1226='131-CT'!$E$7),"131",""))</f>
        <v/>
      </c>
      <c r="O1226" s="39" t="str">
        <f>IF(AND($B1226&gt;='111'!$N$11,$B1226&lt;='111'!$O$11,OR($L1226=$O$7,$M1226=$O$7)),"x","")</f>
        <v/>
      </c>
      <c r="P1226" s="39" t="str">
        <f>IF(AND($L1226=$O$7,$B1226&lt;'111'!$N$11),"x","")</f>
        <v/>
      </c>
      <c r="Q1226" s="39" t="str">
        <f>IF(AND($M1226=$O$7,$B1226&lt;'111'!$N$11),"x","")</f>
        <v/>
      </c>
      <c r="R1226" s="39" t="str">
        <f>IF(ISERROR(FIND('112'!$M$9,G1226,1)),"",IF((AND(FIND('112'!$M$9,G1226,1)&gt;=1,$B1226&gt;='112'!$N$8,$B1226&lt;='112'!$O$8,OR($L1226='112'!$I$6,$M1226='112'!$I$6))),"x",""))</f>
        <v/>
      </c>
      <c r="S1226" s="39" t="str">
        <f>IF(ISERROR(FIND('112'!$M$9,G1226,1)),"",IF((AND(LEFT(G1226,2)=LEFT('112'!$M$9,2),B1226&lt;'112'!$N$8,$L1226='112'!$I$6)),"x",""))</f>
        <v/>
      </c>
      <c r="T1226" s="39" t="str">
        <f>IF(ISERROR(FIND('112'!$M$9,G1226,1)),"",IF((AND(RIGHT(G1226,2)=RIGHT('112'!$M$9,2),B1226&lt;'112'!$N$8,$M1226='112'!$I$6)),"x",""))</f>
        <v/>
      </c>
      <c r="U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39" t="str">
        <f>IF(OR(TH!L1226=TH!$V$7,M1226=TH!$V$7),"x","")</f>
        <v/>
      </c>
      <c r="W1226" s="39" t="str">
        <f>IF(AND(B1226&gt;='IN-NX'!$P$3,B1226&lt;='IN-NX'!$Q$3,'IN-NX'!$D$7=D1226,OR(LEFT(L1226,2)="15",AND(LEFT(M1226,2)&lt;&gt;"15",LEFT(M1226,2)&lt;&gt;"33"))),"x","")</f>
        <v/>
      </c>
      <c r="X1226" s="39" t="str">
        <f>IF(AND(OR(LEFT(TH!L1226,2)="15",LEFT(TH!M1226,2)="15"),'152-CT'!$J$8=TH!F1226),"x","")</f>
        <v/>
      </c>
      <c r="Y1226" s="39" t="str">
        <f>IF(AND(OR(LEFT(TH!L1226,2)="15",LEFT(TH!M1226,2)="15"),TK!$E$7=TH!F1226),"x","")</f>
        <v/>
      </c>
      <c r="Z1226" s="39" t="str">
        <f>IF(AND(B1226&lt;=NKC!$N$8,B1226&gt;=NKC!$M$8),"x","")</f>
        <v>x</v>
      </c>
      <c r="AA1226" s="886"/>
    </row>
    <row r="1227" spans="1:27" s="211" customFormat="1" ht="15.75" customHeight="1">
      <c r="A1227" s="204" t="str">
        <f>IF(B1227&lt;&gt;"",IF(AND(B1227&gt;=_TM1,B1227&lt;=_TM2,OR(TH!L1227="1111",TH!M1227="1111")),TH!D1227,""),"")</f>
        <v/>
      </c>
      <c r="B1227" s="36">
        <f t="shared" si="227"/>
        <v>9</v>
      </c>
      <c r="C1227" s="191">
        <f t="shared" si="228"/>
        <v>41525</v>
      </c>
      <c r="D1227" s="191" t="s">
        <v>1294</v>
      </c>
      <c r="E1227" s="796">
        <v>41525</v>
      </c>
      <c r="F1227" s="189"/>
      <c r="G1227" s="487" t="s">
        <v>926</v>
      </c>
      <c r="H1227" s="7" t="s">
        <v>1287</v>
      </c>
      <c r="I1227" s="256"/>
      <c r="J1227" s="256"/>
      <c r="K1227" s="602">
        <f t="shared" si="229"/>
        <v>0</v>
      </c>
      <c r="L1227" s="39" t="s">
        <v>165</v>
      </c>
      <c r="M1227" s="603" t="s">
        <v>159</v>
      </c>
      <c r="N1227" s="39" t="str">
        <f>IF(AND('331-CT'!$E$7=TH!H1227,OR(L1227="331",M1227="331")),"331",IF(AND(OR(L1227="131",M1227="131"),H1227='131-CT'!$E$7),"131",""))</f>
        <v/>
      </c>
      <c r="O1227" s="39" t="str">
        <f>IF(AND($B1227&gt;='111'!$N$11,$B1227&lt;='111'!$O$11,OR($L1227=$O$7,$M1227=$O$7)),"x","")</f>
        <v/>
      </c>
      <c r="P1227" s="39" t="str">
        <f>IF(AND($L1227=$O$7,$B1227&lt;'111'!$N$11),"x","")</f>
        <v/>
      </c>
      <c r="Q1227" s="39" t="str">
        <f>IF(AND($M1227=$O$7,$B1227&lt;'111'!$N$11),"x","")</f>
        <v/>
      </c>
      <c r="R1227" s="39" t="str">
        <f>IF(ISERROR(FIND('112'!$M$9,G1227,1)),"",IF((AND(FIND('112'!$M$9,G1227,1)&gt;=1,$B1227&gt;='112'!$N$8,$B1227&lt;='112'!$O$8,OR($L1227='112'!$I$6,$M1227='112'!$I$6))),"x",""))</f>
        <v/>
      </c>
      <c r="S1227" s="39" t="str">
        <f>IF(ISERROR(FIND('112'!$M$9,G1227,1)),"",IF((AND(LEFT(G1227,2)=LEFT('112'!$M$9,2),B1227&lt;'112'!$N$8,$L1227='112'!$I$6)),"x",""))</f>
        <v/>
      </c>
      <c r="T1227" s="39" t="str">
        <f>IF(ISERROR(FIND('112'!$M$9,G1227,1)),"",IF((AND(RIGHT(G1227,2)=RIGHT('112'!$M$9,2),B1227&lt;'112'!$N$8,$M1227='112'!$I$6)),"x",""))</f>
        <v/>
      </c>
      <c r="U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39" t="str">
        <f>IF(OR(TH!L1227=TH!$V$7,M1227=TH!$V$7),"x","")</f>
        <v/>
      </c>
      <c r="W1227" s="39" t="str">
        <f>IF(AND(B1227&gt;='IN-NX'!$P$3,B1227&lt;='IN-NX'!$Q$3,'IN-NX'!$D$7=D1227,OR(LEFT(L1227,2)="15",AND(LEFT(M1227,2)&lt;&gt;"15",LEFT(M1227,2)&lt;&gt;"33"))),"x","")</f>
        <v/>
      </c>
      <c r="X1227" s="39" t="str">
        <f>IF(AND(OR(LEFT(TH!L1227,2)="15",LEFT(TH!M1227,2)="15"),'152-CT'!$J$8=TH!F1227),"x","")</f>
        <v/>
      </c>
      <c r="Y1227" s="39" t="str">
        <f>IF(AND(OR(LEFT(TH!L1227,2)="15",LEFT(TH!M1227,2)="15"),TK!$E$7=TH!F1227),"x","")</f>
        <v/>
      </c>
      <c r="Z1227" s="39" t="str">
        <f>IF(AND(B1227&lt;=NKC!$N$8,B1227&gt;=NKC!$M$8),"x","")</f>
        <v>x</v>
      </c>
      <c r="AA1227" s="886"/>
    </row>
    <row r="1228" spans="1:27" s="211" customFormat="1" ht="15.75" customHeight="1">
      <c r="A1228" s="204" t="str">
        <f>IF(B1228&lt;&gt;"",IF(AND(B1228&gt;=_TM1,B1228&lt;=_TM2,OR(TH!L1228="1111",TH!M1228="1111")),TH!D1228,""),"")</f>
        <v/>
      </c>
      <c r="B1228" s="36">
        <f t="shared" si="227"/>
        <v>9</v>
      </c>
      <c r="C1228" s="191">
        <f t="shared" si="228"/>
        <v>41530</v>
      </c>
      <c r="D1228" s="191" t="s">
        <v>1294</v>
      </c>
      <c r="E1228" s="796">
        <v>41530</v>
      </c>
      <c r="F1228" s="189"/>
      <c r="G1228" s="487" t="s">
        <v>929</v>
      </c>
      <c r="H1228" s="7" t="s">
        <v>1287</v>
      </c>
      <c r="I1228" s="256"/>
      <c r="J1228" s="256"/>
      <c r="K1228" s="602">
        <f t="shared" si="229"/>
        <v>0</v>
      </c>
      <c r="L1228" s="39" t="s">
        <v>165</v>
      </c>
      <c r="M1228" s="603" t="s">
        <v>159</v>
      </c>
      <c r="N1228" s="39" t="str">
        <f>IF(AND('331-CT'!$E$7=TH!H1228,OR(L1228="331",M1228="331")),"331",IF(AND(OR(L1228="131",M1228="131"),H1228='131-CT'!$E$7),"131",""))</f>
        <v/>
      </c>
      <c r="O1228" s="39" t="str">
        <f>IF(AND($B1228&gt;='111'!$N$11,$B1228&lt;='111'!$O$11,OR($L1228=$O$7,$M1228=$O$7)),"x","")</f>
        <v/>
      </c>
      <c r="P1228" s="39" t="str">
        <f>IF(AND($L1228=$O$7,$B1228&lt;'111'!$N$11),"x","")</f>
        <v/>
      </c>
      <c r="Q1228" s="39" t="str">
        <f>IF(AND($M1228=$O$7,$B1228&lt;'111'!$N$11),"x","")</f>
        <v/>
      </c>
      <c r="R1228" s="39" t="str">
        <f>IF(ISERROR(FIND('112'!$M$9,G1228,1)),"",IF((AND(FIND('112'!$M$9,G1228,1)&gt;=1,$B1228&gt;='112'!$N$8,$B1228&lt;='112'!$O$8,OR($L1228='112'!$I$6,$M1228='112'!$I$6))),"x",""))</f>
        <v/>
      </c>
      <c r="S1228" s="39" t="str">
        <f>IF(ISERROR(FIND('112'!$M$9,G1228,1)),"",IF((AND(LEFT(G1228,2)=LEFT('112'!$M$9,2),B1228&lt;'112'!$N$8,$L1228='112'!$I$6)),"x",""))</f>
        <v/>
      </c>
      <c r="T1228" s="39" t="str">
        <f>IF(ISERROR(FIND('112'!$M$9,G1228,1)),"",IF((AND(RIGHT(G1228,2)=RIGHT('112'!$M$9,2),B1228&lt;'112'!$N$8,$M1228='112'!$I$6)),"x",""))</f>
        <v/>
      </c>
      <c r="U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39" t="str">
        <f>IF(OR(TH!L1228=TH!$V$7,M1228=TH!$V$7),"x","")</f>
        <v/>
      </c>
      <c r="W1228" s="39" t="str">
        <f>IF(AND(B1228&gt;='IN-NX'!$P$3,B1228&lt;='IN-NX'!$Q$3,'IN-NX'!$D$7=D1228,OR(LEFT(L1228,2)="15",AND(LEFT(M1228,2)&lt;&gt;"15",LEFT(M1228,2)&lt;&gt;"33"))),"x","")</f>
        <v/>
      </c>
      <c r="X1228" s="39" t="str">
        <f>IF(AND(OR(LEFT(TH!L1228,2)="15",LEFT(TH!M1228,2)="15"),'152-CT'!$J$8=TH!F1228),"x","")</f>
        <v/>
      </c>
      <c r="Y1228" s="39" t="str">
        <f>IF(AND(OR(LEFT(TH!L1228,2)="15",LEFT(TH!M1228,2)="15"),TK!$E$7=TH!F1228),"x","")</f>
        <v/>
      </c>
      <c r="Z1228" s="39" t="str">
        <f>IF(AND(B1228&lt;=NKC!$N$8,B1228&gt;=NKC!$M$8),"x","")</f>
        <v>x</v>
      </c>
      <c r="AA1228" s="886"/>
    </row>
    <row r="1229" spans="1:27" s="211" customFormat="1" ht="15.75" customHeight="1">
      <c r="A1229" s="204" t="str">
        <f>IF(B1229&lt;&gt;"",IF(AND(B1229&gt;=_TM1,B1229&lt;=_TM2,OR(TH!L1229="1111",TH!M1229="1111")),TH!D1229,""),"")</f>
        <v/>
      </c>
      <c r="B1229" s="36">
        <f t="shared" si="227"/>
        <v>9</v>
      </c>
      <c r="C1229" s="191">
        <f t="shared" si="228"/>
        <v>41532</v>
      </c>
      <c r="D1229" s="191" t="s">
        <v>1294</v>
      </c>
      <c r="E1229" s="191">
        <v>41532</v>
      </c>
      <c r="F1229" s="192"/>
      <c r="G1229" s="487" t="s">
        <v>930</v>
      </c>
      <c r="H1229" s="7" t="s">
        <v>1287</v>
      </c>
      <c r="I1229" s="256"/>
      <c r="J1229" s="256"/>
      <c r="K1229" s="602">
        <f t="shared" si="229"/>
        <v>0</v>
      </c>
      <c r="L1229" s="39" t="s">
        <v>165</v>
      </c>
      <c r="M1229" s="603" t="s">
        <v>159</v>
      </c>
      <c r="N1229" s="39" t="str">
        <f>IF(AND('331-CT'!$E$7=TH!H1229,OR(L1229="331",M1229="331")),"331",IF(AND(OR(L1229="131",M1229="131"),H1229='131-CT'!$E$7),"131",""))</f>
        <v/>
      </c>
      <c r="O1229" s="39" t="str">
        <f>IF(AND($B1229&gt;='111'!$N$11,$B1229&lt;='111'!$O$11,OR($L1229=$O$7,$M1229=$O$7)),"x","")</f>
        <v/>
      </c>
      <c r="P1229" s="39" t="str">
        <f>IF(AND($L1229=$O$7,$B1229&lt;'111'!$N$11),"x","")</f>
        <v/>
      </c>
      <c r="Q1229" s="39" t="str">
        <f>IF(AND($M1229=$O$7,$B1229&lt;'111'!$N$11),"x","")</f>
        <v/>
      </c>
      <c r="R1229" s="39" t="str">
        <f>IF(ISERROR(FIND('112'!$M$9,G1229,1)),"",IF((AND(FIND('112'!$M$9,G1229,1)&gt;=1,$B1229&gt;='112'!$N$8,$B1229&lt;='112'!$O$8,OR($L1229='112'!$I$6,$M1229='112'!$I$6))),"x",""))</f>
        <v/>
      </c>
      <c r="S1229" s="39" t="str">
        <f>IF(ISERROR(FIND('112'!$M$9,G1229,1)),"",IF((AND(LEFT(G1229,2)=LEFT('112'!$M$9,2),B1229&lt;'112'!$N$8,$L1229='112'!$I$6)),"x",""))</f>
        <v/>
      </c>
      <c r="T1229" s="39" t="str">
        <f>IF(ISERROR(FIND('112'!$M$9,G1229,1)),"",IF((AND(RIGHT(G1229,2)=RIGHT('112'!$M$9,2),B1229&lt;'112'!$N$8,$M1229='112'!$I$6)),"x",""))</f>
        <v/>
      </c>
      <c r="U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39" t="str">
        <f>IF(OR(TH!L1229=TH!$V$7,M1229=TH!$V$7),"x","")</f>
        <v/>
      </c>
      <c r="W1229" s="39" t="str">
        <f>IF(AND(B1229&gt;='IN-NX'!$P$3,B1229&lt;='IN-NX'!$Q$3,'IN-NX'!$D$7=D1229,OR(LEFT(L1229,2)="15",AND(LEFT(M1229,2)&lt;&gt;"15",LEFT(M1229,2)&lt;&gt;"33"))),"x","")</f>
        <v/>
      </c>
      <c r="X1229" s="39" t="str">
        <f>IF(AND(OR(LEFT(TH!L1229,2)="15",LEFT(TH!M1229,2)="15"),'152-CT'!$J$8=TH!F1229),"x","")</f>
        <v/>
      </c>
      <c r="Y1229" s="39" t="str">
        <f>IF(AND(OR(LEFT(TH!L1229,2)="15",LEFT(TH!M1229,2)="15"),TK!$E$7=TH!F1229),"x","")</f>
        <v/>
      </c>
      <c r="Z1229" s="39" t="str">
        <f>IF(AND(B1229&lt;=NKC!$N$8,B1229&gt;=NKC!$M$8),"x","")</f>
        <v>x</v>
      </c>
      <c r="AA1229" s="886"/>
    </row>
    <row r="1230" spans="1:27" s="211" customFormat="1" ht="15.75" customHeight="1">
      <c r="A1230" s="204" t="str">
        <f>IF(B1230&lt;&gt;"",IF(AND(B1230&gt;=_TM1,B1230&lt;=_TM2,OR(TH!L1230="1111",TH!M1230="1111")),TH!D1230,""),"")</f>
        <v/>
      </c>
      <c r="B1230" s="36">
        <f t="shared" si="227"/>
        <v>9</v>
      </c>
      <c r="C1230" s="191">
        <f t="shared" si="228"/>
        <v>41533</v>
      </c>
      <c r="D1230" s="191" t="s">
        <v>1294</v>
      </c>
      <c r="E1230" s="191">
        <v>41533</v>
      </c>
      <c r="F1230" s="192"/>
      <c r="G1230" s="487" t="s">
        <v>932</v>
      </c>
      <c r="H1230" s="7" t="s">
        <v>1287</v>
      </c>
      <c r="I1230" s="256"/>
      <c r="J1230" s="256"/>
      <c r="K1230" s="602">
        <f t="shared" si="229"/>
        <v>0</v>
      </c>
      <c r="L1230" s="39" t="s">
        <v>165</v>
      </c>
      <c r="M1230" s="603" t="s">
        <v>159</v>
      </c>
      <c r="N1230" s="39" t="str">
        <f>IF(AND('331-CT'!$E$7=TH!H1230,OR(L1230="331",M1230="331")),"331",IF(AND(OR(L1230="131",M1230="131"),H1230='131-CT'!$E$7),"131",""))</f>
        <v/>
      </c>
      <c r="O1230" s="39" t="str">
        <f>IF(AND($B1230&gt;='111'!$N$11,$B1230&lt;='111'!$O$11,OR($L1230=$O$7,$M1230=$O$7)),"x","")</f>
        <v/>
      </c>
      <c r="P1230" s="39" t="str">
        <f>IF(AND($L1230=$O$7,$B1230&lt;'111'!$N$11),"x","")</f>
        <v/>
      </c>
      <c r="Q1230" s="39" t="str">
        <f>IF(AND($M1230=$O$7,$B1230&lt;'111'!$N$11),"x","")</f>
        <v/>
      </c>
      <c r="R1230" s="39" t="str">
        <f>IF(ISERROR(FIND('112'!$M$9,G1230,1)),"",IF((AND(FIND('112'!$M$9,G1230,1)&gt;=1,$B1230&gt;='112'!$N$8,$B1230&lt;='112'!$O$8,OR($L1230='112'!$I$6,$M1230='112'!$I$6))),"x",""))</f>
        <v/>
      </c>
      <c r="S1230" s="39" t="str">
        <f>IF(ISERROR(FIND('112'!$M$9,G1230,1)),"",IF((AND(LEFT(G1230,2)=LEFT('112'!$M$9,2),B1230&lt;'112'!$N$8,$L1230='112'!$I$6)),"x",""))</f>
        <v/>
      </c>
      <c r="T1230" s="39" t="str">
        <f>IF(ISERROR(FIND('112'!$M$9,G1230,1)),"",IF((AND(RIGHT(G1230,2)=RIGHT('112'!$M$9,2),B1230&lt;'112'!$N$8,$M1230='112'!$I$6)),"x",""))</f>
        <v/>
      </c>
      <c r="U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39" t="str">
        <f>IF(OR(TH!L1230=TH!$V$7,M1230=TH!$V$7),"x","")</f>
        <v/>
      </c>
      <c r="W1230" s="39" t="str">
        <f>IF(AND(B1230&gt;='IN-NX'!$P$3,B1230&lt;='IN-NX'!$Q$3,'IN-NX'!$D$7=D1230,OR(LEFT(L1230,2)="15",AND(LEFT(M1230,2)&lt;&gt;"15",LEFT(M1230,2)&lt;&gt;"33"))),"x","")</f>
        <v/>
      </c>
      <c r="X1230" s="39" t="str">
        <f>IF(AND(OR(LEFT(TH!L1230,2)="15",LEFT(TH!M1230,2)="15"),'152-CT'!$J$8=TH!F1230),"x","")</f>
        <v/>
      </c>
      <c r="Y1230" s="39" t="str">
        <f>IF(AND(OR(LEFT(TH!L1230,2)="15",LEFT(TH!M1230,2)="15"),TK!$E$7=TH!F1230),"x","")</f>
        <v/>
      </c>
      <c r="Z1230" s="39" t="str">
        <f>IF(AND(B1230&lt;=NKC!$N$8,B1230&gt;=NKC!$M$8),"x","")</f>
        <v>x</v>
      </c>
      <c r="AA1230" s="886"/>
    </row>
    <row r="1231" spans="1:27" s="211" customFormat="1" ht="15.75" customHeight="1">
      <c r="A1231" s="204" t="str">
        <f>IF(B1231&lt;&gt;"",IF(AND(B1231&gt;=_TM1,B1231&lt;=_TM2,OR(TH!L1231="1111",TH!M1231="1111")),TH!D1231,""),"")</f>
        <v/>
      </c>
      <c r="B1231" s="36">
        <f t="shared" si="227"/>
        <v>9</v>
      </c>
      <c r="C1231" s="191">
        <f t="shared" si="228"/>
        <v>41534</v>
      </c>
      <c r="D1231" s="191" t="s">
        <v>1294</v>
      </c>
      <c r="E1231" s="191">
        <v>41534</v>
      </c>
      <c r="F1231" s="192"/>
      <c r="G1231" s="487" t="s">
        <v>933</v>
      </c>
      <c r="H1231" s="7" t="s">
        <v>1287</v>
      </c>
      <c r="I1231" s="256"/>
      <c r="J1231" s="256"/>
      <c r="K1231" s="602">
        <f t="shared" si="229"/>
        <v>0</v>
      </c>
      <c r="L1231" s="39" t="s">
        <v>165</v>
      </c>
      <c r="M1231" s="603" t="s">
        <v>159</v>
      </c>
      <c r="N1231" s="39" t="str">
        <f>IF(AND('331-CT'!$E$7=TH!H1231,OR(L1231="331",M1231="331")),"331",IF(AND(OR(L1231="131",M1231="131"),H1231='131-CT'!$E$7),"131",""))</f>
        <v/>
      </c>
      <c r="O1231" s="39" t="str">
        <f>IF(AND($B1231&gt;='111'!$N$11,$B1231&lt;='111'!$O$11,OR($L1231=$O$7,$M1231=$O$7)),"x","")</f>
        <v/>
      </c>
      <c r="P1231" s="39" t="str">
        <f>IF(AND($L1231=$O$7,$B1231&lt;'111'!$N$11),"x","")</f>
        <v/>
      </c>
      <c r="Q1231" s="39" t="str">
        <f>IF(AND($M1231=$O$7,$B1231&lt;'111'!$N$11),"x","")</f>
        <v/>
      </c>
      <c r="R1231" s="39" t="str">
        <f>IF(ISERROR(FIND('112'!$M$9,G1231,1)),"",IF((AND(FIND('112'!$M$9,G1231,1)&gt;=1,$B1231&gt;='112'!$N$8,$B1231&lt;='112'!$O$8,OR($L1231='112'!$I$6,$M1231='112'!$I$6))),"x",""))</f>
        <v/>
      </c>
      <c r="S1231" s="39" t="str">
        <f>IF(ISERROR(FIND('112'!$M$9,G1231,1)),"",IF((AND(LEFT(G1231,2)=LEFT('112'!$M$9,2),B1231&lt;'112'!$N$8,$L1231='112'!$I$6)),"x",""))</f>
        <v/>
      </c>
      <c r="T1231" s="39" t="str">
        <f>IF(ISERROR(FIND('112'!$M$9,G1231,1)),"",IF((AND(RIGHT(G1231,2)=RIGHT('112'!$M$9,2),B1231&lt;'112'!$N$8,$M1231='112'!$I$6)),"x",""))</f>
        <v/>
      </c>
      <c r="U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39" t="str">
        <f>IF(OR(TH!L1231=TH!$V$7,M1231=TH!$V$7),"x","")</f>
        <v/>
      </c>
      <c r="W1231" s="39" t="str">
        <f>IF(AND(B1231&gt;='IN-NX'!$P$3,B1231&lt;='IN-NX'!$Q$3,'IN-NX'!$D$7=D1231,OR(LEFT(L1231,2)="15",AND(LEFT(M1231,2)&lt;&gt;"15",LEFT(M1231,2)&lt;&gt;"33"))),"x","")</f>
        <v/>
      </c>
      <c r="X1231" s="39" t="str">
        <f>IF(AND(OR(LEFT(TH!L1231,2)="15",LEFT(TH!M1231,2)="15"),'152-CT'!$J$8=TH!F1231),"x","")</f>
        <v/>
      </c>
      <c r="Y1231" s="39" t="str">
        <f>IF(AND(OR(LEFT(TH!L1231,2)="15",LEFT(TH!M1231,2)="15"),TK!$E$7=TH!F1231),"x","")</f>
        <v/>
      </c>
      <c r="Z1231" s="39" t="str">
        <f>IF(AND(B1231&lt;=NKC!$N$8,B1231&gt;=NKC!$M$8),"x","")</f>
        <v>x</v>
      </c>
      <c r="AA1231" s="886"/>
    </row>
    <row r="1232" spans="1:27" s="211" customFormat="1" ht="15.75" customHeight="1">
      <c r="A1232" s="204" t="str">
        <f>IF(B1232&lt;&gt;"",IF(AND(B1232&gt;=_TM1,B1232&lt;=_TM2,OR(TH!L1232="1111",TH!M1232="1111")),TH!D1232,""),"")</f>
        <v/>
      </c>
      <c r="B1232" s="36">
        <f t="shared" si="227"/>
        <v>9</v>
      </c>
      <c r="C1232" s="191">
        <f t="shared" si="228"/>
        <v>41535</v>
      </c>
      <c r="D1232" s="191" t="s">
        <v>1294</v>
      </c>
      <c r="E1232" s="191">
        <v>41535</v>
      </c>
      <c r="F1232" s="192"/>
      <c r="G1232" s="487" t="s">
        <v>934</v>
      </c>
      <c r="H1232" s="7" t="s">
        <v>1287</v>
      </c>
      <c r="I1232" s="256"/>
      <c r="J1232" s="256"/>
      <c r="K1232" s="602">
        <f t="shared" si="229"/>
        <v>0</v>
      </c>
      <c r="L1232" s="39" t="s">
        <v>165</v>
      </c>
      <c r="M1232" s="603" t="s">
        <v>159</v>
      </c>
      <c r="N1232" s="39" t="str">
        <f>IF(AND('331-CT'!$E$7=TH!H1232,OR(L1232="331",M1232="331")),"331",IF(AND(OR(L1232="131",M1232="131"),H1232='131-CT'!$E$7),"131",""))</f>
        <v/>
      </c>
      <c r="O1232" s="39" t="str">
        <f>IF(AND($B1232&gt;='111'!$N$11,$B1232&lt;='111'!$O$11,OR($L1232=$O$7,$M1232=$O$7)),"x","")</f>
        <v/>
      </c>
      <c r="P1232" s="39" t="str">
        <f>IF(AND($L1232=$O$7,$B1232&lt;'111'!$N$11),"x","")</f>
        <v/>
      </c>
      <c r="Q1232" s="39" t="str">
        <f>IF(AND($M1232=$O$7,$B1232&lt;'111'!$N$11),"x","")</f>
        <v/>
      </c>
      <c r="R1232" s="39" t="str">
        <f>IF(ISERROR(FIND('112'!$M$9,G1232,1)),"",IF((AND(FIND('112'!$M$9,G1232,1)&gt;=1,$B1232&gt;='112'!$N$8,$B1232&lt;='112'!$O$8,OR($L1232='112'!$I$6,$M1232='112'!$I$6))),"x",""))</f>
        <v/>
      </c>
      <c r="S1232" s="39" t="str">
        <f>IF(ISERROR(FIND('112'!$M$9,G1232,1)),"",IF((AND(LEFT(G1232,2)=LEFT('112'!$M$9,2),B1232&lt;'112'!$N$8,$L1232='112'!$I$6)),"x",""))</f>
        <v/>
      </c>
      <c r="T1232" s="39" t="str">
        <f>IF(ISERROR(FIND('112'!$M$9,G1232,1)),"",IF((AND(RIGHT(G1232,2)=RIGHT('112'!$M$9,2),B1232&lt;'112'!$N$8,$M1232='112'!$I$6)),"x",""))</f>
        <v/>
      </c>
      <c r="U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39" t="str">
        <f>IF(OR(TH!L1232=TH!$V$7,M1232=TH!$V$7),"x","")</f>
        <v/>
      </c>
      <c r="W1232" s="39" t="str">
        <f>IF(AND(B1232&gt;='IN-NX'!$P$3,B1232&lt;='IN-NX'!$Q$3,'IN-NX'!$D$7=D1232,OR(LEFT(L1232,2)="15",AND(LEFT(M1232,2)&lt;&gt;"15",LEFT(M1232,2)&lt;&gt;"33"))),"x","")</f>
        <v/>
      </c>
      <c r="X1232" s="39" t="str">
        <f>IF(AND(OR(LEFT(TH!L1232,2)="15",LEFT(TH!M1232,2)="15"),'152-CT'!$J$8=TH!F1232),"x","")</f>
        <v/>
      </c>
      <c r="Y1232" s="39" t="str">
        <f>IF(AND(OR(LEFT(TH!L1232,2)="15",LEFT(TH!M1232,2)="15"),TK!$E$7=TH!F1232),"x","")</f>
        <v/>
      </c>
      <c r="Z1232" s="39" t="str">
        <f>IF(AND(B1232&lt;=NKC!$N$8,B1232&gt;=NKC!$M$8),"x","")</f>
        <v>x</v>
      </c>
      <c r="AA1232" s="886"/>
    </row>
    <row r="1233" spans="1:27" s="211" customFormat="1" ht="15.75" customHeight="1">
      <c r="A1233" s="204" t="str">
        <f>IF(B1233&lt;&gt;"",IF(AND(B1233&gt;=_TM1,B1233&lt;=_TM2,OR(TH!L1233="1111",TH!M1233="1111")),TH!D1233,""),"")</f>
        <v/>
      </c>
      <c r="B1233" s="36">
        <f t="shared" si="227"/>
        <v>9</v>
      </c>
      <c r="C1233" s="191">
        <f t="shared" si="228"/>
        <v>41537</v>
      </c>
      <c r="D1233" s="191" t="s">
        <v>1294</v>
      </c>
      <c r="E1233" s="191">
        <v>41537</v>
      </c>
      <c r="F1233" s="192"/>
      <c r="G1233" s="487" t="s">
        <v>1126</v>
      </c>
      <c r="H1233" s="7" t="s">
        <v>1287</v>
      </c>
      <c r="I1233" s="256"/>
      <c r="J1233" s="256"/>
      <c r="K1233" s="602">
        <f t="shared" si="229"/>
        <v>0</v>
      </c>
      <c r="L1233" s="39" t="s">
        <v>165</v>
      </c>
      <c r="M1233" s="603" t="s">
        <v>159</v>
      </c>
      <c r="N1233" s="39" t="str">
        <f>IF(AND('331-CT'!$E$7=TH!H1233,OR(L1233="331",M1233="331")),"331",IF(AND(OR(L1233="131",M1233="131"),H1233='131-CT'!$E$7),"131",""))</f>
        <v/>
      </c>
      <c r="O1233" s="39" t="str">
        <f>IF(AND($B1233&gt;='111'!$N$11,$B1233&lt;='111'!$O$11,OR($L1233=$O$7,$M1233=$O$7)),"x","")</f>
        <v/>
      </c>
      <c r="P1233" s="39" t="str">
        <f>IF(AND($L1233=$O$7,$B1233&lt;'111'!$N$11),"x","")</f>
        <v/>
      </c>
      <c r="Q1233" s="39" t="str">
        <f>IF(AND($M1233=$O$7,$B1233&lt;'111'!$N$11),"x","")</f>
        <v/>
      </c>
      <c r="R1233" s="39" t="str">
        <f>IF(ISERROR(FIND('112'!$M$9,G1233,1)),"",IF((AND(FIND('112'!$M$9,G1233,1)&gt;=1,$B1233&gt;='112'!$N$8,$B1233&lt;='112'!$O$8,OR($L1233='112'!$I$6,$M1233='112'!$I$6))),"x",""))</f>
        <v/>
      </c>
      <c r="S1233" s="39" t="str">
        <f>IF(ISERROR(FIND('112'!$M$9,G1233,1)),"",IF((AND(LEFT(G1233,2)=LEFT('112'!$M$9,2),B1233&lt;'112'!$N$8,$L1233='112'!$I$6)),"x",""))</f>
        <v/>
      </c>
      <c r="T1233" s="39" t="str">
        <f>IF(ISERROR(FIND('112'!$M$9,G1233,1)),"",IF((AND(RIGHT(G1233,2)=RIGHT('112'!$M$9,2),B1233&lt;'112'!$N$8,$M1233='112'!$I$6)),"x",""))</f>
        <v/>
      </c>
      <c r="U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39" t="str">
        <f>IF(OR(TH!L1233=TH!$V$7,M1233=TH!$V$7),"x","")</f>
        <v/>
      </c>
      <c r="W1233" s="39" t="str">
        <f>IF(AND(B1233&gt;='IN-NX'!$P$3,B1233&lt;='IN-NX'!$Q$3,'IN-NX'!$D$7=D1233,OR(LEFT(L1233,2)="15",AND(LEFT(M1233,2)&lt;&gt;"15",LEFT(M1233,2)&lt;&gt;"33"))),"x","")</f>
        <v/>
      </c>
      <c r="X1233" s="39" t="str">
        <f>IF(AND(OR(LEFT(TH!L1233,2)="15",LEFT(TH!M1233,2)="15"),'152-CT'!$J$8=TH!F1233),"x","")</f>
        <v/>
      </c>
      <c r="Y1233" s="39" t="str">
        <f>IF(AND(OR(LEFT(TH!L1233,2)="15",LEFT(TH!M1233,2)="15"),TK!$E$7=TH!F1233),"x","")</f>
        <v/>
      </c>
      <c r="Z1233" s="39" t="str">
        <f>IF(AND(B1233&lt;=NKC!$N$8,B1233&gt;=NKC!$M$8),"x","")</f>
        <v>x</v>
      </c>
      <c r="AA1233" s="886"/>
    </row>
    <row r="1234" spans="1:27" s="211" customFormat="1" ht="15.75" customHeight="1">
      <c r="A1234" s="204" t="str">
        <f>IF(B1234&lt;&gt;"",IF(AND(B1234&gt;=_TM1,B1234&lt;=_TM2,OR(TH!L1234="1111",TH!M1234="1111")),TH!D1234,""),"")</f>
        <v/>
      </c>
      <c r="B1234" s="36">
        <f t="shared" si="227"/>
        <v>9</v>
      </c>
      <c r="C1234" s="191">
        <f t="shared" si="228"/>
        <v>41537</v>
      </c>
      <c r="D1234" s="191" t="s">
        <v>1294</v>
      </c>
      <c r="E1234" s="191">
        <v>41537</v>
      </c>
      <c r="F1234" s="192"/>
      <c r="G1234" s="487" t="s">
        <v>1126</v>
      </c>
      <c r="H1234" s="7" t="s">
        <v>1287</v>
      </c>
      <c r="I1234" s="256"/>
      <c r="J1234" s="256"/>
      <c r="K1234" s="602">
        <f t="shared" si="229"/>
        <v>0</v>
      </c>
      <c r="L1234" s="39" t="s">
        <v>165</v>
      </c>
      <c r="M1234" s="603" t="s">
        <v>159</v>
      </c>
      <c r="N1234" s="39" t="str">
        <f>IF(AND('331-CT'!$E$7=TH!H1234,OR(L1234="331",M1234="331")),"331",IF(AND(OR(L1234="131",M1234="131"),H1234='131-CT'!$E$7),"131",""))</f>
        <v/>
      </c>
      <c r="O1234" s="39" t="str">
        <f>IF(AND($B1234&gt;='111'!$N$11,$B1234&lt;='111'!$O$11,OR($L1234=$O$7,$M1234=$O$7)),"x","")</f>
        <v/>
      </c>
      <c r="P1234" s="39" t="str">
        <f>IF(AND($L1234=$O$7,$B1234&lt;'111'!$N$11),"x","")</f>
        <v/>
      </c>
      <c r="Q1234" s="39" t="str">
        <f>IF(AND($M1234=$O$7,$B1234&lt;'111'!$N$11),"x","")</f>
        <v/>
      </c>
      <c r="R1234" s="39" t="str">
        <f>IF(ISERROR(FIND('112'!$M$9,G1234,1)),"",IF((AND(FIND('112'!$M$9,G1234,1)&gt;=1,$B1234&gt;='112'!$N$8,$B1234&lt;='112'!$O$8,OR($L1234='112'!$I$6,$M1234='112'!$I$6))),"x",""))</f>
        <v/>
      </c>
      <c r="S1234" s="39" t="str">
        <f>IF(ISERROR(FIND('112'!$M$9,G1234,1)),"",IF((AND(LEFT(G1234,2)=LEFT('112'!$M$9,2),B1234&lt;'112'!$N$8,$L1234='112'!$I$6)),"x",""))</f>
        <v/>
      </c>
      <c r="T1234" s="39" t="str">
        <f>IF(ISERROR(FIND('112'!$M$9,G1234,1)),"",IF((AND(RIGHT(G1234,2)=RIGHT('112'!$M$9,2),B1234&lt;'112'!$N$8,$M1234='112'!$I$6)),"x",""))</f>
        <v/>
      </c>
      <c r="U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39" t="str">
        <f>IF(OR(TH!L1234=TH!$V$7,M1234=TH!$V$7),"x","")</f>
        <v/>
      </c>
      <c r="W1234" s="39" t="str">
        <f>IF(AND(B1234&gt;='IN-NX'!$P$3,B1234&lt;='IN-NX'!$Q$3,'IN-NX'!$D$7=D1234,OR(LEFT(L1234,2)="15",AND(LEFT(M1234,2)&lt;&gt;"15",LEFT(M1234,2)&lt;&gt;"33"))),"x","")</f>
        <v/>
      </c>
      <c r="X1234" s="39" t="str">
        <f>IF(AND(OR(LEFT(TH!L1234,2)="15",LEFT(TH!M1234,2)="15"),'152-CT'!$J$8=TH!F1234),"x","")</f>
        <v/>
      </c>
      <c r="Y1234" s="39" t="str">
        <f>IF(AND(OR(LEFT(TH!L1234,2)="15",LEFT(TH!M1234,2)="15"),TK!$E$7=TH!F1234),"x","")</f>
        <v/>
      </c>
      <c r="Z1234" s="39" t="str">
        <f>IF(AND(B1234&lt;=NKC!$N$8,B1234&gt;=NKC!$M$8),"x","")</f>
        <v>x</v>
      </c>
      <c r="AA1234" s="886"/>
    </row>
    <row r="1235" spans="1:27" s="211" customFormat="1" ht="15.75" customHeight="1">
      <c r="A1235" s="204" t="str">
        <f>IF(B1235&lt;&gt;"",IF(AND(B1235&gt;=_TM1,B1235&lt;=_TM2,OR(TH!L1235="1111",TH!M1235="1111")),TH!D1235,""),"")</f>
        <v/>
      </c>
      <c r="B1235" s="36">
        <f t="shared" si="227"/>
        <v>9</v>
      </c>
      <c r="C1235" s="191">
        <f t="shared" si="228"/>
        <v>41537</v>
      </c>
      <c r="D1235" s="191" t="s">
        <v>1294</v>
      </c>
      <c r="E1235" s="191">
        <v>41537</v>
      </c>
      <c r="F1235" s="192"/>
      <c r="G1235" s="487" t="s">
        <v>1126</v>
      </c>
      <c r="H1235" s="7" t="s">
        <v>1287</v>
      </c>
      <c r="I1235" s="256"/>
      <c r="J1235" s="256"/>
      <c r="K1235" s="602">
        <f t="shared" si="229"/>
        <v>0</v>
      </c>
      <c r="L1235" s="39" t="s">
        <v>165</v>
      </c>
      <c r="M1235" s="603" t="s">
        <v>159</v>
      </c>
      <c r="N1235" s="39" t="str">
        <f>IF(AND('331-CT'!$E$7=TH!H1235,OR(L1235="331",M1235="331")),"331",IF(AND(OR(L1235="131",M1235="131"),H1235='131-CT'!$E$7),"131",""))</f>
        <v/>
      </c>
      <c r="O1235" s="39" t="str">
        <f>IF(AND($B1235&gt;='111'!$N$11,$B1235&lt;='111'!$O$11,OR($L1235=$O$7,$M1235=$O$7)),"x","")</f>
        <v/>
      </c>
      <c r="P1235" s="39" t="str">
        <f>IF(AND($L1235=$O$7,$B1235&lt;'111'!$N$11),"x","")</f>
        <v/>
      </c>
      <c r="Q1235" s="39" t="str">
        <f>IF(AND($M1235=$O$7,$B1235&lt;'111'!$N$11),"x","")</f>
        <v/>
      </c>
      <c r="R1235" s="39" t="str">
        <f>IF(ISERROR(FIND('112'!$M$9,G1235,1)),"",IF((AND(FIND('112'!$M$9,G1235,1)&gt;=1,$B1235&gt;='112'!$N$8,$B1235&lt;='112'!$O$8,OR($L1235='112'!$I$6,$M1235='112'!$I$6))),"x",""))</f>
        <v/>
      </c>
      <c r="S1235" s="39" t="str">
        <f>IF(ISERROR(FIND('112'!$M$9,G1235,1)),"",IF((AND(LEFT(G1235,2)=LEFT('112'!$M$9,2),B1235&lt;'112'!$N$8,$L1235='112'!$I$6)),"x",""))</f>
        <v/>
      </c>
      <c r="T1235" s="39" t="str">
        <f>IF(ISERROR(FIND('112'!$M$9,G1235,1)),"",IF((AND(RIGHT(G1235,2)=RIGHT('112'!$M$9,2),B1235&lt;'112'!$N$8,$M1235='112'!$I$6)),"x",""))</f>
        <v/>
      </c>
      <c r="U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39" t="str">
        <f>IF(OR(TH!L1235=TH!$V$7,M1235=TH!$V$7),"x","")</f>
        <v/>
      </c>
      <c r="W1235" s="39" t="str">
        <f>IF(AND(B1235&gt;='IN-NX'!$P$3,B1235&lt;='IN-NX'!$Q$3,'IN-NX'!$D$7=D1235,OR(LEFT(L1235,2)="15",AND(LEFT(M1235,2)&lt;&gt;"15",LEFT(M1235,2)&lt;&gt;"33"))),"x","")</f>
        <v/>
      </c>
      <c r="X1235" s="39" t="str">
        <f>IF(AND(OR(LEFT(TH!L1235,2)="15",LEFT(TH!M1235,2)="15"),'152-CT'!$J$8=TH!F1235),"x","")</f>
        <v/>
      </c>
      <c r="Y1235" s="39" t="str">
        <f>IF(AND(OR(LEFT(TH!L1235,2)="15",LEFT(TH!M1235,2)="15"),TK!$E$7=TH!F1235),"x","")</f>
        <v/>
      </c>
      <c r="Z1235" s="39" t="str">
        <f>IF(AND(B1235&lt;=NKC!$N$8,B1235&gt;=NKC!$M$8),"x","")</f>
        <v>x</v>
      </c>
      <c r="AA1235" s="886"/>
    </row>
    <row r="1236" spans="1:27" s="211" customFormat="1" ht="15.75" customHeight="1">
      <c r="A1236" s="204" t="str">
        <f>IF(B1236&lt;&gt;"",IF(AND(B1236&gt;=_TM1,B1236&lt;=_TM2,OR(TH!L1236="1111",TH!M1236="1111")),TH!D1236,""),"")</f>
        <v/>
      </c>
      <c r="B1236" s="36">
        <f t="shared" si="227"/>
        <v>9</v>
      </c>
      <c r="C1236" s="191">
        <f t="shared" si="228"/>
        <v>41537</v>
      </c>
      <c r="D1236" s="191" t="s">
        <v>1294</v>
      </c>
      <c r="E1236" s="191">
        <v>41537</v>
      </c>
      <c r="F1236" s="192"/>
      <c r="G1236" s="487" t="s">
        <v>1126</v>
      </c>
      <c r="H1236" s="7" t="s">
        <v>1287</v>
      </c>
      <c r="I1236" s="256"/>
      <c r="J1236" s="256"/>
      <c r="K1236" s="602">
        <f t="shared" si="229"/>
        <v>0</v>
      </c>
      <c r="L1236" s="39" t="s">
        <v>165</v>
      </c>
      <c r="M1236" s="603" t="s">
        <v>159</v>
      </c>
      <c r="N1236" s="39" t="str">
        <f>IF(AND('331-CT'!$E$7=TH!H1236,OR(L1236="331",M1236="331")),"331",IF(AND(OR(L1236="131",M1236="131"),H1236='131-CT'!$E$7),"131",""))</f>
        <v/>
      </c>
      <c r="O1236" s="39" t="str">
        <f>IF(AND($B1236&gt;='111'!$N$11,$B1236&lt;='111'!$O$11,OR($L1236=$O$7,$M1236=$O$7)),"x","")</f>
        <v/>
      </c>
      <c r="P1236" s="39" t="str">
        <f>IF(AND($L1236=$O$7,$B1236&lt;'111'!$N$11),"x","")</f>
        <v/>
      </c>
      <c r="Q1236" s="39" t="str">
        <f>IF(AND($M1236=$O$7,$B1236&lt;'111'!$N$11),"x","")</f>
        <v/>
      </c>
      <c r="R1236" s="39" t="str">
        <f>IF(ISERROR(FIND('112'!$M$9,G1236,1)),"",IF((AND(FIND('112'!$M$9,G1236,1)&gt;=1,$B1236&gt;='112'!$N$8,$B1236&lt;='112'!$O$8,OR($L1236='112'!$I$6,$M1236='112'!$I$6))),"x",""))</f>
        <v/>
      </c>
      <c r="S1236" s="39" t="str">
        <f>IF(ISERROR(FIND('112'!$M$9,G1236,1)),"",IF((AND(LEFT(G1236,2)=LEFT('112'!$M$9,2),B1236&lt;'112'!$N$8,$L1236='112'!$I$6)),"x",""))</f>
        <v/>
      </c>
      <c r="T1236" s="39" t="str">
        <f>IF(ISERROR(FIND('112'!$M$9,G1236,1)),"",IF((AND(RIGHT(G1236,2)=RIGHT('112'!$M$9,2),B1236&lt;'112'!$N$8,$M1236='112'!$I$6)),"x",""))</f>
        <v/>
      </c>
      <c r="U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39" t="str">
        <f>IF(OR(TH!L1236=TH!$V$7,M1236=TH!$V$7),"x","")</f>
        <v/>
      </c>
      <c r="W1236" s="39" t="str">
        <f>IF(AND(B1236&gt;='IN-NX'!$P$3,B1236&lt;='IN-NX'!$Q$3,'IN-NX'!$D$7=D1236,OR(LEFT(L1236,2)="15",AND(LEFT(M1236,2)&lt;&gt;"15",LEFT(M1236,2)&lt;&gt;"33"))),"x","")</f>
        <v/>
      </c>
      <c r="X1236" s="39" t="str">
        <f>IF(AND(OR(LEFT(TH!L1236,2)="15",LEFT(TH!M1236,2)="15"),'152-CT'!$J$8=TH!F1236),"x","")</f>
        <v/>
      </c>
      <c r="Y1236" s="39" t="str">
        <f>IF(AND(OR(LEFT(TH!L1236,2)="15",LEFT(TH!M1236,2)="15"),TK!$E$7=TH!F1236),"x","")</f>
        <v/>
      </c>
      <c r="Z1236" s="39" t="str">
        <f>IF(AND(B1236&lt;=NKC!$N$8,B1236&gt;=NKC!$M$8),"x","")</f>
        <v>x</v>
      </c>
      <c r="AA1236" s="886"/>
    </row>
    <row r="1237" spans="1:27" s="211" customFormat="1" ht="15.75" customHeight="1">
      <c r="A1237" s="204" t="str">
        <f>IF(B1237&lt;&gt;"",IF(AND(B1237&gt;=_TM1,B1237&lt;=_TM2,OR(TH!L1237="1111",TH!M1237="1111")),TH!D1237,""),"")</f>
        <v/>
      </c>
      <c r="B1237" s="36">
        <f t="shared" si="227"/>
        <v>9</v>
      </c>
      <c r="C1237" s="191">
        <f t="shared" si="228"/>
        <v>41537</v>
      </c>
      <c r="D1237" s="191" t="s">
        <v>1294</v>
      </c>
      <c r="E1237" s="191">
        <v>41537</v>
      </c>
      <c r="F1237" s="192"/>
      <c r="G1237" s="487" t="s">
        <v>935</v>
      </c>
      <c r="H1237" s="7" t="s">
        <v>1287</v>
      </c>
      <c r="I1237" s="256"/>
      <c r="J1237" s="256"/>
      <c r="K1237" s="602">
        <f t="shared" si="229"/>
        <v>0</v>
      </c>
      <c r="L1237" s="39" t="s">
        <v>165</v>
      </c>
      <c r="M1237" s="603" t="s">
        <v>159</v>
      </c>
      <c r="N1237" s="39" t="str">
        <f>IF(AND('331-CT'!$E$7=TH!H1237,OR(L1237="331",M1237="331")),"331",IF(AND(OR(L1237="131",M1237="131"),H1237='131-CT'!$E$7),"131",""))</f>
        <v/>
      </c>
      <c r="O1237" s="39" t="str">
        <f>IF(AND($B1237&gt;='111'!$N$11,$B1237&lt;='111'!$O$11,OR($L1237=$O$7,$M1237=$O$7)),"x","")</f>
        <v/>
      </c>
      <c r="P1237" s="39" t="str">
        <f>IF(AND($L1237=$O$7,$B1237&lt;'111'!$N$11),"x","")</f>
        <v/>
      </c>
      <c r="Q1237" s="39" t="str">
        <f>IF(AND($M1237=$O$7,$B1237&lt;'111'!$N$11),"x","")</f>
        <v/>
      </c>
      <c r="R1237" s="39" t="str">
        <f>IF(ISERROR(FIND('112'!$M$9,G1237,1)),"",IF((AND(FIND('112'!$M$9,G1237,1)&gt;=1,$B1237&gt;='112'!$N$8,$B1237&lt;='112'!$O$8,OR($L1237='112'!$I$6,$M1237='112'!$I$6))),"x",""))</f>
        <v/>
      </c>
      <c r="S1237" s="39" t="str">
        <f>IF(ISERROR(FIND('112'!$M$9,G1237,1)),"",IF((AND(LEFT(G1237,2)=LEFT('112'!$M$9,2),B1237&lt;'112'!$N$8,$L1237='112'!$I$6)),"x",""))</f>
        <v/>
      </c>
      <c r="T1237" s="39" t="str">
        <f>IF(ISERROR(FIND('112'!$M$9,G1237,1)),"",IF((AND(RIGHT(G1237,2)=RIGHT('112'!$M$9,2),B1237&lt;'112'!$N$8,$M1237='112'!$I$6)),"x",""))</f>
        <v/>
      </c>
      <c r="U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39" t="str">
        <f>IF(OR(TH!L1237=TH!$V$7,M1237=TH!$V$7),"x","")</f>
        <v/>
      </c>
      <c r="W1237" s="39" t="str">
        <f>IF(AND(B1237&gt;='IN-NX'!$P$3,B1237&lt;='IN-NX'!$Q$3,'IN-NX'!$D$7=D1237,OR(LEFT(L1237,2)="15",AND(LEFT(M1237,2)&lt;&gt;"15",LEFT(M1237,2)&lt;&gt;"33"))),"x","")</f>
        <v/>
      </c>
      <c r="X1237" s="39" t="str">
        <f>IF(AND(OR(LEFT(TH!L1237,2)="15",LEFT(TH!M1237,2)="15"),'152-CT'!$J$8=TH!F1237),"x","")</f>
        <v/>
      </c>
      <c r="Y1237" s="39" t="str">
        <f>IF(AND(OR(LEFT(TH!L1237,2)="15",LEFT(TH!M1237,2)="15"),TK!$E$7=TH!F1237),"x","")</f>
        <v/>
      </c>
      <c r="Z1237" s="39" t="str">
        <f>IF(AND(B1237&lt;=NKC!$N$8,B1237&gt;=NKC!$M$8),"x","")</f>
        <v>x</v>
      </c>
      <c r="AA1237" s="886"/>
    </row>
    <row r="1238" spans="1:27" s="211" customFormat="1" ht="15.75" customHeight="1">
      <c r="A1238" s="204" t="str">
        <f>IF(B1238&lt;&gt;"",IF(AND(B1238&gt;=_TM1,B1238&lt;=_TM2,OR(TH!L1238="1111",TH!M1238="1111")),TH!D1238,""),"")</f>
        <v/>
      </c>
      <c r="B1238" s="36">
        <f t="shared" si="227"/>
        <v>9</v>
      </c>
      <c r="C1238" s="191">
        <f t="shared" si="228"/>
        <v>41537</v>
      </c>
      <c r="D1238" s="191" t="s">
        <v>1294</v>
      </c>
      <c r="E1238" s="191">
        <v>41537</v>
      </c>
      <c r="F1238" s="192"/>
      <c r="G1238" s="487" t="s">
        <v>936</v>
      </c>
      <c r="H1238" s="7" t="s">
        <v>1287</v>
      </c>
      <c r="I1238" s="256"/>
      <c r="J1238" s="256"/>
      <c r="K1238" s="602">
        <f t="shared" si="229"/>
        <v>0</v>
      </c>
      <c r="L1238" s="39" t="s">
        <v>165</v>
      </c>
      <c r="M1238" s="603" t="s">
        <v>159</v>
      </c>
      <c r="N1238" s="39" t="str">
        <f>IF(AND('331-CT'!$E$7=TH!H1238,OR(L1238="331",M1238="331")),"331",IF(AND(OR(L1238="131",M1238="131"),H1238='131-CT'!$E$7),"131",""))</f>
        <v/>
      </c>
      <c r="O1238" s="39" t="str">
        <f>IF(AND($B1238&gt;='111'!$N$11,$B1238&lt;='111'!$O$11,OR($L1238=$O$7,$M1238=$O$7)),"x","")</f>
        <v/>
      </c>
      <c r="P1238" s="39" t="str">
        <f>IF(AND($L1238=$O$7,$B1238&lt;'111'!$N$11),"x","")</f>
        <v/>
      </c>
      <c r="Q1238" s="39" t="str">
        <f>IF(AND($M1238=$O$7,$B1238&lt;'111'!$N$11),"x","")</f>
        <v/>
      </c>
      <c r="R1238" s="39" t="str">
        <f>IF(ISERROR(FIND('112'!$M$9,G1238,1)),"",IF((AND(FIND('112'!$M$9,G1238,1)&gt;=1,$B1238&gt;='112'!$N$8,$B1238&lt;='112'!$O$8,OR($L1238='112'!$I$6,$M1238='112'!$I$6))),"x",""))</f>
        <v/>
      </c>
      <c r="S1238" s="39" t="str">
        <f>IF(ISERROR(FIND('112'!$M$9,G1238,1)),"",IF((AND(LEFT(G1238,2)=LEFT('112'!$M$9,2),B1238&lt;'112'!$N$8,$L1238='112'!$I$6)),"x",""))</f>
        <v/>
      </c>
      <c r="T1238" s="39" t="str">
        <f>IF(ISERROR(FIND('112'!$M$9,G1238,1)),"",IF((AND(RIGHT(G1238,2)=RIGHT('112'!$M$9,2),B1238&lt;'112'!$N$8,$M1238='112'!$I$6)),"x",""))</f>
        <v/>
      </c>
      <c r="U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39" t="str">
        <f>IF(OR(TH!L1238=TH!$V$7,M1238=TH!$V$7),"x","")</f>
        <v/>
      </c>
      <c r="W1238" s="39" t="str">
        <f>IF(AND(B1238&gt;='IN-NX'!$P$3,B1238&lt;='IN-NX'!$Q$3,'IN-NX'!$D$7=D1238,OR(LEFT(L1238,2)="15",AND(LEFT(M1238,2)&lt;&gt;"15",LEFT(M1238,2)&lt;&gt;"33"))),"x","")</f>
        <v/>
      </c>
      <c r="X1238" s="39" t="str">
        <f>IF(AND(OR(LEFT(TH!L1238,2)="15",LEFT(TH!M1238,2)="15"),'152-CT'!$J$8=TH!F1238),"x","")</f>
        <v/>
      </c>
      <c r="Y1238" s="39" t="str">
        <f>IF(AND(OR(LEFT(TH!L1238,2)="15",LEFT(TH!M1238,2)="15"),TK!$E$7=TH!F1238),"x","")</f>
        <v/>
      </c>
      <c r="Z1238" s="39" t="str">
        <f>IF(AND(B1238&lt;=NKC!$N$8,B1238&gt;=NKC!$M$8),"x","")</f>
        <v>x</v>
      </c>
      <c r="AA1238" s="886"/>
    </row>
    <row r="1239" spans="1:27" s="211" customFormat="1" ht="15.75" customHeight="1">
      <c r="A1239" s="204" t="str">
        <f>IF(B1239&lt;&gt;"",IF(AND(B1239&gt;=_TM1,B1239&lt;=_TM2,OR(TH!L1239="1111",TH!M1239="1111")),TH!D1239,""),"")</f>
        <v/>
      </c>
      <c r="B1239" s="36">
        <f t="shared" si="227"/>
        <v>9</v>
      </c>
      <c r="C1239" s="191">
        <f t="shared" si="228"/>
        <v>41539</v>
      </c>
      <c r="D1239" s="191" t="s">
        <v>1294</v>
      </c>
      <c r="E1239" s="191">
        <v>41539</v>
      </c>
      <c r="F1239" s="192"/>
      <c r="G1239" s="487" t="s">
        <v>937</v>
      </c>
      <c r="H1239" s="7" t="s">
        <v>1287</v>
      </c>
      <c r="I1239" s="256"/>
      <c r="J1239" s="256"/>
      <c r="K1239" s="602">
        <f t="shared" si="229"/>
        <v>0</v>
      </c>
      <c r="L1239" s="39" t="s">
        <v>165</v>
      </c>
      <c r="M1239" s="603" t="s">
        <v>159</v>
      </c>
      <c r="N1239" s="39" t="str">
        <f>IF(AND('331-CT'!$E$7=TH!H1239,OR(L1239="331",M1239="331")),"331",IF(AND(OR(L1239="131",M1239="131"),H1239='131-CT'!$E$7),"131",""))</f>
        <v/>
      </c>
      <c r="O1239" s="39" t="str">
        <f>IF(AND($B1239&gt;='111'!$N$11,$B1239&lt;='111'!$O$11,OR($L1239=$O$7,$M1239=$O$7)),"x","")</f>
        <v/>
      </c>
      <c r="P1239" s="39" t="str">
        <f>IF(AND($L1239=$O$7,$B1239&lt;'111'!$N$11),"x","")</f>
        <v/>
      </c>
      <c r="Q1239" s="39" t="str">
        <f>IF(AND($M1239=$O$7,$B1239&lt;'111'!$N$11),"x","")</f>
        <v/>
      </c>
      <c r="R1239" s="39" t="str">
        <f>IF(ISERROR(FIND('112'!$M$9,G1239,1)),"",IF((AND(FIND('112'!$M$9,G1239,1)&gt;=1,$B1239&gt;='112'!$N$8,$B1239&lt;='112'!$O$8,OR($L1239='112'!$I$6,$M1239='112'!$I$6))),"x",""))</f>
        <v/>
      </c>
      <c r="S1239" s="39" t="str">
        <f>IF(ISERROR(FIND('112'!$M$9,G1239,1)),"",IF((AND(LEFT(G1239,2)=LEFT('112'!$M$9,2),B1239&lt;'112'!$N$8,$L1239='112'!$I$6)),"x",""))</f>
        <v/>
      </c>
      <c r="T1239" s="39" t="str">
        <f>IF(ISERROR(FIND('112'!$M$9,G1239,1)),"",IF((AND(RIGHT(G1239,2)=RIGHT('112'!$M$9,2),B1239&lt;'112'!$N$8,$M1239='112'!$I$6)),"x",""))</f>
        <v/>
      </c>
      <c r="U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39" t="str">
        <f>IF(OR(TH!L1239=TH!$V$7,M1239=TH!$V$7),"x","")</f>
        <v/>
      </c>
      <c r="W1239" s="39" t="str">
        <f>IF(AND(B1239&gt;='IN-NX'!$P$3,B1239&lt;='IN-NX'!$Q$3,'IN-NX'!$D$7=D1239,OR(LEFT(L1239,2)="15",AND(LEFT(M1239,2)&lt;&gt;"15",LEFT(M1239,2)&lt;&gt;"33"))),"x","")</f>
        <v/>
      </c>
      <c r="X1239" s="39" t="str">
        <f>IF(AND(OR(LEFT(TH!L1239,2)="15",LEFT(TH!M1239,2)="15"),'152-CT'!$J$8=TH!F1239),"x","")</f>
        <v/>
      </c>
      <c r="Y1239" s="39" t="str">
        <f>IF(AND(OR(LEFT(TH!L1239,2)="15",LEFT(TH!M1239,2)="15"),TK!$E$7=TH!F1239),"x","")</f>
        <v/>
      </c>
      <c r="Z1239" s="39" t="str">
        <f>IF(AND(B1239&lt;=NKC!$N$8,B1239&gt;=NKC!$M$8),"x","")</f>
        <v>x</v>
      </c>
      <c r="AA1239" s="886"/>
    </row>
    <row r="1240" spans="1:27" s="211" customFormat="1" ht="15.75" customHeight="1">
      <c r="A1240" s="204" t="str">
        <f>IF(B1240&lt;&gt;"",IF(AND(B1240&gt;=_TM1,B1240&lt;=_TM2,OR(TH!L1240="1111",TH!M1240="1111")),TH!D1240,""),"")</f>
        <v/>
      </c>
      <c r="B1240" s="36">
        <f t="shared" si="227"/>
        <v>9</v>
      </c>
      <c r="C1240" s="191">
        <f t="shared" si="228"/>
        <v>41540</v>
      </c>
      <c r="D1240" s="191" t="s">
        <v>1294</v>
      </c>
      <c r="E1240" s="191">
        <v>41540</v>
      </c>
      <c r="F1240" s="192"/>
      <c r="G1240" s="487" t="s">
        <v>938</v>
      </c>
      <c r="H1240" s="7" t="s">
        <v>1287</v>
      </c>
      <c r="I1240" s="256"/>
      <c r="J1240" s="256"/>
      <c r="K1240" s="602">
        <f t="shared" si="229"/>
        <v>0</v>
      </c>
      <c r="L1240" s="39" t="s">
        <v>165</v>
      </c>
      <c r="M1240" s="603" t="s">
        <v>159</v>
      </c>
      <c r="N1240" s="39" t="str">
        <f>IF(AND('331-CT'!$E$7=TH!H1240,OR(L1240="331",M1240="331")),"331",IF(AND(OR(L1240="131",M1240="131"),H1240='131-CT'!$E$7),"131",""))</f>
        <v/>
      </c>
      <c r="O1240" s="39" t="str">
        <f>IF(AND($B1240&gt;='111'!$N$11,$B1240&lt;='111'!$O$11,OR($L1240=$O$7,$M1240=$O$7)),"x","")</f>
        <v/>
      </c>
      <c r="P1240" s="39" t="str">
        <f>IF(AND($L1240=$O$7,$B1240&lt;'111'!$N$11),"x","")</f>
        <v/>
      </c>
      <c r="Q1240" s="39" t="str">
        <f>IF(AND($M1240=$O$7,$B1240&lt;'111'!$N$11),"x","")</f>
        <v/>
      </c>
      <c r="R1240" s="39" t="str">
        <f>IF(ISERROR(FIND('112'!$M$9,G1240,1)),"",IF((AND(FIND('112'!$M$9,G1240,1)&gt;=1,$B1240&gt;='112'!$N$8,$B1240&lt;='112'!$O$8,OR($L1240='112'!$I$6,$M1240='112'!$I$6))),"x",""))</f>
        <v/>
      </c>
      <c r="S1240" s="39" t="str">
        <f>IF(ISERROR(FIND('112'!$M$9,G1240,1)),"",IF((AND(LEFT(G1240,2)=LEFT('112'!$M$9,2),B1240&lt;'112'!$N$8,$L1240='112'!$I$6)),"x",""))</f>
        <v/>
      </c>
      <c r="T1240" s="39" t="str">
        <f>IF(ISERROR(FIND('112'!$M$9,G1240,1)),"",IF((AND(RIGHT(G1240,2)=RIGHT('112'!$M$9,2),B1240&lt;'112'!$N$8,$M1240='112'!$I$6)),"x",""))</f>
        <v/>
      </c>
      <c r="U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39" t="str">
        <f>IF(OR(TH!L1240=TH!$V$7,M1240=TH!$V$7),"x","")</f>
        <v/>
      </c>
      <c r="W1240" s="39" t="str">
        <f>IF(AND(B1240&gt;='IN-NX'!$P$3,B1240&lt;='IN-NX'!$Q$3,'IN-NX'!$D$7=D1240,OR(LEFT(L1240,2)="15",AND(LEFT(M1240,2)&lt;&gt;"15",LEFT(M1240,2)&lt;&gt;"33"))),"x","")</f>
        <v/>
      </c>
      <c r="X1240" s="39" t="str">
        <f>IF(AND(OR(LEFT(TH!L1240,2)="15",LEFT(TH!M1240,2)="15"),'152-CT'!$J$8=TH!F1240),"x","")</f>
        <v/>
      </c>
      <c r="Y1240" s="39" t="str">
        <f>IF(AND(OR(LEFT(TH!L1240,2)="15",LEFT(TH!M1240,2)="15"),TK!$E$7=TH!F1240),"x","")</f>
        <v/>
      </c>
      <c r="Z1240" s="39" t="str">
        <f>IF(AND(B1240&lt;=NKC!$N$8,B1240&gt;=NKC!$M$8),"x","")</f>
        <v>x</v>
      </c>
      <c r="AA1240" s="886"/>
    </row>
    <row r="1241" spans="1:27" s="211" customFormat="1" ht="15.75" customHeight="1">
      <c r="A1241" s="204" t="str">
        <f>IF(B1241&lt;&gt;"",IF(AND(B1241&gt;=_TM1,B1241&lt;=_TM2,OR(TH!L1241="1111",TH!M1241="1111")),TH!D1241,""),"")</f>
        <v/>
      </c>
      <c r="B1241" s="36">
        <f t="shared" si="227"/>
        <v>9</v>
      </c>
      <c r="C1241" s="191">
        <f t="shared" si="228"/>
        <v>41544</v>
      </c>
      <c r="D1241" s="191" t="s">
        <v>1294</v>
      </c>
      <c r="E1241" s="191">
        <v>41544</v>
      </c>
      <c r="F1241" s="192"/>
      <c r="G1241" s="487" t="s">
        <v>939</v>
      </c>
      <c r="H1241" s="7" t="s">
        <v>1287</v>
      </c>
      <c r="I1241" s="256"/>
      <c r="J1241" s="256"/>
      <c r="K1241" s="602">
        <f t="shared" si="229"/>
        <v>0</v>
      </c>
      <c r="L1241" s="39" t="s">
        <v>165</v>
      </c>
      <c r="M1241" s="603" t="s">
        <v>159</v>
      </c>
      <c r="N1241" s="39" t="str">
        <f>IF(AND('331-CT'!$E$7=TH!H1241,OR(L1241="331",M1241="331")),"331",IF(AND(OR(L1241="131",M1241="131"),H1241='131-CT'!$E$7),"131",""))</f>
        <v/>
      </c>
      <c r="O1241" s="39" t="str">
        <f>IF(AND($B1241&gt;='111'!$N$11,$B1241&lt;='111'!$O$11,OR($L1241=$O$7,$M1241=$O$7)),"x","")</f>
        <v/>
      </c>
      <c r="P1241" s="39" t="str">
        <f>IF(AND($L1241=$O$7,$B1241&lt;'111'!$N$11),"x","")</f>
        <v/>
      </c>
      <c r="Q1241" s="39" t="str">
        <f>IF(AND($M1241=$O$7,$B1241&lt;'111'!$N$11),"x","")</f>
        <v/>
      </c>
      <c r="R1241" s="39" t="str">
        <f>IF(ISERROR(FIND('112'!$M$9,G1241,1)),"",IF((AND(FIND('112'!$M$9,G1241,1)&gt;=1,$B1241&gt;='112'!$N$8,$B1241&lt;='112'!$O$8,OR($L1241='112'!$I$6,$M1241='112'!$I$6))),"x",""))</f>
        <v/>
      </c>
      <c r="S1241" s="39" t="str">
        <f>IF(ISERROR(FIND('112'!$M$9,G1241,1)),"",IF((AND(LEFT(G1241,2)=LEFT('112'!$M$9,2),B1241&lt;'112'!$N$8,$L1241='112'!$I$6)),"x",""))</f>
        <v/>
      </c>
      <c r="T1241" s="39" t="str">
        <f>IF(ISERROR(FIND('112'!$M$9,G1241,1)),"",IF((AND(RIGHT(G1241,2)=RIGHT('112'!$M$9,2),B1241&lt;'112'!$N$8,$M1241='112'!$I$6)),"x",""))</f>
        <v/>
      </c>
      <c r="U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39" t="str">
        <f>IF(OR(TH!L1241=TH!$V$7,M1241=TH!$V$7),"x","")</f>
        <v/>
      </c>
      <c r="W1241" s="39" t="str">
        <f>IF(AND(B1241&gt;='IN-NX'!$P$3,B1241&lt;='IN-NX'!$Q$3,'IN-NX'!$D$7=D1241,OR(LEFT(L1241,2)="15",AND(LEFT(M1241,2)&lt;&gt;"15",LEFT(M1241,2)&lt;&gt;"33"))),"x","")</f>
        <v/>
      </c>
      <c r="X1241" s="39" t="str">
        <f>IF(AND(OR(LEFT(TH!L1241,2)="15",LEFT(TH!M1241,2)="15"),'152-CT'!$J$8=TH!F1241),"x","")</f>
        <v/>
      </c>
      <c r="Y1241" s="39" t="str">
        <f>IF(AND(OR(LEFT(TH!L1241,2)="15",LEFT(TH!M1241,2)="15"),TK!$E$7=TH!F1241),"x","")</f>
        <v/>
      </c>
      <c r="Z1241" s="39" t="str">
        <f>IF(AND(B1241&lt;=NKC!$N$8,B1241&gt;=NKC!$M$8),"x","")</f>
        <v>x</v>
      </c>
      <c r="AA1241" s="886"/>
    </row>
    <row r="1242" spans="1:27" s="211" customFormat="1" ht="15.75" customHeight="1">
      <c r="A1242" s="204" t="str">
        <f>IF(B1242&lt;&gt;"",IF(AND(B1242&gt;=_TM1,B1242&lt;=_TM2,OR(TH!L1242="1111",TH!M1242="1111")),TH!D1242,""),"")</f>
        <v/>
      </c>
      <c r="B1242" s="36">
        <f t="shared" si="227"/>
        <v>9</v>
      </c>
      <c r="C1242" s="191">
        <f t="shared" si="228"/>
        <v>41544</v>
      </c>
      <c r="D1242" s="191" t="s">
        <v>1294</v>
      </c>
      <c r="E1242" s="191">
        <v>41544</v>
      </c>
      <c r="F1242" s="192"/>
      <c r="G1242" s="487" t="s">
        <v>941</v>
      </c>
      <c r="H1242" s="7" t="s">
        <v>1287</v>
      </c>
      <c r="I1242" s="256"/>
      <c r="J1242" s="256"/>
      <c r="K1242" s="602">
        <f t="shared" si="229"/>
        <v>0</v>
      </c>
      <c r="L1242" s="39" t="s">
        <v>165</v>
      </c>
      <c r="M1242" s="603" t="s">
        <v>159</v>
      </c>
      <c r="N1242" s="39" t="str">
        <f>IF(AND('331-CT'!$E$7=TH!H1242,OR(L1242="331",M1242="331")),"331",IF(AND(OR(L1242="131",M1242="131"),H1242='131-CT'!$E$7),"131",""))</f>
        <v/>
      </c>
      <c r="O1242" s="39" t="str">
        <f>IF(AND($B1242&gt;='111'!$N$11,$B1242&lt;='111'!$O$11,OR($L1242=$O$7,$M1242=$O$7)),"x","")</f>
        <v/>
      </c>
      <c r="P1242" s="39" t="str">
        <f>IF(AND($L1242=$O$7,$B1242&lt;'111'!$N$11),"x","")</f>
        <v/>
      </c>
      <c r="Q1242" s="39" t="str">
        <f>IF(AND($M1242=$O$7,$B1242&lt;'111'!$N$11),"x","")</f>
        <v/>
      </c>
      <c r="R1242" s="39" t="str">
        <f>IF(ISERROR(FIND('112'!$M$9,G1242,1)),"",IF((AND(FIND('112'!$M$9,G1242,1)&gt;=1,$B1242&gt;='112'!$N$8,$B1242&lt;='112'!$O$8,OR($L1242='112'!$I$6,$M1242='112'!$I$6))),"x",""))</f>
        <v/>
      </c>
      <c r="S1242" s="39" t="str">
        <f>IF(ISERROR(FIND('112'!$M$9,G1242,1)),"",IF((AND(LEFT(G1242,2)=LEFT('112'!$M$9,2),B1242&lt;'112'!$N$8,$L1242='112'!$I$6)),"x",""))</f>
        <v/>
      </c>
      <c r="T1242" s="39" t="str">
        <f>IF(ISERROR(FIND('112'!$M$9,G1242,1)),"",IF((AND(RIGHT(G1242,2)=RIGHT('112'!$M$9,2),B1242&lt;'112'!$N$8,$M1242='112'!$I$6)),"x",""))</f>
        <v/>
      </c>
      <c r="U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39" t="str">
        <f>IF(OR(TH!L1242=TH!$V$7,M1242=TH!$V$7),"x","")</f>
        <v/>
      </c>
      <c r="W1242" s="39" t="str">
        <f>IF(AND(B1242&gt;='IN-NX'!$P$3,B1242&lt;='IN-NX'!$Q$3,'IN-NX'!$D$7=D1242,OR(LEFT(L1242,2)="15",AND(LEFT(M1242,2)&lt;&gt;"15",LEFT(M1242,2)&lt;&gt;"33"))),"x","")</f>
        <v/>
      </c>
      <c r="X1242" s="39" t="str">
        <f>IF(AND(OR(LEFT(TH!L1242,2)="15",LEFT(TH!M1242,2)="15"),'152-CT'!$J$8=TH!F1242),"x","")</f>
        <v/>
      </c>
      <c r="Y1242" s="39" t="str">
        <f>IF(AND(OR(LEFT(TH!L1242,2)="15",LEFT(TH!M1242,2)="15"),TK!$E$7=TH!F1242),"x","")</f>
        <v/>
      </c>
      <c r="Z1242" s="39" t="str">
        <f>IF(AND(B1242&lt;=NKC!$N$8,B1242&gt;=NKC!$M$8),"x","")</f>
        <v>x</v>
      </c>
      <c r="AA1242" s="886"/>
    </row>
    <row r="1243" spans="1:27" s="211" customFormat="1" ht="15.75" customHeight="1">
      <c r="A1243" s="204" t="str">
        <f>IF(B1243&lt;&gt;"",IF(AND(B1243&gt;=_TM1,B1243&lt;=_TM2,OR(TH!L1243="1111",TH!M1243="1111")),TH!D1243,""),"")</f>
        <v/>
      </c>
      <c r="B1243" s="36">
        <f t="shared" si="227"/>
        <v>9</v>
      </c>
      <c r="C1243" s="191">
        <f t="shared" si="228"/>
        <v>41544</v>
      </c>
      <c r="D1243" s="191" t="s">
        <v>1294</v>
      </c>
      <c r="E1243" s="191">
        <v>41544</v>
      </c>
      <c r="F1243" s="192"/>
      <c r="G1243" s="487" t="s">
        <v>941</v>
      </c>
      <c r="H1243" s="7" t="s">
        <v>1287</v>
      </c>
      <c r="I1243" s="256"/>
      <c r="J1243" s="256"/>
      <c r="K1243" s="602">
        <f t="shared" si="229"/>
        <v>0</v>
      </c>
      <c r="L1243" s="39" t="s">
        <v>165</v>
      </c>
      <c r="M1243" s="603" t="s">
        <v>159</v>
      </c>
      <c r="N1243" s="39" t="str">
        <f>IF(AND('331-CT'!$E$7=TH!H1243,OR(L1243="331",M1243="331")),"331",IF(AND(OR(L1243="131",M1243="131"),H1243='131-CT'!$E$7),"131",""))</f>
        <v/>
      </c>
      <c r="O1243" s="39" t="str">
        <f>IF(AND($B1243&gt;='111'!$N$11,$B1243&lt;='111'!$O$11,OR($L1243=$O$7,$M1243=$O$7)),"x","")</f>
        <v/>
      </c>
      <c r="P1243" s="39" t="str">
        <f>IF(AND($L1243=$O$7,$B1243&lt;'111'!$N$11),"x","")</f>
        <v/>
      </c>
      <c r="Q1243" s="39" t="str">
        <f>IF(AND($M1243=$O$7,$B1243&lt;'111'!$N$11),"x","")</f>
        <v/>
      </c>
      <c r="R1243" s="39" t="str">
        <f>IF(ISERROR(FIND('112'!$M$9,G1243,1)),"",IF((AND(FIND('112'!$M$9,G1243,1)&gt;=1,$B1243&gt;='112'!$N$8,$B1243&lt;='112'!$O$8,OR($L1243='112'!$I$6,$M1243='112'!$I$6))),"x",""))</f>
        <v/>
      </c>
      <c r="S1243" s="39" t="str">
        <f>IF(ISERROR(FIND('112'!$M$9,G1243,1)),"",IF((AND(LEFT(G1243,2)=LEFT('112'!$M$9,2),B1243&lt;'112'!$N$8,$L1243='112'!$I$6)),"x",""))</f>
        <v/>
      </c>
      <c r="T1243" s="39" t="str">
        <f>IF(ISERROR(FIND('112'!$M$9,G1243,1)),"",IF((AND(RIGHT(G1243,2)=RIGHT('112'!$M$9,2),B1243&lt;'112'!$N$8,$M1243='112'!$I$6)),"x",""))</f>
        <v/>
      </c>
      <c r="U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39" t="str">
        <f>IF(OR(TH!L1243=TH!$V$7,M1243=TH!$V$7),"x","")</f>
        <v/>
      </c>
      <c r="W1243" s="39" t="str">
        <f>IF(AND(B1243&gt;='IN-NX'!$P$3,B1243&lt;='IN-NX'!$Q$3,'IN-NX'!$D$7=D1243,OR(LEFT(L1243,2)="15",AND(LEFT(M1243,2)&lt;&gt;"15",LEFT(M1243,2)&lt;&gt;"33"))),"x","")</f>
        <v/>
      </c>
      <c r="X1243" s="39" t="str">
        <f>IF(AND(OR(LEFT(TH!L1243,2)="15",LEFT(TH!M1243,2)="15"),'152-CT'!$J$8=TH!F1243),"x","")</f>
        <v/>
      </c>
      <c r="Y1243" s="39" t="str">
        <f>IF(AND(OR(LEFT(TH!L1243,2)="15",LEFT(TH!M1243,2)="15"),TK!$E$7=TH!F1243),"x","")</f>
        <v/>
      </c>
      <c r="Z1243" s="39" t="str">
        <f>IF(AND(B1243&lt;=NKC!$N$8,B1243&gt;=NKC!$M$8),"x","")</f>
        <v>x</v>
      </c>
      <c r="AA1243" s="886"/>
    </row>
    <row r="1244" spans="1:27" s="211" customFormat="1" ht="15.75" customHeight="1">
      <c r="A1244" s="204" t="str">
        <f>IF(B1244&lt;&gt;"",IF(AND(B1244&gt;=_TM1,B1244&lt;=_TM2,OR(TH!L1244="1111",TH!M1244="1111")),TH!D1244,""),"")</f>
        <v/>
      </c>
      <c r="B1244" s="36">
        <f t="shared" si="227"/>
        <v>9</v>
      </c>
      <c r="C1244" s="191">
        <f t="shared" si="228"/>
        <v>41544</v>
      </c>
      <c r="D1244" s="191" t="s">
        <v>1294</v>
      </c>
      <c r="E1244" s="191">
        <v>41544</v>
      </c>
      <c r="F1244" s="192"/>
      <c r="G1244" s="487" t="s">
        <v>944</v>
      </c>
      <c r="H1244" s="7" t="s">
        <v>1287</v>
      </c>
      <c r="I1244" s="256"/>
      <c r="J1244" s="256"/>
      <c r="K1244" s="602">
        <f t="shared" si="229"/>
        <v>0</v>
      </c>
      <c r="L1244" s="39" t="s">
        <v>165</v>
      </c>
      <c r="M1244" s="603" t="s">
        <v>159</v>
      </c>
      <c r="N1244" s="39" t="str">
        <f>IF(AND('331-CT'!$E$7=TH!H1244,OR(L1244="331",M1244="331")),"331",IF(AND(OR(L1244="131",M1244="131"),H1244='131-CT'!$E$7),"131",""))</f>
        <v/>
      </c>
      <c r="O1244" s="39" t="str">
        <f>IF(AND($B1244&gt;='111'!$N$11,$B1244&lt;='111'!$O$11,OR($L1244=$O$7,$M1244=$O$7)),"x","")</f>
        <v/>
      </c>
      <c r="P1244" s="39" t="str">
        <f>IF(AND($L1244=$O$7,$B1244&lt;'111'!$N$11),"x","")</f>
        <v/>
      </c>
      <c r="Q1244" s="39" t="str">
        <f>IF(AND($M1244=$O$7,$B1244&lt;'111'!$N$11),"x","")</f>
        <v/>
      </c>
      <c r="R1244" s="39" t="str">
        <f>IF(ISERROR(FIND('112'!$M$9,G1244,1)),"",IF((AND(FIND('112'!$M$9,G1244,1)&gt;=1,$B1244&gt;='112'!$N$8,$B1244&lt;='112'!$O$8,OR($L1244='112'!$I$6,$M1244='112'!$I$6))),"x",""))</f>
        <v/>
      </c>
      <c r="S1244" s="39" t="str">
        <f>IF(ISERROR(FIND('112'!$M$9,G1244,1)),"",IF((AND(LEFT(G1244,2)=LEFT('112'!$M$9,2),B1244&lt;'112'!$N$8,$L1244='112'!$I$6)),"x",""))</f>
        <v/>
      </c>
      <c r="T1244" s="39" t="str">
        <f>IF(ISERROR(FIND('112'!$M$9,G1244,1)),"",IF((AND(RIGHT(G1244,2)=RIGHT('112'!$M$9,2),B1244&lt;'112'!$N$8,$M1244='112'!$I$6)),"x",""))</f>
        <v/>
      </c>
      <c r="U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39" t="str">
        <f>IF(OR(TH!L1244=TH!$V$7,M1244=TH!$V$7),"x","")</f>
        <v/>
      </c>
      <c r="W1244" s="39" t="str">
        <f>IF(AND(B1244&gt;='IN-NX'!$P$3,B1244&lt;='IN-NX'!$Q$3,'IN-NX'!$D$7=D1244,OR(LEFT(L1244,2)="15",AND(LEFT(M1244,2)&lt;&gt;"15",LEFT(M1244,2)&lt;&gt;"33"))),"x","")</f>
        <v/>
      </c>
      <c r="X1244" s="39" t="str">
        <f>IF(AND(OR(LEFT(TH!L1244,2)="15",LEFT(TH!M1244,2)="15"),'152-CT'!$J$8=TH!F1244),"x","")</f>
        <v/>
      </c>
      <c r="Y1244" s="39" t="str">
        <f>IF(AND(OR(LEFT(TH!L1244,2)="15",LEFT(TH!M1244,2)="15"),TK!$E$7=TH!F1244),"x","")</f>
        <v/>
      </c>
      <c r="Z1244" s="39" t="str">
        <f>IF(AND(B1244&lt;=NKC!$N$8,B1244&gt;=NKC!$M$8),"x","")</f>
        <v>x</v>
      </c>
      <c r="AA1244" s="886"/>
    </row>
    <row r="1245" spans="1:27" s="211" customFormat="1" ht="15.75" customHeight="1">
      <c r="A1245" s="204" t="str">
        <f>IF(B1245&lt;&gt;"",IF(AND(B1245&gt;=_TM1,B1245&lt;=_TM2,OR(TH!L1245="1111",TH!M1245="1111")),TH!D1245,""),"")</f>
        <v/>
      </c>
      <c r="B1245" s="36">
        <f t="shared" si="227"/>
        <v>9</v>
      </c>
      <c r="C1245" s="191">
        <f t="shared" si="228"/>
        <v>41544</v>
      </c>
      <c r="D1245" s="191" t="s">
        <v>1294</v>
      </c>
      <c r="E1245" s="191">
        <v>41544</v>
      </c>
      <c r="F1245" s="192"/>
      <c r="G1245" s="487" t="s">
        <v>944</v>
      </c>
      <c r="H1245" s="7" t="s">
        <v>1287</v>
      </c>
      <c r="I1245" s="256"/>
      <c r="J1245" s="256"/>
      <c r="K1245" s="602">
        <f t="shared" si="229"/>
        <v>0</v>
      </c>
      <c r="L1245" s="39" t="s">
        <v>165</v>
      </c>
      <c r="M1245" s="603" t="s">
        <v>159</v>
      </c>
      <c r="N1245" s="39" t="str">
        <f>IF(AND('331-CT'!$E$7=TH!H1245,OR(L1245="331",M1245="331")),"331",IF(AND(OR(L1245="131",M1245="131"),H1245='131-CT'!$E$7),"131",""))</f>
        <v/>
      </c>
      <c r="O1245" s="39" t="str">
        <f>IF(AND($B1245&gt;='111'!$N$11,$B1245&lt;='111'!$O$11,OR($L1245=$O$7,$M1245=$O$7)),"x","")</f>
        <v/>
      </c>
      <c r="P1245" s="39" t="str">
        <f>IF(AND($L1245=$O$7,$B1245&lt;'111'!$N$11),"x","")</f>
        <v/>
      </c>
      <c r="Q1245" s="39" t="str">
        <f>IF(AND($M1245=$O$7,$B1245&lt;'111'!$N$11),"x","")</f>
        <v/>
      </c>
      <c r="R1245" s="39" t="str">
        <f>IF(ISERROR(FIND('112'!$M$9,G1245,1)),"",IF((AND(FIND('112'!$M$9,G1245,1)&gt;=1,$B1245&gt;='112'!$N$8,$B1245&lt;='112'!$O$8,OR($L1245='112'!$I$6,$M1245='112'!$I$6))),"x",""))</f>
        <v/>
      </c>
      <c r="S1245" s="39" t="str">
        <f>IF(ISERROR(FIND('112'!$M$9,G1245,1)),"",IF((AND(LEFT(G1245,2)=LEFT('112'!$M$9,2),B1245&lt;'112'!$N$8,$L1245='112'!$I$6)),"x",""))</f>
        <v/>
      </c>
      <c r="T1245" s="39" t="str">
        <f>IF(ISERROR(FIND('112'!$M$9,G1245,1)),"",IF((AND(RIGHT(G1245,2)=RIGHT('112'!$M$9,2),B1245&lt;'112'!$N$8,$M1245='112'!$I$6)),"x",""))</f>
        <v/>
      </c>
      <c r="U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39" t="str">
        <f>IF(OR(TH!L1245=TH!$V$7,M1245=TH!$V$7),"x","")</f>
        <v/>
      </c>
      <c r="W1245" s="39" t="str">
        <f>IF(AND(B1245&gt;='IN-NX'!$P$3,B1245&lt;='IN-NX'!$Q$3,'IN-NX'!$D$7=D1245,OR(LEFT(L1245,2)="15",AND(LEFT(M1245,2)&lt;&gt;"15",LEFT(M1245,2)&lt;&gt;"33"))),"x","")</f>
        <v/>
      </c>
      <c r="X1245" s="39" t="str">
        <f>IF(AND(OR(LEFT(TH!L1245,2)="15",LEFT(TH!M1245,2)="15"),'152-CT'!$J$8=TH!F1245),"x","")</f>
        <v/>
      </c>
      <c r="Y1245" s="39" t="str">
        <f>IF(AND(OR(LEFT(TH!L1245,2)="15",LEFT(TH!M1245,2)="15"),TK!$E$7=TH!F1245),"x","")</f>
        <v/>
      </c>
      <c r="Z1245" s="39" t="str">
        <f>IF(AND(B1245&lt;=NKC!$N$8,B1245&gt;=NKC!$M$8),"x","")</f>
        <v>x</v>
      </c>
      <c r="AA1245" s="886"/>
    </row>
    <row r="1246" spans="1:27" s="211" customFormat="1" ht="15.75" customHeight="1">
      <c r="A1246" s="204" t="str">
        <f>IF(B1246&lt;&gt;"",IF(AND(B1246&gt;=_TM1,B1246&lt;=_TM2,OR(TH!L1246="1111",TH!M1246="1111")),TH!D1246,""),"")</f>
        <v/>
      </c>
      <c r="B1246" s="36">
        <f t="shared" si="227"/>
        <v>9</v>
      </c>
      <c r="C1246" s="191">
        <f t="shared" si="228"/>
        <v>41544</v>
      </c>
      <c r="D1246" s="191" t="s">
        <v>1294</v>
      </c>
      <c r="E1246" s="191">
        <v>41544</v>
      </c>
      <c r="F1246" s="192"/>
      <c r="G1246" s="487" t="s">
        <v>944</v>
      </c>
      <c r="H1246" s="7" t="s">
        <v>1287</v>
      </c>
      <c r="I1246" s="256"/>
      <c r="J1246" s="256"/>
      <c r="K1246" s="602">
        <f t="shared" si="229"/>
        <v>0</v>
      </c>
      <c r="L1246" s="39" t="s">
        <v>165</v>
      </c>
      <c r="M1246" s="603" t="s">
        <v>159</v>
      </c>
      <c r="N1246" s="39" t="str">
        <f>IF(AND('331-CT'!$E$7=TH!H1246,OR(L1246="331",M1246="331")),"331",IF(AND(OR(L1246="131",M1246="131"),H1246='131-CT'!$E$7),"131",""))</f>
        <v/>
      </c>
      <c r="O1246" s="39" t="str">
        <f>IF(AND($B1246&gt;='111'!$N$11,$B1246&lt;='111'!$O$11,OR($L1246=$O$7,$M1246=$O$7)),"x","")</f>
        <v/>
      </c>
      <c r="P1246" s="39" t="str">
        <f>IF(AND($L1246=$O$7,$B1246&lt;'111'!$N$11),"x","")</f>
        <v/>
      </c>
      <c r="Q1246" s="39" t="str">
        <f>IF(AND($M1246=$O$7,$B1246&lt;'111'!$N$11),"x","")</f>
        <v/>
      </c>
      <c r="R1246" s="39" t="str">
        <f>IF(ISERROR(FIND('112'!$M$9,G1246,1)),"",IF((AND(FIND('112'!$M$9,G1246,1)&gt;=1,$B1246&gt;='112'!$N$8,$B1246&lt;='112'!$O$8,OR($L1246='112'!$I$6,$M1246='112'!$I$6))),"x",""))</f>
        <v/>
      </c>
      <c r="S1246" s="39" t="str">
        <f>IF(ISERROR(FIND('112'!$M$9,G1246,1)),"",IF((AND(LEFT(G1246,2)=LEFT('112'!$M$9,2),B1246&lt;'112'!$N$8,$L1246='112'!$I$6)),"x",""))</f>
        <v/>
      </c>
      <c r="T1246" s="39" t="str">
        <f>IF(ISERROR(FIND('112'!$M$9,G1246,1)),"",IF((AND(RIGHT(G1246,2)=RIGHT('112'!$M$9,2),B1246&lt;'112'!$N$8,$M1246='112'!$I$6)),"x",""))</f>
        <v/>
      </c>
      <c r="U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39" t="str">
        <f>IF(OR(TH!L1246=TH!$V$7,M1246=TH!$V$7),"x","")</f>
        <v/>
      </c>
      <c r="W1246" s="39" t="str">
        <f>IF(AND(B1246&gt;='IN-NX'!$P$3,B1246&lt;='IN-NX'!$Q$3,'IN-NX'!$D$7=D1246,OR(LEFT(L1246,2)="15",AND(LEFT(M1246,2)&lt;&gt;"15",LEFT(M1246,2)&lt;&gt;"33"))),"x","")</f>
        <v/>
      </c>
      <c r="X1246" s="39" t="str">
        <f>IF(AND(OR(LEFT(TH!L1246,2)="15",LEFT(TH!M1246,2)="15"),'152-CT'!$J$8=TH!F1246),"x","")</f>
        <v/>
      </c>
      <c r="Y1246" s="39" t="str">
        <f>IF(AND(OR(LEFT(TH!L1246,2)="15",LEFT(TH!M1246,2)="15"),TK!$E$7=TH!F1246),"x","")</f>
        <v/>
      </c>
      <c r="Z1246" s="39" t="str">
        <f>IF(AND(B1246&lt;=NKC!$N$8,B1246&gt;=NKC!$M$8),"x","")</f>
        <v>x</v>
      </c>
      <c r="AA1246" s="886"/>
    </row>
    <row r="1247" spans="1:27" s="211" customFormat="1" ht="15.75" customHeight="1">
      <c r="A1247" s="204" t="str">
        <f>IF(B1247&lt;&gt;"",IF(AND(B1247&gt;=_TM1,B1247&lt;=_TM2,OR(TH!L1247="1111",TH!M1247="1111")),TH!D1247,""),"")</f>
        <v/>
      </c>
      <c r="B1247" s="36">
        <f t="shared" si="227"/>
        <v>9</v>
      </c>
      <c r="C1247" s="191">
        <f t="shared" si="228"/>
        <v>41544</v>
      </c>
      <c r="D1247" s="191" t="s">
        <v>1294</v>
      </c>
      <c r="E1247" s="37">
        <v>41544</v>
      </c>
      <c r="F1247" s="40"/>
      <c r="G1247" s="40" t="s">
        <v>944</v>
      </c>
      <c r="H1247" s="7" t="s">
        <v>1287</v>
      </c>
      <c r="I1247" s="256"/>
      <c r="J1247" s="256"/>
      <c r="K1247" s="602">
        <f t="shared" si="229"/>
        <v>0</v>
      </c>
      <c r="L1247" s="39" t="s">
        <v>165</v>
      </c>
      <c r="M1247" s="603" t="s">
        <v>159</v>
      </c>
      <c r="N1247" s="39" t="str">
        <f>IF(AND('331-CT'!$E$7=TH!H1247,OR(L1247="331",M1247="331")),"331",IF(AND(OR(L1247="131",M1247="131"),H1247='131-CT'!$E$7),"131",""))</f>
        <v/>
      </c>
      <c r="O1247" s="39" t="str">
        <f>IF(AND($B1247&gt;='111'!$N$11,$B1247&lt;='111'!$O$11,OR($L1247=$O$7,$M1247=$O$7)),"x","")</f>
        <v/>
      </c>
      <c r="P1247" s="39" t="str">
        <f>IF(AND($L1247=$O$7,$B1247&lt;'111'!$N$11),"x","")</f>
        <v/>
      </c>
      <c r="Q1247" s="39" t="str">
        <f>IF(AND($M1247=$O$7,$B1247&lt;'111'!$N$11),"x","")</f>
        <v/>
      </c>
      <c r="R1247" s="39" t="str">
        <f>IF(ISERROR(FIND('112'!$M$9,G1247,1)),"",IF((AND(FIND('112'!$M$9,G1247,1)&gt;=1,$B1247&gt;='112'!$N$8,$B1247&lt;='112'!$O$8,OR($L1247='112'!$I$6,$M1247='112'!$I$6))),"x",""))</f>
        <v/>
      </c>
      <c r="S1247" s="39" t="str">
        <f>IF(ISERROR(FIND('112'!$M$9,G1247,1)),"",IF((AND(LEFT(G1247,2)=LEFT('112'!$M$9,2),B1247&lt;'112'!$N$8,$L1247='112'!$I$6)),"x",""))</f>
        <v/>
      </c>
      <c r="T1247" s="39" t="str">
        <f>IF(ISERROR(FIND('112'!$M$9,G1247,1)),"",IF((AND(RIGHT(G1247,2)=RIGHT('112'!$M$9,2),B1247&lt;'112'!$N$8,$M1247='112'!$I$6)),"x",""))</f>
        <v/>
      </c>
      <c r="U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39" t="str">
        <f>IF(OR(TH!L1247=TH!$V$7,M1247=TH!$V$7),"x","")</f>
        <v/>
      </c>
      <c r="W1247" s="39" t="str">
        <f>IF(AND(B1247&gt;='IN-NX'!$P$3,B1247&lt;='IN-NX'!$Q$3,'IN-NX'!$D$7=D1247,OR(LEFT(L1247,2)="15",AND(LEFT(M1247,2)&lt;&gt;"15",LEFT(M1247,2)&lt;&gt;"33"))),"x","")</f>
        <v/>
      </c>
      <c r="X1247" s="39" t="str">
        <f>IF(AND(OR(LEFT(TH!L1247,2)="15",LEFT(TH!M1247,2)="15"),'152-CT'!$J$8=TH!F1247),"x","")</f>
        <v/>
      </c>
      <c r="Y1247" s="39" t="str">
        <f>IF(AND(OR(LEFT(TH!L1247,2)="15",LEFT(TH!M1247,2)="15"),TK!$E$7=TH!F1247),"x","")</f>
        <v/>
      </c>
      <c r="Z1247" s="39" t="str">
        <f>IF(AND(B1247&lt;=NKC!$N$8,B1247&gt;=NKC!$M$8),"x","")</f>
        <v>x</v>
      </c>
      <c r="AA1247" s="886"/>
    </row>
    <row r="1248" spans="1:27" s="211" customFormat="1" ht="15.75" customHeight="1">
      <c r="A1248" s="204" t="str">
        <f>IF(B1248&lt;&gt;"",IF(AND(B1248&gt;=_TM1,B1248&lt;=_TM2,OR(TH!L1248="1111",TH!M1248="1111")),TH!D1248,""),"")</f>
        <v/>
      </c>
      <c r="B1248" s="36">
        <f t="shared" si="227"/>
        <v>9</v>
      </c>
      <c r="C1248" s="191">
        <f t="shared" si="228"/>
        <v>41544</v>
      </c>
      <c r="D1248" s="191" t="s">
        <v>1294</v>
      </c>
      <c r="E1248" s="37">
        <v>41544</v>
      </c>
      <c r="F1248" s="40"/>
      <c r="G1248" s="40" t="s">
        <v>947</v>
      </c>
      <c r="H1248" s="7" t="s">
        <v>1287</v>
      </c>
      <c r="I1248" s="256"/>
      <c r="J1248" s="256"/>
      <c r="K1248" s="602">
        <f t="shared" si="229"/>
        <v>0</v>
      </c>
      <c r="L1248" s="39" t="s">
        <v>165</v>
      </c>
      <c r="M1248" s="603" t="s">
        <v>159</v>
      </c>
      <c r="N1248" s="39" t="str">
        <f>IF(AND('331-CT'!$E$7=TH!H1248,OR(L1248="331",M1248="331")),"331",IF(AND(OR(L1248="131",M1248="131"),H1248='131-CT'!$E$7),"131",""))</f>
        <v/>
      </c>
      <c r="O1248" s="39" t="str">
        <f>IF(AND($B1248&gt;='111'!$N$11,$B1248&lt;='111'!$O$11,OR($L1248=$O$7,$M1248=$O$7)),"x","")</f>
        <v/>
      </c>
      <c r="P1248" s="39" t="str">
        <f>IF(AND($L1248=$O$7,$B1248&lt;'111'!$N$11),"x","")</f>
        <v/>
      </c>
      <c r="Q1248" s="39" t="str">
        <f>IF(AND($M1248=$O$7,$B1248&lt;'111'!$N$11),"x","")</f>
        <v/>
      </c>
      <c r="R1248" s="39" t="str">
        <f>IF(ISERROR(FIND('112'!$M$9,G1248,1)),"",IF((AND(FIND('112'!$M$9,G1248,1)&gt;=1,$B1248&gt;='112'!$N$8,$B1248&lt;='112'!$O$8,OR($L1248='112'!$I$6,$M1248='112'!$I$6))),"x",""))</f>
        <v/>
      </c>
      <c r="S1248" s="39" t="str">
        <f>IF(ISERROR(FIND('112'!$M$9,G1248,1)),"",IF((AND(LEFT(G1248,2)=LEFT('112'!$M$9,2),B1248&lt;'112'!$N$8,$L1248='112'!$I$6)),"x",""))</f>
        <v/>
      </c>
      <c r="T1248" s="39" t="str">
        <f>IF(ISERROR(FIND('112'!$M$9,G1248,1)),"",IF((AND(RIGHT(G1248,2)=RIGHT('112'!$M$9,2),B1248&lt;'112'!$N$8,$M1248='112'!$I$6)),"x",""))</f>
        <v/>
      </c>
      <c r="U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39" t="str">
        <f>IF(OR(TH!L1248=TH!$V$7,M1248=TH!$V$7),"x","")</f>
        <v/>
      </c>
      <c r="W1248" s="39" t="str">
        <f>IF(AND(B1248&gt;='IN-NX'!$P$3,B1248&lt;='IN-NX'!$Q$3,'IN-NX'!$D$7=D1248,OR(LEFT(L1248,2)="15",AND(LEFT(M1248,2)&lt;&gt;"15",LEFT(M1248,2)&lt;&gt;"33"))),"x","")</f>
        <v/>
      </c>
      <c r="X1248" s="39" t="str">
        <f>IF(AND(OR(LEFT(TH!L1248,2)="15",LEFT(TH!M1248,2)="15"),'152-CT'!$J$8=TH!F1248),"x","")</f>
        <v/>
      </c>
      <c r="Y1248" s="39" t="str">
        <f>IF(AND(OR(LEFT(TH!L1248,2)="15",LEFT(TH!M1248,2)="15"),TK!$E$7=TH!F1248),"x","")</f>
        <v/>
      </c>
      <c r="Z1248" s="39" t="str">
        <f>IF(AND(B1248&lt;=NKC!$N$8,B1248&gt;=NKC!$M$8),"x","")</f>
        <v>x</v>
      </c>
      <c r="AA1248" s="886"/>
    </row>
    <row r="1249" spans="1:27" s="843" customFormat="1" ht="15.75" customHeight="1">
      <c r="A1249" s="1106" t="str">
        <f>IF(B1249&lt;&gt;"",IF(AND(B1249&gt;=_TM1,B1249&lt;=_TM2,OR(TH!L1249="1111",TH!M1249="1111")),TH!D1249,""),"")</f>
        <v/>
      </c>
      <c r="B1249" s="841">
        <f t="shared" ref="B1249:B1312" si="230">IF(C1249&lt;&gt;"",MONTH(C1249),"")</f>
        <v>9</v>
      </c>
      <c r="C1249" s="1107">
        <f t="shared" si="228"/>
        <v>41545</v>
      </c>
      <c r="D1249" s="1108"/>
      <c r="E1249" s="1108">
        <v>41545</v>
      </c>
      <c r="F1249" s="1109"/>
      <c r="G1249" s="1109" t="s">
        <v>948</v>
      </c>
      <c r="H1249" s="1110" t="s">
        <v>1287</v>
      </c>
      <c r="I1249" s="1118"/>
      <c r="J1249" s="1118"/>
      <c r="K1249" s="838">
        <f t="shared" si="229"/>
        <v>0</v>
      </c>
      <c r="L1249" s="831" t="s">
        <v>165</v>
      </c>
      <c r="M1249" s="1113" t="s">
        <v>159</v>
      </c>
      <c r="N1249" s="831" t="str">
        <f>IF(AND('331-CT'!$E$7=TH!H1249,OR(L1249="331",M1249="331")),"331",IF(AND(OR(L1249="131",M1249="131"),H1249='131-CT'!$E$7),"131",""))</f>
        <v/>
      </c>
      <c r="O1249" s="831" t="str">
        <f>IF(AND($B1249&gt;='111'!$N$11,$B1249&lt;='111'!$O$11,OR($L1249=$O$7,$M1249=$O$7)),"x","")</f>
        <v/>
      </c>
      <c r="P1249" s="831" t="str">
        <f>IF(AND($L1249=$O$7,$B1249&lt;'111'!$N$11),"x","")</f>
        <v/>
      </c>
      <c r="Q1249" s="831" t="str">
        <f>IF(AND($M1249=$O$7,$B1249&lt;'111'!$N$11),"x","")</f>
        <v/>
      </c>
      <c r="R1249" s="831" t="str">
        <f>IF(ISERROR(FIND('112'!$M$9,G1249,1)),"",IF((AND(FIND('112'!$M$9,G1249,1)&gt;=1,$B1249&gt;='112'!$N$8,$B1249&lt;='112'!$O$8,OR($L1249='112'!$I$6,$M1249='112'!$I$6))),"x",""))</f>
        <v/>
      </c>
      <c r="S1249" s="831" t="str">
        <f>IF(ISERROR(FIND('112'!$M$9,G1249,1)),"",IF((AND(LEFT(G1249,2)=LEFT('112'!$M$9,2),B1249&lt;'112'!$N$8,$L1249='112'!$I$6)),"x",""))</f>
        <v/>
      </c>
      <c r="T1249" s="831" t="str">
        <f>IF(ISERROR(FIND('112'!$M$9,G1249,1)),"",IF((AND(RIGHT(G1249,2)=RIGHT('112'!$M$9,2),B1249&lt;'112'!$N$8,$M1249='112'!$I$6)),"x",""))</f>
        <v/>
      </c>
      <c r="U1249" s="831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831" t="str">
        <f>IF(OR(TH!L1249=TH!$V$7,M1249=TH!$V$7),"x","")</f>
        <v/>
      </c>
      <c r="W1249" s="831" t="str">
        <f>IF(AND(B1249&gt;='IN-NX'!$P$3,B1249&lt;='IN-NX'!$Q$3,'IN-NX'!$D$7=D1249,OR(LEFT(L1249,2)="15",AND(LEFT(M1249,2)&lt;&gt;"15",LEFT(M1249,2)&lt;&gt;"33"))),"x","")</f>
        <v/>
      </c>
      <c r="X1249" s="831" t="str">
        <f>IF(AND(OR(LEFT(TH!L1249,2)="15",LEFT(TH!M1249,2)="15"),'152-CT'!$J$8=TH!F1249),"x","")</f>
        <v/>
      </c>
      <c r="Y1249" s="831" t="str">
        <f>IF(AND(OR(LEFT(TH!L1249,2)="15",LEFT(TH!M1249,2)="15"),TK!$E$7=TH!F1249),"x","")</f>
        <v/>
      </c>
      <c r="Z1249" s="831" t="str">
        <f>IF(AND(B1249&lt;=NKC!$N$8,B1249&gt;=NKC!$M$8),"x","")</f>
        <v>x</v>
      </c>
      <c r="AA1249" s="1114"/>
    </row>
    <row r="1250" spans="1:27" s="211" customFormat="1" ht="15.75" customHeight="1">
      <c r="A1250" s="204" t="str">
        <f>IF(B1250&lt;&gt;"",IF(AND(B1250&gt;=_TM1,B1250&lt;=_TM2,OR(TH!L1250="1111",TH!M1250="1111")),TH!D1250,""),"")</f>
        <v/>
      </c>
      <c r="B1250" s="36">
        <f t="shared" si="230"/>
        <v>9</v>
      </c>
      <c r="C1250" s="191">
        <f t="shared" si="228"/>
        <v>41545</v>
      </c>
      <c r="D1250" s="37"/>
      <c r="E1250" s="37">
        <v>41545</v>
      </c>
      <c r="F1250" s="40"/>
      <c r="G1250" s="40" t="s">
        <v>948</v>
      </c>
      <c r="H1250" s="7" t="s">
        <v>1287</v>
      </c>
      <c r="I1250" s="256"/>
      <c r="J1250" s="256"/>
      <c r="K1250" s="602">
        <f t="shared" si="229"/>
        <v>0</v>
      </c>
      <c r="L1250" s="39" t="s">
        <v>165</v>
      </c>
      <c r="M1250" s="603" t="s">
        <v>159</v>
      </c>
      <c r="N1250" s="39" t="str">
        <f>IF(AND('331-CT'!$E$7=TH!H1250,OR(L1250="331",M1250="331")),"331",IF(AND(OR(L1250="131",M1250="131"),H1250='131-CT'!$E$7),"131",""))</f>
        <v/>
      </c>
      <c r="O1250" s="39" t="str">
        <f>IF(AND($B1250&gt;='111'!$N$11,$B1250&lt;='111'!$O$11,OR($L1250=$O$7,$M1250=$O$7)),"x","")</f>
        <v/>
      </c>
      <c r="P1250" s="39" t="str">
        <f>IF(AND($L1250=$O$7,$B1250&lt;'111'!$N$11),"x","")</f>
        <v/>
      </c>
      <c r="Q1250" s="39" t="str">
        <f>IF(AND($M1250=$O$7,$B1250&lt;'111'!$N$11),"x","")</f>
        <v/>
      </c>
      <c r="R1250" s="39" t="str">
        <f>IF(ISERROR(FIND('112'!$M$9,G1250,1)),"",IF((AND(FIND('112'!$M$9,G1250,1)&gt;=1,$B1250&gt;='112'!$N$8,$B1250&lt;='112'!$O$8,OR($L1250='112'!$I$6,$M1250='112'!$I$6))),"x",""))</f>
        <v/>
      </c>
      <c r="S1250" s="39" t="str">
        <f>IF(ISERROR(FIND('112'!$M$9,G1250,1)),"",IF((AND(LEFT(G1250,2)=LEFT('112'!$M$9,2),B1250&lt;'112'!$N$8,$L1250='112'!$I$6)),"x",""))</f>
        <v/>
      </c>
      <c r="T1250" s="39" t="str">
        <f>IF(ISERROR(FIND('112'!$M$9,G1250,1)),"",IF((AND(RIGHT(G1250,2)=RIGHT('112'!$M$9,2),B1250&lt;'112'!$N$8,$M1250='112'!$I$6)),"x",""))</f>
        <v/>
      </c>
      <c r="U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39" t="str">
        <f>IF(OR(TH!L1250=TH!$V$7,M1250=TH!$V$7),"x","")</f>
        <v/>
      </c>
      <c r="W1250" s="39" t="str">
        <f>IF(AND(B1250&gt;='IN-NX'!$P$3,B1250&lt;='IN-NX'!$Q$3,'IN-NX'!$D$7=D1250,OR(LEFT(L1250,2)="15",AND(LEFT(M1250,2)&lt;&gt;"15",LEFT(M1250,2)&lt;&gt;"33"))),"x","")</f>
        <v/>
      </c>
      <c r="X1250" s="39" t="str">
        <f>IF(AND(OR(LEFT(TH!L1250,2)="15",LEFT(TH!M1250,2)="15"),'152-CT'!$J$8=TH!F1250),"x","")</f>
        <v/>
      </c>
      <c r="Y1250" s="39" t="str">
        <f>IF(AND(OR(LEFT(TH!L1250,2)="15",LEFT(TH!M1250,2)="15"),TK!$E$7=TH!F1250),"x","")</f>
        <v/>
      </c>
      <c r="Z1250" s="39" t="str">
        <f>IF(AND(B1250&lt;=NKC!$N$8,B1250&gt;=NKC!$M$8),"x","")</f>
        <v>x</v>
      </c>
      <c r="AA1250" s="886"/>
    </row>
    <row r="1251" spans="1:27" s="211" customFormat="1" ht="15.75" customHeight="1">
      <c r="A1251" s="204" t="str">
        <f>IF(B1251&lt;&gt;"",IF(AND(B1251&gt;=_TM1,B1251&lt;=_TM2,OR(TH!L1251="1111",TH!M1251="1111")),TH!D1251,""),"")</f>
        <v/>
      </c>
      <c r="B1251" s="36">
        <f t="shared" si="230"/>
        <v>9</v>
      </c>
      <c r="C1251" s="191">
        <f t="shared" si="228"/>
        <v>41545</v>
      </c>
      <c r="D1251" s="37"/>
      <c r="E1251" s="37">
        <v>41545</v>
      </c>
      <c r="F1251" s="40"/>
      <c r="G1251" s="40" t="s">
        <v>949</v>
      </c>
      <c r="H1251" s="7" t="s">
        <v>1287</v>
      </c>
      <c r="I1251" s="256"/>
      <c r="J1251" s="256"/>
      <c r="K1251" s="602">
        <f t="shared" si="229"/>
        <v>0</v>
      </c>
      <c r="L1251" s="39" t="s">
        <v>165</v>
      </c>
      <c r="M1251" s="603" t="s">
        <v>159</v>
      </c>
      <c r="N1251" s="39" t="str">
        <f>IF(AND('331-CT'!$E$7=TH!H1251,OR(L1251="331",M1251="331")),"331",IF(AND(OR(L1251="131",M1251="131"),H1251='131-CT'!$E$7),"131",""))</f>
        <v/>
      </c>
      <c r="O1251" s="39" t="str">
        <f>IF(AND($B1251&gt;='111'!$N$11,$B1251&lt;='111'!$O$11,OR($L1251=$O$7,$M1251=$O$7)),"x","")</f>
        <v/>
      </c>
      <c r="P1251" s="39" t="str">
        <f>IF(AND($L1251=$O$7,$B1251&lt;'111'!$N$11),"x","")</f>
        <v/>
      </c>
      <c r="Q1251" s="39" t="str">
        <f>IF(AND($M1251=$O$7,$B1251&lt;'111'!$N$11),"x","")</f>
        <v/>
      </c>
      <c r="R1251" s="39" t="str">
        <f>IF(ISERROR(FIND('112'!$M$9,G1251,1)),"",IF((AND(FIND('112'!$M$9,G1251,1)&gt;=1,$B1251&gt;='112'!$N$8,$B1251&lt;='112'!$O$8,OR($L1251='112'!$I$6,$M1251='112'!$I$6))),"x",""))</f>
        <v/>
      </c>
      <c r="S1251" s="39" t="str">
        <f>IF(ISERROR(FIND('112'!$M$9,G1251,1)),"",IF((AND(LEFT(G1251,2)=LEFT('112'!$M$9,2),B1251&lt;'112'!$N$8,$L1251='112'!$I$6)),"x",""))</f>
        <v/>
      </c>
      <c r="T1251" s="39" t="str">
        <f>IF(ISERROR(FIND('112'!$M$9,G1251,1)),"",IF((AND(RIGHT(G1251,2)=RIGHT('112'!$M$9,2),B1251&lt;'112'!$N$8,$M1251='112'!$I$6)),"x",""))</f>
        <v/>
      </c>
      <c r="U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39" t="str">
        <f>IF(OR(TH!L1251=TH!$V$7,M1251=TH!$V$7),"x","")</f>
        <v/>
      </c>
      <c r="W1251" s="39" t="str">
        <f>IF(AND(B1251&gt;='IN-NX'!$P$3,B1251&lt;='IN-NX'!$Q$3,'IN-NX'!$D$7=D1251,OR(LEFT(L1251,2)="15",AND(LEFT(M1251,2)&lt;&gt;"15",LEFT(M1251,2)&lt;&gt;"33"))),"x","")</f>
        <v/>
      </c>
      <c r="X1251" s="39" t="str">
        <f>IF(AND(OR(LEFT(TH!L1251,2)="15",LEFT(TH!M1251,2)="15"),'152-CT'!$J$8=TH!F1251),"x","")</f>
        <v/>
      </c>
      <c r="Y1251" s="39" t="str">
        <f>IF(AND(OR(LEFT(TH!L1251,2)="15",LEFT(TH!M1251,2)="15"),TK!$E$7=TH!F1251),"x","")</f>
        <v/>
      </c>
      <c r="Z1251" s="39" t="str">
        <f>IF(AND(B1251&lt;=NKC!$N$8,B1251&gt;=NKC!$M$8),"x","")</f>
        <v>x</v>
      </c>
      <c r="AA1251" s="886"/>
    </row>
    <row r="1252" spans="1:27" s="211" customFormat="1" ht="15.75" customHeight="1">
      <c r="A1252" s="204" t="str">
        <f>IF(B1252&lt;&gt;"",IF(AND(B1252&gt;=_TM1,B1252&lt;=_TM2,OR(TH!L1252="1111",TH!M1252="1111")),TH!D1252,""),"")</f>
        <v/>
      </c>
      <c r="B1252" s="36">
        <f t="shared" si="230"/>
        <v>9</v>
      </c>
      <c r="C1252" s="191">
        <f t="shared" si="228"/>
        <v>41545</v>
      </c>
      <c r="D1252" s="37"/>
      <c r="E1252" s="37">
        <v>41545</v>
      </c>
      <c r="F1252" s="40"/>
      <c r="G1252" s="40" t="s">
        <v>949</v>
      </c>
      <c r="H1252" s="7" t="s">
        <v>1287</v>
      </c>
      <c r="I1252" s="256"/>
      <c r="J1252" s="256"/>
      <c r="K1252" s="602">
        <f t="shared" si="229"/>
        <v>0</v>
      </c>
      <c r="L1252" s="39" t="s">
        <v>165</v>
      </c>
      <c r="M1252" s="603" t="s">
        <v>159</v>
      </c>
      <c r="N1252" s="39" t="str">
        <f>IF(AND('331-CT'!$E$7=TH!H1252,OR(L1252="331",M1252="331")),"331",IF(AND(OR(L1252="131",M1252="131"),H1252='131-CT'!$E$7),"131",""))</f>
        <v/>
      </c>
      <c r="O1252" s="39" t="str">
        <f>IF(AND($B1252&gt;='111'!$N$11,$B1252&lt;='111'!$O$11,OR($L1252=$O$7,$M1252=$O$7)),"x","")</f>
        <v/>
      </c>
      <c r="P1252" s="39" t="str">
        <f>IF(AND($L1252=$O$7,$B1252&lt;'111'!$N$11),"x","")</f>
        <v/>
      </c>
      <c r="Q1252" s="39" t="str">
        <f>IF(AND($M1252=$O$7,$B1252&lt;'111'!$N$11),"x","")</f>
        <v/>
      </c>
      <c r="R1252" s="39" t="str">
        <f>IF(ISERROR(FIND('112'!$M$9,G1252,1)),"",IF((AND(FIND('112'!$M$9,G1252,1)&gt;=1,$B1252&gt;='112'!$N$8,$B1252&lt;='112'!$O$8,OR($L1252='112'!$I$6,$M1252='112'!$I$6))),"x",""))</f>
        <v/>
      </c>
      <c r="S1252" s="39" t="str">
        <f>IF(ISERROR(FIND('112'!$M$9,G1252,1)),"",IF((AND(LEFT(G1252,2)=LEFT('112'!$M$9,2),B1252&lt;'112'!$N$8,$L1252='112'!$I$6)),"x",""))</f>
        <v/>
      </c>
      <c r="T1252" s="39" t="str">
        <f>IF(ISERROR(FIND('112'!$M$9,G1252,1)),"",IF((AND(RIGHT(G1252,2)=RIGHT('112'!$M$9,2),B1252&lt;'112'!$N$8,$M1252='112'!$I$6)),"x",""))</f>
        <v/>
      </c>
      <c r="U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39" t="str">
        <f>IF(OR(TH!L1252=TH!$V$7,M1252=TH!$V$7),"x","")</f>
        <v/>
      </c>
      <c r="W1252" s="39" t="str">
        <f>IF(AND(B1252&gt;='IN-NX'!$P$3,B1252&lt;='IN-NX'!$Q$3,'IN-NX'!$D$7=D1252,OR(LEFT(L1252,2)="15",AND(LEFT(M1252,2)&lt;&gt;"15",LEFT(M1252,2)&lt;&gt;"33"))),"x","")</f>
        <v/>
      </c>
      <c r="X1252" s="39" t="str">
        <f>IF(AND(OR(LEFT(TH!L1252,2)="15",LEFT(TH!M1252,2)="15"),'152-CT'!$J$8=TH!F1252),"x","")</f>
        <v/>
      </c>
      <c r="Y1252" s="39" t="str">
        <f>IF(AND(OR(LEFT(TH!L1252,2)="15",LEFT(TH!M1252,2)="15"),TK!$E$7=TH!F1252),"x","")</f>
        <v/>
      </c>
      <c r="Z1252" s="39" t="str">
        <f>IF(AND(B1252&lt;=NKC!$N$8,B1252&gt;=NKC!$M$8),"x","")</f>
        <v>x</v>
      </c>
      <c r="AA1252" s="886"/>
    </row>
    <row r="1253" spans="1:27" s="211" customFormat="1" ht="15.75" customHeight="1">
      <c r="A1253" s="204" t="str">
        <f>IF(B1253&lt;&gt;"",IF(AND(B1253&gt;=_TM1,B1253&lt;=_TM2,OR(TH!L1253="1111",TH!M1253="1111")),TH!D1253,""),"")</f>
        <v/>
      </c>
      <c r="B1253" s="36">
        <f t="shared" si="230"/>
        <v>9</v>
      </c>
      <c r="C1253" s="191">
        <f t="shared" si="228"/>
        <v>41545</v>
      </c>
      <c r="D1253" s="37"/>
      <c r="E1253" s="37">
        <v>41545</v>
      </c>
      <c r="F1253" s="192"/>
      <c r="G1253" s="40" t="s">
        <v>950</v>
      </c>
      <c r="H1253" s="7" t="s">
        <v>1287</v>
      </c>
      <c r="I1253" s="256"/>
      <c r="J1253" s="256"/>
      <c r="K1253" s="602">
        <f t="shared" si="229"/>
        <v>0</v>
      </c>
      <c r="L1253" s="39" t="s">
        <v>165</v>
      </c>
      <c r="M1253" s="603" t="s">
        <v>159</v>
      </c>
      <c r="N1253" s="39" t="str">
        <f>IF(AND('331-CT'!$E$7=TH!H1253,OR(L1253="331",M1253="331")),"331",IF(AND(OR(L1253="131",M1253="131"),H1253='131-CT'!$E$7),"131",""))</f>
        <v/>
      </c>
      <c r="O1253" s="39" t="str">
        <f>IF(AND($B1253&gt;='111'!$N$11,$B1253&lt;='111'!$O$11,OR($L1253=$O$7,$M1253=$O$7)),"x","")</f>
        <v/>
      </c>
      <c r="P1253" s="39" t="str">
        <f>IF(AND($L1253=$O$7,$B1253&lt;'111'!$N$11),"x","")</f>
        <v/>
      </c>
      <c r="Q1253" s="39" t="str">
        <f>IF(AND($M1253=$O$7,$B1253&lt;'111'!$N$11),"x","")</f>
        <v/>
      </c>
      <c r="R1253" s="39" t="str">
        <f>IF(ISERROR(FIND('112'!$M$9,G1253,1)),"",IF((AND(FIND('112'!$M$9,G1253,1)&gt;=1,$B1253&gt;='112'!$N$8,$B1253&lt;='112'!$O$8,OR($L1253='112'!$I$6,$M1253='112'!$I$6))),"x",""))</f>
        <v/>
      </c>
      <c r="S1253" s="39" t="str">
        <f>IF(ISERROR(FIND('112'!$M$9,G1253,1)),"",IF((AND(LEFT(G1253,2)=LEFT('112'!$M$9,2),B1253&lt;'112'!$N$8,$L1253='112'!$I$6)),"x",""))</f>
        <v/>
      </c>
      <c r="T1253" s="39" t="str">
        <f>IF(ISERROR(FIND('112'!$M$9,G1253,1)),"",IF((AND(RIGHT(G1253,2)=RIGHT('112'!$M$9,2),B1253&lt;'112'!$N$8,$M1253='112'!$I$6)),"x",""))</f>
        <v/>
      </c>
      <c r="U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39" t="str">
        <f>IF(OR(TH!L1253=TH!$V$7,M1253=TH!$V$7),"x","")</f>
        <v/>
      </c>
      <c r="W1253" s="39" t="str">
        <f>IF(AND(B1253&gt;='IN-NX'!$P$3,B1253&lt;='IN-NX'!$Q$3,'IN-NX'!$D$7=D1253,OR(LEFT(L1253,2)="15",AND(LEFT(M1253,2)&lt;&gt;"15",LEFT(M1253,2)&lt;&gt;"33"))),"x","")</f>
        <v/>
      </c>
      <c r="X1253" s="39" t="str">
        <f>IF(AND(OR(LEFT(TH!L1253,2)="15",LEFT(TH!M1253,2)="15"),'152-CT'!$J$8=TH!F1253),"x","")</f>
        <v/>
      </c>
      <c r="Y1253" s="39" t="str">
        <f>IF(AND(OR(LEFT(TH!L1253,2)="15",LEFT(TH!M1253,2)="15"),TK!$E$7=TH!F1253),"x","")</f>
        <v/>
      </c>
      <c r="Z1253" s="39" t="str">
        <f>IF(AND(B1253&lt;=NKC!$N$8,B1253&gt;=NKC!$M$8),"x","")</f>
        <v>x</v>
      </c>
      <c r="AA1253" s="886"/>
    </row>
    <row r="1254" spans="1:27" s="211" customFormat="1" ht="15.75" customHeight="1">
      <c r="A1254" s="204" t="str">
        <f>IF(B1254&lt;&gt;"",IF(AND(B1254&gt;=_TM1,B1254&lt;=_TM2,OR(TH!L1254="1111",TH!M1254="1111")),TH!D1254,""),"")</f>
        <v/>
      </c>
      <c r="B1254" s="36">
        <f t="shared" si="230"/>
        <v>9</v>
      </c>
      <c r="C1254" s="191">
        <f t="shared" si="228"/>
        <v>41546</v>
      </c>
      <c r="D1254" s="37"/>
      <c r="E1254" s="37">
        <v>41546</v>
      </c>
      <c r="F1254" s="40"/>
      <c r="G1254" s="40" t="s">
        <v>951</v>
      </c>
      <c r="H1254" s="7" t="s">
        <v>1287</v>
      </c>
      <c r="I1254" s="256"/>
      <c r="J1254" s="256"/>
      <c r="K1254" s="602">
        <f t="shared" si="229"/>
        <v>0</v>
      </c>
      <c r="L1254" s="39" t="s">
        <v>165</v>
      </c>
      <c r="M1254" s="603" t="s">
        <v>159</v>
      </c>
      <c r="N1254" s="39" t="str">
        <f>IF(AND('331-CT'!$E$7=TH!H1254,OR(L1254="331",M1254="331")),"331",IF(AND(OR(L1254="131",M1254="131"),H1254='131-CT'!$E$7),"131",""))</f>
        <v/>
      </c>
      <c r="O1254" s="39" t="str">
        <f>IF(AND($B1254&gt;='111'!$N$11,$B1254&lt;='111'!$O$11,OR($L1254=$O$7,$M1254=$O$7)),"x","")</f>
        <v/>
      </c>
      <c r="P1254" s="39" t="str">
        <f>IF(AND($L1254=$O$7,$B1254&lt;'111'!$N$11),"x","")</f>
        <v/>
      </c>
      <c r="Q1254" s="39" t="str">
        <f>IF(AND($M1254=$O$7,$B1254&lt;'111'!$N$11),"x","")</f>
        <v/>
      </c>
      <c r="R1254" s="39" t="str">
        <f>IF(ISERROR(FIND('112'!$M$9,G1254,1)),"",IF((AND(FIND('112'!$M$9,G1254,1)&gt;=1,$B1254&gt;='112'!$N$8,$B1254&lt;='112'!$O$8,OR($L1254='112'!$I$6,$M1254='112'!$I$6))),"x",""))</f>
        <v/>
      </c>
      <c r="S1254" s="39" t="str">
        <f>IF(ISERROR(FIND('112'!$M$9,G1254,1)),"",IF((AND(LEFT(G1254,2)=LEFT('112'!$M$9,2),B1254&lt;'112'!$N$8,$L1254='112'!$I$6)),"x",""))</f>
        <v/>
      </c>
      <c r="T1254" s="39" t="str">
        <f>IF(ISERROR(FIND('112'!$M$9,G1254,1)),"",IF((AND(RIGHT(G1254,2)=RIGHT('112'!$M$9,2),B1254&lt;'112'!$N$8,$M1254='112'!$I$6)),"x",""))</f>
        <v/>
      </c>
      <c r="U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39" t="str">
        <f>IF(OR(TH!L1254=TH!$V$7,M1254=TH!$V$7),"x","")</f>
        <v/>
      </c>
      <c r="W1254" s="39" t="str">
        <f>IF(AND(B1254&gt;='IN-NX'!$P$3,B1254&lt;='IN-NX'!$Q$3,'IN-NX'!$D$7=D1254,OR(LEFT(L1254,2)="15",AND(LEFT(M1254,2)&lt;&gt;"15",LEFT(M1254,2)&lt;&gt;"33"))),"x","")</f>
        <v/>
      </c>
      <c r="X1254" s="39" t="str">
        <f>IF(AND(OR(LEFT(TH!L1254,2)="15",LEFT(TH!M1254,2)="15"),'152-CT'!$J$8=TH!F1254),"x","")</f>
        <v/>
      </c>
      <c r="Y1254" s="39" t="str">
        <f>IF(AND(OR(LEFT(TH!L1254,2)="15",LEFT(TH!M1254,2)="15"),TK!$E$7=TH!F1254),"x","")</f>
        <v/>
      </c>
      <c r="Z1254" s="39" t="str">
        <f>IF(AND(B1254&lt;=NKC!$N$8,B1254&gt;=NKC!$M$8),"x","")</f>
        <v>x</v>
      </c>
      <c r="AA1254" s="886"/>
    </row>
    <row r="1255" spans="1:27" s="211" customFormat="1" ht="15.75" customHeight="1">
      <c r="A1255" s="204" t="str">
        <f>IF(B1255&lt;&gt;"",IF(AND(B1255&gt;=_TM1,B1255&lt;=_TM2,OR(TH!L1255="1111",TH!M1255="1111")),TH!D1255,""),"")</f>
        <v/>
      </c>
      <c r="B1255" s="36">
        <f t="shared" si="230"/>
        <v>9</v>
      </c>
      <c r="C1255" s="191">
        <f t="shared" si="228"/>
        <v>41547</v>
      </c>
      <c r="D1255" s="37"/>
      <c r="E1255" s="37">
        <v>41547</v>
      </c>
      <c r="F1255" s="40"/>
      <c r="G1255" s="40" t="s">
        <v>953</v>
      </c>
      <c r="H1255" s="7" t="s">
        <v>1287</v>
      </c>
      <c r="I1255" s="256"/>
      <c r="J1255" s="256"/>
      <c r="K1255" s="602">
        <f t="shared" si="229"/>
        <v>0</v>
      </c>
      <c r="L1255" s="39" t="s">
        <v>165</v>
      </c>
      <c r="M1255" s="603" t="s">
        <v>159</v>
      </c>
      <c r="N1255" s="39" t="str">
        <f>IF(AND('331-CT'!$E$7=TH!H1255,OR(L1255="331",M1255="331")),"331",IF(AND(OR(L1255="131",M1255="131"),H1255='131-CT'!$E$7),"131",""))</f>
        <v/>
      </c>
      <c r="O1255" s="39" t="str">
        <f>IF(AND($B1255&gt;='111'!$N$11,$B1255&lt;='111'!$O$11,OR($L1255=$O$7,$M1255=$O$7)),"x","")</f>
        <v/>
      </c>
      <c r="P1255" s="39" t="str">
        <f>IF(AND($L1255=$O$7,$B1255&lt;'111'!$N$11),"x","")</f>
        <v/>
      </c>
      <c r="Q1255" s="39" t="str">
        <f>IF(AND($M1255=$O$7,$B1255&lt;'111'!$N$11),"x","")</f>
        <v/>
      </c>
      <c r="R1255" s="39" t="str">
        <f>IF(ISERROR(FIND('112'!$M$9,G1255,1)),"",IF((AND(FIND('112'!$M$9,G1255,1)&gt;=1,$B1255&gt;='112'!$N$8,$B1255&lt;='112'!$O$8,OR($L1255='112'!$I$6,$M1255='112'!$I$6))),"x",""))</f>
        <v/>
      </c>
      <c r="S1255" s="39" t="str">
        <f>IF(ISERROR(FIND('112'!$M$9,G1255,1)),"",IF((AND(LEFT(G1255,2)=LEFT('112'!$M$9,2),B1255&lt;'112'!$N$8,$L1255='112'!$I$6)),"x",""))</f>
        <v/>
      </c>
      <c r="T1255" s="39" t="str">
        <f>IF(ISERROR(FIND('112'!$M$9,G1255,1)),"",IF((AND(RIGHT(G1255,2)=RIGHT('112'!$M$9,2),B1255&lt;'112'!$N$8,$M1255='112'!$I$6)),"x",""))</f>
        <v/>
      </c>
      <c r="U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39" t="str">
        <f>IF(OR(TH!L1255=TH!$V$7,M1255=TH!$V$7),"x","")</f>
        <v/>
      </c>
      <c r="W1255" s="39" t="str">
        <f>IF(AND(B1255&gt;='IN-NX'!$P$3,B1255&lt;='IN-NX'!$Q$3,'IN-NX'!$D$7=D1255,OR(LEFT(L1255,2)="15",AND(LEFT(M1255,2)&lt;&gt;"15",LEFT(M1255,2)&lt;&gt;"33"))),"x","")</f>
        <v/>
      </c>
      <c r="X1255" s="39" t="str">
        <f>IF(AND(OR(LEFT(TH!L1255,2)="15",LEFT(TH!M1255,2)="15"),'152-CT'!$J$8=TH!F1255),"x","")</f>
        <v/>
      </c>
      <c r="Y1255" s="39" t="str">
        <f>IF(AND(OR(LEFT(TH!L1255,2)="15",LEFT(TH!M1255,2)="15"),TK!$E$7=TH!F1255),"x","")</f>
        <v/>
      </c>
      <c r="Z1255" s="39" t="str">
        <f>IF(AND(B1255&lt;=NKC!$N$8,B1255&gt;=NKC!$M$8),"x","")</f>
        <v>x</v>
      </c>
      <c r="AA1255" s="886"/>
    </row>
    <row r="1256" spans="1:27" s="211" customFormat="1" ht="15.75" customHeight="1">
      <c r="A1256" s="204" t="str">
        <f>IF(B1256&lt;&gt;"",IF(AND(B1256&gt;=_TM1,B1256&lt;=_TM2,OR(TH!L1256="1111",TH!M1256="1111")),TH!D1256,""),"")</f>
        <v/>
      </c>
      <c r="B1256" s="36">
        <f t="shared" si="230"/>
        <v>9</v>
      </c>
      <c r="C1256" s="191">
        <f t="shared" si="228"/>
        <v>41547</v>
      </c>
      <c r="D1256" s="37"/>
      <c r="E1256" s="37">
        <v>41547</v>
      </c>
      <c r="F1256" s="40"/>
      <c r="G1256" s="40" t="s">
        <v>953</v>
      </c>
      <c r="H1256" s="7" t="s">
        <v>1287</v>
      </c>
      <c r="I1256" s="256"/>
      <c r="J1256" s="256"/>
      <c r="K1256" s="602">
        <f t="shared" si="229"/>
        <v>0</v>
      </c>
      <c r="L1256" s="39" t="s">
        <v>165</v>
      </c>
      <c r="M1256" s="603" t="s">
        <v>159</v>
      </c>
      <c r="N1256" s="39" t="str">
        <f>IF(AND('331-CT'!$E$7=TH!H1256,OR(L1256="331",M1256="331")),"331",IF(AND(OR(L1256="131",M1256="131"),H1256='131-CT'!$E$7),"131",""))</f>
        <v/>
      </c>
      <c r="O1256" s="39" t="str">
        <f>IF(AND($B1256&gt;='111'!$N$11,$B1256&lt;='111'!$O$11,OR($L1256=$O$7,$M1256=$O$7)),"x","")</f>
        <v/>
      </c>
      <c r="P1256" s="39" t="str">
        <f>IF(AND($L1256=$O$7,$B1256&lt;'111'!$N$11),"x","")</f>
        <v/>
      </c>
      <c r="Q1256" s="39" t="str">
        <f>IF(AND($M1256=$O$7,$B1256&lt;'111'!$N$11),"x","")</f>
        <v/>
      </c>
      <c r="R1256" s="39" t="str">
        <f>IF(ISERROR(FIND('112'!$M$9,G1256,1)),"",IF((AND(FIND('112'!$M$9,G1256,1)&gt;=1,$B1256&gt;='112'!$N$8,$B1256&lt;='112'!$O$8,OR($L1256='112'!$I$6,$M1256='112'!$I$6))),"x",""))</f>
        <v/>
      </c>
      <c r="S1256" s="39" t="str">
        <f>IF(ISERROR(FIND('112'!$M$9,G1256,1)),"",IF((AND(LEFT(G1256,2)=LEFT('112'!$M$9,2),B1256&lt;'112'!$N$8,$L1256='112'!$I$6)),"x",""))</f>
        <v/>
      </c>
      <c r="T1256" s="39" t="str">
        <f>IF(ISERROR(FIND('112'!$M$9,G1256,1)),"",IF((AND(RIGHT(G1256,2)=RIGHT('112'!$M$9,2),B1256&lt;'112'!$N$8,$M1256='112'!$I$6)),"x",""))</f>
        <v/>
      </c>
      <c r="U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39" t="str">
        <f>IF(OR(TH!L1256=TH!$V$7,M1256=TH!$V$7),"x","")</f>
        <v/>
      </c>
      <c r="W1256" s="39" t="str">
        <f>IF(AND(B1256&gt;='IN-NX'!$P$3,B1256&lt;='IN-NX'!$Q$3,'IN-NX'!$D$7=D1256,OR(LEFT(L1256,2)="15",AND(LEFT(M1256,2)&lt;&gt;"15",LEFT(M1256,2)&lt;&gt;"33"))),"x","")</f>
        <v/>
      </c>
      <c r="X1256" s="39" t="str">
        <f>IF(AND(OR(LEFT(TH!L1256,2)="15",LEFT(TH!M1256,2)="15"),'152-CT'!$J$8=TH!F1256),"x","")</f>
        <v/>
      </c>
      <c r="Y1256" s="39" t="str">
        <f>IF(AND(OR(LEFT(TH!L1256,2)="15",LEFT(TH!M1256,2)="15"),TK!$E$7=TH!F1256),"x","")</f>
        <v/>
      </c>
      <c r="Z1256" s="39" t="str">
        <f>IF(AND(B1256&lt;=NKC!$N$8,B1256&gt;=NKC!$M$8),"x","")</f>
        <v>x</v>
      </c>
      <c r="AA1256" s="886"/>
    </row>
    <row r="1257" spans="1:27" s="211" customFormat="1" ht="15.75" customHeight="1">
      <c r="A1257" s="204" t="str">
        <f>IF(B1257&lt;&gt;"",IF(AND(B1257&gt;=_TM1,B1257&lt;=_TM2,OR(TH!L1257="1111",TH!M1257="1111")),TH!D1257,""),"")</f>
        <v/>
      </c>
      <c r="B1257" s="36">
        <f t="shared" si="230"/>
        <v>10</v>
      </c>
      <c r="C1257" s="191">
        <f t="shared" si="228"/>
        <v>41549</v>
      </c>
      <c r="D1257" s="37"/>
      <c r="E1257" s="37">
        <v>41549</v>
      </c>
      <c r="F1257" s="40"/>
      <c r="G1257" s="40" t="s">
        <v>955</v>
      </c>
      <c r="H1257" s="7" t="s">
        <v>1287</v>
      </c>
      <c r="I1257" s="256"/>
      <c r="J1257" s="256"/>
      <c r="K1257" s="602">
        <f t="shared" si="229"/>
        <v>0</v>
      </c>
      <c r="L1257" s="39" t="s">
        <v>165</v>
      </c>
      <c r="M1257" s="603" t="s">
        <v>159</v>
      </c>
      <c r="N1257" s="39" t="str">
        <f>IF(AND('331-CT'!$E$7=TH!H1257,OR(L1257="331",M1257="331")),"331",IF(AND(OR(L1257="131",M1257="131"),H1257='131-CT'!$E$7),"131",""))</f>
        <v/>
      </c>
      <c r="O1257" s="39" t="str">
        <f>IF(AND($B1257&gt;='111'!$N$11,$B1257&lt;='111'!$O$11,OR($L1257=$O$7,$M1257=$O$7)),"x","")</f>
        <v/>
      </c>
      <c r="P1257" s="39" t="str">
        <f>IF(AND($L1257=$O$7,$B1257&lt;'111'!$N$11),"x","")</f>
        <v/>
      </c>
      <c r="Q1257" s="39" t="str">
        <f>IF(AND($M1257=$O$7,$B1257&lt;'111'!$N$11),"x","")</f>
        <v/>
      </c>
      <c r="R1257" s="39" t="str">
        <f>IF(ISERROR(FIND('112'!$M$9,G1257,1)),"",IF((AND(FIND('112'!$M$9,G1257,1)&gt;=1,$B1257&gt;='112'!$N$8,$B1257&lt;='112'!$O$8,OR($L1257='112'!$I$6,$M1257='112'!$I$6))),"x",""))</f>
        <v/>
      </c>
      <c r="S1257" s="39" t="str">
        <f>IF(ISERROR(FIND('112'!$M$9,G1257,1)),"",IF((AND(LEFT(G1257,2)=LEFT('112'!$M$9,2),B1257&lt;'112'!$N$8,$L1257='112'!$I$6)),"x",""))</f>
        <v/>
      </c>
      <c r="T1257" s="39" t="str">
        <f>IF(ISERROR(FIND('112'!$M$9,G1257,1)),"",IF((AND(RIGHT(G1257,2)=RIGHT('112'!$M$9,2),B1257&lt;'112'!$N$8,$M1257='112'!$I$6)),"x",""))</f>
        <v/>
      </c>
      <c r="U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39" t="str">
        <f>IF(OR(TH!L1257=TH!$V$7,M1257=TH!$V$7),"x","")</f>
        <v/>
      </c>
      <c r="W1257" s="39" t="str">
        <f>IF(AND(B1257&gt;='IN-NX'!$P$3,B1257&lt;='IN-NX'!$Q$3,'IN-NX'!$D$7=D1257,OR(LEFT(L1257,2)="15",AND(LEFT(M1257,2)&lt;&gt;"15",LEFT(M1257,2)&lt;&gt;"33"))),"x","")</f>
        <v/>
      </c>
      <c r="X1257" s="39" t="str">
        <f>IF(AND(OR(LEFT(TH!L1257,2)="15",LEFT(TH!M1257,2)="15"),'152-CT'!$J$8=TH!F1257),"x","")</f>
        <v/>
      </c>
      <c r="Y1257" s="39" t="str">
        <f>IF(AND(OR(LEFT(TH!L1257,2)="15",LEFT(TH!M1257,2)="15"),TK!$E$7=TH!F1257),"x","")</f>
        <v/>
      </c>
      <c r="Z1257" s="39" t="str">
        <f>IF(AND(B1257&lt;=NKC!$N$8,B1257&gt;=NKC!$M$8),"x","")</f>
        <v/>
      </c>
      <c r="AA1257" s="886"/>
    </row>
    <row r="1258" spans="1:27" s="211" customFormat="1" ht="15.75" customHeight="1">
      <c r="A1258" s="204" t="str">
        <f>IF(B1258&lt;&gt;"",IF(AND(B1258&gt;=_TM1,B1258&lt;=_TM2,OR(TH!L1258="1111",TH!M1258="1111")),TH!D1258,""),"")</f>
        <v/>
      </c>
      <c r="B1258" s="36">
        <f t="shared" si="230"/>
        <v>10</v>
      </c>
      <c r="C1258" s="191">
        <f t="shared" si="228"/>
        <v>41549</v>
      </c>
      <c r="D1258" s="37"/>
      <c r="E1258" s="37">
        <v>41549</v>
      </c>
      <c r="F1258" s="40"/>
      <c r="G1258" s="40" t="s">
        <v>955</v>
      </c>
      <c r="H1258" s="7" t="s">
        <v>1287</v>
      </c>
      <c r="I1258" s="256"/>
      <c r="J1258" s="256"/>
      <c r="K1258" s="602">
        <f t="shared" si="229"/>
        <v>0</v>
      </c>
      <c r="L1258" s="39" t="s">
        <v>165</v>
      </c>
      <c r="M1258" s="603" t="s">
        <v>159</v>
      </c>
      <c r="N1258" s="39" t="str">
        <f>IF(AND('331-CT'!$E$7=TH!H1258,OR(L1258="331",M1258="331")),"331",IF(AND(OR(L1258="131",M1258="131"),H1258='131-CT'!$E$7),"131",""))</f>
        <v/>
      </c>
      <c r="O1258" s="39" t="str">
        <f>IF(AND($B1258&gt;='111'!$N$11,$B1258&lt;='111'!$O$11,OR($L1258=$O$7,$M1258=$O$7)),"x","")</f>
        <v/>
      </c>
      <c r="P1258" s="39" t="str">
        <f>IF(AND($L1258=$O$7,$B1258&lt;'111'!$N$11),"x","")</f>
        <v/>
      </c>
      <c r="Q1258" s="39" t="str">
        <f>IF(AND($M1258=$O$7,$B1258&lt;'111'!$N$11),"x","")</f>
        <v/>
      </c>
      <c r="R1258" s="39" t="str">
        <f>IF(ISERROR(FIND('112'!$M$9,G1258,1)),"",IF((AND(FIND('112'!$M$9,G1258,1)&gt;=1,$B1258&gt;='112'!$N$8,$B1258&lt;='112'!$O$8,OR($L1258='112'!$I$6,$M1258='112'!$I$6))),"x",""))</f>
        <v/>
      </c>
      <c r="S1258" s="39" t="str">
        <f>IF(ISERROR(FIND('112'!$M$9,G1258,1)),"",IF((AND(LEFT(G1258,2)=LEFT('112'!$M$9,2),B1258&lt;'112'!$N$8,$L1258='112'!$I$6)),"x",""))</f>
        <v/>
      </c>
      <c r="T1258" s="39" t="str">
        <f>IF(ISERROR(FIND('112'!$M$9,G1258,1)),"",IF((AND(RIGHT(G1258,2)=RIGHT('112'!$M$9,2),B1258&lt;'112'!$N$8,$M1258='112'!$I$6)),"x",""))</f>
        <v/>
      </c>
      <c r="U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39" t="str">
        <f>IF(OR(TH!L1258=TH!$V$7,M1258=TH!$V$7),"x","")</f>
        <v/>
      </c>
      <c r="W1258" s="39" t="str">
        <f>IF(AND(B1258&gt;='IN-NX'!$P$3,B1258&lt;='IN-NX'!$Q$3,'IN-NX'!$D$7=D1258,OR(LEFT(L1258,2)="15",AND(LEFT(M1258,2)&lt;&gt;"15",LEFT(M1258,2)&lt;&gt;"33"))),"x","")</f>
        <v/>
      </c>
      <c r="X1258" s="39" t="str">
        <f>IF(AND(OR(LEFT(TH!L1258,2)="15",LEFT(TH!M1258,2)="15"),'152-CT'!$J$8=TH!F1258),"x","")</f>
        <v/>
      </c>
      <c r="Y1258" s="39" t="str">
        <f>IF(AND(OR(LEFT(TH!L1258,2)="15",LEFT(TH!M1258,2)="15"),TK!$E$7=TH!F1258),"x","")</f>
        <v/>
      </c>
      <c r="Z1258" s="39" t="str">
        <f>IF(AND(B1258&lt;=NKC!$N$8,B1258&gt;=NKC!$M$8),"x","")</f>
        <v/>
      </c>
      <c r="AA1258" s="886"/>
    </row>
    <row r="1259" spans="1:27" s="211" customFormat="1" ht="15.75" customHeight="1">
      <c r="A1259" s="204" t="str">
        <f>IF(B1259&lt;&gt;"",IF(AND(B1259&gt;=_TM1,B1259&lt;=_TM2,OR(TH!L1259="1111",TH!M1259="1111")),TH!D1259,""),"")</f>
        <v/>
      </c>
      <c r="B1259" s="36">
        <f t="shared" si="230"/>
        <v>10</v>
      </c>
      <c r="C1259" s="191">
        <f t="shared" si="228"/>
        <v>41549</v>
      </c>
      <c r="D1259" s="37"/>
      <c r="E1259" s="37">
        <v>41549</v>
      </c>
      <c r="F1259" s="40"/>
      <c r="G1259" s="40" t="s">
        <v>956</v>
      </c>
      <c r="H1259" s="7" t="s">
        <v>1287</v>
      </c>
      <c r="I1259" s="256"/>
      <c r="J1259" s="256"/>
      <c r="K1259" s="602">
        <f t="shared" si="229"/>
        <v>0</v>
      </c>
      <c r="L1259" s="39" t="s">
        <v>165</v>
      </c>
      <c r="M1259" s="603" t="s">
        <v>159</v>
      </c>
      <c r="N1259" s="39" t="str">
        <f>IF(AND('331-CT'!$E$7=TH!H1259,OR(L1259="331",M1259="331")),"331",IF(AND(OR(L1259="131",M1259="131"),H1259='131-CT'!$E$7),"131",""))</f>
        <v/>
      </c>
      <c r="O1259" s="39" t="str">
        <f>IF(AND($B1259&gt;='111'!$N$11,$B1259&lt;='111'!$O$11,OR($L1259=$O$7,$M1259=$O$7)),"x","")</f>
        <v/>
      </c>
      <c r="P1259" s="39" t="str">
        <f>IF(AND($L1259=$O$7,$B1259&lt;'111'!$N$11),"x","")</f>
        <v/>
      </c>
      <c r="Q1259" s="39" t="str">
        <f>IF(AND($M1259=$O$7,$B1259&lt;'111'!$N$11),"x","")</f>
        <v/>
      </c>
      <c r="R1259" s="39" t="str">
        <f>IF(ISERROR(FIND('112'!$M$9,G1259,1)),"",IF((AND(FIND('112'!$M$9,G1259,1)&gt;=1,$B1259&gt;='112'!$N$8,$B1259&lt;='112'!$O$8,OR($L1259='112'!$I$6,$M1259='112'!$I$6))),"x",""))</f>
        <v/>
      </c>
      <c r="S1259" s="39" t="str">
        <f>IF(ISERROR(FIND('112'!$M$9,G1259,1)),"",IF((AND(LEFT(G1259,2)=LEFT('112'!$M$9,2),B1259&lt;'112'!$N$8,$L1259='112'!$I$6)),"x",""))</f>
        <v/>
      </c>
      <c r="T1259" s="39" t="str">
        <f>IF(ISERROR(FIND('112'!$M$9,G1259,1)),"",IF((AND(RIGHT(G1259,2)=RIGHT('112'!$M$9,2),B1259&lt;'112'!$N$8,$M1259='112'!$I$6)),"x",""))</f>
        <v/>
      </c>
      <c r="U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39" t="str">
        <f>IF(OR(TH!L1259=TH!$V$7,M1259=TH!$V$7),"x","")</f>
        <v/>
      </c>
      <c r="W1259" s="39" t="str">
        <f>IF(AND(B1259&gt;='IN-NX'!$P$3,B1259&lt;='IN-NX'!$Q$3,'IN-NX'!$D$7=D1259,OR(LEFT(L1259,2)="15",AND(LEFT(M1259,2)&lt;&gt;"15",LEFT(M1259,2)&lt;&gt;"33"))),"x","")</f>
        <v/>
      </c>
      <c r="X1259" s="39" t="str">
        <f>IF(AND(OR(LEFT(TH!L1259,2)="15",LEFT(TH!M1259,2)="15"),'152-CT'!$J$8=TH!F1259),"x","")</f>
        <v/>
      </c>
      <c r="Y1259" s="39" t="str">
        <f>IF(AND(OR(LEFT(TH!L1259,2)="15",LEFT(TH!M1259,2)="15"),TK!$E$7=TH!F1259),"x","")</f>
        <v/>
      </c>
      <c r="Z1259" s="39" t="str">
        <f>IF(AND(B1259&lt;=NKC!$N$8,B1259&gt;=NKC!$M$8),"x","")</f>
        <v/>
      </c>
      <c r="AA1259" s="886"/>
    </row>
    <row r="1260" spans="1:27" s="211" customFormat="1" ht="15.75" customHeight="1">
      <c r="A1260" s="204" t="str">
        <f>IF(B1260&lt;&gt;"",IF(AND(B1260&gt;=_TM1,B1260&lt;=_TM2,OR(TH!L1260="1111",TH!M1260="1111")),TH!D1260,""),"")</f>
        <v/>
      </c>
      <c r="B1260" s="36">
        <f t="shared" si="230"/>
        <v>10</v>
      </c>
      <c r="C1260" s="191">
        <f t="shared" si="228"/>
        <v>41552</v>
      </c>
      <c r="D1260" s="37"/>
      <c r="E1260" s="37">
        <v>41552</v>
      </c>
      <c r="F1260" s="192"/>
      <c r="G1260" s="40" t="s">
        <v>957</v>
      </c>
      <c r="H1260" s="7" t="s">
        <v>1287</v>
      </c>
      <c r="I1260" s="256"/>
      <c r="J1260" s="256"/>
      <c r="K1260" s="602">
        <f t="shared" si="229"/>
        <v>0</v>
      </c>
      <c r="L1260" s="39" t="s">
        <v>165</v>
      </c>
      <c r="M1260" s="603" t="s">
        <v>159</v>
      </c>
      <c r="N1260" s="39" t="str">
        <f>IF(AND('331-CT'!$E$7=TH!H1260,OR(L1260="331",M1260="331")),"331",IF(AND(OR(L1260="131",M1260="131"),H1260='131-CT'!$E$7),"131",""))</f>
        <v/>
      </c>
      <c r="O1260" s="39" t="str">
        <f>IF(AND($B1260&gt;='111'!$N$11,$B1260&lt;='111'!$O$11,OR($L1260=$O$7,$M1260=$O$7)),"x","")</f>
        <v/>
      </c>
      <c r="P1260" s="39" t="str">
        <f>IF(AND($L1260=$O$7,$B1260&lt;'111'!$N$11),"x","")</f>
        <v/>
      </c>
      <c r="Q1260" s="39" t="str">
        <f>IF(AND($M1260=$O$7,$B1260&lt;'111'!$N$11),"x","")</f>
        <v/>
      </c>
      <c r="R1260" s="39" t="str">
        <f>IF(ISERROR(FIND('112'!$M$9,G1260,1)),"",IF((AND(FIND('112'!$M$9,G1260,1)&gt;=1,$B1260&gt;='112'!$N$8,$B1260&lt;='112'!$O$8,OR($L1260='112'!$I$6,$M1260='112'!$I$6))),"x",""))</f>
        <v/>
      </c>
      <c r="S1260" s="39" t="str">
        <f>IF(ISERROR(FIND('112'!$M$9,G1260,1)),"",IF((AND(LEFT(G1260,2)=LEFT('112'!$M$9,2),B1260&lt;'112'!$N$8,$L1260='112'!$I$6)),"x",""))</f>
        <v/>
      </c>
      <c r="T1260" s="39" t="str">
        <f>IF(ISERROR(FIND('112'!$M$9,G1260,1)),"",IF((AND(RIGHT(G1260,2)=RIGHT('112'!$M$9,2),B1260&lt;'112'!$N$8,$M1260='112'!$I$6)),"x",""))</f>
        <v/>
      </c>
      <c r="U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39" t="str">
        <f>IF(OR(TH!L1260=TH!$V$7,M1260=TH!$V$7),"x","")</f>
        <v/>
      </c>
      <c r="W1260" s="39" t="str">
        <f>IF(AND(B1260&gt;='IN-NX'!$P$3,B1260&lt;='IN-NX'!$Q$3,'IN-NX'!$D$7=D1260,OR(LEFT(L1260,2)="15",AND(LEFT(M1260,2)&lt;&gt;"15",LEFT(M1260,2)&lt;&gt;"33"))),"x","")</f>
        <v/>
      </c>
      <c r="X1260" s="39" t="str">
        <f>IF(AND(OR(LEFT(TH!L1260,2)="15",LEFT(TH!M1260,2)="15"),'152-CT'!$J$8=TH!F1260),"x","")</f>
        <v/>
      </c>
      <c r="Y1260" s="39" t="str">
        <f>IF(AND(OR(LEFT(TH!L1260,2)="15",LEFT(TH!M1260,2)="15"),TK!$E$7=TH!F1260),"x","")</f>
        <v/>
      </c>
      <c r="Z1260" s="39" t="str">
        <f>IF(AND(B1260&lt;=NKC!$N$8,B1260&gt;=NKC!$M$8),"x","")</f>
        <v/>
      </c>
      <c r="AA1260" s="886"/>
    </row>
    <row r="1261" spans="1:27" s="211" customFormat="1" ht="15.75" customHeight="1">
      <c r="A1261" s="204" t="str">
        <f>IF(B1261&lt;&gt;"",IF(AND(B1261&gt;=_TM1,B1261&lt;=_TM2,OR(TH!L1261="1111",TH!M1261="1111")),TH!D1261,""),"")</f>
        <v/>
      </c>
      <c r="B1261" s="36">
        <f t="shared" si="230"/>
        <v>10</v>
      </c>
      <c r="C1261" s="191">
        <f t="shared" si="228"/>
        <v>41554</v>
      </c>
      <c r="D1261" s="37"/>
      <c r="E1261" s="37">
        <v>41554</v>
      </c>
      <c r="F1261" s="192"/>
      <c r="G1261" s="40" t="s">
        <v>958</v>
      </c>
      <c r="H1261" s="7" t="s">
        <v>1287</v>
      </c>
      <c r="I1261" s="256"/>
      <c r="J1261" s="256"/>
      <c r="K1261" s="602">
        <f t="shared" si="229"/>
        <v>0</v>
      </c>
      <c r="L1261" s="39" t="s">
        <v>165</v>
      </c>
      <c r="M1261" s="603" t="s">
        <v>159</v>
      </c>
      <c r="N1261" s="39" t="str">
        <f>IF(AND('331-CT'!$E$7=TH!H1261,OR(L1261="331",M1261="331")),"331",IF(AND(OR(L1261="131",M1261="131"),H1261='131-CT'!$E$7),"131",""))</f>
        <v/>
      </c>
      <c r="O1261" s="39" t="str">
        <f>IF(AND($B1261&gt;='111'!$N$11,$B1261&lt;='111'!$O$11,OR($L1261=$O$7,$M1261=$O$7)),"x","")</f>
        <v/>
      </c>
      <c r="P1261" s="39" t="str">
        <f>IF(AND($L1261=$O$7,$B1261&lt;'111'!$N$11),"x","")</f>
        <v/>
      </c>
      <c r="Q1261" s="39" t="str">
        <f>IF(AND($M1261=$O$7,$B1261&lt;'111'!$N$11),"x","")</f>
        <v/>
      </c>
      <c r="R1261" s="39" t="str">
        <f>IF(ISERROR(FIND('112'!$M$9,G1261,1)),"",IF((AND(FIND('112'!$M$9,G1261,1)&gt;=1,$B1261&gt;='112'!$N$8,$B1261&lt;='112'!$O$8,OR($L1261='112'!$I$6,$M1261='112'!$I$6))),"x",""))</f>
        <v/>
      </c>
      <c r="S1261" s="39" t="str">
        <f>IF(ISERROR(FIND('112'!$M$9,G1261,1)),"",IF((AND(LEFT(G1261,2)=LEFT('112'!$M$9,2),B1261&lt;'112'!$N$8,$L1261='112'!$I$6)),"x",""))</f>
        <v/>
      </c>
      <c r="T1261" s="39" t="str">
        <f>IF(ISERROR(FIND('112'!$M$9,G1261,1)),"",IF((AND(RIGHT(G1261,2)=RIGHT('112'!$M$9,2),B1261&lt;'112'!$N$8,$M1261='112'!$I$6)),"x",""))</f>
        <v/>
      </c>
      <c r="U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39" t="str">
        <f>IF(OR(TH!L1261=TH!$V$7,M1261=TH!$V$7),"x","")</f>
        <v/>
      </c>
      <c r="W1261" s="39" t="str">
        <f>IF(AND(B1261&gt;='IN-NX'!$P$3,B1261&lt;='IN-NX'!$Q$3,'IN-NX'!$D$7=D1261,OR(LEFT(L1261,2)="15",AND(LEFT(M1261,2)&lt;&gt;"15",LEFT(M1261,2)&lt;&gt;"33"))),"x","")</f>
        <v/>
      </c>
      <c r="X1261" s="39" t="str">
        <f>IF(AND(OR(LEFT(TH!L1261,2)="15",LEFT(TH!M1261,2)="15"),'152-CT'!$J$8=TH!F1261),"x","")</f>
        <v/>
      </c>
      <c r="Y1261" s="39" t="str">
        <f>IF(AND(OR(LEFT(TH!L1261,2)="15",LEFT(TH!M1261,2)="15"),TK!$E$7=TH!F1261),"x","")</f>
        <v/>
      </c>
      <c r="Z1261" s="39" t="str">
        <f>IF(AND(B1261&lt;=NKC!$N$8,B1261&gt;=NKC!$M$8),"x","")</f>
        <v/>
      </c>
      <c r="AA1261" s="886"/>
    </row>
    <row r="1262" spans="1:27" s="211" customFormat="1" ht="15.75" customHeight="1">
      <c r="A1262" s="204" t="str">
        <f>IF(B1262&lt;&gt;"",IF(AND(B1262&gt;=_TM1,B1262&lt;=_TM2,OR(TH!L1262="1111",TH!M1262="1111")),TH!D1262,""),"")</f>
        <v/>
      </c>
      <c r="B1262" s="36">
        <f t="shared" si="230"/>
        <v>10</v>
      </c>
      <c r="C1262" s="191">
        <f t="shared" si="228"/>
        <v>41560</v>
      </c>
      <c r="D1262" s="37"/>
      <c r="E1262" s="37">
        <v>41560</v>
      </c>
      <c r="F1262" s="40"/>
      <c r="G1262" s="40" t="s">
        <v>959</v>
      </c>
      <c r="H1262" s="7" t="s">
        <v>1287</v>
      </c>
      <c r="I1262" s="256"/>
      <c r="J1262" s="256"/>
      <c r="K1262" s="602">
        <f t="shared" si="229"/>
        <v>0</v>
      </c>
      <c r="L1262" s="39" t="s">
        <v>165</v>
      </c>
      <c r="M1262" s="603" t="s">
        <v>159</v>
      </c>
      <c r="N1262" s="39" t="str">
        <f>IF(AND('331-CT'!$E$7=TH!H1262,OR(L1262="331",M1262="331")),"331",IF(AND(OR(L1262="131",M1262="131"),H1262='131-CT'!$E$7),"131",""))</f>
        <v/>
      </c>
      <c r="O1262" s="39" t="str">
        <f>IF(AND($B1262&gt;='111'!$N$11,$B1262&lt;='111'!$O$11,OR($L1262=$O$7,$M1262=$O$7)),"x","")</f>
        <v/>
      </c>
      <c r="P1262" s="39" t="str">
        <f>IF(AND($L1262=$O$7,$B1262&lt;'111'!$N$11),"x","")</f>
        <v/>
      </c>
      <c r="Q1262" s="39" t="str">
        <f>IF(AND($M1262=$O$7,$B1262&lt;'111'!$N$11),"x","")</f>
        <v/>
      </c>
      <c r="R1262" s="39" t="str">
        <f>IF(ISERROR(FIND('112'!$M$9,G1262,1)),"",IF((AND(FIND('112'!$M$9,G1262,1)&gt;=1,$B1262&gt;='112'!$N$8,$B1262&lt;='112'!$O$8,OR($L1262='112'!$I$6,$M1262='112'!$I$6))),"x",""))</f>
        <v/>
      </c>
      <c r="S1262" s="39" t="str">
        <f>IF(ISERROR(FIND('112'!$M$9,G1262,1)),"",IF((AND(LEFT(G1262,2)=LEFT('112'!$M$9,2),B1262&lt;'112'!$N$8,$L1262='112'!$I$6)),"x",""))</f>
        <v/>
      </c>
      <c r="T1262" s="39" t="str">
        <f>IF(ISERROR(FIND('112'!$M$9,G1262,1)),"",IF((AND(RIGHT(G1262,2)=RIGHT('112'!$M$9,2),B1262&lt;'112'!$N$8,$M1262='112'!$I$6)),"x",""))</f>
        <v/>
      </c>
      <c r="U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39" t="str">
        <f>IF(OR(TH!L1262=TH!$V$7,M1262=TH!$V$7),"x","")</f>
        <v/>
      </c>
      <c r="W1262" s="39" t="str">
        <f>IF(AND(B1262&gt;='IN-NX'!$P$3,B1262&lt;='IN-NX'!$Q$3,'IN-NX'!$D$7=D1262,OR(LEFT(L1262,2)="15",AND(LEFT(M1262,2)&lt;&gt;"15",LEFT(M1262,2)&lt;&gt;"33"))),"x","")</f>
        <v/>
      </c>
      <c r="X1262" s="39" t="str">
        <f>IF(AND(OR(LEFT(TH!L1262,2)="15",LEFT(TH!M1262,2)="15"),'152-CT'!$J$8=TH!F1262),"x","")</f>
        <v/>
      </c>
      <c r="Y1262" s="39" t="str">
        <f>IF(AND(OR(LEFT(TH!L1262,2)="15",LEFT(TH!M1262,2)="15"),TK!$E$7=TH!F1262),"x","")</f>
        <v/>
      </c>
      <c r="Z1262" s="39" t="str">
        <f>IF(AND(B1262&lt;=NKC!$N$8,B1262&gt;=NKC!$M$8),"x","")</f>
        <v/>
      </c>
      <c r="AA1262" s="886"/>
    </row>
    <row r="1263" spans="1:27" s="211" customFormat="1" ht="15.75" customHeight="1">
      <c r="A1263" s="204" t="str">
        <f>IF(B1263&lt;&gt;"",IF(AND(B1263&gt;=_TM1,B1263&lt;=_TM2,OR(TH!L1263="1111",TH!M1263="1111")),TH!D1263,""),"")</f>
        <v/>
      </c>
      <c r="B1263" s="36">
        <f t="shared" si="230"/>
        <v>10</v>
      </c>
      <c r="C1263" s="191">
        <f t="shared" si="228"/>
        <v>41560</v>
      </c>
      <c r="D1263" s="37"/>
      <c r="E1263" s="37">
        <v>41560</v>
      </c>
      <c r="F1263" s="40"/>
      <c r="G1263" s="40" t="s">
        <v>960</v>
      </c>
      <c r="H1263" s="7" t="s">
        <v>1287</v>
      </c>
      <c r="I1263" s="256"/>
      <c r="J1263" s="256"/>
      <c r="K1263" s="602">
        <f t="shared" si="229"/>
        <v>0</v>
      </c>
      <c r="L1263" s="39" t="s">
        <v>165</v>
      </c>
      <c r="M1263" s="603" t="s">
        <v>159</v>
      </c>
      <c r="N1263" s="39" t="str">
        <f>IF(AND('331-CT'!$E$7=TH!H1263,OR(L1263="331",M1263="331")),"331",IF(AND(OR(L1263="131",M1263="131"),H1263='131-CT'!$E$7),"131",""))</f>
        <v/>
      </c>
      <c r="O1263" s="39" t="str">
        <f>IF(AND($B1263&gt;='111'!$N$11,$B1263&lt;='111'!$O$11,OR($L1263=$O$7,$M1263=$O$7)),"x","")</f>
        <v/>
      </c>
      <c r="P1263" s="39" t="str">
        <f>IF(AND($L1263=$O$7,$B1263&lt;'111'!$N$11),"x","")</f>
        <v/>
      </c>
      <c r="Q1263" s="39" t="str">
        <f>IF(AND($M1263=$O$7,$B1263&lt;'111'!$N$11),"x","")</f>
        <v/>
      </c>
      <c r="R1263" s="39" t="str">
        <f>IF(ISERROR(FIND('112'!$M$9,G1263,1)),"",IF((AND(FIND('112'!$M$9,G1263,1)&gt;=1,$B1263&gt;='112'!$N$8,$B1263&lt;='112'!$O$8,OR($L1263='112'!$I$6,$M1263='112'!$I$6))),"x",""))</f>
        <v/>
      </c>
      <c r="S1263" s="39" t="str">
        <f>IF(ISERROR(FIND('112'!$M$9,G1263,1)),"",IF((AND(LEFT(G1263,2)=LEFT('112'!$M$9,2),B1263&lt;'112'!$N$8,$L1263='112'!$I$6)),"x",""))</f>
        <v/>
      </c>
      <c r="T1263" s="39" t="str">
        <f>IF(ISERROR(FIND('112'!$M$9,G1263,1)),"",IF((AND(RIGHT(G1263,2)=RIGHT('112'!$M$9,2),B1263&lt;'112'!$N$8,$M1263='112'!$I$6)),"x",""))</f>
        <v/>
      </c>
      <c r="U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39" t="str">
        <f>IF(OR(TH!L1263=TH!$V$7,M1263=TH!$V$7),"x","")</f>
        <v/>
      </c>
      <c r="W1263" s="39" t="str">
        <f>IF(AND(B1263&gt;='IN-NX'!$P$3,B1263&lt;='IN-NX'!$Q$3,'IN-NX'!$D$7=D1263,OR(LEFT(L1263,2)="15",AND(LEFT(M1263,2)&lt;&gt;"15",LEFT(M1263,2)&lt;&gt;"33"))),"x","")</f>
        <v/>
      </c>
      <c r="X1263" s="39" t="str">
        <f>IF(AND(OR(LEFT(TH!L1263,2)="15",LEFT(TH!M1263,2)="15"),'152-CT'!$J$8=TH!F1263),"x","")</f>
        <v/>
      </c>
      <c r="Y1263" s="39" t="str">
        <f>IF(AND(OR(LEFT(TH!L1263,2)="15",LEFT(TH!M1263,2)="15"),TK!$E$7=TH!F1263),"x","")</f>
        <v/>
      </c>
      <c r="Z1263" s="39" t="str">
        <f>IF(AND(B1263&lt;=NKC!$N$8,B1263&gt;=NKC!$M$8),"x","")</f>
        <v/>
      </c>
      <c r="AA1263" s="886"/>
    </row>
    <row r="1264" spans="1:27" s="211" customFormat="1" ht="15.75" customHeight="1">
      <c r="A1264" s="204" t="str">
        <f>IF(B1264&lt;&gt;"",IF(AND(B1264&gt;=_TM1,B1264&lt;=_TM2,OR(TH!L1264="1111",TH!M1264="1111")),TH!D1264,""),"")</f>
        <v/>
      </c>
      <c r="B1264" s="36">
        <f t="shared" si="230"/>
        <v>10</v>
      </c>
      <c r="C1264" s="191">
        <f t="shared" si="228"/>
        <v>41560</v>
      </c>
      <c r="D1264" s="37"/>
      <c r="E1264" s="37">
        <v>41560</v>
      </c>
      <c r="F1264" s="40"/>
      <c r="G1264" s="40" t="s">
        <v>961</v>
      </c>
      <c r="H1264" s="7" t="s">
        <v>1287</v>
      </c>
      <c r="I1264" s="256"/>
      <c r="J1264" s="256"/>
      <c r="K1264" s="602">
        <f t="shared" si="229"/>
        <v>0</v>
      </c>
      <c r="L1264" s="39" t="s">
        <v>165</v>
      </c>
      <c r="M1264" s="603" t="s">
        <v>159</v>
      </c>
      <c r="N1264" s="39" t="str">
        <f>IF(AND('331-CT'!$E$7=TH!H1264,OR(L1264="331",M1264="331")),"331",IF(AND(OR(L1264="131",M1264="131"),H1264='131-CT'!$E$7),"131",""))</f>
        <v/>
      </c>
      <c r="O1264" s="39" t="str">
        <f>IF(AND($B1264&gt;='111'!$N$11,$B1264&lt;='111'!$O$11,OR($L1264=$O$7,$M1264=$O$7)),"x","")</f>
        <v/>
      </c>
      <c r="P1264" s="39" t="str">
        <f>IF(AND($L1264=$O$7,$B1264&lt;'111'!$N$11),"x","")</f>
        <v/>
      </c>
      <c r="Q1264" s="39" t="str">
        <f>IF(AND($M1264=$O$7,$B1264&lt;'111'!$N$11),"x","")</f>
        <v/>
      </c>
      <c r="R1264" s="39" t="str">
        <f>IF(ISERROR(FIND('112'!$M$9,G1264,1)),"",IF((AND(FIND('112'!$M$9,G1264,1)&gt;=1,$B1264&gt;='112'!$N$8,$B1264&lt;='112'!$O$8,OR($L1264='112'!$I$6,$M1264='112'!$I$6))),"x",""))</f>
        <v/>
      </c>
      <c r="S1264" s="39" t="str">
        <f>IF(ISERROR(FIND('112'!$M$9,G1264,1)),"",IF((AND(LEFT(G1264,2)=LEFT('112'!$M$9,2),B1264&lt;'112'!$N$8,$L1264='112'!$I$6)),"x",""))</f>
        <v/>
      </c>
      <c r="T1264" s="39" t="str">
        <f>IF(ISERROR(FIND('112'!$M$9,G1264,1)),"",IF((AND(RIGHT(G1264,2)=RIGHT('112'!$M$9,2),B1264&lt;'112'!$N$8,$M1264='112'!$I$6)),"x",""))</f>
        <v/>
      </c>
      <c r="U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39" t="str">
        <f>IF(OR(TH!L1264=TH!$V$7,M1264=TH!$V$7),"x","")</f>
        <v/>
      </c>
      <c r="W1264" s="39" t="str">
        <f>IF(AND(B1264&gt;='IN-NX'!$P$3,B1264&lt;='IN-NX'!$Q$3,'IN-NX'!$D$7=D1264,OR(LEFT(L1264,2)="15",AND(LEFT(M1264,2)&lt;&gt;"15",LEFT(M1264,2)&lt;&gt;"33"))),"x","")</f>
        <v/>
      </c>
      <c r="X1264" s="39" t="str">
        <f>IF(AND(OR(LEFT(TH!L1264,2)="15",LEFT(TH!M1264,2)="15"),'152-CT'!$J$8=TH!F1264),"x","")</f>
        <v/>
      </c>
      <c r="Y1264" s="39" t="str">
        <f>IF(AND(OR(LEFT(TH!L1264,2)="15",LEFT(TH!M1264,2)="15"),TK!$E$7=TH!F1264),"x","")</f>
        <v/>
      </c>
      <c r="Z1264" s="39" t="str">
        <f>IF(AND(B1264&lt;=NKC!$N$8,B1264&gt;=NKC!$M$8),"x","")</f>
        <v/>
      </c>
      <c r="AA1264" s="886"/>
    </row>
    <row r="1265" spans="1:27" s="211" customFormat="1" ht="15.75" customHeight="1">
      <c r="A1265" s="204" t="str">
        <f>IF(B1265&lt;&gt;"",IF(AND(B1265&gt;=_TM1,B1265&lt;=_TM2,OR(TH!L1265="1111",TH!M1265="1111")),TH!D1265,""),"")</f>
        <v/>
      </c>
      <c r="B1265" s="36">
        <f t="shared" si="230"/>
        <v>10</v>
      </c>
      <c r="C1265" s="191">
        <f t="shared" si="228"/>
        <v>41562</v>
      </c>
      <c r="D1265" s="37"/>
      <c r="E1265" s="37">
        <v>41562</v>
      </c>
      <c r="F1265" s="40"/>
      <c r="G1265" s="40" t="s">
        <v>962</v>
      </c>
      <c r="H1265" s="7" t="s">
        <v>1287</v>
      </c>
      <c r="I1265" s="256"/>
      <c r="J1265" s="256"/>
      <c r="K1265" s="602">
        <f t="shared" si="229"/>
        <v>0</v>
      </c>
      <c r="L1265" s="39" t="s">
        <v>165</v>
      </c>
      <c r="M1265" s="603" t="s">
        <v>159</v>
      </c>
      <c r="N1265" s="39" t="str">
        <f>IF(AND('331-CT'!$E$7=TH!H1265,OR(L1265="331",M1265="331")),"331",IF(AND(OR(L1265="131",M1265="131"),H1265='131-CT'!$E$7),"131",""))</f>
        <v/>
      </c>
      <c r="O1265" s="39" t="str">
        <f>IF(AND($B1265&gt;='111'!$N$11,$B1265&lt;='111'!$O$11,OR($L1265=$O$7,$M1265=$O$7)),"x","")</f>
        <v/>
      </c>
      <c r="P1265" s="39" t="str">
        <f>IF(AND($L1265=$O$7,$B1265&lt;'111'!$N$11),"x","")</f>
        <v/>
      </c>
      <c r="Q1265" s="39" t="str">
        <f>IF(AND($M1265=$O$7,$B1265&lt;'111'!$N$11),"x","")</f>
        <v/>
      </c>
      <c r="R1265" s="39" t="str">
        <f>IF(ISERROR(FIND('112'!$M$9,G1265,1)),"",IF((AND(FIND('112'!$M$9,G1265,1)&gt;=1,$B1265&gt;='112'!$N$8,$B1265&lt;='112'!$O$8,OR($L1265='112'!$I$6,$M1265='112'!$I$6))),"x",""))</f>
        <v/>
      </c>
      <c r="S1265" s="39" t="str">
        <f>IF(ISERROR(FIND('112'!$M$9,G1265,1)),"",IF((AND(LEFT(G1265,2)=LEFT('112'!$M$9,2),B1265&lt;'112'!$N$8,$L1265='112'!$I$6)),"x",""))</f>
        <v/>
      </c>
      <c r="T1265" s="39" t="str">
        <f>IF(ISERROR(FIND('112'!$M$9,G1265,1)),"",IF((AND(RIGHT(G1265,2)=RIGHT('112'!$M$9,2),B1265&lt;'112'!$N$8,$M1265='112'!$I$6)),"x",""))</f>
        <v/>
      </c>
      <c r="U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39" t="str">
        <f>IF(OR(TH!L1265=TH!$V$7,M1265=TH!$V$7),"x","")</f>
        <v/>
      </c>
      <c r="W1265" s="39" t="str">
        <f>IF(AND(B1265&gt;='IN-NX'!$P$3,B1265&lt;='IN-NX'!$Q$3,'IN-NX'!$D$7=D1265,OR(LEFT(L1265,2)="15",AND(LEFT(M1265,2)&lt;&gt;"15",LEFT(M1265,2)&lt;&gt;"33"))),"x","")</f>
        <v/>
      </c>
      <c r="X1265" s="39" t="str">
        <f>IF(AND(OR(LEFT(TH!L1265,2)="15",LEFT(TH!M1265,2)="15"),'152-CT'!$J$8=TH!F1265),"x","")</f>
        <v/>
      </c>
      <c r="Y1265" s="39" t="str">
        <f>IF(AND(OR(LEFT(TH!L1265,2)="15",LEFT(TH!M1265,2)="15"),TK!$E$7=TH!F1265),"x","")</f>
        <v/>
      </c>
      <c r="Z1265" s="39" t="str">
        <f>IF(AND(B1265&lt;=NKC!$N$8,B1265&gt;=NKC!$M$8),"x","")</f>
        <v/>
      </c>
      <c r="AA1265" s="886"/>
    </row>
    <row r="1266" spans="1:27" s="211" customFormat="1" ht="15.75" customHeight="1">
      <c r="A1266" s="204" t="str">
        <f>IF(B1266&lt;&gt;"",IF(AND(B1266&gt;=_TM1,B1266&lt;=_TM2,OR(TH!L1266="1111",TH!M1266="1111")),TH!D1266,""),"")</f>
        <v/>
      </c>
      <c r="B1266" s="36">
        <f t="shared" si="230"/>
        <v>10</v>
      </c>
      <c r="C1266" s="191">
        <f t="shared" si="228"/>
        <v>41563</v>
      </c>
      <c r="D1266" s="37"/>
      <c r="E1266" s="37">
        <v>41563</v>
      </c>
      <c r="F1266" s="40"/>
      <c r="G1266" s="40" t="s">
        <v>963</v>
      </c>
      <c r="H1266" s="7" t="s">
        <v>1287</v>
      </c>
      <c r="I1266" s="256"/>
      <c r="J1266" s="256"/>
      <c r="K1266" s="602">
        <f t="shared" si="229"/>
        <v>0</v>
      </c>
      <c r="L1266" s="39" t="s">
        <v>165</v>
      </c>
      <c r="M1266" s="603" t="s">
        <v>159</v>
      </c>
      <c r="N1266" s="39" t="str">
        <f>IF(AND('331-CT'!$E$7=TH!H1266,OR(L1266="331",M1266="331")),"331",IF(AND(OR(L1266="131",M1266="131"),H1266='131-CT'!$E$7),"131",""))</f>
        <v/>
      </c>
      <c r="O1266" s="39" t="str">
        <f>IF(AND($B1266&gt;='111'!$N$11,$B1266&lt;='111'!$O$11,OR($L1266=$O$7,$M1266=$O$7)),"x","")</f>
        <v/>
      </c>
      <c r="P1266" s="39" t="str">
        <f>IF(AND($L1266=$O$7,$B1266&lt;'111'!$N$11),"x","")</f>
        <v/>
      </c>
      <c r="Q1266" s="39" t="str">
        <f>IF(AND($M1266=$O$7,$B1266&lt;'111'!$N$11),"x","")</f>
        <v/>
      </c>
      <c r="R1266" s="39" t="str">
        <f>IF(ISERROR(FIND('112'!$M$9,G1266,1)),"",IF((AND(FIND('112'!$M$9,G1266,1)&gt;=1,$B1266&gt;='112'!$N$8,$B1266&lt;='112'!$O$8,OR($L1266='112'!$I$6,$M1266='112'!$I$6))),"x",""))</f>
        <v/>
      </c>
      <c r="S1266" s="39" t="str">
        <f>IF(ISERROR(FIND('112'!$M$9,G1266,1)),"",IF((AND(LEFT(G1266,2)=LEFT('112'!$M$9,2),B1266&lt;'112'!$N$8,$L1266='112'!$I$6)),"x",""))</f>
        <v/>
      </c>
      <c r="T1266" s="39" t="str">
        <f>IF(ISERROR(FIND('112'!$M$9,G1266,1)),"",IF((AND(RIGHT(G1266,2)=RIGHT('112'!$M$9,2),B1266&lt;'112'!$N$8,$M1266='112'!$I$6)),"x",""))</f>
        <v/>
      </c>
      <c r="U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39" t="str">
        <f>IF(OR(TH!L1266=TH!$V$7,M1266=TH!$V$7),"x","")</f>
        <v/>
      </c>
      <c r="W1266" s="39" t="str">
        <f>IF(AND(B1266&gt;='IN-NX'!$P$3,B1266&lt;='IN-NX'!$Q$3,'IN-NX'!$D$7=D1266,OR(LEFT(L1266,2)="15",AND(LEFT(M1266,2)&lt;&gt;"15",LEFT(M1266,2)&lt;&gt;"33"))),"x","")</f>
        <v/>
      </c>
      <c r="X1266" s="39" t="str">
        <f>IF(AND(OR(LEFT(TH!L1266,2)="15",LEFT(TH!M1266,2)="15"),'152-CT'!$J$8=TH!F1266),"x","")</f>
        <v/>
      </c>
      <c r="Y1266" s="39" t="str">
        <f>IF(AND(OR(LEFT(TH!L1266,2)="15",LEFT(TH!M1266,2)="15"),TK!$E$7=TH!F1266),"x","")</f>
        <v/>
      </c>
      <c r="Z1266" s="39" t="str">
        <f>IF(AND(B1266&lt;=NKC!$N$8,B1266&gt;=NKC!$M$8),"x","")</f>
        <v/>
      </c>
      <c r="AA1266" s="886"/>
    </row>
    <row r="1267" spans="1:27" s="211" customFormat="1" ht="15.75" customHeight="1">
      <c r="A1267" s="204" t="str">
        <f>IF(B1267&lt;&gt;"",IF(AND(B1267&gt;=_TM1,B1267&lt;=_TM2,OR(TH!L1267="1111",TH!M1267="1111")),TH!D1267,""),"")</f>
        <v/>
      </c>
      <c r="B1267" s="36">
        <f t="shared" si="230"/>
        <v>10</v>
      </c>
      <c r="C1267" s="191">
        <f t="shared" si="228"/>
        <v>41563</v>
      </c>
      <c r="D1267" s="37"/>
      <c r="E1267" s="37">
        <v>41563</v>
      </c>
      <c r="F1267" s="40"/>
      <c r="G1267" s="40" t="s">
        <v>963</v>
      </c>
      <c r="H1267" s="7" t="s">
        <v>1287</v>
      </c>
      <c r="I1267" s="256"/>
      <c r="J1267" s="256"/>
      <c r="K1267" s="602">
        <f t="shared" si="229"/>
        <v>0</v>
      </c>
      <c r="L1267" s="39" t="s">
        <v>165</v>
      </c>
      <c r="M1267" s="603" t="s">
        <v>159</v>
      </c>
      <c r="N1267" s="39" t="str">
        <f>IF(AND('331-CT'!$E$7=TH!H1267,OR(L1267="331",M1267="331")),"331",IF(AND(OR(L1267="131",M1267="131"),H1267='131-CT'!$E$7),"131",""))</f>
        <v/>
      </c>
      <c r="O1267" s="39" t="str">
        <f>IF(AND($B1267&gt;='111'!$N$11,$B1267&lt;='111'!$O$11,OR($L1267=$O$7,$M1267=$O$7)),"x","")</f>
        <v/>
      </c>
      <c r="P1267" s="39" t="str">
        <f>IF(AND($L1267=$O$7,$B1267&lt;'111'!$N$11),"x","")</f>
        <v/>
      </c>
      <c r="Q1267" s="39" t="str">
        <f>IF(AND($M1267=$O$7,$B1267&lt;'111'!$N$11),"x","")</f>
        <v/>
      </c>
      <c r="R1267" s="39" t="str">
        <f>IF(ISERROR(FIND('112'!$M$9,G1267,1)),"",IF((AND(FIND('112'!$M$9,G1267,1)&gt;=1,$B1267&gt;='112'!$N$8,$B1267&lt;='112'!$O$8,OR($L1267='112'!$I$6,$M1267='112'!$I$6))),"x",""))</f>
        <v/>
      </c>
      <c r="S1267" s="39" t="str">
        <f>IF(ISERROR(FIND('112'!$M$9,G1267,1)),"",IF((AND(LEFT(G1267,2)=LEFT('112'!$M$9,2),B1267&lt;'112'!$N$8,$L1267='112'!$I$6)),"x",""))</f>
        <v/>
      </c>
      <c r="T1267" s="39" t="str">
        <f>IF(ISERROR(FIND('112'!$M$9,G1267,1)),"",IF((AND(RIGHT(G1267,2)=RIGHT('112'!$M$9,2),B1267&lt;'112'!$N$8,$M1267='112'!$I$6)),"x",""))</f>
        <v/>
      </c>
      <c r="U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39" t="str">
        <f>IF(OR(TH!L1267=TH!$V$7,M1267=TH!$V$7),"x","")</f>
        <v/>
      </c>
      <c r="W1267" s="39" t="str">
        <f>IF(AND(B1267&gt;='IN-NX'!$P$3,B1267&lt;='IN-NX'!$Q$3,'IN-NX'!$D$7=D1267,OR(LEFT(L1267,2)="15",AND(LEFT(M1267,2)&lt;&gt;"15",LEFT(M1267,2)&lt;&gt;"33"))),"x","")</f>
        <v/>
      </c>
      <c r="X1267" s="39" t="str">
        <f>IF(AND(OR(LEFT(TH!L1267,2)="15",LEFT(TH!M1267,2)="15"),'152-CT'!$J$8=TH!F1267),"x","")</f>
        <v/>
      </c>
      <c r="Y1267" s="39" t="str">
        <f>IF(AND(OR(LEFT(TH!L1267,2)="15",LEFT(TH!M1267,2)="15"),TK!$E$7=TH!F1267),"x","")</f>
        <v/>
      </c>
      <c r="Z1267" s="39" t="str">
        <f>IF(AND(B1267&lt;=NKC!$N$8,B1267&gt;=NKC!$M$8),"x","")</f>
        <v/>
      </c>
      <c r="AA1267" s="886"/>
    </row>
    <row r="1268" spans="1:27" s="211" customFormat="1" ht="15.75" customHeight="1">
      <c r="A1268" s="204" t="str">
        <f>IF(B1268&lt;&gt;"",IF(AND(B1268&gt;=_TM1,B1268&lt;=_TM2,OR(TH!L1268="1111",TH!M1268="1111")),TH!D1268,""),"")</f>
        <v/>
      </c>
      <c r="B1268" s="36">
        <f t="shared" si="230"/>
        <v>10</v>
      </c>
      <c r="C1268" s="191">
        <f t="shared" si="228"/>
        <v>41565</v>
      </c>
      <c r="D1268" s="37"/>
      <c r="E1268" s="37">
        <v>41565</v>
      </c>
      <c r="F1268" s="40"/>
      <c r="G1268" s="40" t="s">
        <v>965</v>
      </c>
      <c r="H1268" s="7" t="s">
        <v>1287</v>
      </c>
      <c r="I1268" s="256"/>
      <c r="J1268" s="256"/>
      <c r="K1268" s="602">
        <f t="shared" si="229"/>
        <v>0</v>
      </c>
      <c r="L1268" s="39" t="s">
        <v>165</v>
      </c>
      <c r="M1268" s="603" t="s">
        <v>159</v>
      </c>
      <c r="N1268" s="39" t="str">
        <f>IF(AND('331-CT'!$E$7=TH!H1268,OR(L1268="331",M1268="331")),"331",IF(AND(OR(L1268="131",M1268="131"),H1268='131-CT'!$E$7),"131",""))</f>
        <v/>
      </c>
      <c r="O1268" s="39" t="str">
        <f>IF(AND($B1268&gt;='111'!$N$11,$B1268&lt;='111'!$O$11,OR($L1268=$O$7,$M1268=$O$7)),"x","")</f>
        <v/>
      </c>
      <c r="P1268" s="39" t="str">
        <f>IF(AND($L1268=$O$7,$B1268&lt;'111'!$N$11),"x","")</f>
        <v/>
      </c>
      <c r="Q1268" s="39" t="str">
        <f>IF(AND($M1268=$O$7,$B1268&lt;'111'!$N$11),"x","")</f>
        <v/>
      </c>
      <c r="R1268" s="39" t="str">
        <f>IF(ISERROR(FIND('112'!$M$9,G1268,1)),"",IF((AND(FIND('112'!$M$9,G1268,1)&gt;=1,$B1268&gt;='112'!$N$8,$B1268&lt;='112'!$O$8,OR($L1268='112'!$I$6,$M1268='112'!$I$6))),"x",""))</f>
        <v/>
      </c>
      <c r="S1268" s="39" t="str">
        <f>IF(ISERROR(FIND('112'!$M$9,G1268,1)),"",IF((AND(LEFT(G1268,2)=LEFT('112'!$M$9,2),B1268&lt;'112'!$N$8,$L1268='112'!$I$6)),"x",""))</f>
        <v/>
      </c>
      <c r="T1268" s="39" t="str">
        <f>IF(ISERROR(FIND('112'!$M$9,G1268,1)),"",IF((AND(RIGHT(G1268,2)=RIGHT('112'!$M$9,2),B1268&lt;'112'!$N$8,$M1268='112'!$I$6)),"x",""))</f>
        <v/>
      </c>
      <c r="U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39" t="str">
        <f>IF(OR(TH!L1268=TH!$V$7,M1268=TH!$V$7),"x","")</f>
        <v/>
      </c>
      <c r="W1268" s="39" t="str">
        <f>IF(AND(B1268&gt;='IN-NX'!$P$3,B1268&lt;='IN-NX'!$Q$3,'IN-NX'!$D$7=D1268,OR(LEFT(L1268,2)="15",AND(LEFT(M1268,2)&lt;&gt;"15",LEFT(M1268,2)&lt;&gt;"33"))),"x","")</f>
        <v/>
      </c>
      <c r="X1268" s="39" t="str">
        <f>IF(AND(OR(LEFT(TH!L1268,2)="15",LEFT(TH!M1268,2)="15"),'152-CT'!$J$8=TH!F1268),"x","")</f>
        <v/>
      </c>
      <c r="Y1268" s="39" t="str">
        <f>IF(AND(OR(LEFT(TH!L1268,2)="15",LEFT(TH!M1268,2)="15"),TK!$E$7=TH!F1268),"x","")</f>
        <v/>
      </c>
      <c r="Z1268" s="39" t="str">
        <f>IF(AND(B1268&lt;=NKC!$N$8,B1268&gt;=NKC!$M$8),"x","")</f>
        <v/>
      </c>
      <c r="AA1268" s="886"/>
    </row>
    <row r="1269" spans="1:27" s="211" customFormat="1" ht="15.75" customHeight="1">
      <c r="A1269" s="204" t="str">
        <f>IF(B1269&lt;&gt;"",IF(AND(B1269&gt;=_TM1,B1269&lt;=_TM2,OR(TH!L1269="1111",TH!M1269="1111")),TH!D1269,""),"")</f>
        <v/>
      </c>
      <c r="B1269" s="36">
        <f t="shared" si="230"/>
        <v>10</v>
      </c>
      <c r="C1269" s="191">
        <f t="shared" si="228"/>
        <v>41565</v>
      </c>
      <c r="D1269" s="37"/>
      <c r="E1269" s="37">
        <v>41565</v>
      </c>
      <c r="F1269" s="192"/>
      <c r="G1269" s="40" t="s">
        <v>967</v>
      </c>
      <c r="H1269" s="7" t="s">
        <v>1287</v>
      </c>
      <c r="I1269" s="256"/>
      <c r="J1269" s="256"/>
      <c r="K1269" s="602">
        <f t="shared" si="229"/>
        <v>0</v>
      </c>
      <c r="L1269" s="39" t="s">
        <v>165</v>
      </c>
      <c r="M1269" s="603" t="s">
        <v>159</v>
      </c>
      <c r="N1269" s="39" t="str">
        <f>IF(AND('331-CT'!$E$7=TH!H1269,OR(L1269="331",M1269="331")),"331",IF(AND(OR(L1269="131",M1269="131"),H1269='131-CT'!$E$7),"131",""))</f>
        <v/>
      </c>
      <c r="O1269" s="39" t="str">
        <f>IF(AND($B1269&gt;='111'!$N$11,$B1269&lt;='111'!$O$11,OR($L1269=$O$7,$M1269=$O$7)),"x","")</f>
        <v/>
      </c>
      <c r="P1269" s="39" t="str">
        <f>IF(AND($L1269=$O$7,$B1269&lt;'111'!$N$11),"x","")</f>
        <v/>
      </c>
      <c r="Q1269" s="39" t="str">
        <f>IF(AND($M1269=$O$7,$B1269&lt;'111'!$N$11),"x","")</f>
        <v/>
      </c>
      <c r="R1269" s="39" t="str">
        <f>IF(ISERROR(FIND('112'!$M$9,G1269,1)),"",IF((AND(FIND('112'!$M$9,G1269,1)&gt;=1,$B1269&gt;='112'!$N$8,$B1269&lt;='112'!$O$8,OR($L1269='112'!$I$6,$M1269='112'!$I$6))),"x",""))</f>
        <v/>
      </c>
      <c r="S1269" s="39" t="str">
        <f>IF(ISERROR(FIND('112'!$M$9,G1269,1)),"",IF((AND(LEFT(G1269,2)=LEFT('112'!$M$9,2),B1269&lt;'112'!$N$8,$L1269='112'!$I$6)),"x",""))</f>
        <v/>
      </c>
      <c r="T1269" s="39" t="str">
        <f>IF(ISERROR(FIND('112'!$M$9,G1269,1)),"",IF((AND(RIGHT(G1269,2)=RIGHT('112'!$M$9,2),B1269&lt;'112'!$N$8,$M1269='112'!$I$6)),"x",""))</f>
        <v/>
      </c>
      <c r="U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39" t="str">
        <f>IF(OR(TH!L1269=TH!$V$7,M1269=TH!$V$7),"x","")</f>
        <v/>
      </c>
      <c r="W1269" s="39" t="str">
        <f>IF(AND(B1269&gt;='IN-NX'!$P$3,B1269&lt;='IN-NX'!$Q$3,'IN-NX'!$D$7=D1269,OR(LEFT(L1269,2)="15",AND(LEFT(M1269,2)&lt;&gt;"15",LEFT(M1269,2)&lt;&gt;"33"))),"x","")</f>
        <v/>
      </c>
      <c r="X1269" s="39" t="str">
        <f>IF(AND(OR(LEFT(TH!L1269,2)="15",LEFT(TH!M1269,2)="15"),'152-CT'!$J$8=TH!F1269),"x","")</f>
        <v/>
      </c>
      <c r="Y1269" s="39" t="str">
        <f>IF(AND(OR(LEFT(TH!L1269,2)="15",LEFT(TH!M1269,2)="15"),TK!$E$7=TH!F1269),"x","")</f>
        <v/>
      </c>
      <c r="Z1269" s="39" t="str">
        <f>IF(AND(B1269&lt;=NKC!$N$8,B1269&gt;=NKC!$M$8),"x","")</f>
        <v/>
      </c>
      <c r="AA1269" s="886"/>
    </row>
    <row r="1270" spans="1:27" s="211" customFormat="1" ht="15.75" customHeight="1">
      <c r="A1270" s="204" t="str">
        <f>IF(B1270&lt;&gt;"",IF(AND(B1270&gt;=_TM1,B1270&lt;=_TM2,OR(TH!L1270="1111",TH!M1270="1111")),TH!D1270,""),"")</f>
        <v/>
      </c>
      <c r="B1270" s="36">
        <f t="shared" si="230"/>
        <v>10</v>
      </c>
      <c r="C1270" s="191">
        <f t="shared" si="228"/>
        <v>41565</v>
      </c>
      <c r="D1270" s="37"/>
      <c r="E1270" s="37">
        <v>41565</v>
      </c>
      <c r="F1270" s="40"/>
      <c r="G1270" s="40" t="s">
        <v>967</v>
      </c>
      <c r="H1270" s="7" t="s">
        <v>1287</v>
      </c>
      <c r="I1270" s="256"/>
      <c r="J1270" s="256"/>
      <c r="K1270" s="602">
        <f t="shared" si="229"/>
        <v>0</v>
      </c>
      <c r="L1270" s="39" t="s">
        <v>165</v>
      </c>
      <c r="M1270" s="603" t="s">
        <v>159</v>
      </c>
      <c r="N1270" s="39" t="str">
        <f>IF(AND('331-CT'!$E$7=TH!H1270,OR(L1270="331",M1270="331")),"331",IF(AND(OR(L1270="131",M1270="131"),H1270='131-CT'!$E$7),"131",""))</f>
        <v/>
      </c>
      <c r="O1270" s="39" t="str">
        <f>IF(AND($B1270&gt;='111'!$N$11,$B1270&lt;='111'!$O$11,OR($L1270=$O$7,$M1270=$O$7)),"x","")</f>
        <v/>
      </c>
      <c r="P1270" s="39" t="str">
        <f>IF(AND($L1270=$O$7,$B1270&lt;'111'!$N$11),"x","")</f>
        <v/>
      </c>
      <c r="Q1270" s="39" t="str">
        <f>IF(AND($M1270=$O$7,$B1270&lt;'111'!$N$11),"x","")</f>
        <v/>
      </c>
      <c r="R1270" s="39" t="str">
        <f>IF(ISERROR(FIND('112'!$M$9,G1270,1)),"",IF((AND(FIND('112'!$M$9,G1270,1)&gt;=1,$B1270&gt;='112'!$N$8,$B1270&lt;='112'!$O$8,OR($L1270='112'!$I$6,$M1270='112'!$I$6))),"x",""))</f>
        <v/>
      </c>
      <c r="S1270" s="39" t="str">
        <f>IF(ISERROR(FIND('112'!$M$9,G1270,1)),"",IF((AND(LEFT(G1270,2)=LEFT('112'!$M$9,2),B1270&lt;'112'!$N$8,$L1270='112'!$I$6)),"x",""))</f>
        <v/>
      </c>
      <c r="T1270" s="39" t="str">
        <f>IF(ISERROR(FIND('112'!$M$9,G1270,1)),"",IF((AND(RIGHT(G1270,2)=RIGHT('112'!$M$9,2),B1270&lt;'112'!$N$8,$M1270='112'!$I$6)),"x",""))</f>
        <v/>
      </c>
      <c r="U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39" t="str">
        <f>IF(OR(TH!L1270=TH!$V$7,M1270=TH!$V$7),"x","")</f>
        <v/>
      </c>
      <c r="W1270" s="39" t="str">
        <f>IF(AND(B1270&gt;='IN-NX'!$P$3,B1270&lt;='IN-NX'!$Q$3,'IN-NX'!$D$7=D1270,OR(LEFT(L1270,2)="15",AND(LEFT(M1270,2)&lt;&gt;"15",LEFT(M1270,2)&lt;&gt;"33"))),"x","")</f>
        <v/>
      </c>
      <c r="X1270" s="39" t="str">
        <f>IF(AND(OR(LEFT(TH!L1270,2)="15",LEFT(TH!M1270,2)="15"),'152-CT'!$J$8=TH!F1270),"x","")</f>
        <v/>
      </c>
      <c r="Y1270" s="39" t="str">
        <f>IF(AND(OR(LEFT(TH!L1270,2)="15",LEFT(TH!M1270,2)="15"),TK!$E$7=TH!F1270),"x","")</f>
        <v/>
      </c>
      <c r="Z1270" s="39" t="str">
        <f>IF(AND(B1270&lt;=NKC!$N$8,B1270&gt;=NKC!$M$8),"x","")</f>
        <v/>
      </c>
      <c r="AA1270" s="886"/>
    </row>
    <row r="1271" spans="1:27" s="211" customFormat="1" ht="15.75" customHeight="1">
      <c r="A1271" s="204" t="str">
        <f>IF(B1271&lt;&gt;"",IF(AND(B1271&gt;=_TM1,B1271&lt;=_TM2,OR(TH!L1271="1111",TH!M1271="1111")),TH!D1271,""),"")</f>
        <v/>
      </c>
      <c r="B1271" s="36">
        <f t="shared" si="230"/>
        <v>10</v>
      </c>
      <c r="C1271" s="191">
        <f t="shared" si="228"/>
        <v>41565</v>
      </c>
      <c r="D1271" s="37"/>
      <c r="E1271" s="37">
        <v>41565</v>
      </c>
      <c r="F1271" s="40"/>
      <c r="G1271" s="40" t="s">
        <v>967</v>
      </c>
      <c r="H1271" s="7" t="s">
        <v>1287</v>
      </c>
      <c r="I1271" s="256"/>
      <c r="J1271" s="256"/>
      <c r="K1271" s="602">
        <f t="shared" si="229"/>
        <v>0</v>
      </c>
      <c r="L1271" s="39" t="s">
        <v>165</v>
      </c>
      <c r="M1271" s="603" t="s">
        <v>159</v>
      </c>
      <c r="N1271" s="39" t="str">
        <f>IF(AND('331-CT'!$E$7=TH!H1271,OR(L1271="331",M1271="331")),"331",IF(AND(OR(L1271="131",M1271="131"),H1271='131-CT'!$E$7),"131",""))</f>
        <v/>
      </c>
      <c r="O1271" s="39" t="str">
        <f>IF(AND($B1271&gt;='111'!$N$11,$B1271&lt;='111'!$O$11,OR($L1271=$O$7,$M1271=$O$7)),"x","")</f>
        <v/>
      </c>
      <c r="P1271" s="39" t="str">
        <f>IF(AND($L1271=$O$7,$B1271&lt;'111'!$N$11),"x","")</f>
        <v/>
      </c>
      <c r="Q1271" s="39" t="str">
        <f>IF(AND($M1271=$O$7,$B1271&lt;'111'!$N$11),"x","")</f>
        <v/>
      </c>
      <c r="R1271" s="39" t="str">
        <f>IF(ISERROR(FIND('112'!$M$9,G1271,1)),"",IF((AND(FIND('112'!$M$9,G1271,1)&gt;=1,$B1271&gt;='112'!$N$8,$B1271&lt;='112'!$O$8,OR($L1271='112'!$I$6,$M1271='112'!$I$6))),"x",""))</f>
        <v/>
      </c>
      <c r="S1271" s="39" t="str">
        <f>IF(ISERROR(FIND('112'!$M$9,G1271,1)),"",IF((AND(LEFT(G1271,2)=LEFT('112'!$M$9,2),B1271&lt;'112'!$N$8,$L1271='112'!$I$6)),"x",""))</f>
        <v/>
      </c>
      <c r="T1271" s="39" t="str">
        <f>IF(ISERROR(FIND('112'!$M$9,G1271,1)),"",IF((AND(RIGHT(G1271,2)=RIGHT('112'!$M$9,2),B1271&lt;'112'!$N$8,$M1271='112'!$I$6)),"x",""))</f>
        <v/>
      </c>
      <c r="U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39" t="str">
        <f>IF(OR(TH!L1271=TH!$V$7,M1271=TH!$V$7),"x","")</f>
        <v/>
      </c>
      <c r="W1271" s="39" t="str">
        <f>IF(AND(B1271&gt;='IN-NX'!$P$3,B1271&lt;='IN-NX'!$Q$3,'IN-NX'!$D$7=D1271,OR(LEFT(L1271,2)="15",AND(LEFT(M1271,2)&lt;&gt;"15",LEFT(M1271,2)&lt;&gt;"33"))),"x","")</f>
        <v/>
      </c>
      <c r="X1271" s="39" t="str">
        <f>IF(AND(OR(LEFT(TH!L1271,2)="15",LEFT(TH!M1271,2)="15"),'152-CT'!$J$8=TH!F1271),"x","")</f>
        <v/>
      </c>
      <c r="Y1271" s="39" t="str">
        <f>IF(AND(OR(LEFT(TH!L1271,2)="15",LEFT(TH!M1271,2)="15"),TK!$E$7=TH!F1271),"x","")</f>
        <v/>
      </c>
      <c r="Z1271" s="39" t="str">
        <f>IF(AND(B1271&lt;=NKC!$N$8,B1271&gt;=NKC!$M$8),"x","")</f>
        <v/>
      </c>
      <c r="AA1271" s="886"/>
    </row>
    <row r="1272" spans="1:27" s="211" customFormat="1" ht="15.75" customHeight="1">
      <c r="A1272" s="204" t="str">
        <f>IF(B1272&lt;&gt;"",IF(AND(B1272&gt;=_TM1,B1272&lt;=_TM2,OR(TH!L1272="1111",TH!M1272="1111")),TH!D1272,""),"")</f>
        <v/>
      </c>
      <c r="B1272" s="36">
        <f t="shared" si="230"/>
        <v>10</v>
      </c>
      <c r="C1272" s="191">
        <f t="shared" si="228"/>
        <v>41565</v>
      </c>
      <c r="D1272" s="37"/>
      <c r="E1272" s="37">
        <v>41565</v>
      </c>
      <c r="F1272" s="40"/>
      <c r="G1272" s="40" t="s">
        <v>967</v>
      </c>
      <c r="H1272" s="7" t="s">
        <v>1287</v>
      </c>
      <c r="I1272" s="256"/>
      <c r="J1272" s="256"/>
      <c r="K1272" s="602">
        <f t="shared" si="229"/>
        <v>0</v>
      </c>
      <c r="L1272" s="39" t="s">
        <v>165</v>
      </c>
      <c r="M1272" s="603" t="s">
        <v>159</v>
      </c>
      <c r="N1272" s="39" t="str">
        <f>IF(AND('331-CT'!$E$7=TH!H1272,OR(L1272="331",M1272="331")),"331",IF(AND(OR(L1272="131",M1272="131"),H1272='131-CT'!$E$7),"131",""))</f>
        <v/>
      </c>
      <c r="O1272" s="39" t="str">
        <f>IF(AND($B1272&gt;='111'!$N$11,$B1272&lt;='111'!$O$11,OR($L1272=$O$7,$M1272=$O$7)),"x","")</f>
        <v/>
      </c>
      <c r="P1272" s="39" t="str">
        <f>IF(AND($L1272=$O$7,$B1272&lt;'111'!$N$11),"x","")</f>
        <v/>
      </c>
      <c r="Q1272" s="39" t="str">
        <f>IF(AND($M1272=$O$7,$B1272&lt;'111'!$N$11),"x","")</f>
        <v/>
      </c>
      <c r="R1272" s="39" t="str">
        <f>IF(ISERROR(FIND('112'!$M$9,G1272,1)),"",IF((AND(FIND('112'!$M$9,G1272,1)&gt;=1,$B1272&gt;='112'!$N$8,$B1272&lt;='112'!$O$8,OR($L1272='112'!$I$6,$M1272='112'!$I$6))),"x",""))</f>
        <v/>
      </c>
      <c r="S1272" s="39" t="str">
        <f>IF(ISERROR(FIND('112'!$M$9,G1272,1)),"",IF((AND(LEFT(G1272,2)=LEFT('112'!$M$9,2),B1272&lt;'112'!$N$8,$L1272='112'!$I$6)),"x",""))</f>
        <v/>
      </c>
      <c r="T1272" s="39" t="str">
        <f>IF(ISERROR(FIND('112'!$M$9,G1272,1)),"",IF((AND(RIGHT(G1272,2)=RIGHT('112'!$M$9,2),B1272&lt;'112'!$N$8,$M1272='112'!$I$6)),"x",""))</f>
        <v/>
      </c>
      <c r="U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39" t="str">
        <f>IF(OR(TH!L1272=TH!$V$7,M1272=TH!$V$7),"x","")</f>
        <v/>
      </c>
      <c r="W1272" s="39" t="str">
        <f>IF(AND(B1272&gt;='IN-NX'!$P$3,B1272&lt;='IN-NX'!$Q$3,'IN-NX'!$D$7=D1272,OR(LEFT(L1272,2)="15",AND(LEFT(M1272,2)&lt;&gt;"15",LEFT(M1272,2)&lt;&gt;"33"))),"x","")</f>
        <v/>
      </c>
      <c r="X1272" s="39" t="str">
        <f>IF(AND(OR(LEFT(TH!L1272,2)="15",LEFT(TH!M1272,2)="15"),'152-CT'!$J$8=TH!F1272),"x","")</f>
        <v/>
      </c>
      <c r="Y1272" s="39" t="str">
        <f>IF(AND(OR(LEFT(TH!L1272,2)="15",LEFT(TH!M1272,2)="15"),TK!$E$7=TH!F1272),"x","")</f>
        <v/>
      </c>
      <c r="Z1272" s="39" t="str">
        <f>IF(AND(B1272&lt;=NKC!$N$8,B1272&gt;=NKC!$M$8),"x","")</f>
        <v/>
      </c>
      <c r="AA1272" s="886"/>
    </row>
    <row r="1273" spans="1:27" s="211" customFormat="1" ht="15.75" customHeight="1">
      <c r="A1273" s="204" t="str">
        <f>IF(B1273&lt;&gt;"",IF(AND(B1273&gt;=_TM1,B1273&lt;=_TM2,OR(TH!L1273="1111",TH!M1273="1111")),TH!D1273,""),"")</f>
        <v/>
      </c>
      <c r="B1273" s="36">
        <f t="shared" si="230"/>
        <v>10</v>
      </c>
      <c r="C1273" s="191">
        <f t="shared" si="228"/>
        <v>41565</v>
      </c>
      <c r="D1273" s="37"/>
      <c r="E1273" s="37">
        <v>41565</v>
      </c>
      <c r="F1273" s="40"/>
      <c r="G1273" s="40" t="s">
        <v>967</v>
      </c>
      <c r="H1273" s="7" t="s">
        <v>1287</v>
      </c>
      <c r="I1273" s="256"/>
      <c r="J1273" s="256"/>
      <c r="K1273" s="602">
        <f t="shared" si="229"/>
        <v>0</v>
      </c>
      <c r="L1273" s="39" t="s">
        <v>165</v>
      </c>
      <c r="M1273" s="603" t="s">
        <v>159</v>
      </c>
      <c r="N1273" s="39" t="str">
        <f>IF(AND('331-CT'!$E$7=TH!H1273,OR(L1273="331",M1273="331")),"331",IF(AND(OR(L1273="131",M1273="131"),H1273='131-CT'!$E$7),"131",""))</f>
        <v/>
      </c>
      <c r="O1273" s="39" t="str">
        <f>IF(AND($B1273&gt;='111'!$N$11,$B1273&lt;='111'!$O$11,OR($L1273=$O$7,$M1273=$O$7)),"x","")</f>
        <v/>
      </c>
      <c r="P1273" s="39" t="str">
        <f>IF(AND($L1273=$O$7,$B1273&lt;'111'!$N$11),"x","")</f>
        <v/>
      </c>
      <c r="Q1273" s="39" t="str">
        <f>IF(AND($M1273=$O$7,$B1273&lt;'111'!$N$11),"x","")</f>
        <v/>
      </c>
      <c r="R1273" s="39" t="str">
        <f>IF(ISERROR(FIND('112'!$M$9,G1273,1)),"",IF((AND(FIND('112'!$M$9,G1273,1)&gt;=1,$B1273&gt;='112'!$N$8,$B1273&lt;='112'!$O$8,OR($L1273='112'!$I$6,$M1273='112'!$I$6))),"x",""))</f>
        <v/>
      </c>
      <c r="S1273" s="39" t="str">
        <f>IF(ISERROR(FIND('112'!$M$9,G1273,1)),"",IF((AND(LEFT(G1273,2)=LEFT('112'!$M$9,2),B1273&lt;'112'!$N$8,$L1273='112'!$I$6)),"x",""))</f>
        <v/>
      </c>
      <c r="T1273" s="39" t="str">
        <f>IF(ISERROR(FIND('112'!$M$9,G1273,1)),"",IF((AND(RIGHT(G1273,2)=RIGHT('112'!$M$9,2),B1273&lt;'112'!$N$8,$M1273='112'!$I$6)),"x",""))</f>
        <v/>
      </c>
      <c r="U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39" t="str">
        <f>IF(OR(TH!L1273=TH!$V$7,M1273=TH!$V$7),"x","")</f>
        <v/>
      </c>
      <c r="W1273" s="39" t="str">
        <f>IF(AND(B1273&gt;='IN-NX'!$P$3,B1273&lt;='IN-NX'!$Q$3,'IN-NX'!$D$7=D1273,OR(LEFT(L1273,2)="15",AND(LEFT(M1273,2)&lt;&gt;"15",LEFT(M1273,2)&lt;&gt;"33"))),"x","")</f>
        <v/>
      </c>
      <c r="X1273" s="39" t="str">
        <f>IF(AND(OR(LEFT(TH!L1273,2)="15",LEFT(TH!M1273,2)="15"),'152-CT'!$J$8=TH!F1273),"x","")</f>
        <v/>
      </c>
      <c r="Y1273" s="39" t="str">
        <f>IF(AND(OR(LEFT(TH!L1273,2)="15",LEFT(TH!M1273,2)="15"),TK!$E$7=TH!F1273),"x","")</f>
        <v/>
      </c>
      <c r="Z1273" s="39" t="str">
        <f>IF(AND(B1273&lt;=NKC!$N$8,B1273&gt;=NKC!$M$8),"x","")</f>
        <v/>
      </c>
      <c r="AA1273" s="886"/>
    </row>
    <row r="1274" spans="1:27" s="211" customFormat="1" ht="15.75" customHeight="1">
      <c r="A1274" s="204" t="str">
        <f>IF(B1274&lt;&gt;"",IF(AND(B1274&gt;=_TM1,B1274&lt;=_TM2,OR(TH!L1274="1111",TH!M1274="1111")),TH!D1274,""),"")</f>
        <v/>
      </c>
      <c r="B1274" s="36">
        <f t="shared" si="230"/>
        <v>10</v>
      </c>
      <c r="C1274" s="191">
        <f t="shared" si="228"/>
        <v>41565</v>
      </c>
      <c r="D1274" s="37"/>
      <c r="E1274" s="37">
        <v>41565</v>
      </c>
      <c r="F1274" s="40"/>
      <c r="G1274" s="40" t="s">
        <v>967</v>
      </c>
      <c r="H1274" s="7" t="s">
        <v>1287</v>
      </c>
      <c r="I1274" s="256"/>
      <c r="J1274" s="256"/>
      <c r="K1274" s="602">
        <f t="shared" si="229"/>
        <v>0</v>
      </c>
      <c r="L1274" s="39" t="s">
        <v>165</v>
      </c>
      <c r="M1274" s="603" t="s">
        <v>159</v>
      </c>
      <c r="N1274" s="39" t="str">
        <f>IF(AND('331-CT'!$E$7=TH!H1274,OR(L1274="331",M1274="331")),"331",IF(AND(OR(L1274="131",M1274="131"),H1274='131-CT'!$E$7),"131",""))</f>
        <v/>
      </c>
      <c r="O1274" s="39" t="str">
        <f>IF(AND($B1274&gt;='111'!$N$11,$B1274&lt;='111'!$O$11,OR($L1274=$O$7,$M1274=$O$7)),"x","")</f>
        <v/>
      </c>
      <c r="P1274" s="39" t="str">
        <f>IF(AND($L1274=$O$7,$B1274&lt;'111'!$N$11),"x","")</f>
        <v/>
      </c>
      <c r="Q1274" s="39" t="str">
        <f>IF(AND($M1274=$O$7,$B1274&lt;'111'!$N$11),"x","")</f>
        <v/>
      </c>
      <c r="R1274" s="39" t="str">
        <f>IF(ISERROR(FIND('112'!$M$9,G1274,1)),"",IF((AND(FIND('112'!$M$9,G1274,1)&gt;=1,$B1274&gt;='112'!$N$8,$B1274&lt;='112'!$O$8,OR($L1274='112'!$I$6,$M1274='112'!$I$6))),"x",""))</f>
        <v/>
      </c>
      <c r="S1274" s="39" t="str">
        <f>IF(ISERROR(FIND('112'!$M$9,G1274,1)),"",IF((AND(LEFT(G1274,2)=LEFT('112'!$M$9,2),B1274&lt;'112'!$N$8,$L1274='112'!$I$6)),"x",""))</f>
        <v/>
      </c>
      <c r="T1274" s="39" t="str">
        <f>IF(ISERROR(FIND('112'!$M$9,G1274,1)),"",IF((AND(RIGHT(G1274,2)=RIGHT('112'!$M$9,2),B1274&lt;'112'!$N$8,$M1274='112'!$I$6)),"x",""))</f>
        <v/>
      </c>
      <c r="U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39" t="str">
        <f>IF(OR(TH!L1274=TH!$V$7,M1274=TH!$V$7),"x","")</f>
        <v/>
      </c>
      <c r="W1274" s="39" t="str">
        <f>IF(AND(B1274&gt;='IN-NX'!$P$3,B1274&lt;='IN-NX'!$Q$3,'IN-NX'!$D$7=D1274,OR(LEFT(L1274,2)="15",AND(LEFT(M1274,2)&lt;&gt;"15",LEFT(M1274,2)&lt;&gt;"33"))),"x","")</f>
        <v/>
      </c>
      <c r="X1274" s="39" t="str">
        <f>IF(AND(OR(LEFT(TH!L1274,2)="15",LEFT(TH!M1274,2)="15"),'152-CT'!$J$8=TH!F1274),"x","")</f>
        <v/>
      </c>
      <c r="Y1274" s="39" t="str">
        <f>IF(AND(OR(LEFT(TH!L1274,2)="15",LEFT(TH!M1274,2)="15"),TK!$E$7=TH!F1274),"x","")</f>
        <v/>
      </c>
      <c r="Z1274" s="39" t="str">
        <f>IF(AND(B1274&lt;=NKC!$N$8,B1274&gt;=NKC!$M$8),"x","")</f>
        <v/>
      </c>
      <c r="AA1274" s="886"/>
    </row>
    <row r="1275" spans="1:27" s="211" customFormat="1" ht="15.75" customHeight="1">
      <c r="A1275" s="204" t="str">
        <f>IF(B1275&lt;&gt;"",IF(AND(B1275&gt;=_TM1,B1275&lt;=_TM2,OR(TH!L1275="1111",TH!M1275="1111")),TH!D1275,""),"")</f>
        <v/>
      </c>
      <c r="B1275" s="36">
        <f t="shared" si="230"/>
        <v>10</v>
      </c>
      <c r="C1275" s="191">
        <f t="shared" si="228"/>
        <v>41565</v>
      </c>
      <c r="D1275" s="37"/>
      <c r="E1275" s="37">
        <v>41565</v>
      </c>
      <c r="F1275" s="40"/>
      <c r="G1275" s="40" t="s">
        <v>972</v>
      </c>
      <c r="H1275" s="7" t="s">
        <v>1287</v>
      </c>
      <c r="I1275" s="256"/>
      <c r="J1275" s="256"/>
      <c r="K1275" s="602">
        <f t="shared" si="229"/>
        <v>0</v>
      </c>
      <c r="L1275" s="39" t="s">
        <v>165</v>
      </c>
      <c r="M1275" s="603" t="s">
        <v>159</v>
      </c>
      <c r="N1275" s="39" t="str">
        <f>IF(AND('331-CT'!$E$7=TH!H1275,OR(L1275="331",M1275="331")),"331",IF(AND(OR(L1275="131",M1275="131"),H1275='131-CT'!$E$7),"131",""))</f>
        <v/>
      </c>
      <c r="O1275" s="39" t="str">
        <f>IF(AND($B1275&gt;='111'!$N$11,$B1275&lt;='111'!$O$11,OR($L1275=$O$7,$M1275=$O$7)),"x","")</f>
        <v/>
      </c>
      <c r="P1275" s="39" t="str">
        <f>IF(AND($L1275=$O$7,$B1275&lt;'111'!$N$11),"x","")</f>
        <v/>
      </c>
      <c r="Q1275" s="39" t="str">
        <f>IF(AND($M1275=$O$7,$B1275&lt;'111'!$N$11),"x","")</f>
        <v/>
      </c>
      <c r="R1275" s="39" t="str">
        <f>IF(ISERROR(FIND('112'!$M$9,G1275,1)),"",IF((AND(FIND('112'!$M$9,G1275,1)&gt;=1,$B1275&gt;='112'!$N$8,$B1275&lt;='112'!$O$8,OR($L1275='112'!$I$6,$M1275='112'!$I$6))),"x",""))</f>
        <v/>
      </c>
      <c r="S1275" s="39" t="str">
        <f>IF(ISERROR(FIND('112'!$M$9,G1275,1)),"",IF((AND(LEFT(G1275,2)=LEFT('112'!$M$9,2),B1275&lt;'112'!$N$8,$L1275='112'!$I$6)),"x",""))</f>
        <v/>
      </c>
      <c r="T1275" s="39" t="str">
        <f>IF(ISERROR(FIND('112'!$M$9,G1275,1)),"",IF((AND(RIGHT(G1275,2)=RIGHT('112'!$M$9,2),B1275&lt;'112'!$N$8,$M1275='112'!$I$6)),"x",""))</f>
        <v/>
      </c>
      <c r="U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39" t="str">
        <f>IF(OR(TH!L1275=TH!$V$7,M1275=TH!$V$7),"x","")</f>
        <v/>
      </c>
      <c r="W1275" s="39" t="str">
        <f>IF(AND(B1275&gt;='IN-NX'!$P$3,B1275&lt;='IN-NX'!$Q$3,'IN-NX'!$D$7=D1275,OR(LEFT(L1275,2)="15",AND(LEFT(M1275,2)&lt;&gt;"15",LEFT(M1275,2)&lt;&gt;"33"))),"x","")</f>
        <v/>
      </c>
      <c r="X1275" s="39" t="str">
        <f>IF(AND(OR(LEFT(TH!L1275,2)="15",LEFT(TH!M1275,2)="15"),'152-CT'!$J$8=TH!F1275),"x","")</f>
        <v/>
      </c>
      <c r="Y1275" s="39" t="str">
        <f>IF(AND(OR(LEFT(TH!L1275,2)="15",LEFT(TH!M1275,2)="15"),TK!$E$7=TH!F1275),"x","")</f>
        <v/>
      </c>
      <c r="Z1275" s="39" t="str">
        <f>IF(AND(B1275&lt;=NKC!$N$8,B1275&gt;=NKC!$M$8),"x","")</f>
        <v/>
      </c>
      <c r="AA1275" s="886"/>
    </row>
    <row r="1276" spans="1:27" s="211" customFormat="1" ht="15.75" customHeight="1">
      <c r="A1276" s="204" t="str">
        <f>IF(B1276&lt;&gt;"",IF(AND(B1276&gt;=_TM1,B1276&lt;=_TM2,OR(TH!L1276="1111",TH!M1276="1111")),TH!D1276,""),"")</f>
        <v/>
      </c>
      <c r="B1276" s="36">
        <f t="shared" si="230"/>
        <v>10</v>
      </c>
      <c r="C1276" s="191">
        <f t="shared" si="228"/>
        <v>41565</v>
      </c>
      <c r="D1276" s="37"/>
      <c r="E1276" s="37">
        <v>41565</v>
      </c>
      <c r="F1276" s="192"/>
      <c r="G1276" s="40" t="s">
        <v>972</v>
      </c>
      <c r="H1276" s="7" t="s">
        <v>1287</v>
      </c>
      <c r="I1276" s="256"/>
      <c r="J1276" s="256"/>
      <c r="K1276" s="602">
        <f t="shared" si="229"/>
        <v>0</v>
      </c>
      <c r="L1276" s="39" t="s">
        <v>165</v>
      </c>
      <c r="M1276" s="603" t="s">
        <v>159</v>
      </c>
      <c r="N1276" s="39" t="str">
        <f>IF(AND('331-CT'!$E$7=TH!H1276,OR(L1276="331",M1276="331")),"331",IF(AND(OR(L1276="131",M1276="131"),H1276='131-CT'!$E$7),"131",""))</f>
        <v/>
      </c>
      <c r="O1276" s="39" t="str">
        <f>IF(AND($B1276&gt;='111'!$N$11,$B1276&lt;='111'!$O$11,OR($L1276=$O$7,$M1276=$O$7)),"x","")</f>
        <v/>
      </c>
      <c r="P1276" s="39" t="str">
        <f>IF(AND($L1276=$O$7,$B1276&lt;'111'!$N$11),"x","")</f>
        <v/>
      </c>
      <c r="Q1276" s="39" t="str">
        <f>IF(AND($M1276=$O$7,$B1276&lt;'111'!$N$11),"x","")</f>
        <v/>
      </c>
      <c r="R1276" s="39" t="str">
        <f>IF(ISERROR(FIND('112'!$M$9,G1276,1)),"",IF((AND(FIND('112'!$M$9,G1276,1)&gt;=1,$B1276&gt;='112'!$N$8,$B1276&lt;='112'!$O$8,OR($L1276='112'!$I$6,$M1276='112'!$I$6))),"x",""))</f>
        <v/>
      </c>
      <c r="S1276" s="39" t="str">
        <f>IF(ISERROR(FIND('112'!$M$9,G1276,1)),"",IF((AND(LEFT(G1276,2)=LEFT('112'!$M$9,2),B1276&lt;'112'!$N$8,$L1276='112'!$I$6)),"x",""))</f>
        <v/>
      </c>
      <c r="T1276" s="39" t="str">
        <f>IF(ISERROR(FIND('112'!$M$9,G1276,1)),"",IF((AND(RIGHT(G1276,2)=RIGHT('112'!$M$9,2),B1276&lt;'112'!$N$8,$M1276='112'!$I$6)),"x",""))</f>
        <v/>
      </c>
      <c r="U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39" t="str">
        <f>IF(OR(TH!L1276=TH!$V$7,M1276=TH!$V$7),"x","")</f>
        <v/>
      </c>
      <c r="W1276" s="39" t="str">
        <f>IF(AND(B1276&gt;='IN-NX'!$P$3,B1276&lt;='IN-NX'!$Q$3,'IN-NX'!$D$7=D1276,OR(LEFT(L1276,2)="15",AND(LEFT(M1276,2)&lt;&gt;"15",LEFT(M1276,2)&lt;&gt;"33"))),"x","")</f>
        <v/>
      </c>
      <c r="X1276" s="39" t="str">
        <f>IF(AND(OR(LEFT(TH!L1276,2)="15",LEFT(TH!M1276,2)="15"),'152-CT'!$J$8=TH!F1276),"x","")</f>
        <v/>
      </c>
      <c r="Y1276" s="39" t="str">
        <f>IF(AND(OR(LEFT(TH!L1276,2)="15",LEFT(TH!M1276,2)="15"),TK!$E$7=TH!F1276),"x","")</f>
        <v/>
      </c>
      <c r="Z1276" s="39" t="str">
        <f>IF(AND(B1276&lt;=NKC!$N$8,B1276&gt;=NKC!$M$8),"x","")</f>
        <v/>
      </c>
      <c r="AA1276" s="886"/>
    </row>
    <row r="1277" spans="1:27" s="211" customFormat="1" ht="15.75" customHeight="1">
      <c r="A1277" s="204" t="str">
        <f>IF(B1277&lt;&gt;"",IF(AND(B1277&gt;=_TM1,B1277&lt;=_TM2,OR(TH!L1277="1111",TH!M1277="1111")),TH!D1277,""),"")</f>
        <v/>
      </c>
      <c r="B1277" s="36">
        <f t="shared" si="230"/>
        <v>10</v>
      </c>
      <c r="C1277" s="191">
        <f t="shared" si="228"/>
        <v>41565</v>
      </c>
      <c r="D1277" s="37"/>
      <c r="E1277" s="37">
        <v>41565</v>
      </c>
      <c r="F1277" s="192"/>
      <c r="G1277" s="40" t="s">
        <v>972</v>
      </c>
      <c r="H1277" s="7" t="s">
        <v>1287</v>
      </c>
      <c r="I1277" s="256"/>
      <c r="J1277" s="256"/>
      <c r="K1277" s="602">
        <f t="shared" si="229"/>
        <v>0</v>
      </c>
      <c r="L1277" s="39" t="s">
        <v>165</v>
      </c>
      <c r="M1277" s="603" t="s">
        <v>159</v>
      </c>
      <c r="N1277" s="39" t="str">
        <f>IF(AND('331-CT'!$E$7=TH!H1277,OR(L1277="331",M1277="331")),"331",IF(AND(OR(L1277="131",M1277="131"),H1277='131-CT'!$E$7),"131",""))</f>
        <v/>
      </c>
      <c r="O1277" s="39" t="str">
        <f>IF(AND($B1277&gt;='111'!$N$11,$B1277&lt;='111'!$O$11,OR($L1277=$O$7,$M1277=$O$7)),"x","")</f>
        <v/>
      </c>
      <c r="P1277" s="39" t="str">
        <f>IF(AND($L1277=$O$7,$B1277&lt;'111'!$N$11),"x","")</f>
        <v/>
      </c>
      <c r="Q1277" s="39" t="str">
        <f>IF(AND($M1277=$O$7,$B1277&lt;'111'!$N$11),"x","")</f>
        <v/>
      </c>
      <c r="R1277" s="39" t="str">
        <f>IF(ISERROR(FIND('112'!$M$9,G1277,1)),"",IF((AND(FIND('112'!$M$9,G1277,1)&gt;=1,$B1277&gt;='112'!$N$8,$B1277&lt;='112'!$O$8,OR($L1277='112'!$I$6,$M1277='112'!$I$6))),"x",""))</f>
        <v/>
      </c>
      <c r="S1277" s="39" t="str">
        <f>IF(ISERROR(FIND('112'!$M$9,G1277,1)),"",IF((AND(LEFT(G1277,2)=LEFT('112'!$M$9,2),B1277&lt;'112'!$N$8,$L1277='112'!$I$6)),"x",""))</f>
        <v/>
      </c>
      <c r="T1277" s="39" t="str">
        <f>IF(ISERROR(FIND('112'!$M$9,G1277,1)),"",IF((AND(RIGHT(G1277,2)=RIGHT('112'!$M$9,2),B1277&lt;'112'!$N$8,$M1277='112'!$I$6)),"x",""))</f>
        <v/>
      </c>
      <c r="U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39" t="str">
        <f>IF(OR(TH!L1277=TH!$V$7,M1277=TH!$V$7),"x","")</f>
        <v/>
      </c>
      <c r="W1277" s="39" t="str">
        <f>IF(AND(B1277&gt;='IN-NX'!$P$3,B1277&lt;='IN-NX'!$Q$3,'IN-NX'!$D$7=D1277,OR(LEFT(L1277,2)="15",AND(LEFT(M1277,2)&lt;&gt;"15",LEFT(M1277,2)&lt;&gt;"33"))),"x","")</f>
        <v/>
      </c>
      <c r="X1277" s="39" t="str">
        <f>IF(AND(OR(LEFT(TH!L1277,2)="15",LEFT(TH!M1277,2)="15"),'152-CT'!$J$8=TH!F1277),"x","")</f>
        <v/>
      </c>
      <c r="Y1277" s="39" t="str">
        <f>IF(AND(OR(LEFT(TH!L1277,2)="15",LEFT(TH!M1277,2)="15"),TK!$E$7=TH!F1277),"x","")</f>
        <v/>
      </c>
      <c r="Z1277" s="39" t="str">
        <f>IF(AND(B1277&lt;=NKC!$N$8,B1277&gt;=NKC!$M$8),"x","")</f>
        <v/>
      </c>
      <c r="AA1277" s="886"/>
    </row>
    <row r="1278" spans="1:27" s="211" customFormat="1" ht="15.75" customHeight="1">
      <c r="A1278" s="204" t="str">
        <f>IF(B1278&lt;&gt;"",IF(AND(B1278&gt;=_TM1,B1278&lt;=_TM2,OR(TH!L1278="1111",TH!M1278="1111")),TH!D1278,""),"")</f>
        <v/>
      </c>
      <c r="B1278" s="36">
        <f t="shared" si="230"/>
        <v>10</v>
      </c>
      <c r="C1278" s="191">
        <f t="shared" si="228"/>
        <v>41565</v>
      </c>
      <c r="D1278" s="37"/>
      <c r="E1278" s="37">
        <v>41565</v>
      </c>
      <c r="F1278" s="40"/>
      <c r="G1278" s="40" t="s">
        <v>972</v>
      </c>
      <c r="H1278" s="7" t="s">
        <v>1287</v>
      </c>
      <c r="I1278" s="256"/>
      <c r="J1278" s="256"/>
      <c r="K1278" s="602">
        <f t="shared" si="229"/>
        <v>0</v>
      </c>
      <c r="L1278" s="39" t="s">
        <v>165</v>
      </c>
      <c r="M1278" s="603" t="s">
        <v>159</v>
      </c>
      <c r="N1278" s="39" t="str">
        <f>IF(AND('331-CT'!$E$7=TH!H1278,OR(L1278="331",M1278="331")),"331",IF(AND(OR(L1278="131",M1278="131"),H1278='131-CT'!$E$7),"131",""))</f>
        <v/>
      </c>
      <c r="O1278" s="39" t="str">
        <f>IF(AND($B1278&gt;='111'!$N$11,$B1278&lt;='111'!$O$11,OR($L1278=$O$7,$M1278=$O$7)),"x","")</f>
        <v/>
      </c>
      <c r="P1278" s="39" t="str">
        <f>IF(AND($L1278=$O$7,$B1278&lt;'111'!$N$11),"x","")</f>
        <v/>
      </c>
      <c r="Q1278" s="39" t="str">
        <f>IF(AND($M1278=$O$7,$B1278&lt;'111'!$N$11),"x","")</f>
        <v/>
      </c>
      <c r="R1278" s="39" t="str">
        <f>IF(ISERROR(FIND('112'!$M$9,G1278,1)),"",IF((AND(FIND('112'!$M$9,G1278,1)&gt;=1,$B1278&gt;='112'!$N$8,$B1278&lt;='112'!$O$8,OR($L1278='112'!$I$6,$M1278='112'!$I$6))),"x",""))</f>
        <v/>
      </c>
      <c r="S1278" s="39" t="str">
        <f>IF(ISERROR(FIND('112'!$M$9,G1278,1)),"",IF((AND(LEFT(G1278,2)=LEFT('112'!$M$9,2),B1278&lt;'112'!$N$8,$L1278='112'!$I$6)),"x",""))</f>
        <v/>
      </c>
      <c r="T1278" s="39" t="str">
        <f>IF(ISERROR(FIND('112'!$M$9,G1278,1)),"",IF((AND(RIGHT(G1278,2)=RIGHT('112'!$M$9,2),B1278&lt;'112'!$N$8,$M1278='112'!$I$6)),"x",""))</f>
        <v/>
      </c>
      <c r="U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39" t="str">
        <f>IF(OR(TH!L1278=TH!$V$7,M1278=TH!$V$7),"x","")</f>
        <v/>
      </c>
      <c r="W1278" s="39" t="str">
        <f>IF(AND(B1278&gt;='IN-NX'!$P$3,B1278&lt;='IN-NX'!$Q$3,'IN-NX'!$D$7=D1278,OR(LEFT(L1278,2)="15",AND(LEFT(M1278,2)&lt;&gt;"15",LEFT(M1278,2)&lt;&gt;"33"))),"x","")</f>
        <v/>
      </c>
      <c r="X1278" s="39" t="str">
        <f>IF(AND(OR(LEFT(TH!L1278,2)="15",LEFT(TH!M1278,2)="15"),'152-CT'!$J$8=TH!F1278),"x","")</f>
        <v/>
      </c>
      <c r="Y1278" s="39" t="str">
        <f>IF(AND(OR(LEFT(TH!L1278,2)="15",LEFT(TH!M1278,2)="15"),TK!$E$7=TH!F1278),"x","")</f>
        <v/>
      </c>
      <c r="Z1278" s="39" t="str">
        <f>IF(AND(B1278&lt;=NKC!$N$8,B1278&gt;=NKC!$M$8),"x","")</f>
        <v/>
      </c>
      <c r="AA1278" s="886"/>
    </row>
    <row r="1279" spans="1:27" s="211" customFormat="1" ht="15.75" customHeight="1">
      <c r="A1279" s="204" t="str">
        <f>IF(B1279&lt;&gt;"",IF(AND(B1279&gt;=_TM1,B1279&lt;=_TM2,OR(TH!L1279="1111",TH!M1279="1111")),TH!D1279,""),"")</f>
        <v/>
      </c>
      <c r="B1279" s="36">
        <f t="shared" si="230"/>
        <v>10</v>
      </c>
      <c r="C1279" s="191">
        <f t="shared" si="228"/>
        <v>41565</v>
      </c>
      <c r="D1279" s="37"/>
      <c r="E1279" s="37">
        <v>41565</v>
      </c>
      <c r="F1279" s="40"/>
      <c r="G1279" s="40" t="s">
        <v>972</v>
      </c>
      <c r="H1279" s="7" t="s">
        <v>1287</v>
      </c>
      <c r="I1279" s="256"/>
      <c r="J1279" s="256"/>
      <c r="K1279" s="602">
        <f t="shared" si="229"/>
        <v>0</v>
      </c>
      <c r="L1279" s="39" t="s">
        <v>165</v>
      </c>
      <c r="M1279" s="603" t="s">
        <v>159</v>
      </c>
      <c r="N1279" s="39" t="str">
        <f>IF(AND('331-CT'!$E$7=TH!H1279,OR(L1279="331",M1279="331")),"331",IF(AND(OR(L1279="131",M1279="131"),H1279='131-CT'!$E$7),"131",""))</f>
        <v/>
      </c>
      <c r="O1279" s="39" t="str">
        <f>IF(AND($B1279&gt;='111'!$N$11,$B1279&lt;='111'!$O$11,OR($L1279=$O$7,$M1279=$O$7)),"x","")</f>
        <v/>
      </c>
      <c r="P1279" s="39" t="str">
        <f>IF(AND($L1279=$O$7,$B1279&lt;'111'!$N$11),"x","")</f>
        <v/>
      </c>
      <c r="Q1279" s="39" t="str">
        <f>IF(AND($M1279=$O$7,$B1279&lt;'111'!$N$11),"x","")</f>
        <v/>
      </c>
      <c r="R1279" s="39" t="str">
        <f>IF(ISERROR(FIND('112'!$M$9,G1279,1)),"",IF((AND(FIND('112'!$M$9,G1279,1)&gt;=1,$B1279&gt;='112'!$N$8,$B1279&lt;='112'!$O$8,OR($L1279='112'!$I$6,$M1279='112'!$I$6))),"x",""))</f>
        <v/>
      </c>
      <c r="S1279" s="39" t="str">
        <f>IF(ISERROR(FIND('112'!$M$9,G1279,1)),"",IF((AND(LEFT(G1279,2)=LEFT('112'!$M$9,2),B1279&lt;'112'!$N$8,$L1279='112'!$I$6)),"x",""))</f>
        <v/>
      </c>
      <c r="T1279" s="39" t="str">
        <f>IF(ISERROR(FIND('112'!$M$9,G1279,1)),"",IF((AND(RIGHT(G1279,2)=RIGHT('112'!$M$9,2),B1279&lt;'112'!$N$8,$M1279='112'!$I$6)),"x",""))</f>
        <v/>
      </c>
      <c r="U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39" t="str">
        <f>IF(OR(TH!L1279=TH!$V$7,M1279=TH!$V$7),"x","")</f>
        <v/>
      </c>
      <c r="W1279" s="39" t="str">
        <f>IF(AND(B1279&gt;='IN-NX'!$P$3,B1279&lt;='IN-NX'!$Q$3,'IN-NX'!$D$7=D1279,OR(LEFT(L1279,2)="15",AND(LEFT(M1279,2)&lt;&gt;"15",LEFT(M1279,2)&lt;&gt;"33"))),"x","")</f>
        <v/>
      </c>
      <c r="X1279" s="39" t="str">
        <f>IF(AND(OR(LEFT(TH!L1279,2)="15",LEFT(TH!M1279,2)="15"),'152-CT'!$J$8=TH!F1279),"x","")</f>
        <v/>
      </c>
      <c r="Y1279" s="39" t="str">
        <f>IF(AND(OR(LEFT(TH!L1279,2)="15",LEFT(TH!M1279,2)="15"),TK!$E$7=TH!F1279),"x","")</f>
        <v/>
      </c>
      <c r="Z1279" s="39" t="str">
        <f>IF(AND(B1279&lt;=NKC!$N$8,B1279&gt;=NKC!$M$8),"x","")</f>
        <v/>
      </c>
      <c r="AA1279" s="886"/>
    </row>
    <row r="1280" spans="1:27" s="211" customFormat="1" ht="15.75" customHeight="1">
      <c r="A1280" s="204" t="str">
        <f>IF(B1280&lt;&gt;"",IF(AND(B1280&gt;=_TM1,B1280&lt;=_TM2,OR(TH!L1280="1111",TH!M1280="1111")),TH!D1280,""),"")</f>
        <v/>
      </c>
      <c r="B1280" s="36">
        <f t="shared" si="230"/>
        <v>10</v>
      </c>
      <c r="C1280" s="191">
        <f t="shared" si="228"/>
        <v>41565</v>
      </c>
      <c r="D1280" s="191"/>
      <c r="E1280" s="191">
        <v>41565</v>
      </c>
      <c r="F1280" s="192"/>
      <c r="G1280" s="487" t="s">
        <v>972</v>
      </c>
      <c r="H1280" s="7" t="s">
        <v>1287</v>
      </c>
      <c r="I1280" s="256"/>
      <c r="J1280" s="256"/>
      <c r="K1280" s="602">
        <f t="shared" si="229"/>
        <v>0</v>
      </c>
      <c r="L1280" s="39" t="s">
        <v>165</v>
      </c>
      <c r="M1280" s="603" t="s">
        <v>159</v>
      </c>
      <c r="N1280" s="39" t="str">
        <f>IF(AND('331-CT'!$E$7=TH!H1280,OR(L1280="331",M1280="331")),"331",IF(AND(OR(L1280="131",M1280="131"),H1280='131-CT'!$E$7),"131",""))</f>
        <v/>
      </c>
      <c r="O1280" s="39" t="str">
        <f>IF(AND($B1280&gt;='111'!$N$11,$B1280&lt;='111'!$O$11,OR($L1280=$O$7,$M1280=$O$7)),"x","")</f>
        <v/>
      </c>
      <c r="P1280" s="39" t="str">
        <f>IF(AND($L1280=$O$7,$B1280&lt;'111'!$N$11),"x","")</f>
        <v/>
      </c>
      <c r="Q1280" s="39" t="str">
        <f>IF(AND($M1280=$O$7,$B1280&lt;'111'!$N$11),"x","")</f>
        <v/>
      </c>
      <c r="R1280" s="39" t="str">
        <f>IF(ISERROR(FIND('112'!$M$9,G1280,1)),"",IF((AND(FIND('112'!$M$9,G1280,1)&gt;=1,$B1280&gt;='112'!$N$8,$B1280&lt;='112'!$O$8,OR($L1280='112'!$I$6,$M1280='112'!$I$6))),"x",""))</f>
        <v/>
      </c>
      <c r="S1280" s="39" t="str">
        <f>IF(ISERROR(FIND('112'!$M$9,G1280,1)),"",IF((AND(LEFT(G1280,2)=LEFT('112'!$M$9,2),B1280&lt;'112'!$N$8,$L1280='112'!$I$6)),"x",""))</f>
        <v/>
      </c>
      <c r="T1280" s="39" t="str">
        <f>IF(ISERROR(FIND('112'!$M$9,G1280,1)),"",IF((AND(RIGHT(G1280,2)=RIGHT('112'!$M$9,2),B1280&lt;'112'!$N$8,$M1280='112'!$I$6)),"x",""))</f>
        <v/>
      </c>
      <c r="U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39" t="str">
        <f>IF(OR(TH!L1280=TH!$V$7,M1280=TH!$V$7),"x","")</f>
        <v/>
      </c>
      <c r="W1280" s="39" t="str">
        <f>IF(AND(B1280&gt;='IN-NX'!$P$3,B1280&lt;='IN-NX'!$Q$3,'IN-NX'!$D$7=D1280,OR(LEFT(L1280,2)="15",AND(LEFT(M1280,2)&lt;&gt;"15",LEFT(M1280,2)&lt;&gt;"33"))),"x","")</f>
        <v/>
      </c>
      <c r="X1280" s="39" t="str">
        <f>IF(AND(OR(LEFT(TH!L1280,2)="15",LEFT(TH!M1280,2)="15"),'152-CT'!$J$8=TH!F1280),"x","")</f>
        <v/>
      </c>
      <c r="Y1280" s="39" t="str">
        <f>IF(AND(OR(LEFT(TH!L1280,2)="15",LEFT(TH!M1280,2)="15"),TK!$E$7=TH!F1280),"x","")</f>
        <v/>
      </c>
      <c r="Z1280" s="39" t="str">
        <f>IF(AND(B1280&lt;=NKC!$N$8,B1280&gt;=NKC!$M$8),"x","")</f>
        <v/>
      </c>
      <c r="AA1280" s="886"/>
    </row>
    <row r="1281" spans="1:27" s="211" customFormat="1" ht="15.75" customHeight="1">
      <c r="A1281" s="204" t="str">
        <f>IF(B1281&lt;&gt;"",IF(AND(B1281&gt;=_TM1,B1281&lt;=_TM2,OR(TH!L1281="1111",TH!M1281="1111")),TH!D1281,""),"")</f>
        <v/>
      </c>
      <c r="B1281" s="36">
        <f t="shared" si="230"/>
        <v>10</v>
      </c>
      <c r="C1281" s="191">
        <f t="shared" si="228"/>
        <v>41565</v>
      </c>
      <c r="D1281" s="191"/>
      <c r="E1281" s="191">
        <v>41565</v>
      </c>
      <c r="F1281" s="192"/>
      <c r="G1281" s="487" t="s">
        <v>972</v>
      </c>
      <c r="H1281" s="7" t="s">
        <v>1287</v>
      </c>
      <c r="I1281" s="256"/>
      <c r="J1281" s="256"/>
      <c r="K1281" s="602">
        <f t="shared" si="229"/>
        <v>0</v>
      </c>
      <c r="L1281" s="39" t="s">
        <v>165</v>
      </c>
      <c r="M1281" s="603" t="s">
        <v>159</v>
      </c>
      <c r="N1281" s="39" t="str">
        <f>IF(AND('331-CT'!$E$7=TH!H1281,OR(L1281="331",M1281="331")),"331",IF(AND(OR(L1281="131",M1281="131"),H1281='131-CT'!$E$7),"131",""))</f>
        <v/>
      </c>
      <c r="O1281" s="39" t="str">
        <f>IF(AND($B1281&gt;='111'!$N$11,$B1281&lt;='111'!$O$11,OR($L1281=$O$7,$M1281=$O$7)),"x","")</f>
        <v/>
      </c>
      <c r="P1281" s="39" t="str">
        <f>IF(AND($L1281=$O$7,$B1281&lt;'111'!$N$11),"x","")</f>
        <v/>
      </c>
      <c r="Q1281" s="39" t="str">
        <f>IF(AND($M1281=$O$7,$B1281&lt;'111'!$N$11),"x","")</f>
        <v/>
      </c>
      <c r="R1281" s="39" t="str">
        <f>IF(ISERROR(FIND('112'!$M$9,G1281,1)),"",IF((AND(FIND('112'!$M$9,G1281,1)&gt;=1,$B1281&gt;='112'!$N$8,$B1281&lt;='112'!$O$8,OR($L1281='112'!$I$6,$M1281='112'!$I$6))),"x",""))</f>
        <v/>
      </c>
      <c r="S1281" s="39" t="str">
        <f>IF(ISERROR(FIND('112'!$M$9,G1281,1)),"",IF((AND(LEFT(G1281,2)=LEFT('112'!$M$9,2),B1281&lt;'112'!$N$8,$L1281='112'!$I$6)),"x",""))</f>
        <v/>
      </c>
      <c r="T1281" s="39" t="str">
        <f>IF(ISERROR(FIND('112'!$M$9,G1281,1)),"",IF((AND(RIGHT(G1281,2)=RIGHT('112'!$M$9,2),B1281&lt;'112'!$N$8,$M1281='112'!$I$6)),"x",""))</f>
        <v/>
      </c>
      <c r="U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39" t="str">
        <f>IF(OR(TH!L1281=TH!$V$7,M1281=TH!$V$7),"x","")</f>
        <v/>
      </c>
      <c r="W1281" s="39" t="str">
        <f>IF(AND(B1281&gt;='IN-NX'!$P$3,B1281&lt;='IN-NX'!$Q$3,'IN-NX'!$D$7=D1281,OR(LEFT(L1281,2)="15",AND(LEFT(M1281,2)&lt;&gt;"15",LEFT(M1281,2)&lt;&gt;"33"))),"x","")</f>
        <v/>
      </c>
      <c r="X1281" s="39" t="str">
        <f>IF(AND(OR(LEFT(TH!L1281,2)="15",LEFT(TH!M1281,2)="15"),'152-CT'!$J$8=TH!F1281),"x","")</f>
        <v/>
      </c>
      <c r="Y1281" s="39" t="str">
        <f>IF(AND(OR(LEFT(TH!L1281,2)="15",LEFT(TH!M1281,2)="15"),TK!$E$7=TH!F1281),"x","")</f>
        <v/>
      </c>
      <c r="Z1281" s="39" t="str">
        <f>IF(AND(B1281&lt;=NKC!$N$8,B1281&gt;=NKC!$M$8),"x","")</f>
        <v/>
      </c>
      <c r="AA1281" s="886"/>
    </row>
    <row r="1282" spans="1:27" s="211" customFormat="1" ht="15.75" customHeight="1">
      <c r="A1282" s="204" t="str">
        <f>IF(B1282&lt;&gt;"",IF(AND(B1282&gt;=_TM1,B1282&lt;=_TM2,OR(TH!L1282="1111",TH!M1282="1111")),TH!D1282,""),"")</f>
        <v/>
      </c>
      <c r="B1282" s="36">
        <f t="shared" si="230"/>
        <v>10</v>
      </c>
      <c r="C1282" s="191">
        <f t="shared" si="228"/>
        <v>41565</v>
      </c>
      <c r="D1282" s="191"/>
      <c r="E1282" s="191">
        <v>41565</v>
      </c>
      <c r="F1282" s="192"/>
      <c r="G1282" s="487" t="s">
        <v>972</v>
      </c>
      <c r="H1282" s="7" t="s">
        <v>1287</v>
      </c>
      <c r="I1282" s="257"/>
      <c r="J1282" s="257"/>
      <c r="K1282" s="602">
        <f t="shared" si="229"/>
        <v>0</v>
      </c>
      <c r="L1282" s="39" t="s">
        <v>165</v>
      </c>
      <c r="M1282" s="603" t="s">
        <v>159</v>
      </c>
      <c r="N1282" s="39" t="str">
        <f>IF(AND('331-CT'!$E$7=TH!H1282,OR(L1282="331",M1282="331")),"331",IF(AND(OR(L1282="131",M1282="131"),H1282='131-CT'!$E$7),"131",""))</f>
        <v/>
      </c>
      <c r="O1282" s="39" t="str">
        <f>IF(AND($B1282&gt;='111'!$N$11,$B1282&lt;='111'!$O$11,OR($L1282=$O$7,$M1282=$O$7)),"x","")</f>
        <v/>
      </c>
      <c r="P1282" s="39" t="str">
        <f>IF(AND($L1282=$O$7,$B1282&lt;'111'!$N$11),"x","")</f>
        <v/>
      </c>
      <c r="Q1282" s="39" t="str">
        <f>IF(AND($M1282=$O$7,$B1282&lt;'111'!$N$11),"x","")</f>
        <v/>
      </c>
      <c r="R1282" s="39" t="str">
        <f>IF(ISERROR(FIND('112'!$M$9,G1282,1)),"",IF((AND(FIND('112'!$M$9,G1282,1)&gt;=1,$B1282&gt;='112'!$N$8,$B1282&lt;='112'!$O$8,OR($L1282='112'!$I$6,$M1282='112'!$I$6))),"x",""))</f>
        <v/>
      </c>
      <c r="S1282" s="39" t="str">
        <f>IF(ISERROR(FIND('112'!$M$9,G1282,1)),"",IF((AND(LEFT(G1282,2)=LEFT('112'!$M$9,2),B1282&lt;'112'!$N$8,$L1282='112'!$I$6)),"x",""))</f>
        <v/>
      </c>
      <c r="T1282" s="39" t="str">
        <f>IF(ISERROR(FIND('112'!$M$9,G1282,1)),"",IF((AND(RIGHT(G1282,2)=RIGHT('112'!$M$9,2),B1282&lt;'112'!$N$8,$M1282='112'!$I$6)),"x",""))</f>
        <v/>
      </c>
      <c r="U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39" t="str">
        <f>IF(OR(TH!L1282=TH!$V$7,M1282=TH!$V$7),"x","")</f>
        <v/>
      </c>
      <c r="W1282" s="39" t="str">
        <f>IF(AND(B1282&gt;='IN-NX'!$P$3,B1282&lt;='IN-NX'!$Q$3,'IN-NX'!$D$7=D1282,OR(LEFT(L1282,2)="15",AND(LEFT(M1282,2)&lt;&gt;"15",LEFT(M1282,2)&lt;&gt;"33"))),"x","")</f>
        <v/>
      </c>
      <c r="X1282" s="39" t="str">
        <f>IF(AND(OR(LEFT(TH!L1282,2)="15",LEFT(TH!M1282,2)="15"),'152-CT'!$J$8=TH!F1282),"x","")</f>
        <v/>
      </c>
      <c r="Y1282" s="39" t="str">
        <f>IF(AND(OR(LEFT(TH!L1282,2)="15",LEFT(TH!M1282,2)="15"),TK!$E$7=TH!F1282),"x","")</f>
        <v/>
      </c>
      <c r="Z1282" s="39" t="str">
        <f>IF(AND(B1282&lt;=NKC!$N$8,B1282&gt;=NKC!$M$8),"x","")</f>
        <v/>
      </c>
      <c r="AA1282" s="886"/>
    </row>
    <row r="1283" spans="1:27" s="211" customFormat="1" ht="15.75" customHeight="1">
      <c r="A1283" s="204" t="str">
        <f>IF(B1283&lt;&gt;"",IF(AND(B1283&gt;=_TM1,B1283&lt;=_TM2,OR(TH!L1283="1111",TH!M1283="1111")),TH!D1283,""),"")</f>
        <v/>
      </c>
      <c r="B1283" s="36">
        <f t="shared" si="230"/>
        <v>10</v>
      </c>
      <c r="C1283" s="191">
        <f t="shared" si="228"/>
        <v>41565</v>
      </c>
      <c r="D1283" s="191"/>
      <c r="E1283" s="191">
        <v>41565</v>
      </c>
      <c r="F1283" s="192"/>
      <c r="G1283" s="487" t="s">
        <v>981</v>
      </c>
      <c r="H1283" s="7" t="s">
        <v>1287</v>
      </c>
      <c r="I1283" s="256"/>
      <c r="J1283" s="256"/>
      <c r="K1283" s="602">
        <f t="shared" si="229"/>
        <v>0</v>
      </c>
      <c r="L1283" s="39" t="s">
        <v>165</v>
      </c>
      <c r="M1283" s="603" t="s">
        <v>159</v>
      </c>
      <c r="N1283" s="39" t="str">
        <f>IF(AND('331-CT'!$E$7=TH!H1283,OR(L1283="331",M1283="331")),"331",IF(AND(OR(L1283="131",M1283="131"),H1283='131-CT'!$E$7),"131",""))</f>
        <v/>
      </c>
      <c r="O1283" s="39" t="str">
        <f>IF(AND($B1283&gt;='111'!$N$11,$B1283&lt;='111'!$O$11,OR($L1283=$O$7,$M1283=$O$7)),"x","")</f>
        <v/>
      </c>
      <c r="P1283" s="39" t="str">
        <f>IF(AND($L1283=$O$7,$B1283&lt;'111'!$N$11),"x","")</f>
        <v/>
      </c>
      <c r="Q1283" s="39" t="str">
        <f>IF(AND($M1283=$O$7,$B1283&lt;'111'!$N$11),"x","")</f>
        <v/>
      </c>
      <c r="R1283" s="39" t="str">
        <f>IF(ISERROR(FIND('112'!$M$9,G1283,1)),"",IF((AND(FIND('112'!$M$9,G1283,1)&gt;=1,$B1283&gt;='112'!$N$8,$B1283&lt;='112'!$O$8,OR($L1283='112'!$I$6,$M1283='112'!$I$6))),"x",""))</f>
        <v/>
      </c>
      <c r="S1283" s="39" t="str">
        <f>IF(ISERROR(FIND('112'!$M$9,G1283,1)),"",IF((AND(LEFT(G1283,2)=LEFT('112'!$M$9,2),B1283&lt;'112'!$N$8,$L1283='112'!$I$6)),"x",""))</f>
        <v/>
      </c>
      <c r="T1283" s="39" t="str">
        <f>IF(ISERROR(FIND('112'!$M$9,G1283,1)),"",IF((AND(RIGHT(G1283,2)=RIGHT('112'!$M$9,2),B1283&lt;'112'!$N$8,$M1283='112'!$I$6)),"x",""))</f>
        <v/>
      </c>
      <c r="U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39" t="str">
        <f>IF(OR(TH!L1283=TH!$V$7,M1283=TH!$V$7),"x","")</f>
        <v/>
      </c>
      <c r="W1283" s="39" t="str">
        <f>IF(AND(B1283&gt;='IN-NX'!$P$3,B1283&lt;='IN-NX'!$Q$3,'IN-NX'!$D$7=D1283,OR(LEFT(L1283,2)="15",AND(LEFT(M1283,2)&lt;&gt;"15",LEFT(M1283,2)&lt;&gt;"33"))),"x","")</f>
        <v/>
      </c>
      <c r="X1283" s="39" t="str">
        <f>IF(AND(OR(LEFT(TH!L1283,2)="15",LEFT(TH!M1283,2)="15"),'152-CT'!$J$8=TH!F1283),"x","")</f>
        <v/>
      </c>
      <c r="Y1283" s="39" t="str">
        <f>IF(AND(OR(LEFT(TH!L1283,2)="15",LEFT(TH!M1283,2)="15"),TK!$E$7=TH!F1283),"x","")</f>
        <v/>
      </c>
      <c r="Z1283" s="39" t="str">
        <f>IF(AND(B1283&lt;=NKC!$N$8,B1283&gt;=NKC!$M$8),"x","")</f>
        <v/>
      </c>
      <c r="AA1283" s="886"/>
    </row>
    <row r="1284" spans="1:27" s="211" customFormat="1" ht="15.75" customHeight="1">
      <c r="A1284" s="204" t="str">
        <f>IF(B1284&lt;&gt;"",IF(AND(B1284&gt;=_TM1,B1284&lt;=_TM2,OR(TH!L1284="1111",TH!M1284="1111")),TH!D1284,""),"")</f>
        <v/>
      </c>
      <c r="B1284" s="36">
        <f t="shared" si="230"/>
        <v>10</v>
      </c>
      <c r="C1284" s="191">
        <f t="shared" si="228"/>
        <v>41565</v>
      </c>
      <c r="D1284" s="191"/>
      <c r="E1284" s="191">
        <v>41565</v>
      </c>
      <c r="F1284" s="192"/>
      <c r="G1284" s="487" t="s">
        <v>983</v>
      </c>
      <c r="H1284" s="7" t="s">
        <v>1287</v>
      </c>
      <c r="I1284" s="256"/>
      <c r="J1284" s="256"/>
      <c r="K1284" s="602">
        <f t="shared" si="229"/>
        <v>0</v>
      </c>
      <c r="L1284" s="39" t="s">
        <v>165</v>
      </c>
      <c r="M1284" s="603" t="s">
        <v>159</v>
      </c>
      <c r="N1284" s="39" t="str">
        <f>IF(AND('331-CT'!$E$7=TH!H1284,OR(L1284="331",M1284="331")),"331",IF(AND(OR(L1284="131",M1284="131"),H1284='131-CT'!$E$7),"131",""))</f>
        <v/>
      </c>
      <c r="O1284" s="39" t="str">
        <f>IF(AND($B1284&gt;='111'!$N$11,$B1284&lt;='111'!$O$11,OR($L1284=$O$7,$M1284=$O$7)),"x","")</f>
        <v/>
      </c>
      <c r="P1284" s="39" t="str">
        <f>IF(AND($L1284=$O$7,$B1284&lt;'111'!$N$11),"x","")</f>
        <v/>
      </c>
      <c r="Q1284" s="39" t="str">
        <f>IF(AND($M1284=$O$7,$B1284&lt;'111'!$N$11),"x","")</f>
        <v/>
      </c>
      <c r="R1284" s="39" t="str">
        <f>IF(ISERROR(FIND('112'!$M$9,G1284,1)),"",IF((AND(FIND('112'!$M$9,G1284,1)&gt;=1,$B1284&gt;='112'!$N$8,$B1284&lt;='112'!$O$8,OR($L1284='112'!$I$6,$M1284='112'!$I$6))),"x",""))</f>
        <v/>
      </c>
      <c r="S1284" s="39" t="str">
        <f>IF(ISERROR(FIND('112'!$M$9,G1284,1)),"",IF((AND(LEFT(G1284,2)=LEFT('112'!$M$9,2),B1284&lt;'112'!$N$8,$L1284='112'!$I$6)),"x",""))</f>
        <v/>
      </c>
      <c r="T1284" s="39" t="str">
        <f>IF(ISERROR(FIND('112'!$M$9,G1284,1)),"",IF((AND(RIGHT(G1284,2)=RIGHT('112'!$M$9,2),B1284&lt;'112'!$N$8,$M1284='112'!$I$6)),"x",""))</f>
        <v/>
      </c>
      <c r="U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39" t="str">
        <f>IF(OR(TH!L1284=TH!$V$7,M1284=TH!$V$7),"x","")</f>
        <v/>
      </c>
      <c r="W1284" s="39" t="str">
        <f>IF(AND(B1284&gt;='IN-NX'!$P$3,B1284&lt;='IN-NX'!$Q$3,'IN-NX'!$D$7=D1284,OR(LEFT(L1284,2)="15",AND(LEFT(M1284,2)&lt;&gt;"15",LEFT(M1284,2)&lt;&gt;"33"))),"x","")</f>
        <v/>
      </c>
      <c r="X1284" s="39" t="str">
        <f>IF(AND(OR(LEFT(TH!L1284,2)="15",LEFT(TH!M1284,2)="15"),'152-CT'!$J$8=TH!F1284),"x","")</f>
        <v/>
      </c>
      <c r="Y1284" s="39" t="str">
        <f>IF(AND(OR(LEFT(TH!L1284,2)="15",LEFT(TH!M1284,2)="15"),TK!$E$7=TH!F1284),"x","")</f>
        <v/>
      </c>
      <c r="Z1284" s="39" t="str">
        <f>IF(AND(B1284&lt;=NKC!$N$8,B1284&gt;=NKC!$M$8),"x","")</f>
        <v/>
      </c>
      <c r="AA1284" s="886"/>
    </row>
    <row r="1285" spans="1:27" s="211" customFormat="1" ht="15.75" customHeight="1">
      <c r="A1285" s="204" t="str">
        <f>IF(B1285&lt;&gt;"",IF(AND(B1285&gt;=_TM1,B1285&lt;=_TM2,OR(TH!L1285="1111",TH!M1285="1111")),TH!D1285,""),"")</f>
        <v/>
      </c>
      <c r="B1285" s="36">
        <f t="shared" si="230"/>
        <v>10</v>
      </c>
      <c r="C1285" s="191">
        <f t="shared" si="228"/>
        <v>41565</v>
      </c>
      <c r="D1285" s="191"/>
      <c r="E1285" s="191">
        <v>41565</v>
      </c>
      <c r="F1285" s="192"/>
      <c r="G1285" s="487" t="s">
        <v>985</v>
      </c>
      <c r="H1285" s="7" t="s">
        <v>1287</v>
      </c>
      <c r="I1285" s="256"/>
      <c r="J1285" s="256"/>
      <c r="K1285" s="602">
        <f t="shared" si="229"/>
        <v>0</v>
      </c>
      <c r="L1285" s="39" t="s">
        <v>165</v>
      </c>
      <c r="M1285" s="603" t="s">
        <v>159</v>
      </c>
      <c r="N1285" s="39" t="str">
        <f>IF(AND('331-CT'!$E$7=TH!H1285,OR(L1285="331",M1285="331")),"331",IF(AND(OR(L1285="131",M1285="131"),H1285='131-CT'!$E$7),"131",""))</f>
        <v/>
      </c>
      <c r="O1285" s="39" t="str">
        <f>IF(AND($B1285&gt;='111'!$N$11,$B1285&lt;='111'!$O$11,OR($L1285=$O$7,$M1285=$O$7)),"x","")</f>
        <v/>
      </c>
      <c r="P1285" s="39" t="str">
        <f>IF(AND($L1285=$O$7,$B1285&lt;'111'!$N$11),"x","")</f>
        <v/>
      </c>
      <c r="Q1285" s="39" t="str">
        <f>IF(AND($M1285=$O$7,$B1285&lt;'111'!$N$11),"x","")</f>
        <v/>
      </c>
      <c r="R1285" s="39" t="str">
        <f>IF(ISERROR(FIND('112'!$M$9,G1285,1)),"",IF((AND(FIND('112'!$M$9,G1285,1)&gt;=1,$B1285&gt;='112'!$N$8,$B1285&lt;='112'!$O$8,OR($L1285='112'!$I$6,$M1285='112'!$I$6))),"x",""))</f>
        <v/>
      </c>
      <c r="S1285" s="39" t="str">
        <f>IF(ISERROR(FIND('112'!$M$9,G1285,1)),"",IF((AND(LEFT(G1285,2)=LEFT('112'!$M$9,2),B1285&lt;'112'!$N$8,$L1285='112'!$I$6)),"x",""))</f>
        <v/>
      </c>
      <c r="T1285" s="39" t="str">
        <f>IF(ISERROR(FIND('112'!$M$9,G1285,1)),"",IF((AND(RIGHT(G1285,2)=RIGHT('112'!$M$9,2),B1285&lt;'112'!$N$8,$M1285='112'!$I$6)),"x",""))</f>
        <v/>
      </c>
      <c r="U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39" t="str">
        <f>IF(OR(TH!L1285=TH!$V$7,M1285=TH!$V$7),"x","")</f>
        <v/>
      </c>
      <c r="W1285" s="39" t="str">
        <f>IF(AND(B1285&gt;='IN-NX'!$P$3,B1285&lt;='IN-NX'!$Q$3,'IN-NX'!$D$7=D1285,OR(LEFT(L1285,2)="15",AND(LEFT(M1285,2)&lt;&gt;"15",LEFT(M1285,2)&lt;&gt;"33"))),"x","")</f>
        <v/>
      </c>
      <c r="X1285" s="39" t="str">
        <f>IF(AND(OR(LEFT(TH!L1285,2)="15",LEFT(TH!M1285,2)="15"),'152-CT'!$J$8=TH!F1285),"x","")</f>
        <v/>
      </c>
      <c r="Y1285" s="39" t="str">
        <f>IF(AND(OR(LEFT(TH!L1285,2)="15",LEFT(TH!M1285,2)="15"),TK!$E$7=TH!F1285),"x","")</f>
        <v/>
      </c>
      <c r="Z1285" s="39" t="str">
        <f>IF(AND(B1285&lt;=NKC!$N$8,B1285&gt;=NKC!$M$8),"x","")</f>
        <v/>
      </c>
      <c r="AA1285" s="886"/>
    </row>
    <row r="1286" spans="1:27" s="211" customFormat="1" ht="15.75" customHeight="1">
      <c r="A1286" s="204" t="str">
        <f>IF(B1286&lt;&gt;"",IF(AND(B1286&gt;=_TM1,B1286&lt;=_TM2,OR(TH!L1286="1111",TH!M1286="1111")),TH!D1286,""),"")</f>
        <v/>
      </c>
      <c r="B1286" s="36">
        <f t="shared" si="230"/>
        <v>10</v>
      </c>
      <c r="C1286" s="191">
        <f t="shared" si="228"/>
        <v>41565</v>
      </c>
      <c r="D1286" s="191"/>
      <c r="E1286" s="191">
        <v>41565</v>
      </c>
      <c r="F1286" s="192"/>
      <c r="G1286" s="487" t="s">
        <v>986</v>
      </c>
      <c r="H1286" s="7" t="s">
        <v>1287</v>
      </c>
      <c r="I1286" s="256"/>
      <c r="J1286" s="256"/>
      <c r="K1286" s="602">
        <f t="shared" si="229"/>
        <v>0</v>
      </c>
      <c r="L1286" s="39" t="s">
        <v>165</v>
      </c>
      <c r="M1286" s="603" t="s">
        <v>159</v>
      </c>
      <c r="N1286" s="39" t="str">
        <f>IF(AND('331-CT'!$E$7=TH!H1286,OR(L1286="331",M1286="331")),"331",IF(AND(OR(L1286="131",M1286="131"),H1286='131-CT'!$E$7),"131",""))</f>
        <v/>
      </c>
      <c r="O1286" s="39" t="str">
        <f>IF(AND($B1286&gt;='111'!$N$11,$B1286&lt;='111'!$O$11,OR($L1286=$O$7,$M1286=$O$7)),"x","")</f>
        <v/>
      </c>
      <c r="P1286" s="39" t="str">
        <f>IF(AND($L1286=$O$7,$B1286&lt;'111'!$N$11),"x","")</f>
        <v/>
      </c>
      <c r="Q1286" s="39" t="str">
        <f>IF(AND($M1286=$O$7,$B1286&lt;'111'!$N$11),"x","")</f>
        <v/>
      </c>
      <c r="R1286" s="39" t="str">
        <f>IF(ISERROR(FIND('112'!$M$9,G1286,1)),"",IF((AND(FIND('112'!$M$9,G1286,1)&gt;=1,$B1286&gt;='112'!$N$8,$B1286&lt;='112'!$O$8,OR($L1286='112'!$I$6,$M1286='112'!$I$6))),"x",""))</f>
        <v/>
      </c>
      <c r="S1286" s="39" t="str">
        <f>IF(ISERROR(FIND('112'!$M$9,G1286,1)),"",IF((AND(LEFT(G1286,2)=LEFT('112'!$M$9,2),B1286&lt;'112'!$N$8,$L1286='112'!$I$6)),"x",""))</f>
        <v/>
      </c>
      <c r="T1286" s="39" t="str">
        <f>IF(ISERROR(FIND('112'!$M$9,G1286,1)),"",IF((AND(RIGHT(G1286,2)=RIGHT('112'!$M$9,2),B1286&lt;'112'!$N$8,$M1286='112'!$I$6)),"x",""))</f>
        <v/>
      </c>
      <c r="U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39" t="str">
        <f>IF(OR(TH!L1286=TH!$V$7,M1286=TH!$V$7),"x","")</f>
        <v/>
      </c>
      <c r="W1286" s="39" t="str">
        <f>IF(AND(B1286&gt;='IN-NX'!$P$3,B1286&lt;='IN-NX'!$Q$3,'IN-NX'!$D$7=D1286,OR(LEFT(L1286,2)="15",AND(LEFT(M1286,2)&lt;&gt;"15",LEFT(M1286,2)&lt;&gt;"33"))),"x","")</f>
        <v/>
      </c>
      <c r="X1286" s="39" t="str">
        <f>IF(AND(OR(LEFT(TH!L1286,2)="15",LEFT(TH!M1286,2)="15"),'152-CT'!$J$8=TH!F1286),"x","")</f>
        <v/>
      </c>
      <c r="Y1286" s="39" t="str">
        <f>IF(AND(OR(LEFT(TH!L1286,2)="15",LEFT(TH!M1286,2)="15"),TK!$E$7=TH!F1286),"x","")</f>
        <v/>
      </c>
      <c r="Z1286" s="39" t="str">
        <f>IF(AND(B1286&lt;=NKC!$N$8,B1286&gt;=NKC!$M$8),"x","")</f>
        <v/>
      </c>
      <c r="AA1286" s="886"/>
    </row>
    <row r="1287" spans="1:27" s="211" customFormat="1" ht="15.75" customHeight="1">
      <c r="A1287" s="204" t="str">
        <f>IF(B1287&lt;&gt;"",IF(AND(B1287&gt;=_TM1,B1287&lt;=_TM2,OR(TH!L1287="1111",TH!M1287="1111")),TH!D1287,""),"")</f>
        <v/>
      </c>
      <c r="B1287" s="36">
        <f t="shared" si="230"/>
        <v>10</v>
      </c>
      <c r="C1287" s="191">
        <f t="shared" ref="C1287:C1350" si="231">E1287</f>
        <v>41565</v>
      </c>
      <c r="D1287" s="191"/>
      <c r="E1287" s="191">
        <v>41565</v>
      </c>
      <c r="F1287" s="192"/>
      <c r="G1287" s="487" t="s">
        <v>644</v>
      </c>
      <c r="H1287" s="7" t="s">
        <v>1287</v>
      </c>
      <c r="I1287" s="256"/>
      <c r="J1287" s="256"/>
      <c r="K1287" s="602">
        <f t="shared" ref="K1287:K1350" si="232">ROUND(I1287*J1287,0)</f>
        <v>0</v>
      </c>
      <c r="L1287" s="39" t="s">
        <v>165</v>
      </c>
      <c r="M1287" s="603" t="s">
        <v>159</v>
      </c>
      <c r="N1287" s="39" t="str">
        <f>IF(AND('331-CT'!$E$7=TH!H1287,OR(L1287="331",M1287="331")),"331",IF(AND(OR(L1287="131",M1287="131"),H1287='131-CT'!$E$7),"131",""))</f>
        <v/>
      </c>
      <c r="O1287" s="39" t="str">
        <f>IF(AND($B1287&gt;='111'!$N$11,$B1287&lt;='111'!$O$11,OR($L1287=$O$7,$M1287=$O$7)),"x","")</f>
        <v/>
      </c>
      <c r="P1287" s="39" t="str">
        <f>IF(AND($L1287=$O$7,$B1287&lt;'111'!$N$11),"x","")</f>
        <v/>
      </c>
      <c r="Q1287" s="39" t="str">
        <f>IF(AND($M1287=$O$7,$B1287&lt;'111'!$N$11),"x","")</f>
        <v/>
      </c>
      <c r="R1287" s="39" t="str">
        <f>IF(ISERROR(FIND('112'!$M$9,G1287,1)),"",IF((AND(FIND('112'!$M$9,G1287,1)&gt;=1,$B1287&gt;='112'!$N$8,$B1287&lt;='112'!$O$8,OR($L1287='112'!$I$6,$M1287='112'!$I$6))),"x",""))</f>
        <v/>
      </c>
      <c r="S1287" s="39" t="str">
        <f>IF(ISERROR(FIND('112'!$M$9,G1287,1)),"",IF((AND(LEFT(G1287,2)=LEFT('112'!$M$9,2),B1287&lt;'112'!$N$8,$L1287='112'!$I$6)),"x",""))</f>
        <v/>
      </c>
      <c r="T1287" s="39" t="str">
        <f>IF(ISERROR(FIND('112'!$M$9,G1287,1)),"",IF((AND(RIGHT(G1287,2)=RIGHT('112'!$M$9,2),B1287&lt;'112'!$N$8,$M1287='112'!$I$6)),"x",""))</f>
        <v/>
      </c>
      <c r="U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39" t="str">
        <f>IF(OR(TH!L1287=TH!$V$7,M1287=TH!$V$7),"x","")</f>
        <v/>
      </c>
      <c r="W1287" s="39" t="str">
        <f>IF(AND(B1287&gt;='IN-NX'!$P$3,B1287&lt;='IN-NX'!$Q$3,'IN-NX'!$D$7=D1287,OR(LEFT(L1287,2)="15",AND(LEFT(M1287,2)&lt;&gt;"15",LEFT(M1287,2)&lt;&gt;"33"))),"x","")</f>
        <v/>
      </c>
      <c r="X1287" s="39" t="str">
        <f>IF(AND(OR(LEFT(TH!L1287,2)="15",LEFT(TH!M1287,2)="15"),'152-CT'!$J$8=TH!F1287),"x","")</f>
        <v/>
      </c>
      <c r="Y1287" s="39" t="str">
        <f>IF(AND(OR(LEFT(TH!L1287,2)="15",LEFT(TH!M1287,2)="15"),TK!$E$7=TH!F1287),"x","")</f>
        <v/>
      </c>
      <c r="Z1287" s="39" t="str">
        <f>IF(AND(B1287&lt;=NKC!$N$8,B1287&gt;=NKC!$M$8),"x","")</f>
        <v/>
      </c>
      <c r="AA1287" s="886"/>
    </row>
    <row r="1288" spans="1:27" s="211" customFormat="1" ht="15.75" customHeight="1">
      <c r="A1288" s="204" t="str">
        <f>IF(B1288&lt;&gt;"",IF(AND(B1288&gt;=_TM1,B1288&lt;=_TM2,OR(TH!L1288="1111",TH!M1288="1111")),TH!D1288,""),"")</f>
        <v/>
      </c>
      <c r="B1288" s="36">
        <f t="shared" si="230"/>
        <v>10</v>
      </c>
      <c r="C1288" s="191">
        <f t="shared" si="231"/>
        <v>41565</v>
      </c>
      <c r="D1288" s="191"/>
      <c r="E1288" s="191">
        <v>41565</v>
      </c>
      <c r="F1288" s="192"/>
      <c r="G1288" s="487" t="s">
        <v>988</v>
      </c>
      <c r="H1288" s="7" t="s">
        <v>1287</v>
      </c>
      <c r="I1288" s="256"/>
      <c r="J1288" s="256"/>
      <c r="K1288" s="602">
        <f t="shared" si="232"/>
        <v>0</v>
      </c>
      <c r="L1288" s="39" t="s">
        <v>165</v>
      </c>
      <c r="M1288" s="603" t="s">
        <v>159</v>
      </c>
      <c r="N1288" s="39" t="str">
        <f>IF(AND('331-CT'!$E$7=TH!H1288,OR(L1288="331",M1288="331")),"331",IF(AND(OR(L1288="131",M1288="131"),H1288='131-CT'!$E$7),"131",""))</f>
        <v/>
      </c>
      <c r="O1288" s="39" t="str">
        <f>IF(AND($B1288&gt;='111'!$N$11,$B1288&lt;='111'!$O$11,OR($L1288=$O$7,$M1288=$O$7)),"x","")</f>
        <v/>
      </c>
      <c r="P1288" s="39" t="str">
        <f>IF(AND($L1288=$O$7,$B1288&lt;'111'!$N$11),"x","")</f>
        <v/>
      </c>
      <c r="Q1288" s="39" t="str">
        <f>IF(AND($M1288=$O$7,$B1288&lt;'111'!$N$11),"x","")</f>
        <v/>
      </c>
      <c r="R1288" s="39" t="str">
        <f>IF(ISERROR(FIND('112'!$M$9,G1288,1)),"",IF((AND(FIND('112'!$M$9,G1288,1)&gt;=1,$B1288&gt;='112'!$N$8,$B1288&lt;='112'!$O$8,OR($L1288='112'!$I$6,$M1288='112'!$I$6))),"x",""))</f>
        <v/>
      </c>
      <c r="S1288" s="39" t="str">
        <f>IF(ISERROR(FIND('112'!$M$9,G1288,1)),"",IF((AND(LEFT(G1288,2)=LEFT('112'!$M$9,2),B1288&lt;'112'!$N$8,$L1288='112'!$I$6)),"x",""))</f>
        <v/>
      </c>
      <c r="T1288" s="39" t="str">
        <f>IF(ISERROR(FIND('112'!$M$9,G1288,1)),"",IF((AND(RIGHT(G1288,2)=RIGHT('112'!$M$9,2),B1288&lt;'112'!$N$8,$M1288='112'!$I$6)),"x",""))</f>
        <v/>
      </c>
      <c r="U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39" t="str">
        <f>IF(OR(TH!L1288=TH!$V$7,M1288=TH!$V$7),"x","")</f>
        <v/>
      </c>
      <c r="W1288" s="39" t="str">
        <f>IF(AND(B1288&gt;='IN-NX'!$P$3,B1288&lt;='IN-NX'!$Q$3,'IN-NX'!$D$7=D1288,OR(LEFT(L1288,2)="15",AND(LEFT(M1288,2)&lt;&gt;"15",LEFT(M1288,2)&lt;&gt;"33"))),"x","")</f>
        <v/>
      </c>
      <c r="X1288" s="39" t="str">
        <f>IF(AND(OR(LEFT(TH!L1288,2)="15",LEFT(TH!M1288,2)="15"),'152-CT'!$J$8=TH!F1288),"x","")</f>
        <v/>
      </c>
      <c r="Y1288" s="39" t="str">
        <f>IF(AND(OR(LEFT(TH!L1288,2)="15",LEFT(TH!M1288,2)="15"),TK!$E$7=TH!F1288),"x","")</f>
        <v/>
      </c>
      <c r="Z1288" s="39" t="str">
        <f>IF(AND(B1288&lt;=NKC!$N$8,B1288&gt;=NKC!$M$8),"x","")</f>
        <v/>
      </c>
      <c r="AA1288" s="886"/>
    </row>
    <row r="1289" spans="1:27" s="211" customFormat="1" ht="15.75" customHeight="1">
      <c r="A1289" s="204" t="str">
        <f>IF(B1289&lt;&gt;"",IF(AND(B1289&gt;=_TM1,B1289&lt;=_TM2,OR(TH!L1289="1111",TH!M1289="1111")),TH!D1289,""),"")</f>
        <v/>
      </c>
      <c r="B1289" s="36">
        <f t="shared" si="230"/>
        <v>10</v>
      </c>
      <c r="C1289" s="191">
        <f t="shared" si="231"/>
        <v>41565</v>
      </c>
      <c r="D1289" s="37"/>
      <c r="E1289" s="774">
        <v>41565</v>
      </c>
      <c r="F1289" s="189"/>
      <c r="G1289" s="40" t="s">
        <v>990</v>
      </c>
      <c r="H1289" s="7" t="s">
        <v>1287</v>
      </c>
      <c r="I1289" s="816"/>
      <c r="J1289" s="256"/>
      <c r="K1289" s="602">
        <f t="shared" si="232"/>
        <v>0</v>
      </c>
      <c r="L1289" s="39" t="s">
        <v>165</v>
      </c>
      <c r="M1289" s="603" t="s">
        <v>159</v>
      </c>
      <c r="N1289" s="39" t="str">
        <f>IF(AND('331-CT'!$E$7=TH!H1289,OR(L1289="331",M1289="331")),"331",IF(AND(OR(L1289="131",M1289="131"),H1289='131-CT'!$E$7),"131",""))</f>
        <v/>
      </c>
      <c r="O1289" s="39" t="str">
        <f>IF(AND($B1289&gt;='111'!$N$11,$B1289&lt;='111'!$O$11,OR($L1289=$O$7,$M1289=$O$7)),"x","")</f>
        <v/>
      </c>
      <c r="P1289" s="39" t="str">
        <f>IF(AND($L1289=$O$7,$B1289&lt;'111'!$N$11),"x","")</f>
        <v/>
      </c>
      <c r="Q1289" s="39" t="str">
        <f>IF(AND($M1289=$O$7,$B1289&lt;'111'!$N$11),"x","")</f>
        <v/>
      </c>
      <c r="R1289" s="39" t="str">
        <f>IF(ISERROR(FIND('112'!$M$9,G1289,1)),"",IF((AND(FIND('112'!$M$9,G1289,1)&gt;=1,$B1289&gt;='112'!$N$8,$B1289&lt;='112'!$O$8,OR($L1289='112'!$I$6,$M1289='112'!$I$6))),"x",""))</f>
        <v/>
      </c>
      <c r="S1289" s="39" t="str">
        <f>IF(ISERROR(FIND('112'!$M$9,G1289,1)),"",IF((AND(LEFT(G1289,2)=LEFT('112'!$M$9,2),B1289&lt;'112'!$N$8,$L1289='112'!$I$6)),"x",""))</f>
        <v/>
      </c>
      <c r="T1289" s="39" t="str">
        <f>IF(ISERROR(FIND('112'!$M$9,G1289,1)),"",IF((AND(RIGHT(G1289,2)=RIGHT('112'!$M$9,2),B1289&lt;'112'!$N$8,$M1289='112'!$I$6)),"x",""))</f>
        <v/>
      </c>
      <c r="U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39" t="str">
        <f>IF(OR(TH!L1289=TH!$V$7,M1289=TH!$V$7),"x","")</f>
        <v/>
      </c>
      <c r="W1289" s="39" t="str">
        <f>IF(AND(B1289&gt;='IN-NX'!$P$3,B1289&lt;='IN-NX'!$Q$3,'IN-NX'!$D$7=D1289,OR(LEFT(L1289,2)="15",AND(LEFT(M1289,2)&lt;&gt;"15",LEFT(M1289,2)&lt;&gt;"33"))),"x","")</f>
        <v/>
      </c>
      <c r="X1289" s="39" t="str">
        <f>IF(AND(OR(LEFT(TH!L1289,2)="15",LEFT(TH!M1289,2)="15"),'152-CT'!$J$8=TH!F1289),"x","")</f>
        <v/>
      </c>
      <c r="Y1289" s="39" t="str">
        <f>IF(AND(OR(LEFT(TH!L1289,2)="15",LEFT(TH!M1289,2)="15"),TK!$E$7=TH!F1289),"x","")</f>
        <v/>
      </c>
      <c r="Z1289" s="39" t="str">
        <f>IF(AND(B1289&lt;=NKC!$N$8,B1289&gt;=NKC!$M$8),"x","")</f>
        <v/>
      </c>
      <c r="AA1289" s="886"/>
    </row>
    <row r="1290" spans="1:27" s="211" customFormat="1" ht="15.75" customHeight="1">
      <c r="A1290" s="204" t="str">
        <f>IF(B1290&lt;&gt;"",IF(AND(B1290&gt;=_TM1,B1290&lt;=_TM2,OR(TH!L1290="1111",TH!M1290="1111")),TH!D1290,""),"")</f>
        <v/>
      </c>
      <c r="B1290" s="36">
        <f t="shared" si="230"/>
        <v>10</v>
      </c>
      <c r="C1290" s="191">
        <f t="shared" si="231"/>
        <v>41565</v>
      </c>
      <c r="D1290" s="37"/>
      <c r="E1290" s="774">
        <v>41565</v>
      </c>
      <c r="F1290" s="189"/>
      <c r="G1290" s="40" t="s">
        <v>992</v>
      </c>
      <c r="H1290" s="7" t="s">
        <v>1287</v>
      </c>
      <c r="I1290" s="256"/>
      <c r="J1290" s="256"/>
      <c r="K1290" s="602">
        <f t="shared" si="232"/>
        <v>0</v>
      </c>
      <c r="L1290" s="39" t="s">
        <v>165</v>
      </c>
      <c r="M1290" s="603" t="s">
        <v>159</v>
      </c>
      <c r="N1290" s="39" t="str">
        <f>IF(AND('331-CT'!$E$7=TH!H1290,OR(L1290="331",M1290="331")),"331",IF(AND(OR(L1290="131",M1290="131"),H1290='131-CT'!$E$7),"131",""))</f>
        <v/>
      </c>
      <c r="O1290" s="39" t="str">
        <f>IF(AND($B1290&gt;='111'!$N$11,$B1290&lt;='111'!$O$11,OR($L1290=$O$7,$M1290=$O$7)),"x","")</f>
        <v/>
      </c>
      <c r="P1290" s="39" t="str">
        <f>IF(AND($L1290=$O$7,$B1290&lt;'111'!$N$11),"x","")</f>
        <v/>
      </c>
      <c r="Q1290" s="39" t="str">
        <f>IF(AND($M1290=$O$7,$B1290&lt;'111'!$N$11),"x","")</f>
        <v/>
      </c>
      <c r="R1290" s="39" t="str">
        <f>IF(ISERROR(FIND('112'!$M$9,G1290,1)),"",IF((AND(FIND('112'!$M$9,G1290,1)&gt;=1,$B1290&gt;='112'!$N$8,$B1290&lt;='112'!$O$8,OR($L1290='112'!$I$6,$M1290='112'!$I$6))),"x",""))</f>
        <v/>
      </c>
      <c r="S1290" s="39" t="str">
        <f>IF(ISERROR(FIND('112'!$M$9,G1290,1)),"",IF((AND(LEFT(G1290,2)=LEFT('112'!$M$9,2),B1290&lt;'112'!$N$8,$L1290='112'!$I$6)),"x",""))</f>
        <v/>
      </c>
      <c r="T1290" s="39" t="str">
        <f>IF(ISERROR(FIND('112'!$M$9,G1290,1)),"",IF((AND(RIGHT(G1290,2)=RIGHT('112'!$M$9,2),B1290&lt;'112'!$N$8,$M1290='112'!$I$6)),"x",""))</f>
        <v/>
      </c>
      <c r="U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39" t="str">
        <f>IF(OR(TH!L1290=TH!$V$7,M1290=TH!$V$7),"x","")</f>
        <v/>
      </c>
      <c r="W1290" s="39" t="str">
        <f>IF(AND(B1290&gt;='IN-NX'!$P$3,B1290&lt;='IN-NX'!$Q$3,'IN-NX'!$D$7=D1290,OR(LEFT(L1290,2)="15",AND(LEFT(M1290,2)&lt;&gt;"15",LEFT(M1290,2)&lt;&gt;"33"))),"x","")</f>
        <v/>
      </c>
      <c r="X1290" s="39" t="str">
        <f>IF(AND(OR(LEFT(TH!L1290,2)="15",LEFT(TH!M1290,2)="15"),'152-CT'!$J$8=TH!F1290),"x","")</f>
        <v/>
      </c>
      <c r="Y1290" s="39" t="str">
        <f>IF(AND(OR(LEFT(TH!L1290,2)="15",LEFT(TH!M1290,2)="15"),TK!$E$7=TH!F1290),"x","")</f>
        <v/>
      </c>
      <c r="Z1290" s="39" t="str">
        <f>IF(AND(B1290&lt;=NKC!$N$8,B1290&gt;=NKC!$M$8),"x","")</f>
        <v/>
      </c>
      <c r="AA1290" s="886"/>
    </row>
    <row r="1291" spans="1:27" s="211" customFormat="1" ht="15.75" customHeight="1">
      <c r="A1291" s="204" t="str">
        <f>IF(B1291&lt;&gt;"",IF(AND(B1291&gt;=_TM1,B1291&lt;=_TM2,OR(TH!L1291="1111",TH!M1291="1111")),TH!D1291,""),"")</f>
        <v/>
      </c>
      <c r="B1291" s="36">
        <f t="shared" si="230"/>
        <v>10</v>
      </c>
      <c r="C1291" s="191">
        <f t="shared" si="231"/>
        <v>41565</v>
      </c>
      <c r="D1291" s="37"/>
      <c r="E1291" s="774">
        <v>41565</v>
      </c>
      <c r="F1291" s="40"/>
      <c r="G1291" s="40" t="s">
        <v>983</v>
      </c>
      <c r="H1291" s="7" t="s">
        <v>1287</v>
      </c>
      <c r="I1291" s="256"/>
      <c r="J1291" s="256"/>
      <c r="K1291" s="602">
        <f t="shared" si="232"/>
        <v>0</v>
      </c>
      <c r="L1291" s="39" t="s">
        <v>165</v>
      </c>
      <c r="M1291" s="603" t="s">
        <v>159</v>
      </c>
      <c r="N1291" s="39" t="str">
        <f>IF(AND('331-CT'!$E$7=TH!H1291,OR(L1291="331",M1291="331")),"331",IF(AND(OR(L1291="131",M1291="131"),H1291='131-CT'!$E$7),"131",""))</f>
        <v/>
      </c>
      <c r="O1291" s="39" t="str">
        <f>IF(AND($B1291&gt;='111'!$N$11,$B1291&lt;='111'!$O$11,OR($L1291=$O$7,$M1291=$O$7)),"x","")</f>
        <v/>
      </c>
      <c r="P1291" s="39" t="str">
        <f>IF(AND($L1291=$O$7,$B1291&lt;'111'!$N$11),"x","")</f>
        <v/>
      </c>
      <c r="Q1291" s="39" t="str">
        <f>IF(AND($M1291=$O$7,$B1291&lt;'111'!$N$11),"x","")</f>
        <v/>
      </c>
      <c r="R1291" s="39" t="str">
        <f>IF(ISERROR(FIND('112'!$M$9,G1291,1)),"",IF((AND(FIND('112'!$M$9,G1291,1)&gt;=1,$B1291&gt;='112'!$N$8,$B1291&lt;='112'!$O$8,OR($L1291='112'!$I$6,$M1291='112'!$I$6))),"x",""))</f>
        <v/>
      </c>
      <c r="S1291" s="39" t="str">
        <f>IF(ISERROR(FIND('112'!$M$9,G1291,1)),"",IF((AND(LEFT(G1291,2)=LEFT('112'!$M$9,2),B1291&lt;'112'!$N$8,$L1291='112'!$I$6)),"x",""))</f>
        <v/>
      </c>
      <c r="T1291" s="39" t="str">
        <f>IF(ISERROR(FIND('112'!$M$9,G1291,1)),"",IF((AND(RIGHT(G1291,2)=RIGHT('112'!$M$9,2),B1291&lt;'112'!$N$8,$M1291='112'!$I$6)),"x",""))</f>
        <v/>
      </c>
      <c r="U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39" t="str">
        <f>IF(OR(TH!L1291=TH!$V$7,M1291=TH!$V$7),"x","")</f>
        <v/>
      </c>
      <c r="W1291" s="39" t="str">
        <f>IF(AND(B1291&gt;='IN-NX'!$P$3,B1291&lt;='IN-NX'!$Q$3,'IN-NX'!$D$7=D1291,OR(LEFT(L1291,2)="15",AND(LEFT(M1291,2)&lt;&gt;"15",LEFT(M1291,2)&lt;&gt;"33"))),"x","")</f>
        <v/>
      </c>
      <c r="X1291" s="39" t="str">
        <f>IF(AND(OR(LEFT(TH!L1291,2)="15",LEFT(TH!M1291,2)="15"),'152-CT'!$J$8=TH!F1291),"x","")</f>
        <v/>
      </c>
      <c r="Y1291" s="39" t="str">
        <f>IF(AND(OR(LEFT(TH!L1291,2)="15",LEFT(TH!M1291,2)="15"),TK!$E$7=TH!F1291),"x","")</f>
        <v/>
      </c>
      <c r="Z1291" s="39" t="str">
        <f>IF(AND(B1291&lt;=NKC!$N$8,B1291&gt;=NKC!$M$8),"x","")</f>
        <v/>
      </c>
      <c r="AA1291" s="886"/>
    </row>
    <row r="1292" spans="1:27" s="211" customFormat="1" ht="15.75" customHeight="1">
      <c r="A1292" s="204" t="str">
        <f>IF(B1292&lt;&gt;"",IF(AND(B1292&gt;=_TM1,B1292&lt;=_TM2,OR(TH!L1292="1111",TH!M1292="1111")),TH!D1292,""),"")</f>
        <v/>
      </c>
      <c r="B1292" s="36">
        <f t="shared" si="230"/>
        <v>10</v>
      </c>
      <c r="C1292" s="191">
        <f t="shared" si="231"/>
        <v>41565</v>
      </c>
      <c r="D1292" s="37"/>
      <c r="E1292" s="774">
        <v>41565</v>
      </c>
      <c r="F1292" s="189"/>
      <c r="G1292" s="40" t="s">
        <v>988</v>
      </c>
      <c r="H1292" s="7" t="s">
        <v>1287</v>
      </c>
      <c r="I1292" s="256"/>
      <c r="J1292" s="256"/>
      <c r="K1292" s="602">
        <f t="shared" si="232"/>
        <v>0</v>
      </c>
      <c r="L1292" s="39" t="s">
        <v>165</v>
      </c>
      <c r="M1292" s="603" t="s">
        <v>159</v>
      </c>
      <c r="N1292" s="39" t="str">
        <f>IF(AND('331-CT'!$E$7=TH!H1292,OR(L1292="331",M1292="331")),"331",IF(AND(OR(L1292="131",M1292="131"),H1292='131-CT'!$E$7),"131",""))</f>
        <v/>
      </c>
      <c r="O1292" s="39" t="str">
        <f>IF(AND($B1292&gt;='111'!$N$11,$B1292&lt;='111'!$O$11,OR($L1292=$O$7,$M1292=$O$7)),"x","")</f>
        <v/>
      </c>
      <c r="P1292" s="39" t="str">
        <f>IF(AND($L1292=$O$7,$B1292&lt;'111'!$N$11),"x","")</f>
        <v/>
      </c>
      <c r="Q1292" s="39" t="str">
        <f>IF(AND($M1292=$O$7,$B1292&lt;'111'!$N$11),"x","")</f>
        <v/>
      </c>
      <c r="R1292" s="39" t="str">
        <f>IF(ISERROR(FIND('112'!$M$9,G1292,1)),"",IF((AND(FIND('112'!$M$9,G1292,1)&gt;=1,$B1292&gt;='112'!$N$8,$B1292&lt;='112'!$O$8,OR($L1292='112'!$I$6,$M1292='112'!$I$6))),"x",""))</f>
        <v/>
      </c>
      <c r="S1292" s="39" t="str">
        <f>IF(ISERROR(FIND('112'!$M$9,G1292,1)),"",IF((AND(LEFT(G1292,2)=LEFT('112'!$M$9,2),B1292&lt;'112'!$N$8,$L1292='112'!$I$6)),"x",""))</f>
        <v/>
      </c>
      <c r="T1292" s="39" t="str">
        <f>IF(ISERROR(FIND('112'!$M$9,G1292,1)),"",IF((AND(RIGHT(G1292,2)=RIGHT('112'!$M$9,2),B1292&lt;'112'!$N$8,$M1292='112'!$I$6)),"x",""))</f>
        <v/>
      </c>
      <c r="U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39" t="str">
        <f>IF(OR(TH!L1292=TH!$V$7,M1292=TH!$V$7),"x","")</f>
        <v/>
      </c>
      <c r="W1292" s="39" t="str">
        <f>IF(AND(B1292&gt;='IN-NX'!$P$3,B1292&lt;='IN-NX'!$Q$3,'IN-NX'!$D$7=D1292,OR(LEFT(L1292,2)="15",AND(LEFT(M1292,2)&lt;&gt;"15",LEFT(M1292,2)&lt;&gt;"33"))),"x","")</f>
        <v/>
      </c>
      <c r="X1292" s="39" t="str">
        <f>IF(AND(OR(LEFT(TH!L1292,2)="15",LEFT(TH!M1292,2)="15"),'152-CT'!$J$8=TH!F1292),"x","")</f>
        <v/>
      </c>
      <c r="Y1292" s="39" t="str">
        <f>IF(AND(OR(LEFT(TH!L1292,2)="15",LEFT(TH!M1292,2)="15"),TK!$E$7=TH!F1292),"x","")</f>
        <v/>
      </c>
      <c r="Z1292" s="39" t="str">
        <f>IF(AND(B1292&lt;=NKC!$N$8,B1292&gt;=NKC!$M$8),"x","")</f>
        <v/>
      </c>
      <c r="AA1292" s="886"/>
    </row>
    <row r="1293" spans="1:27" s="211" customFormat="1" ht="15.75" customHeight="1">
      <c r="A1293" s="204" t="str">
        <f>IF(B1293&lt;&gt;"",IF(AND(B1293&gt;=_TM1,B1293&lt;=_TM2,OR(TH!L1293="1111",TH!M1293="1111")),TH!D1293,""),"")</f>
        <v/>
      </c>
      <c r="B1293" s="36">
        <f t="shared" si="230"/>
        <v>10</v>
      </c>
      <c r="C1293" s="191">
        <f t="shared" si="231"/>
        <v>41565</v>
      </c>
      <c r="D1293" s="37"/>
      <c r="E1293" s="774">
        <v>41565</v>
      </c>
      <c r="F1293" s="40"/>
      <c r="G1293" s="40" t="s">
        <v>988</v>
      </c>
      <c r="H1293" s="7" t="s">
        <v>1287</v>
      </c>
      <c r="I1293" s="256"/>
      <c r="J1293" s="256"/>
      <c r="K1293" s="602">
        <f t="shared" si="232"/>
        <v>0</v>
      </c>
      <c r="L1293" s="39" t="s">
        <v>165</v>
      </c>
      <c r="M1293" s="603" t="s">
        <v>159</v>
      </c>
      <c r="N1293" s="39" t="str">
        <f>IF(AND('331-CT'!$E$7=TH!H1293,OR(L1293="331",M1293="331")),"331",IF(AND(OR(L1293="131",M1293="131"),H1293='131-CT'!$E$7),"131",""))</f>
        <v/>
      </c>
      <c r="O1293" s="39" t="str">
        <f>IF(AND($B1293&gt;='111'!$N$11,$B1293&lt;='111'!$O$11,OR($L1293=$O$7,$M1293=$O$7)),"x","")</f>
        <v/>
      </c>
      <c r="P1293" s="39" t="str">
        <f>IF(AND($L1293=$O$7,$B1293&lt;'111'!$N$11),"x","")</f>
        <v/>
      </c>
      <c r="Q1293" s="39" t="str">
        <f>IF(AND($M1293=$O$7,$B1293&lt;'111'!$N$11),"x","")</f>
        <v/>
      </c>
      <c r="R1293" s="39" t="str">
        <f>IF(ISERROR(FIND('112'!$M$9,G1293,1)),"",IF((AND(FIND('112'!$M$9,G1293,1)&gt;=1,$B1293&gt;='112'!$N$8,$B1293&lt;='112'!$O$8,OR($L1293='112'!$I$6,$M1293='112'!$I$6))),"x",""))</f>
        <v/>
      </c>
      <c r="S1293" s="39" t="str">
        <f>IF(ISERROR(FIND('112'!$M$9,G1293,1)),"",IF((AND(LEFT(G1293,2)=LEFT('112'!$M$9,2),B1293&lt;'112'!$N$8,$L1293='112'!$I$6)),"x",""))</f>
        <v/>
      </c>
      <c r="T1293" s="39" t="str">
        <f>IF(ISERROR(FIND('112'!$M$9,G1293,1)),"",IF((AND(RIGHT(G1293,2)=RIGHT('112'!$M$9,2),B1293&lt;'112'!$N$8,$M1293='112'!$I$6)),"x",""))</f>
        <v/>
      </c>
      <c r="U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39" t="str">
        <f>IF(OR(TH!L1293=TH!$V$7,M1293=TH!$V$7),"x","")</f>
        <v/>
      </c>
      <c r="W1293" s="39" t="str">
        <f>IF(AND(B1293&gt;='IN-NX'!$P$3,B1293&lt;='IN-NX'!$Q$3,'IN-NX'!$D$7=D1293,OR(LEFT(L1293,2)="15",AND(LEFT(M1293,2)&lt;&gt;"15",LEFT(M1293,2)&lt;&gt;"33"))),"x","")</f>
        <v/>
      </c>
      <c r="X1293" s="39" t="str">
        <f>IF(AND(OR(LEFT(TH!L1293,2)="15",LEFT(TH!M1293,2)="15"),'152-CT'!$J$8=TH!F1293),"x","")</f>
        <v/>
      </c>
      <c r="Y1293" s="39" t="str">
        <f>IF(AND(OR(LEFT(TH!L1293,2)="15",LEFT(TH!M1293,2)="15"),TK!$E$7=TH!F1293),"x","")</f>
        <v/>
      </c>
      <c r="Z1293" s="39" t="str">
        <f>IF(AND(B1293&lt;=NKC!$N$8,B1293&gt;=NKC!$M$8),"x","")</f>
        <v/>
      </c>
      <c r="AA1293" s="886"/>
    </row>
    <row r="1294" spans="1:27" s="211" customFormat="1" ht="15.75" customHeight="1">
      <c r="A1294" s="204" t="str">
        <f>IF(B1294&lt;&gt;"",IF(AND(B1294&gt;=_TM1,B1294&lt;=_TM2,OR(TH!L1294="1111",TH!M1294="1111")),TH!D1294,""),"")</f>
        <v/>
      </c>
      <c r="B1294" s="36">
        <f t="shared" si="230"/>
        <v>10</v>
      </c>
      <c r="C1294" s="191">
        <f t="shared" si="231"/>
        <v>41566</v>
      </c>
      <c r="D1294" s="37"/>
      <c r="E1294" s="37">
        <v>41566</v>
      </c>
      <c r="F1294" s="40"/>
      <c r="G1294" s="40" t="s">
        <v>990</v>
      </c>
      <c r="H1294" s="7" t="s">
        <v>1287</v>
      </c>
      <c r="I1294" s="256"/>
      <c r="J1294" s="256"/>
      <c r="K1294" s="602">
        <f t="shared" si="232"/>
        <v>0</v>
      </c>
      <c r="L1294" s="39" t="s">
        <v>165</v>
      </c>
      <c r="M1294" s="603" t="s">
        <v>159</v>
      </c>
      <c r="N1294" s="39" t="str">
        <f>IF(AND('331-CT'!$E$7=TH!H1294,OR(L1294="331",M1294="331")),"331",IF(AND(OR(L1294="131",M1294="131"),H1294='131-CT'!$E$7),"131",""))</f>
        <v/>
      </c>
      <c r="O1294" s="39" t="str">
        <f>IF(AND($B1294&gt;='111'!$N$11,$B1294&lt;='111'!$O$11,OR($L1294=$O$7,$M1294=$O$7)),"x","")</f>
        <v/>
      </c>
      <c r="P1294" s="39" t="str">
        <f>IF(AND($L1294=$O$7,$B1294&lt;'111'!$N$11),"x","")</f>
        <v/>
      </c>
      <c r="Q1294" s="39" t="str">
        <f>IF(AND($M1294=$O$7,$B1294&lt;'111'!$N$11),"x","")</f>
        <v/>
      </c>
      <c r="R1294" s="39" t="str">
        <f>IF(ISERROR(FIND('112'!$M$9,G1294,1)),"",IF((AND(FIND('112'!$M$9,G1294,1)&gt;=1,$B1294&gt;='112'!$N$8,$B1294&lt;='112'!$O$8,OR($L1294='112'!$I$6,$M1294='112'!$I$6))),"x",""))</f>
        <v/>
      </c>
      <c r="S1294" s="39" t="str">
        <f>IF(ISERROR(FIND('112'!$M$9,G1294,1)),"",IF((AND(LEFT(G1294,2)=LEFT('112'!$M$9,2),B1294&lt;'112'!$N$8,$L1294='112'!$I$6)),"x",""))</f>
        <v/>
      </c>
      <c r="T1294" s="39" t="str">
        <f>IF(ISERROR(FIND('112'!$M$9,G1294,1)),"",IF((AND(RIGHT(G1294,2)=RIGHT('112'!$M$9,2),B1294&lt;'112'!$N$8,$M1294='112'!$I$6)),"x",""))</f>
        <v/>
      </c>
      <c r="U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39" t="str">
        <f>IF(OR(TH!L1294=TH!$V$7,M1294=TH!$V$7),"x","")</f>
        <v/>
      </c>
      <c r="W1294" s="39" t="str">
        <f>IF(AND(B1294&gt;='IN-NX'!$P$3,B1294&lt;='IN-NX'!$Q$3,'IN-NX'!$D$7=D1294,OR(LEFT(L1294,2)="15",AND(LEFT(M1294,2)&lt;&gt;"15",LEFT(M1294,2)&lt;&gt;"33"))),"x","")</f>
        <v/>
      </c>
      <c r="X1294" s="39" t="str">
        <f>IF(AND(OR(LEFT(TH!L1294,2)="15",LEFT(TH!M1294,2)="15"),'152-CT'!$J$8=TH!F1294),"x","")</f>
        <v/>
      </c>
      <c r="Y1294" s="39" t="str">
        <f>IF(AND(OR(LEFT(TH!L1294,2)="15",LEFT(TH!M1294,2)="15"),TK!$E$7=TH!F1294),"x","")</f>
        <v/>
      </c>
      <c r="Z1294" s="39" t="str">
        <f>IF(AND(B1294&lt;=NKC!$N$8,B1294&gt;=NKC!$M$8),"x","")</f>
        <v/>
      </c>
      <c r="AA1294" s="886"/>
    </row>
    <row r="1295" spans="1:27" s="211" customFormat="1" ht="15.75" customHeight="1">
      <c r="A1295" s="204" t="str">
        <f>IF(B1295&lt;&gt;"",IF(AND(B1295&gt;=_TM1,B1295&lt;=_TM2,OR(TH!L1295="1111",TH!M1295="1111")),TH!D1295,""),"")</f>
        <v/>
      </c>
      <c r="B1295" s="36">
        <f t="shared" si="230"/>
        <v>10</v>
      </c>
      <c r="C1295" s="191">
        <f t="shared" si="231"/>
        <v>41568</v>
      </c>
      <c r="D1295" s="37"/>
      <c r="E1295" s="37">
        <v>41568</v>
      </c>
      <c r="F1295" s="40"/>
      <c r="G1295" s="40" t="s">
        <v>992</v>
      </c>
      <c r="H1295" s="7" t="s">
        <v>1287</v>
      </c>
      <c r="I1295" s="256"/>
      <c r="J1295" s="256"/>
      <c r="K1295" s="602">
        <f t="shared" si="232"/>
        <v>0</v>
      </c>
      <c r="L1295" s="39" t="s">
        <v>165</v>
      </c>
      <c r="M1295" s="603" t="s">
        <v>159</v>
      </c>
      <c r="N1295" s="39" t="str">
        <f>IF(AND('331-CT'!$E$7=TH!H1295,OR(L1295="331",M1295="331")),"331",IF(AND(OR(L1295="131",M1295="131"),H1295='131-CT'!$E$7),"131",""))</f>
        <v/>
      </c>
      <c r="O1295" s="39" t="str">
        <f>IF(AND($B1295&gt;='111'!$N$11,$B1295&lt;='111'!$O$11,OR($L1295=$O$7,$M1295=$O$7)),"x","")</f>
        <v/>
      </c>
      <c r="P1295" s="39" t="str">
        <f>IF(AND($L1295=$O$7,$B1295&lt;'111'!$N$11),"x","")</f>
        <v/>
      </c>
      <c r="Q1295" s="39" t="str">
        <f>IF(AND($M1295=$O$7,$B1295&lt;'111'!$N$11),"x","")</f>
        <v/>
      </c>
      <c r="R1295" s="39" t="str">
        <f>IF(ISERROR(FIND('112'!$M$9,G1295,1)),"",IF((AND(FIND('112'!$M$9,G1295,1)&gt;=1,$B1295&gt;='112'!$N$8,$B1295&lt;='112'!$O$8,OR($L1295='112'!$I$6,$M1295='112'!$I$6))),"x",""))</f>
        <v/>
      </c>
      <c r="S1295" s="39" t="str">
        <f>IF(ISERROR(FIND('112'!$M$9,G1295,1)),"",IF((AND(LEFT(G1295,2)=LEFT('112'!$M$9,2),B1295&lt;'112'!$N$8,$L1295='112'!$I$6)),"x",""))</f>
        <v/>
      </c>
      <c r="T1295" s="39" t="str">
        <f>IF(ISERROR(FIND('112'!$M$9,G1295,1)),"",IF((AND(RIGHT(G1295,2)=RIGHT('112'!$M$9,2),B1295&lt;'112'!$N$8,$M1295='112'!$I$6)),"x",""))</f>
        <v/>
      </c>
      <c r="U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39" t="str">
        <f>IF(OR(TH!L1295=TH!$V$7,M1295=TH!$V$7),"x","")</f>
        <v/>
      </c>
      <c r="W1295" s="39" t="str">
        <f>IF(AND(B1295&gt;='IN-NX'!$P$3,B1295&lt;='IN-NX'!$Q$3,'IN-NX'!$D$7=D1295,OR(LEFT(L1295,2)="15",AND(LEFT(M1295,2)&lt;&gt;"15",LEFT(M1295,2)&lt;&gt;"33"))),"x","")</f>
        <v/>
      </c>
      <c r="X1295" s="39" t="str">
        <f>IF(AND(OR(LEFT(TH!L1295,2)="15",LEFT(TH!M1295,2)="15"),'152-CT'!$J$8=TH!F1295),"x","")</f>
        <v/>
      </c>
      <c r="Y1295" s="39" t="str">
        <f>IF(AND(OR(LEFT(TH!L1295,2)="15",LEFT(TH!M1295,2)="15"),TK!$E$7=TH!F1295),"x","")</f>
        <v/>
      </c>
      <c r="Z1295" s="39" t="str">
        <f>IF(AND(B1295&lt;=NKC!$N$8,B1295&gt;=NKC!$M$8),"x","")</f>
        <v/>
      </c>
      <c r="AA1295" s="886"/>
    </row>
    <row r="1296" spans="1:27" s="211" customFormat="1" ht="15.75" customHeight="1">
      <c r="A1296" s="204" t="str">
        <f>IF(B1296&lt;&gt;"",IF(AND(B1296&gt;=_TM1,B1296&lt;=_TM2,OR(TH!L1296="1111",TH!M1296="1111")),TH!D1296,""),"")</f>
        <v/>
      </c>
      <c r="B1296" s="36">
        <f t="shared" si="230"/>
        <v>10</v>
      </c>
      <c r="C1296" s="191">
        <f t="shared" si="231"/>
        <v>41568</v>
      </c>
      <c r="D1296" s="37"/>
      <c r="E1296" s="37">
        <v>41568</v>
      </c>
      <c r="F1296" s="40"/>
      <c r="G1296" s="40" t="s">
        <v>992</v>
      </c>
      <c r="H1296" s="7" t="s">
        <v>1287</v>
      </c>
      <c r="I1296" s="256"/>
      <c r="J1296" s="256"/>
      <c r="K1296" s="602">
        <f t="shared" si="232"/>
        <v>0</v>
      </c>
      <c r="L1296" s="39" t="s">
        <v>165</v>
      </c>
      <c r="M1296" s="603" t="s">
        <v>159</v>
      </c>
      <c r="N1296" s="39" t="str">
        <f>IF(AND('331-CT'!$E$7=TH!H1296,OR(L1296="331",M1296="331")),"331",IF(AND(OR(L1296="131",M1296="131"),H1296='131-CT'!$E$7),"131",""))</f>
        <v/>
      </c>
      <c r="O1296" s="39" t="str">
        <f>IF(AND($B1296&gt;='111'!$N$11,$B1296&lt;='111'!$O$11,OR($L1296=$O$7,$M1296=$O$7)),"x","")</f>
        <v/>
      </c>
      <c r="P1296" s="39" t="str">
        <f>IF(AND($L1296=$O$7,$B1296&lt;'111'!$N$11),"x","")</f>
        <v/>
      </c>
      <c r="Q1296" s="39" t="str">
        <f>IF(AND($M1296=$O$7,$B1296&lt;'111'!$N$11),"x","")</f>
        <v/>
      </c>
      <c r="R1296" s="39" t="str">
        <f>IF(ISERROR(FIND('112'!$M$9,G1296,1)),"",IF((AND(FIND('112'!$M$9,G1296,1)&gt;=1,$B1296&gt;='112'!$N$8,$B1296&lt;='112'!$O$8,OR($L1296='112'!$I$6,$M1296='112'!$I$6))),"x",""))</f>
        <v/>
      </c>
      <c r="S1296" s="39" t="str">
        <f>IF(ISERROR(FIND('112'!$M$9,G1296,1)),"",IF((AND(LEFT(G1296,2)=LEFT('112'!$M$9,2),B1296&lt;'112'!$N$8,$L1296='112'!$I$6)),"x",""))</f>
        <v/>
      </c>
      <c r="T1296" s="39" t="str">
        <f>IF(ISERROR(FIND('112'!$M$9,G1296,1)),"",IF((AND(RIGHT(G1296,2)=RIGHT('112'!$M$9,2),B1296&lt;'112'!$N$8,$M1296='112'!$I$6)),"x",""))</f>
        <v/>
      </c>
      <c r="U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39" t="str">
        <f>IF(OR(TH!L1296=TH!$V$7,M1296=TH!$V$7),"x","")</f>
        <v/>
      </c>
      <c r="W1296" s="39" t="str">
        <f>IF(AND(B1296&gt;='IN-NX'!$P$3,B1296&lt;='IN-NX'!$Q$3,'IN-NX'!$D$7=D1296,OR(LEFT(L1296,2)="15",AND(LEFT(M1296,2)&lt;&gt;"15",LEFT(M1296,2)&lt;&gt;"33"))),"x","")</f>
        <v/>
      </c>
      <c r="X1296" s="39" t="str">
        <f>IF(AND(OR(LEFT(TH!L1296,2)="15",LEFT(TH!M1296,2)="15"),'152-CT'!$J$8=TH!F1296),"x","")</f>
        <v/>
      </c>
      <c r="Y1296" s="39" t="str">
        <f>IF(AND(OR(LEFT(TH!L1296,2)="15",LEFT(TH!M1296,2)="15"),TK!$E$7=TH!F1296),"x","")</f>
        <v/>
      </c>
      <c r="Z1296" s="39" t="str">
        <f>IF(AND(B1296&lt;=NKC!$N$8,B1296&gt;=NKC!$M$8),"x","")</f>
        <v/>
      </c>
      <c r="AA1296" s="886"/>
    </row>
    <row r="1297" spans="1:27" s="211" customFormat="1" ht="15.75" customHeight="1">
      <c r="A1297" s="204" t="str">
        <f>IF(B1297&lt;&gt;"",IF(AND(B1297&gt;=_TM1,B1297&lt;=_TM2,OR(TH!L1297="1111",TH!M1297="1111")),TH!D1297,""),"")</f>
        <v/>
      </c>
      <c r="B1297" s="36">
        <f t="shared" si="230"/>
        <v>10</v>
      </c>
      <c r="C1297" s="191">
        <f t="shared" si="231"/>
        <v>41568</v>
      </c>
      <c r="D1297" s="37"/>
      <c r="E1297" s="37">
        <v>41568</v>
      </c>
      <c r="F1297" s="40"/>
      <c r="G1297" s="40" t="s">
        <v>992</v>
      </c>
      <c r="H1297" s="7" t="s">
        <v>1287</v>
      </c>
      <c r="I1297" s="256"/>
      <c r="J1297" s="256"/>
      <c r="K1297" s="602">
        <f t="shared" si="232"/>
        <v>0</v>
      </c>
      <c r="L1297" s="39" t="s">
        <v>165</v>
      </c>
      <c r="M1297" s="603" t="s">
        <v>159</v>
      </c>
      <c r="N1297" s="39" t="str">
        <f>IF(AND('331-CT'!$E$7=TH!H1297,OR(L1297="331",M1297="331")),"331",IF(AND(OR(L1297="131",M1297="131"),H1297='131-CT'!$E$7),"131",""))</f>
        <v/>
      </c>
      <c r="O1297" s="39" t="str">
        <f>IF(AND($B1297&gt;='111'!$N$11,$B1297&lt;='111'!$O$11,OR($L1297=$O$7,$M1297=$O$7)),"x","")</f>
        <v/>
      </c>
      <c r="P1297" s="39" t="str">
        <f>IF(AND($L1297=$O$7,$B1297&lt;'111'!$N$11),"x","")</f>
        <v/>
      </c>
      <c r="Q1297" s="39" t="str">
        <f>IF(AND($M1297=$O$7,$B1297&lt;'111'!$N$11),"x","")</f>
        <v/>
      </c>
      <c r="R1297" s="39" t="str">
        <f>IF(ISERROR(FIND('112'!$M$9,G1297,1)),"",IF((AND(FIND('112'!$M$9,G1297,1)&gt;=1,$B1297&gt;='112'!$N$8,$B1297&lt;='112'!$O$8,OR($L1297='112'!$I$6,$M1297='112'!$I$6))),"x",""))</f>
        <v/>
      </c>
      <c r="S1297" s="39" t="str">
        <f>IF(ISERROR(FIND('112'!$M$9,G1297,1)),"",IF((AND(LEFT(G1297,2)=LEFT('112'!$M$9,2),B1297&lt;'112'!$N$8,$L1297='112'!$I$6)),"x",""))</f>
        <v/>
      </c>
      <c r="T1297" s="39" t="str">
        <f>IF(ISERROR(FIND('112'!$M$9,G1297,1)),"",IF((AND(RIGHT(G1297,2)=RIGHT('112'!$M$9,2),B1297&lt;'112'!$N$8,$M1297='112'!$I$6)),"x",""))</f>
        <v/>
      </c>
      <c r="U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39" t="str">
        <f>IF(OR(TH!L1297=TH!$V$7,M1297=TH!$V$7),"x","")</f>
        <v/>
      </c>
      <c r="W1297" s="39" t="str">
        <f>IF(AND(B1297&gt;='IN-NX'!$P$3,B1297&lt;='IN-NX'!$Q$3,'IN-NX'!$D$7=D1297,OR(LEFT(L1297,2)="15",AND(LEFT(M1297,2)&lt;&gt;"15",LEFT(M1297,2)&lt;&gt;"33"))),"x","")</f>
        <v/>
      </c>
      <c r="X1297" s="39" t="str">
        <f>IF(AND(OR(LEFT(TH!L1297,2)="15",LEFT(TH!M1297,2)="15"),'152-CT'!$J$8=TH!F1297),"x","")</f>
        <v/>
      </c>
      <c r="Y1297" s="39" t="str">
        <f>IF(AND(OR(LEFT(TH!L1297,2)="15",LEFT(TH!M1297,2)="15"),TK!$E$7=TH!F1297),"x","")</f>
        <v/>
      </c>
      <c r="Z1297" s="39" t="str">
        <f>IF(AND(B1297&lt;=NKC!$N$8,B1297&gt;=NKC!$M$8),"x","")</f>
        <v/>
      </c>
      <c r="AA1297" s="886"/>
    </row>
    <row r="1298" spans="1:27" s="211" customFormat="1" ht="15.75" customHeight="1">
      <c r="A1298" s="204" t="str">
        <f>IF(B1298&lt;&gt;"",IF(AND(B1298&gt;=_TM1,B1298&lt;=_TM2,OR(TH!L1298="1111",TH!M1298="1111")),TH!D1298,""),"")</f>
        <v/>
      </c>
      <c r="B1298" s="36">
        <f t="shared" si="230"/>
        <v>10</v>
      </c>
      <c r="C1298" s="191">
        <f t="shared" si="231"/>
        <v>41568</v>
      </c>
      <c r="D1298" s="37"/>
      <c r="E1298" s="37">
        <v>41568</v>
      </c>
      <c r="F1298" s="40"/>
      <c r="G1298" s="40" t="s">
        <v>995</v>
      </c>
      <c r="H1298" s="7" t="s">
        <v>1287</v>
      </c>
      <c r="I1298" s="256"/>
      <c r="J1298" s="256"/>
      <c r="K1298" s="602">
        <f t="shared" si="232"/>
        <v>0</v>
      </c>
      <c r="L1298" s="39" t="s">
        <v>165</v>
      </c>
      <c r="M1298" s="603" t="s">
        <v>159</v>
      </c>
      <c r="N1298" s="39" t="str">
        <f>IF(AND('331-CT'!$E$7=TH!H1298,OR(L1298="331",M1298="331")),"331",IF(AND(OR(L1298="131",M1298="131"),H1298='131-CT'!$E$7),"131",""))</f>
        <v/>
      </c>
      <c r="O1298" s="39" t="str">
        <f>IF(AND($B1298&gt;='111'!$N$11,$B1298&lt;='111'!$O$11,OR($L1298=$O$7,$M1298=$O$7)),"x","")</f>
        <v/>
      </c>
      <c r="P1298" s="39" t="str">
        <f>IF(AND($L1298=$O$7,$B1298&lt;'111'!$N$11),"x","")</f>
        <v/>
      </c>
      <c r="Q1298" s="39" t="str">
        <f>IF(AND($M1298=$O$7,$B1298&lt;'111'!$N$11),"x","")</f>
        <v/>
      </c>
      <c r="R1298" s="39" t="str">
        <f>IF(ISERROR(FIND('112'!$M$9,G1298,1)),"",IF((AND(FIND('112'!$M$9,G1298,1)&gt;=1,$B1298&gt;='112'!$N$8,$B1298&lt;='112'!$O$8,OR($L1298='112'!$I$6,$M1298='112'!$I$6))),"x",""))</f>
        <v/>
      </c>
      <c r="S1298" s="39" t="str">
        <f>IF(ISERROR(FIND('112'!$M$9,G1298,1)),"",IF((AND(LEFT(G1298,2)=LEFT('112'!$M$9,2),B1298&lt;'112'!$N$8,$L1298='112'!$I$6)),"x",""))</f>
        <v/>
      </c>
      <c r="T1298" s="39" t="str">
        <f>IF(ISERROR(FIND('112'!$M$9,G1298,1)),"",IF((AND(RIGHT(G1298,2)=RIGHT('112'!$M$9,2),B1298&lt;'112'!$N$8,$M1298='112'!$I$6)),"x",""))</f>
        <v/>
      </c>
      <c r="U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39" t="str">
        <f>IF(OR(TH!L1298=TH!$V$7,M1298=TH!$V$7),"x","")</f>
        <v/>
      </c>
      <c r="W1298" s="39" t="str">
        <f>IF(AND(B1298&gt;='IN-NX'!$P$3,B1298&lt;='IN-NX'!$Q$3,'IN-NX'!$D$7=D1298,OR(LEFT(L1298,2)="15",AND(LEFT(M1298,2)&lt;&gt;"15",LEFT(M1298,2)&lt;&gt;"33"))),"x","")</f>
        <v/>
      </c>
      <c r="X1298" s="39" t="str">
        <f>IF(AND(OR(LEFT(TH!L1298,2)="15",LEFT(TH!M1298,2)="15"),'152-CT'!$J$8=TH!F1298),"x","")</f>
        <v/>
      </c>
      <c r="Y1298" s="39" t="str">
        <f>IF(AND(OR(LEFT(TH!L1298,2)="15",LEFT(TH!M1298,2)="15"),TK!$E$7=TH!F1298),"x","")</f>
        <v/>
      </c>
      <c r="Z1298" s="39" t="str">
        <f>IF(AND(B1298&lt;=NKC!$N$8,B1298&gt;=NKC!$M$8),"x","")</f>
        <v/>
      </c>
      <c r="AA1298" s="886"/>
    </row>
    <row r="1299" spans="1:27" s="211" customFormat="1" ht="15.75" customHeight="1">
      <c r="A1299" s="204" t="str">
        <f>IF(B1299&lt;&gt;"",IF(AND(B1299&gt;=_TM1,B1299&lt;=_TM2,OR(TH!L1299="1111",TH!M1299="1111")),TH!D1299,""),"")</f>
        <v/>
      </c>
      <c r="B1299" s="36">
        <f t="shared" si="230"/>
        <v>10</v>
      </c>
      <c r="C1299" s="191">
        <f t="shared" si="231"/>
        <v>41570</v>
      </c>
      <c r="D1299" s="37"/>
      <c r="E1299" s="37">
        <v>41570</v>
      </c>
      <c r="F1299" s="40"/>
      <c r="G1299" s="40" t="s">
        <v>996</v>
      </c>
      <c r="H1299" s="7" t="s">
        <v>1287</v>
      </c>
      <c r="I1299" s="256"/>
      <c r="J1299" s="256"/>
      <c r="K1299" s="602">
        <f t="shared" si="232"/>
        <v>0</v>
      </c>
      <c r="L1299" s="39" t="s">
        <v>165</v>
      </c>
      <c r="M1299" s="603" t="s">
        <v>159</v>
      </c>
      <c r="N1299" s="39" t="str">
        <f>IF(AND('331-CT'!$E$7=TH!H1299,OR(L1299="331",M1299="331")),"331",IF(AND(OR(L1299="131",M1299="131"),H1299='131-CT'!$E$7),"131",""))</f>
        <v/>
      </c>
      <c r="O1299" s="39" t="str">
        <f>IF(AND($B1299&gt;='111'!$N$11,$B1299&lt;='111'!$O$11,OR($L1299=$O$7,$M1299=$O$7)),"x","")</f>
        <v/>
      </c>
      <c r="P1299" s="39" t="str">
        <f>IF(AND($L1299=$O$7,$B1299&lt;'111'!$N$11),"x","")</f>
        <v/>
      </c>
      <c r="Q1299" s="39" t="str">
        <f>IF(AND($M1299=$O$7,$B1299&lt;'111'!$N$11),"x","")</f>
        <v/>
      </c>
      <c r="R1299" s="39" t="str">
        <f>IF(ISERROR(FIND('112'!$M$9,G1299,1)),"",IF((AND(FIND('112'!$M$9,G1299,1)&gt;=1,$B1299&gt;='112'!$N$8,$B1299&lt;='112'!$O$8,OR($L1299='112'!$I$6,$M1299='112'!$I$6))),"x",""))</f>
        <v/>
      </c>
      <c r="S1299" s="39" t="str">
        <f>IF(ISERROR(FIND('112'!$M$9,G1299,1)),"",IF((AND(LEFT(G1299,2)=LEFT('112'!$M$9,2),B1299&lt;'112'!$N$8,$L1299='112'!$I$6)),"x",""))</f>
        <v/>
      </c>
      <c r="T1299" s="39" t="str">
        <f>IF(ISERROR(FIND('112'!$M$9,G1299,1)),"",IF((AND(RIGHT(G1299,2)=RIGHT('112'!$M$9,2),B1299&lt;'112'!$N$8,$M1299='112'!$I$6)),"x",""))</f>
        <v/>
      </c>
      <c r="U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39" t="str">
        <f>IF(OR(TH!L1299=TH!$V$7,M1299=TH!$V$7),"x","")</f>
        <v/>
      </c>
      <c r="W1299" s="39" t="str">
        <f>IF(AND(B1299&gt;='IN-NX'!$P$3,B1299&lt;='IN-NX'!$Q$3,'IN-NX'!$D$7=D1299,OR(LEFT(L1299,2)="15",AND(LEFT(M1299,2)&lt;&gt;"15",LEFT(M1299,2)&lt;&gt;"33"))),"x","")</f>
        <v/>
      </c>
      <c r="X1299" s="39" t="str">
        <f>IF(AND(OR(LEFT(TH!L1299,2)="15",LEFT(TH!M1299,2)="15"),'152-CT'!$J$8=TH!F1299),"x","")</f>
        <v/>
      </c>
      <c r="Y1299" s="39" t="str">
        <f>IF(AND(OR(LEFT(TH!L1299,2)="15",LEFT(TH!M1299,2)="15"),TK!$E$7=TH!F1299),"x","")</f>
        <v/>
      </c>
      <c r="Z1299" s="39" t="str">
        <f>IF(AND(B1299&lt;=NKC!$N$8,B1299&gt;=NKC!$M$8),"x","")</f>
        <v/>
      </c>
      <c r="AA1299" s="886"/>
    </row>
    <row r="1300" spans="1:27" s="211" customFormat="1" ht="15.75" customHeight="1">
      <c r="A1300" s="204" t="str">
        <f>IF(B1300&lt;&gt;"",IF(AND(B1300&gt;=_TM1,B1300&lt;=_TM2,OR(TH!L1300="1111",TH!M1300="1111")),TH!D1300,""),"")</f>
        <v/>
      </c>
      <c r="B1300" s="36">
        <f t="shared" si="230"/>
        <v>10</v>
      </c>
      <c r="C1300" s="191">
        <f t="shared" si="231"/>
        <v>41570</v>
      </c>
      <c r="D1300" s="37"/>
      <c r="E1300" s="37">
        <v>41570</v>
      </c>
      <c r="F1300" s="40"/>
      <c r="G1300" s="40" t="s">
        <v>996</v>
      </c>
      <c r="H1300" s="7" t="s">
        <v>1287</v>
      </c>
      <c r="I1300" s="256"/>
      <c r="J1300" s="256"/>
      <c r="K1300" s="602">
        <f t="shared" si="232"/>
        <v>0</v>
      </c>
      <c r="L1300" s="39" t="s">
        <v>165</v>
      </c>
      <c r="M1300" s="603" t="s">
        <v>159</v>
      </c>
      <c r="N1300" s="39" t="str">
        <f>IF(AND('331-CT'!$E$7=TH!H1300,OR(L1300="331",M1300="331")),"331",IF(AND(OR(L1300="131",M1300="131"),H1300='131-CT'!$E$7),"131",""))</f>
        <v/>
      </c>
      <c r="O1300" s="39" t="str">
        <f>IF(AND($B1300&gt;='111'!$N$11,$B1300&lt;='111'!$O$11,OR($L1300=$O$7,$M1300=$O$7)),"x","")</f>
        <v/>
      </c>
      <c r="P1300" s="39" t="str">
        <f>IF(AND($L1300=$O$7,$B1300&lt;'111'!$N$11),"x","")</f>
        <v/>
      </c>
      <c r="Q1300" s="39" t="str">
        <f>IF(AND($M1300=$O$7,$B1300&lt;'111'!$N$11),"x","")</f>
        <v/>
      </c>
      <c r="R1300" s="39" t="str">
        <f>IF(ISERROR(FIND('112'!$M$9,G1300,1)),"",IF((AND(FIND('112'!$M$9,G1300,1)&gt;=1,$B1300&gt;='112'!$N$8,$B1300&lt;='112'!$O$8,OR($L1300='112'!$I$6,$M1300='112'!$I$6))),"x",""))</f>
        <v/>
      </c>
      <c r="S1300" s="39" t="str">
        <f>IF(ISERROR(FIND('112'!$M$9,G1300,1)),"",IF((AND(LEFT(G1300,2)=LEFT('112'!$M$9,2),B1300&lt;'112'!$N$8,$L1300='112'!$I$6)),"x",""))</f>
        <v/>
      </c>
      <c r="T1300" s="39" t="str">
        <f>IF(ISERROR(FIND('112'!$M$9,G1300,1)),"",IF((AND(RIGHT(G1300,2)=RIGHT('112'!$M$9,2),B1300&lt;'112'!$N$8,$M1300='112'!$I$6)),"x",""))</f>
        <v/>
      </c>
      <c r="U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39" t="str">
        <f>IF(OR(TH!L1300=TH!$V$7,M1300=TH!$V$7),"x","")</f>
        <v/>
      </c>
      <c r="W1300" s="39" t="str">
        <f>IF(AND(B1300&gt;='IN-NX'!$P$3,B1300&lt;='IN-NX'!$Q$3,'IN-NX'!$D$7=D1300,OR(LEFT(L1300,2)="15",AND(LEFT(M1300,2)&lt;&gt;"15",LEFT(M1300,2)&lt;&gt;"33"))),"x","")</f>
        <v/>
      </c>
      <c r="X1300" s="39" t="str">
        <f>IF(AND(OR(LEFT(TH!L1300,2)="15",LEFT(TH!M1300,2)="15"),'152-CT'!$J$8=TH!F1300),"x","")</f>
        <v/>
      </c>
      <c r="Y1300" s="39" t="str">
        <f>IF(AND(OR(LEFT(TH!L1300,2)="15",LEFT(TH!M1300,2)="15"),TK!$E$7=TH!F1300),"x","")</f>
        <v/>
      </c>
      <c r="Z1300" s="39" t="str">
        <f>IF(AND(B1300&lt;=NKC!$N$8,B1300&gt;=NKC!$M$8),"x","")</f>
        <v/>
      </c>
      <c r="AA1300" s="886"/>
    </row>
    <row r="1301" spans="1:27" s="211" customFormat="1" ht="15.75" customHeight="1">
      <c r="A1301" s="204" t="str">
        <f>IF(B1301&lt;&gt;"",IF(AND(B1301&gt;=_TM1,B1301&lt;=_TM2,OR(TH!L1301="1111",TH!M1301="1111")),TH!D1301,""),"")</f>
        <v/>
      </c>
      <c r="B1301" s="36">
        <f t="shared" si="230"/>
        <v>10</v>
      </c>
      <c r="C1301" s="191">
        <f t="shared" si="231"/>
        <v>41574</v>
      </c>
      <c r="D1301" s="37"/>
      <c r="E1301" s="37">
        <v>41574</v>
      </c>
      <c r="F1301" s="40"/>
      <c r="G1301" s="40" t="s">
        <v>997</v>
      </c>
      <c r="H1301" s="7" t="s">
        <v>1287</v>
      </c>
      <c r="I1301" s="256"/>
      <c r="J1301" s="256"/>
      <c r="K1301" s="602">
        <f t="shared" si="232"/>
        <v>0</v>
      </c>
      <c r="L1301" s="39" t="s">
        <v>165</v>
      </c>
      <c r="M1301" s="603" t="s">
        <v>159</v>
      </c>
      <c r="N1301" s="39" t="str">
        <f>IF(AND('331-CT'!$E$7=TH!H1301,OR(L1301="331",M1301="331")),"331",IF(AND(OR(L1301="131",M1301="131"),H1301='131-CT'!$E$7),"131",""))</f>
        <v/>
      </c>
      <c r="O1301" s="39" t="str">
        <f>IF(AND($B1301&gt;='111'!$N$11,$B1301&lt;='111'!$O$11,OR($L1301=$O$7,$M1301=$O$7)),"x","")</f>
        <v/>
      </c>
      <c r="P1301" s="39" t="str">
        <f>IF(AND($L1301=$O$7,$B1301&lt;'111'!$N$11),"x","")</f>
        <v/>
      </c>
      <c r="Q1301" s="39" t="str">
        <f>IF(AND($M1301=$O$7,$B1301&lt;'111'!$N$11),"x","")</f>
        <v/>
      </c>
      <c r="R1301" s="39" t="str">
        <f>IF(ISERROR(FIND('112'!$M$9,G1301,1)),"",IF((AND(FIND('112'!$M$9,G1301,1)&gt;=1,$B1301&gt;='112'!$N$8,$B1301&lt;='112'!$O$8,OR($L1301='112'!$I$6,$M1301='112'!$I$6))),"x",""))</f>
        <v/>
      </c>
      <c r="S1301" s="39" t="str">
        <f>IF(ISERROR(FIND('112'!$M$9,G1301,1)),"",IF((AND(LEFT(G1301,2)=LEFT('112'!$M$9,2),B1301&lt;'112'!$N$8,$L1301='112'!$I$6)),"x",""))</f>
        <v/>
      </c>
      <c r="T1301" s="39" t="str">
        <f>IF(ISERROR(FIND('112'!$M$9,G1301,1)),"",IF((AND(RIGHT(G1301,2)=RIGHT('112'!$M$9,2),B1301&lt;'112'!$N$8,$M1301='112'!$I$6)),"x",""))</f>
        <v/>
      </c>
      <c r="U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39" t="str">
        <f>IF(OR(TH!L1301=TH!$V$7,M1301=TH!$V$7),"x","")</f>
        <v/>
      </c>
      <c r="W1301" s="39" t="str">
        <f>IF(AND(B1301&gt;='IN-NX'!$P$3,B1301&lt;='IN-NX'!$Q$3,'IN-NX'!$D$7=D1301,OR(LEFT(L1301,2)="15",AND(LEFT(M1301,2)&lt;&gt;"15",LEFT(M1301,2)&lt;&gt;"33"))),"x","")</f>
        <v/>
      </c>
      <c r="X1301" s="39" t="str">
        <f>IF(AND(OR(LEFT(TH!L1301,2)="15",LEFT(TH!M1301,2)="15"),'152-CT'!$J$8=TH!F1301),"x","")</f>
        <v/>
      </c>
      <c r="Y1301" s="39" t="str">
        <f>IF(AND(OR(LEFT(TH!L1301,2)="15",LEFT(TH!M1301,2)="15"),TK!$E$7=TH!F1301),"x","")</f>
        <v/>
      </c>
      <c r="Z1301" s="39" t="str">
        <f>IF(AND(B1301&lt;=NKC!$N$8,B1301&gt;=NKC!$M$8),"x","")</f>
        <v/>
      </c>
      <c r="AA1301" s="886"/>
    </row>
    <row r="1302" spans="1:27" s="211" customFormat="1" ht="15.75" customHeight="1">
      <c r="A1302" s="204" t="str">
        <f>IF(B1302&lt;&gt;"",IF(AND(B1302&gt;=_TM1,B1302&lt;=_TM2,OR(TH!L1302="1111",TH!M1302="1111")),TH!D1302,""),"")</f>
        <v/>
      </c>
      <c r="B1302" s="36">
        <f t="shared" si="230"/>
        <v>10</v>
      </c>
      <c r="C1302" s="191">
        <f t="shared" si="231"/>
        <v>41575</v>
      </c>
      <c r="D1302" s="37"/>
      <c r="E1302" s="37">
        <v>41575</v>
      </c>
      <c r="F1302" s="40"/>
      <c r="G1302" s="40" t="s">
        <v>998</v>
      </c>
      <c r="H1302" s="7" t="s">
        <v>1287</v>
      </c>
      <c r="I1302" s="256"/>
      <c r="J1302" s="256"/>
      <c r="K1302" s="602">
        <f t="shared" si="232"/>
        <v>0</v>
      </c>
      <c r="L1302" s="39" t="s">
        <v>165</v>
      </c>
      <c r="M1302" s="603" t="s">
        <v>159</v>
      </c>
      <c r="N1302" s="39" t="str">
        <f>IF(AND('331-CT'!$E$7=TH!H1302,OR(L1302="331",M1302="331")),"331",IF(AND(OR(L1302="131",M1302="131"),H1302='131-CT'!$E$7),"131",""))</f>
        <v/>
      </c>
      <c r="O1302" s="39" t="str">
        <f>IF(AND($B1302&gt;='111'!$N$11,$B1302&lt;='111'!$O$11,OR($L1302=$O$7,$M1302=$O$7)),"x","")</f>
        <v/>
      </c>
      <c r="P1302" s="39" t="str">
        <f>IF(AND($L1302=$O$7,$B1302&lt;'111'!$N$11),"x","")</f>
        <v/>
      </c>
      <c r="Q1302" s="39" t="str">
        <f>IF(AND($M1302=$O$7,$B1302&lt;'111'!$N$11),"x","")</f>
        <v/>
      </c>
      <c r="R1302" s="39" t="str">
        <f>IF(ISERROR(FIND('112'!$M$9,G1302,1)),"",IF((AND(FIND('112'!$M$9,G1302,1)&gt;=1,$B1302&gt;='112'!$N$8,$B1302&lt;='112'!$O$8,OR($L1302='112'!$I$6,$M1302='112'!$I$6))),"x",""))</f>
        <v/>
      </c>
      <c r="S1302" s="39" t="str">
        <f>IF(ISERROR(FIND('112'!$M$9,G1302,1)),"",IF((AND(LEFT(G1302,2)=LEFT('112'!$M$9,2),B1302&lt;'112'!$N$8,$L1302='112'!$I$6)),"x",""))</f>
        <v/>
      </c>
      <c r="T1302" s="39" t="str">
        <f>IF(ISERROR(FIND('112'!$M$9,G1302,1)),"",IF((AND(RIGHT(G1302,2)=RIGHT('112'!$M$9,2),B1302&lt;'112'!$N$8,$M1302='112'!$I$6)),"x",""))</f>
        <v/>
      </c>
      <c r="U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39" t="str">
        <f>IF(OR(TH!L1302=TH!$V$7,M1302=TH!$V$7),"x","")</f>
        <v/>
      </c>
      <c r="W1302" s="39" t="str">
        <f>IF(AND(B1302&gt;='IN-NX'!$P$3,B1302&lt;='IN-NX'!$Q$3,'IN-NX'!$D$7=D1302,OR(LEFT(L1302,2)="15",AND(LEFT(M1302,2)&lt;&gt;"15",LEFT(M1302,2)&lt;&gt;"33"))),"x","")</f>
        <v/>
      </c>
      <c r="X1302" s="39" t="str">
        <f>IF(AND(OR(LEFT(TH!L1302,2)="15",LEFT(TH!M1302,2)="15"),'152-CT'!$J$8=TH!F1302),"x","")</f>
        <v/>
      </c>
      <c r="Y1302" s="39" t="str">
        <f>IF(AND(OR(LEFT(TH!L1302,2)="15",LEFT(TH!M1302,2)="15"),TK!$E$7=TH!F1302),"x","")</f>
        <v/>
      </c>
      <c r="Z1302" s="39" t="str">
        <f>IF(AND(B1302&lt;=NKC!$N$8,B1302&gt;=NKC!$M$8),"x","")</f>
        <v/>
      </c>
      <c r="AA1302" s="886"/>
    </row>
    <row r="1303" spans="1:27" s="211" customFormat="1" ht="15.75" customHeight="1">
      <c r="A1303" s="204" t="str">
        <f>IF(B1303&lt;&gt;"",IF(AND(B1303&gt;=_TM1,B1303&lt;=_TM2,OR(TH!L1303="1111",TH!M1303="1111")),TH!D1303,""),"")</f>
        <v/>
      </c>
      <c r="B1303" s="36">
        <f t="shared" si="230"/>
        <v>10</v>
      </c>
      <c r="C1303" s="191">
        <f t="shared" si="231"/>
        <v>41575</v>
      </c>
      <c r="D1303" s="37"/>
      <c r="E1303" s="37">
        <v>41575</v>
      </c>
      <c r="F1303" s="40"/>
      <c r="G1303" s="40" t="s">
        <v>999</v>
      </c>
      <c r="H1303" s="7" t="s">
        <v>1287</v>
      </c>
      <c r="I1303" s="256"/>
      <c r="J1303" s="256"/>
      <c r="K1303" s="602">
        <f t="shared" si="232"/>
        <v>0</v>
      </c>
      <c r="L1303" s="39" t="s">
        <v>165</v>
      </c>
      <c r="M1303" s="603" t="s">
        <v>159</v>
      </c>
      <c r="N1303" s="39" t="str">
        <f>IF(AND('331-CT'!$E$7=TH!H1303,OR(L1303="331",M1303="331")),"331",IF(AND(OR(L1303="131",M1303="131"),H1303='131-CT'!$E$7),"131",""))</f>
        <v/>
      </c>
      <c r="O1303" s="39" t="str">
        <f>IF(AND($B1303&gt;='111'!$N$11,$B1303&lt;='111'!$O$11,OR($L1303=$O$7,$M1303=$O$7)),"x","")</f>
        <v/>
      </c>
      <c r="P1303" s="39" t="str">
        <f>IF(AND($L1303=$O$7,$B1303&lt;'111'!$N$11),"x","")</f>
        <v/>
      </c>
      <c r="Q1303" s="39" t="str">
        <f>IF(AND($M1303=$O$7,$B1303&lt;'111'!$N$11),"x","")</f>
        <v/>
      </c>
      <c r="R1303" s="39" t="str">
        <f>IF(ISERROR(FIND('112'!$M$9,G1303,1)),"",IF((AND(FIND('112'!$M$9,G1303,1)&gt;=1,$B1303&gt;='112'!$N$8,$B1303&lt;='112'!$O$8,OR($L1303='112'!$I$6,$M1303='112'!$I$6))),"x",""))</f>
        <v/>
      </c>
      <c r="S1303" s="39" t="str">
        <f>IF(ISERROR(FIND('112'!$M$9,G1303,1)),"",IF((AND(LEFT(G1303,2)=LEFT('112'!$M$9,2),B1303&lt;'112'!$N$8,$L1303='112'!$I$6)),"x",""))</f>
        <v/>
      </c>
      <c r="T1303" s="39" t="str">
        <f>IF(ISERROR(FIND('112'!$M$9,G1303,1)),"",IF((AND(RIGHT(G1303,2)=RIGHT('112'!$M$9,2),B1303&lt;'112'!$N$8,$M1303='112'!$I$6)),"x",""))</f>
        <v/>
      </c>
      <c r="U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39" t="str">
        <f>IF(OR(TH!L1303=TH!$V$7,M1303=TH!$V$7),"x","")</f>
        <v/>
      </c>
      <c r="W1303" s="39" t="str">
        <f>IF(AND(B1303&gt;='IN-NX'!$P$3,B1303&lt;='IN-NX'!$Q$3,'IN-NX'!$D$7=D1303,OR(LEFT(L1303,2)="15",AND(LEFT(M1303,2)&lt;&gt;"15",LEFT(M1303,2)&lt;&gt;"33"))),"x","")</f>
        <v/>
      </c>
      <c r="X1303" s="39" t="str">
        <f>IF(AND(OR(LEFT(TH!L1303,2)="15",LEFT(TH!M1303,2)="15"),'152-CT'!$J$8=TH!F1303),"x","")</f>
        <v/>
      </c>
      <c r="Y1303" s="39" t="str">
        <f>IF(AND(OR(LEFT(TH!L1303,2)="15",LEFT(TH!M1303,2)="15"),TK!$E$7=TH!F1303),"x","")</f>
        <v/>
      </c>
      <c r="Z1303" s="39" t="str">
        <f>IF(AND(B1303&lt;=NKC!$N$8,B1303&gt;=NKC!$M$8),"x","")</f>
        <v/>
      </c>
      <c r="AA1303" s="886"/>
    </row>
    <row r="1304" spans="1:27" s="211" customFormat="1" ht="15.75" customHeight="1">
      <c r="A1304" s="204" t="str">
        <f>IF(B1304&lt;&gt;"",IF(AND(B1304&gt;=_TM1,B1304&lt;=_TM2,OR(TH!L1304="1111",TH!M1304="1111")),TH!D1304,""),"")</f>
        <v/>
      </c>
      <c r="B1304" s="36">
        <f t="shared" si="230"/>
        <v>10</v>
      </c>
      <c r="C1304" s="191">
        <f t="shared" si="231"/>
        <v>41575</v>
      </c>
      <c r="D1304" s="37"/>
      <c r="E1304" s="37">
        <v>41575</v>
      </c>
      <c r="F1304" s="40"/>
      <c r="G1304" s="40" t="s">
        <v>1000</v>
      </c>
      <c r="H1304" s="7" t="s">
        <v>1287</v>
      </c>
      <c r="I1304" s="256"/>
      <c r="J1304" s="256"/>
      <c r="K1304" s="602">
        <f t="shared" si="232"/>
        <v>0</v>
      </c>
      <c r="L1304" s="39" t="s">
        <v>165</v>
      </c>
      <c r="M1304" s="603" t="s">
        <v>159</v>
      </c>
      <c r="N1304" s="39" t="str">
        <f>IF(AND('331-CT'!$E$7=TH!H1304,OR(L1304="331",M1304="331")),"331",IF(AND(OR(L1304="131",M1304="131"),H1304='131-CT'!$E$7),"131",""))</f>
        <v/>
      </c>
      <c r="O1304" s="39" t="str">
        <f>IF(AND($B1304&gt;='111'!$N$11,$B1304&lt;='111'!$O$11,OR($L1304=$O$7,$M1304=$O$7)),"x","")</f>
        <v/>
      </c>
      <c r="P1304" s="39" t="str">
        <f>IF(AND($L1304=$O$7,$B1304&lt;'111'!$N$11),"x","")</f>
        <v/>
      </c>
      <c r="Q1304" s="39" t="str">
        <f>IF(AND($M1304=$O$7,$B1304&lt;'111'!$N$11),"x","")</f>
        <v/>
      </c>
      <c r="R1304" s="39" t="str">
        <f>IF(ISERROR(FIND('112'!$M$9,G1304,1)),"",IF((AND(FIND('112'!$M$9,G1304,1)&gt;=1,$B1304&gt;='112'!$N$8,$B1304&lt;='112'!$O$8,OR($L1304='112'!$I$6,$M1304='112'!$I$6))),"x",""))</f>
        <v/>
      </c>
      <c r="S1304" s="39" t="str">
        <f>IF(ISERROR(FIND('112'!$M$9,G1304,1)),"",IF((AND(LEFT(G1304,2)=LEFT('112'!$M$9,2),B1304&lt;'112'!$N$8,$L1304='112'!$I$6)),"x",""))</f>
        <v/>
      </c>
      <c r="T1304" s="39" t="str">
        <f>IF(ISERROR(FIND('112'!$M$9,G1304,1)),"",IF((AND(RIGHT(G1304,2)=RIGHT('112'!$M$9,2),B1304&lt;'112'!$N$8,$M1304='112'!$I$6)),"x",""))</f>
        <v/>
      </c>
      <c r="U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39" t="str">
        <f>IF(OR(TH!L1304=TH!$V$7,M1304=TH!$V$7),"x","")</f>
        <v/>
      </c>
      <c r="W1304" s="39" t="str">
        <f>IF(AND(B1304&gt;='IN-NX'!$P$3,B1304&lt;='IN-NX'!$Q$3,'IN-NX'!$D$7=D1304,OR(LEFT(L1304,2)="15",AND(LEFT(M1304,2)&lt;&gt;"15",LEFT(M1304,2)&lt;&gt;"33"))),"x","")</f>
        <v/>
      </c>
      <c r="X1304" s="39" t="str">
        <f>IF(AND(OR(LEFT(TH!L1304,2)="15",LEFT(TH!M1304,2)="15"),'152-CT'!$J$8=TH!F1304),"x","")</f>
        <v/>
      </c>
      <c r="Y1304" s="39" t="str">
        <f>IF(AND(OR(LEFT(TH!L1304,2)="15",LEFT(TH!M1304,2)="15"),TK!$E$7=TH!F1304),"x","")</f>
        <v/>
      </c>
      <c r="Z1304" s="39" t="str">
        <f>IF(AND(B1304&lt;=NKC!$N$8,B1304&gt;=NKC!$M$8),"x","")</f>
        <v/>
      </c>
      <c r="AA1304" s="886"/>
    </row>
    <row r="1305" spans="1:27" s="211" customFormat="1" ht="15.75" customHeight="1">
      <c r="A1305" s="204" t="str">
        <f>IF(B1305&lt;&gt;"",IF(AND(B1305&gt;=_TM1,B1305&lt;=_TM2,OR(TH!L1305="1111",TH!M1305="1111")),TH!D1305,""),"")</f>
        <v/>
      </c>
      <c r="B1305" s="36">
        <f t="shared" si="230"/>
        <v>10</v>
      </c>
      <c r="C1305" s="191">
        <f t="shared" si="231"/>
        <v>41575</v>
      </c>
      <c r="D1305" s="37"/>
      <c r="E1305" s="37">
        <v>41575</v>
      </c>
      <c r="F1305" s="40"/>
      <c r="G1305" s="40" t="s">
        <v>1001</v>
      </c>
      <c r="H1305" s="7" t="s">
        <v>1287</v>
      </c>
      <c r="I1305" s="256"/>
      <c r="J1305" s="256"/>
      <c r="K1305" s="602">
        <f t="shared" si="232"/>
        <v>0</v>
      </c>
      <c r="L1305" s="39" t="s">
        <v>165</v>
      </c>
      <c r="M1305" s="603" t="s">
        <v>159</v>
      </c>
      <c r="N1305" s="39" t="str">
        <f>IF(AND('331-CT'!$E$7=TH!H1305,OR(L1305="331",M1305="331")),"331",IF(AND(OR(L1305="131",M1305="131"),H1305='131-CT'!$E$7),"131",""))</f>
        <v/>
      </c>
      <c r="O1305" s="39" t="str">
        <f>IF(AND($B1305&gt;='111'!$N$11,$B1305&lt;='111'!$O$11,OR($L1305=$O$7,$M1305=$O$7)),"x","")</f>
        <v/>
      </c>
      <c r="P1305" s="39" t="str">
        <f>IF(AND($L1305=$O$7,$B1305&lt;'111'!$N$11),"x","")</f>
        <v/>
      </c>
      <c r="Q1305" s="39" t="str">
        <f>IF(AND($M1305=$O$7,$B1305&lt;'111'!$N$11),"x","")</f>
        <v/>
      </c>
      <c r="R1305" s="39" t="str">
        <f>IF(ISERROR(FIND('112'!$M$9,G1305,1)),"",IF((AND(FIND('112'!$M$9,G1305,1)&gt;=1,$B1305&gt;='112'!$N$8,$B1305&lt;='112'!$O$8,OR($L1305='112'!$I$6,$M1305='112'!$I$6))),"x",""))</f>
        <v/>
      </c>
      <c r="S1305" s="39" t="str">
        <f>IF(ISERROR(FIND('112'!$M$9,G1305,1)),"",IF((AND(LEFT(G1305,2)=LEFT('112'!$M$9,2),B1305&lt;'112'!$N$8,$L1305='112'!$I$6)),"x",""))</f>
        <v/>
      </c>
      <c r="T1305" s="39" t="str">
        <f>IF(ISERROR(FIND('112'!$M$9,G1305,1)),"",IF((AND(RIGHT(G1305,2)=RIGHT('112'!$M$9,2),B1305&lt;'112'!$N$8,$M1305='112'!$I$6)),"x",""))</f>
        <v/>
      </c>
      <c r="U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39" t="str">
        <f>IF(OR(TH!L1305=TH!$V$7,M1305=TH!$V$7),"x","")</f>
        <v/>
      </c>
      <c r="W1305" s="39" t="str">
        <f>IF(AND(B1305&gt;='IN-NX'!$P$3,B1305&lt;='IN-NX'!$Q$3,'IN-NX'!$D$7=D1305,OR(LEFT(L1305,2)="15",AND(LEFT(M1305,2)&lt;&gt;"15",LEFT(M1305,2)&lt;&gt;"33"))),"x","")</f>
        <v/>
      </c>
      <c r="X1305" s="39" t="str">
        <f>IF(AND(OR(LEFT(TH!L1305,2)="15",LEFT(TH!M1305,2)="15"),'152-CT'!$J$8=TH!F1305),"x","")</f>
        <v/>
      </c>
      <c r="Y1305" s="39" t="str">
        <f>IF(AND(OR(LEFT(TH!L1305,2)="15",LEFT(TH!M1305,2)="15"),TK!$E$7=TH!F1305),"x","")</f>
        <v/>
      </c>
      <c r="Z1305" s="39" t="str">
        <f>IF(AND(B1305&lt;=NKC!$N$8,B1305&gt;=NKC!$M$8),"x","")</f>
        <v/>
      </c>
      <c r="AA1305" s="886"/>
    </row>
    <row r="1306" spans="1:27" s="211" customFormat="1" ht="15.75" customHeight="1">
      <c r="A1306" s="204" t="str">
        <f>IF(B1306&lt;&gt;"",IF(AND(B1306&gt;=_TM1,B1306&lt;=_TM2,OR(TH!L1306="1111",TH!M1306="1111")),TH!D1306,""),"")</f>
        <v/>
      </c>
      <c r="B1306" s="36">
        <f t="shared" si="230"/>
        <v>11</v>
      </c>
      <c r="C1306" s="191">
        <f t="shared" si="231"/>
        <v>41579</v>
      </c>
      <c r="D1306" s="37"/>
      <c r="E1306" s="37">
        <v>41579</v>
      </c>
      <c r="F1306" s="40"/>
      <c r="G1306" s="40" t="s">
        <v>1002</v>
      </c>
      <c r="H1306" s="7" t="s">
        <v>1287</v>
      </c>
      <c r="I1306" s="256"/>
      <c r="J1306" s="256"/>
      <c r="K1306" s="602">
        <f t="shared" si="232"/>
        <v>0</v>
      </c>
      <c r="L1306" s="39" t="s">
        <v>165</v>
      </c>
      <c r="M1306" s="603" t="s">
        <v>159</v>
      </c>
      <c r="N1306" s="39" t="str">
        <f>IF(AND('331-CT'!$E$7=TH!H1306,OR(L1306="331",M1306="331")),"331",IF(AND(OR(L1306="131",M1306="131"),H1306='131-CT'!$E$7),"131",""))</f>
        <v/>
      </c>
      <c r="O1306" s="39" t="str">
        <f>IF(AND($B1306&gt;='111'!$N$11,$B1306&lt;='111'!$O$11,OR($L1306=$O$7,$M1306=$O$7)),"x","")</f>
        <v/>
      </c>
      <c r="P1306" s="39" t="str">
        <f>IF(AND($L1306=$O$7,$B1306&lt;'111'!$N$11),"x","")</f>
        <v/>
      </c>
      <c r="Q1306" s="39" t="str">
        <f>IF(AND($M1306=$O$7,$B1306&lt;'111'!$N$11),"x","")</f>
        <v/>
      </c>
      <c r="R1306" s="39" t="str">
        <f>IF(ISERROR(FIND('112'!$M$9,G1306,1)),"",IF((AND(FIND('112'!$M$9,G1306,1)&gt;=1,$B1306&gt;='112'!$N$8,$B1306&lt;='112'!$O$8,OR($L1306='112'!$I$6,$M1306='112'!$I$6))),"x",""))</f>
        <v/>
      </c>
      <c r="S1306" s="39" t="str">
        <f>IF(ISERROR(FIND('112'!$M$9,G1306,1)),"",IF((AND(LEFT(G1306,2)=LEFT('112'!$M$9,2),B1306&lt;'112'!$N$8,$L1306='112'!$I$6)),"x",""))</f>
        <v/>
      </c>
      <c r="T1306" s="39" t="str">
        <f>IF(ISERROR(FIND('112'!$M$9,G1306,1)),"",IF((AND(RIGHT(G1306,2)=RIGHT('112'!$M$9,2),B1306&lt;'112'!$N$8,$M1306='112'!$I$6)),"x",""))</f>
        <v/>
      </c>
      <c r="U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39" t="str">
        <f>IF(OR(TH!L1306=TH!$V$7,M1306=TH!$V$7),"x","")</f>
        <v/>
      </c>
      <c r="W1306" s="39" t="str">
        <f>IF(AND(B1306&gt;='IN-NX'!$P$3,B1306&lt;='IN-NX'!$Q$3,'IN-NX'!$D$7=D1306,OR(LEFT(L1306,2)="15",AND(LEFT(M1306,2)&lt;&gt;"15",LEFT(M1306,2)&lt;&gt;"33"))),"x","")</f>
        <v/>
      </c>
      <c r="X1306" s="39" t="str">
        <f>IF(AND(OR(LEFT(TH!L1306,2)="15",LEFT(TH!M1306,2)="15"),'152-CT'!$J$8=TH!F1306),"x","")</f>
        <v/>
      </c>
      <c r="Y1306" s="39" t="str">
        <f>IF(AND(OR(LEFT(TH!L1306,2)="15",LEFT(TH!M1306,2)="15"),TK!$E$7=TH!F1306),"x","")</f>
        <v/>
      </c>
      <c r="Z1306" s="39" t="str">
        <f>IF(AND(B1306&lt;=NKC!$N$8,B1306&gt;=NKC!$M$8),"x","")</f>
        <v/>
      </c>
      <c r="AA1306" s="886"/>
    </row>
    <row r="1307" spans="1:27" s="211" customFormat="1" ht="15.75" customHeight="1">
      <c r="A1307" s="204" t="str">
        <f>IF(B1307&lt;&gt;"",IF(AND(B1307&gt;=_TM1,B1307&lt;=_TM2,OR(TH!L1307="1111",TH!M1307="1111")),TH!D1307,""),"")</f>
        <v/>
      </c>
      <c r="B1307" s="36">
        <f t="shared" si="230"/>
        <v>11</v>
      </c>
      <c r="C1307" s="191">
        <f t="shared" si="231"/>
        <v>41579</v>
      </c>
      <c r="D1307" s="37"/>
      <c r="E1307" s="37">
        <v>41579</v>
      </c>
      <c r="F1307" s="40"/>
      <c r="G1307" s="40" t="s">
        <v>1002</v>
      </c>
      <c r="H1307" s="7" t="s">
        <v>1287</v>
      </c>
      <c r="I1307" s="256"/>
      <c r="J1307" s="256"/>
      <c r="K1307" s="602">
        <f t="shared" si="232"/>
        <v>0</v>
      </c>
      <c r="L1307" s="39" t="s">
        <v>165</v>
      </c>
      <c r="M1307" s="603" t="s">
        <v>159</v>
      </c>
      <c r="N1307" s="39" t="str">
        <f>IF(AND('331-CT'!$E$7=TH!H1307,OR(L1307="331",M1307="331")),"331",IF(AND(OR(L1307="131",M1307="131"),H1307='131-CT'!$E$7),"131",""))</f>
        <v/>
      </c>
      <c r="O1307" s="39" t="str">
        <f>IF(AND($B1307&gt;='111'!$N$11,$B1307&lt;='111'!$O$11,OR($L1307=$O$7,$M1307=$O$7)),"x","")</f>
        <v/>
      </c>
      <c r="P1307" s="39" t="str">
        <f>IF(AND($L1307=$O$7,$B1307&lt;'111'!$N$11),"x","")</f>
        <v/>
      </c>
      <c r="Q1307" s="39" t="str">
        <f>IF(AND($M1307=$O$7,$B1307&lt;'111'!$N$11),"x","")</f>
        <v/>
      </c>
      <c r="R1307" s="39" t="str">
        <f>IF(ISERROR(FIND('112'!$M$9,G1307,1)),"",IF((AND(FIND('112'!$M$9,G1307,1)&gt;=1,$B1307&gt;='112'!$N$8,$B1307&lt;='112'!$O$8,OR($L1307='112'!$I$6,$M1307='112'!$I$6))),"x",""))</f>
        <v/>
      </c>
      <c r="S1307" s="39" t="str">
        <f>IF(ISERROR(FIND('112'!$M$9,G1307,1)),"",IF((AND(LEFT(G1307,2)=LEFT('112'!$M$9,2),B1307&lt;'112'!$N$8,$L1307='112'!$I$6)),"x",""))</f>
        <v/>
      </c>
      <c r="T1307" s="39" t="str">
        <f>IF(ISERROR(FIND('112'!$M$9,G1307,1)),"",IF((AND(RIGHT(G1307,2)=RIGHT('112'!$M$9,2),B1307&lt;'112'!$N$8,$M1307='112'!$I$6)),"x",""))</f>
        <v/>
      </c>
      <c r="U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39" t="str">
        <f>IF(OR(TH!L1307=TH!$V$7,M1307=TH!$V$7),"x","")</f>
        <v/>
      </c>
      <c r="W1307" s="39" t="str">
        <f>IF(AND(B1307&gt;='IN-NX'!$P$3,B1307&lt;='IN-NX'!$Q$3,'IN-NX'!$D$7=D1307,OR(LEFT(L1307,2)="15",AND(LEFT(M1307,2)&lt;&gt;"15",LEFT(M1307,2)&lt;&gt;"33"))),"x","")</f>
        <v/>
      </c>
      <c r="X1307" s="39" t="str">
        <f>IF(AND(OR(LEFT(TH!L1307,2)="15",LEFT(TH!M1307,2)="15"),'152-CT'!$J$8=TH!F1307),"x","")</f>
        <v/>
      </c>
      <c r="Y1307" s="39" t="str">
        <f>IF(AND(OR(LEFT(TH!L1307,2)="15",LEFT(TH!M1307,2)="15"),TK!$E$7=TH!F1307),"x","")</f>
        <v/>
      </c>
      <c r="Z1307" s="39" t="str">
        <f>IF(AND(B1307&lt;=NKC!$N$8,B1307&gt;=NKC!$M$8),"x","")</f>
        <v/>
      </c>
      <c r="AA1307" s="886"/>
    </row>
    <row r="1308" spans="1:27" s="211" customFormat="1" ht="15.75" customHeight="1">
      <c r="A1308" s="204" t="str">
        <f>IF(B1308&lt;&gt;"",IF(AND(B1308&gt;=_TM1,B1308&lt;=_TM2,OR(TH!L1308="1111",TH!M1308="1111")),TH!D1308,""),"")</f>
        <v/>
      </c>
      <c r="B1308" s="36">
        <f t="shared" si="230"/>
        <v>11</v>
      </c>
      <c r="C1308" s="191">
        <f t="shared" si="231"/>
        <v>41580</v>
      </c>
      <c r="D1308" s="37"/>
      <c r="E1308" s="37">
        <v>41580</v>
      </c>
      <c r="F1308" s="40"/>
      <c r="G1308" s="40" t="s">
        <v>1004</v>
      </c>
      <c r="H1308" s="7" t="s">
        <v>1287</v>
      </c>
      <c r="I1308" s="256"/>
      <c r="J1308" s="256"/>
      <c r="K1308" s="602">
        <f t="shared" si="232"/>
        <v>0</v>
      </c>
      <c r="L1308" s="39" t="s">
        <v>165</v>
      </c>
      <c r="M1308" s="603" t="s">
        <v>159</v>
      </c>
      <c r="N1308" s="39" t="str">
        <f>IF(AND('331-CT'!$E$7=TH!H1308,OR(L1308="331",M1308="331")),"331",IF(AND(OR(L1308="131",M1308="131"),H1308='131-CT'!$E$7),"131",""))</f>
        <v/>
      </c>
      <c r="O1308" s="39" t="str">
        <f>IF(AND($B1308&gt;='111'!$N$11,$B1308&lt;='111'!$O$11,OR($L1308=$O$7,$M1308=$O$7)),"x","")</f>
        <v/>
      </c>
      <c r="P1308" s="39" t="str">
        <f>IF(AND($L1308=$O$7,$B1308&lt;'111'!$N$11),"x","")</f>
        <v/>
      </c>
      <c r="Q1308" s="39" t="str">
        <f>IF(AND($M1308=$O$7,$B1308&lt;'111'!$N$11),"x","")</f>
        <v/>
      </c>
      <c r="R1308" s="39" t="str">
        <f>IF(ISERROR(FIND('112'!$M$9,G1308,1)),"",IF((AND(FIND('112'!$M$9,G1308,1)&gt;=1,$B1308&gt;='112'!$N$8,$B1308&lt;='112'!$O$8,OR($L1308='112'!$I$6,$M1308='112'!$I$6))),"x",""))</f>
        <v/>
      </c>
      <c r="S1308" s="39" t="str">
        <f>IF(ISERROR(FIND('112'!$M$9,G1308,1)),"",IF((AND(LEFT(G1308,2)=LEFT('112'!$M$9,2),B1308&lt;'112'!$N$8,$L1308='112'!$I$6)),"x",""))</f>
        <v/>
      </c>
      <c r="T1308" s="39" t="str">
        <f>IF(ISERROR(FIND('112'!$M$9,G1308,1)),"",IF((AND(RIGHT(G1308,2)=RIGHT('112'!$M$9,2),B1308&lt;'112'!$N$8,$M1308='112'!$I$6)),"x",""))</f>
        <v/>
      </c>
      <c r="U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39" t="str">
        <f>IF(OR(TH!L1308=TH!$V$7,M1308=TH!$V$7),"x","")</f>
        <v/>
      </c>
      <c r="W1308" s="39" t="str">
        <f>IF(AND(B1308&gt;='IN-NX'!$P$3,B1308&lt;='IN-NX'!$Q$3,'IN-NX'!$D$7=D1308,OR(LEFT(L1308,2)="15",AND(LEFT(M1308,2)&lt;&gt;"15",LEFT(M1308,2)&lt;&gt;"33"))),"x","")</f>
        <v/>
      </c>
      <c r="X1308" s="39" t="str">
        <f>IF(AND(OR(LEFT(TH!L1308,2)="15",LEFT(TH!M1308,2)="15"),'152-CT'!$J$8=TH!F1308),"x","")</f>
        <v/>
      </c>
      <c r="Y1308" s="39" t="str">
        <f>IF(AND(OR(LEFT(TH!L1308,2)="15",LEFT(TH!M1308,2)="15"),TK!$E$7=TH!F1308),"x","")</f>
        <v/>
      </c>
      <c r="Z1308" s="39" t="str">
        <f>IF(AND(B1308&lt;=NKC!$N$8,B1308&gt;=NKC!$M$8),"x","")</f>
        <v/>
      </c>
      <c r="AA1308" s="886"/>
    </row>
    <row r="1309" spans="1:27" s="211" customFormat="1" ht="15.75" customHeight="1">
      <c r="A1309" s="204" t="str">
        <f>IF(B1309&lt;&gt;"",IF(AND(B1309&gt;=_TM1,B1309&lt;=_TM2,OR(TH!L1309="1111",TH!M1309="1111")),TH!D1309,""),"")</f>
        <v/>
      </c>
      <c r="B1309" s="36">
        <f t="shared" si="230"/>
        <v>11</v>
      </c>
      <c r="C1309" s="191">
        <f t="shared" si="231"/>
        <v>41581</v>
      </c>
      <c r="D1309" s="37"/>
      <c r="E1309" s="37">
        <v>41581</v>
      </c>
      <c r="F1309" s="40"/>
      <c r="G1309" s="40" t="s">
        <v>1005</v>
      </c>
      <c r="H1309" s="7" t="s">
        <v>1287</v>
      </c>
      <c r="I1309" s="256"/>
      <c r="J1309" s="256"/>
      <c r="K1309" s="602">
        <f t="shared" si="232"/>
        <v>0</v>
      </c>
      <c r="L1309" s="39" t="s">
        <v>165</v>
      </c>
      <c r="M1309" s="603" t="s">
        <v>159</v>
      </c>
      <c r="N1309" s="39" t="str">
        <f>IF(AND('331-CT'!$E$7=TH!H1309,OR(L1309="331",M1309="331")),"331",IF(AND(OR(L1309="131",M1309="131"),H1309='131-CT'!$E$7),"131",""))</f>
        <v/>
      </c>
      <c r="O1309" s="39" t="str">
        <f>IF(AND($B1309&gt;='111'!$N$11,$B1309&lt;='111'!$O$11,OR($L1309=$O$7,$M1309=$O$7)),"x","")</f>
        <v/>
      </c>
      <c r="P1309" s="39" t="str">
        <f>IF(AND($L1309=$O$7,$B1309&lt;'111'!$N$11),"x","")</f>
        <v/>
      </c>
      <c r="Q1309" s="39" t="str">
        <f>IF(AND($M1309=$O$7,$B1309&lt;'111'!$N$11),"x","")</f>
        <v/>
      </c>
      <c r="R1309" s="39" t="str">
        <f>IF(ISERROR(FIND('112'!$M$9,G1309,1)),"",IF((AND(FIND('112'!$M$9,G1309,1)&gt;=1,$B1309&gt;='112'!$N$8,$B1309&lt;='112'!$O$8,OR($L1309='112'!$I$6,$M1309='112'!$I$6))),"x",""))</f>
        <v/>
      </c>
      <c r="S1309" s="39" t="str">
        <f>IF(ISERROR(FIND('112'!$M$9,G1309,1)),"",IF((AND(LEFT(G1309,2)=LEFT('112'!$M$9,2),B1309&lt;'112'!$N$8,$L1309='112'!$I$6)),"x",""))</f>
        <v/>
      </c>
      <c r="T1309" s="39" t="str">
        <f>IF(ISERROR(FIND('112'!$M$9,G1309,1)),"",IF((AND(RIGHT(G1309,2)=RIGHT('112'!$M$9,2),B1309&lt;'112'!$N$8,$M1309='112'!$I$6)),"x",""))</f>
        <v/>
      </c>
      <c r="U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39" t="str">
        <f>IF(OR(TH!L1309=TH!$V$7,M1309=TH!$V$7),"x","")</f>
        <v/>
      </c>
      <c r="W1309" s="39" t="str">
        <f>IF(AND(B1309&gt;='IN-NX'!$P$3,B1309&lt;='IN-NX'!$Q$3,'IN-NX'!$D$7=D1309,OR(LEFT(L1309,2)="15",AND(LEFT(M1309,2)&lt;&gt;"15",LEFT(M1309,2)&lt;&gt;"33"))),"x","")</f>
        <v/>
      </c>
      <c r="X1309" s="39" t="str">
        <f>IF(AND(OR(LEFT(TH!L1309,2)="15",LEFT(TH!M1309,2)="15"),'152-CT'!$J$8=TH!F1309),"x","")</f>
        <v/>
      </c>
      <c r="Y1309" s="39" t="str">
        <f>IF(AND(OR(LEFT(TH!L1309,2)="15",LEFT(TH!M1309,2)="15"),TK!$E$7=TH!F1309),"x","")</f>
        <v/>
      </c>
      <c r="Z1309" s="39" t="str">
        <f>IF(AND(B1309&lt;=NKC!$N$8,B1309&gt;=NKC!$M$8),"x","")</f>
        <v/>
      </c>
      <c r="AA1309" s="886"/>
    </row>
    <row r="1310" spans="1:27" s="211" customFormat="1" ht="15.75" customHeight="1">
      <c r="A1310" s="204" t="str">
        <f>IF(B1310&lt;&gt;"",IF(AND(B1310&gt;=_TM1,B1310&lt;=_TM2,OR(TH!L1310="1111",TH!M1310="1111")),TH!D1310,""),"")</f>
        <v/>
      </c>
      <c r="B1310" s="36">
        <f t="shared" si="230"/>
        <v>11</v>
      </c>
      <c r="C1310" s="191">
        <f t="shared" si="231"/>
        <v>41583</v>
      </c>
      <c r="D1310" s="191"/>
      <c r="E1310" s="191">
        <v>41583</v>
      </c>
      <c r="F1310" s="192"/>
      <c r="G1310" s="487" t="s">
        <v>649</v>
      </c>
      <c r="H1310" s="7" t="s">
        <v>1287</v>
      </c>
      <c r="I1310" s="256"/>
      <c r="J1310" s="256"/>
      <c r="K1310" s="602">
        <f t="shared" si="232"/>
        <v>0</v>
      </c>
      <c r="L1310" s="39" t="s">
        <v>165</v>
      </c>
      <c r="M1310" s="603" t="s">
        <v>159</v>
      </c>
      <c r="N1310" s="39" t="str">
        <f>IF(AND('331-CT'!$E$7=TH!H1310,OR(L1310="331",M1310="331")),"331",IF(AND(OR(L1310="131",M1310="131"),H1310='131-CT'!$E$7),"131",""))</f>
        <v/>
      </c>
      <c r="O1310" s="39" t="str">
        <f>IF(AND($B1310&gt;='111'!$N$11,$B1310&lt;='111'!$O$11,OR($L1310=$O$7,$M1310=$O$7)),"x","")</f>
        <v/>
      </c>
      <c r="P1310" s="39" t="str">
        <f>IF(AND($L1310=$O$7,$B1310&lt;'111'!$N$11),"x","")</f>
        <v/>
      </c>
      <c r="Q1310" s="39" t="str">
        <f>IF(AND($M1310=$O$7,$B1310&lt;'111'!$N$11),"x","")</f>
        <v/>
      </c>
      <c r="R1310" s="39" t="str">
        <f>IF(ISERROR(FIND('112'!$M$9,G1310,1)),"",IF((AND(FIND('112'!$M$9,G1310,1)&gt;=1,$B1310&gt;='112'!$N$8,$B1310&lt;='112'!$O$8,OR($L1310='112'!$I$6,$M1310='112'!$I$6))),"x",""))</f>
        <v/>
      </c>
      <c r="S1310" s="39" t="str">
        <f>IF(ISERROR(FIND('112'!$M$9,G1310,1)),"",IF((AND(LEFT(G1310,2)=LEFT('112'!$M$9,2),B1310&lt;'112'!$N$8,$L1310='112'!$I$6)),"x",""))</f>
        <v/>
      </c>
      <c r="T1310" s="39" t="str">
        <f>IF(ISERROR(FIND('112'!$M$9,G1310,1)),"",IF((AND(RIGHT(G1310,2)=RIGHT('112'!$M$9,2),B1310&lt;'112'!$N$8,$M1310='112'!$I$6)),"x",""))</f>
        <v/>
      </c>
      <c r="U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39" t="str">
        <f>IF(OR(TH!L1310=TH!$V$7,M1310=TH!$V$7),"x","")</f>
        <v/>
      </c>
      <c r="W1310" s="39" t="str">
        <f>IF(AND(B1310&gt;='IN-NX'!$P$3,B1310&lt;='IN-NX'!$Q$3,'IN-NX'!$D$7=D1310,OR(LEFT(L1310,2)="15",AND(LEFT(M1310,2)&lt;&gt;"15",LEFT(M1310,2)&lt;&gt;"33"))),"x","")</f>
        <v/>
      </c>
      <c r="X1310" s="39" t="str">
        <f>IF(AND(OR(LEFT(TH!L1310,2)="15",LEFT(TH!M1310,2)="15"),'152-CT'!$J$8=TH!F1310),"x","")</f>
        <v/>
      </c>
      <c r="Y1310" s="39" t="str">
        <f>IF(AND(OR(LEFT(TH!L1310,2)="15",LEFT(TH!M1310,2)="15"),TK!$E$7=TH!F1310),"x","")</f>
        <v/>
      </c>
      <c r="Z1310" s="39" t="str">
        <f>IF(AND(B1310&lt;=NKC!$N$8,B1310&gt;=NKC!$M$8),"x","")</f>
        <v/>
      </c>
      <c r="AA1310" s="886"/>
    </row>
    <row r="1311" spans="1:27" s="211" customFormat="1" ht="15.75" customHeight="1">
      <c r="A1311" s="204" t="str">
        <f>IF(B1311&lt;&gt;"",IF(AND(B1311&gt;=_TM1,B1311&lt;=_TM2,OR(TH!L1311="1111",TH!M1311="1111")),TH!D1311,""),"")</f>
        <v/>
      </c>
      <c r="B1311" s="36">
        <f t="shared" si="230"/>
        <v>11</v>
      </c>
      <c r="C1311" s="191">
        <f t="shared" si="231"/>
        <v>41583</v>
      </c>
      <c r="D1311" s="191"/>
      <c r="E1311" s="191">
        <v>41583</v>
      </c>
      <c r="F1311" s="192"/>
      <c r="G1311" s="487" t="s">
        <v>649</v>
      </c>
      <c r="H1311" s="7" t="s">
        <v>1287</v>
      </c>
      <c r="I1311" s="256"/>
      <c r="J1311" s="256"/>
      <c r="K1311" s="602">
        <f t="shared" si="232"/>
        <v>0</v>
      </c>
      <c r="L1311" s="39" t="s">
        <v>165</v>
      </c>
      <c r="M1311" s="603" t="s">
        <v>159</v>
      </c>
      <c r="N1311" s="39" t="str">
        <f>IF(AND('331-CT'!$E$7=TH!H1311,OR(L1311="331",M1311="331")),"331",IF(AND(OR(L1311="131",M1311="131"),H1311='131-CT'!$E$7),"131",""))</f>
        <v/>
      </c>
      <c r="O1311" s="39" t="str">
        <f>IF(AND($B1311&gt;='111'!$N$11,$B1311&lt;='111'!$O$11,OR($L1311=$O$7,$M1311=$O$7)),"x","")</f>
        <v/>
      </c>
      <c r="P1311" s="39" t="str">
        <f>IF(AND($L1311=$O$7,$B1311&lt;'111'!$N$11),"x","")</f>
        <v/>
      </c>
      <c r="Q1311" s="39" t="str">
        <f>IF(AND($M1311=$O$7,$B1311&lt;'111'!$N$11),"x","")</f>
        <v/>
      </c>
      <c r="R1311" s="39" t="str">
        <f>IF(ISERROR(FIND('112'!$M$9,G1311,1)),"",IF((AND(FIND('112'!$M$9,G1311,1)&gt;=1,$B1311&gt;='112'!$N$8,$B1311&lt;='112'!$O$8,OR($L1311='112'!$I$6,$M1311='112'!$I$6))),"x",""))</f>
        <v/>
      </c>
      <c r="S1311" s="39" t="str">
        <f>IF(ISERROR(FIND('112'!$M$9,G1311,1)),"",IF((AND(LEFT(G1311,2)=LEFT('112'!$M$9,2),B1311&lt;'112'!$N$8,$L1311='112'!$I$6)),"x",""))</f>
        <v/>
      </c>
      <c r="T1311" s="39" t="str">
        <f>IF(ISERROR(FIND('112'!$M$9,G1311,1)),"",IF((AND(RIGHT(G1311,2)=RIGHT('112'!$M$9,2),B1311&lt;'112'!$N$8,$M1311='112'!$I$6)),"x",""))</f>
        <v/>
      </c>
      <c r="U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39" t="str">
        <f>IF(OR(TH!L1311=TH!$V$7,M1311=TH!$V$7),"x","")</f>
        <v/>
      </c>
      <c r="W1311" s="39" t="str">
        <f>IF(AND(B1311&gt;='IN-NX'!$P$3,B1311&lt;='IN-NX'!$Q$3,'IN-NX'!$D$7=D1311,OR(LEFT(L1311,2)="15",AND(LEFT(M1311,2)&lt;&gt;"15",LEFT(M1311,2)&lt;&gt;"33"))),"x","")</f>
        <v/>
      </c>
      <c r="X1311" s="39" t="str">
        <f>IF(AND(OR(LEFT(TH!L1311,2)="15",LEFT(TH!M1311,2)="15"),'152-CT'!$J$8=TH!F1311),"x","")</f>
        <v/>
      </c>
      <c r="Y1311" s="39" t="str">
        <f>IF(AND(OR(LEFT(TH!L1311,2)="15",LEFT(TH!M1311,2)="15"),TK!$E$7=TH!F1311),"x","")</f>
        <v/>
      </c>
      <c r="Z1311" s="39" t="str">
        <f>IF(AND(B1311&lt;=NKC!$N$8,B1311&gt;=NKC!$M$8),"x","")</f>
        <v/>
      </c>
      <c r="AA1311" s="886"/>
    </row>
    <row r="1312" spans="1:27" s="211" customFormat="1" ht="15.75" customHeight="1">
      <c r="A1312" s="204" t="str">
        <f>IF(B1312&lt;&gt;"",IF(AND(B1312&gt;=_TM1,B1312&lt;=_TM2,OR(TH!L1312="1111",TH!M1312="1111")),TH!D1312,""),"")</f>
        <v/>
      </c>
      <c r="B1312" s="36">
        <f t="shared" si="230"/>
        <v>11</v>
      </c>
      <c r="C1312" s="191">
        <f t="shared" si="231"/>
        <v>41583</v>
      </c>
      <c r="D1312" s="191"/>
      <c r="E1312" s="191">
        <v>41583</v>
      </c>
      <c r="F1312" s="192"/>
      <c r="G1312" s="487" t="s">
        <v>1007</v>
      </c>
      <c r="H1312" s="7" t="s">
        <v>1287</v>
      </c>
      <c r="I1312" s="256"/>
      <c r="J1312" s="256"/>
      <c r="K1312" s="602">
        <f t="shared" si="232"/>
        <v>0</v>
      </c>
      <c r="L1312" s="39" t="s">
        <v>165</v>
      </c>
      <c r="M1312" s="603" t="s">
        <v>159</v>
      </c>
      <c r="N1312" s="39" t="str">
        <f>IF(AND('331-CT'!$E$7=TH!H1312,OR(L1312="331",M1312="331")),"331",IF(AND(OR(L1312="131",M1312="131"),H1312='131-CT'!$E$7),"131",""))</f>
        <v/>
      </c>
      <c r="O1312" s="39" t="str">
        <f>IF(AND($B1312&gt;='111'!$N$11,$B1312&lt;='111'!$O$11,OR($L1312=$O$7,$M1312=$O$7)),"x","")</f>
        <v/>
      </c>
      <c r="P1312" s="39" t="str">
        <f>IF(AND($L1312=$O$7,$B1312&lt;'111'!$N$11),"x","")</f>
        <v/>
      </c>
      <c r="Q1312" s="39" t="str">
        <f>IF(AND($M1312=$O$7,$B1312&lt;'111'!$N$11),"x","")</f>
        <v/>
      </c>
      <c r="R1312" s="39" t="str">
        <f>IF(ISERROR(FIND('112'!$M$9,G1312,1)),"",IF((AND(FIND('112'!$M$9,G1312,1)&gt;=1,$B1312&gt;='112'!$N$8,$B1312&lt;='112'!$O$8,OR($L1312='112'!$I$6,$M1312='112'!$I$6))),"x",""))</f>
        <v/>
      </c>
      <c r="S1312" s="39" t="str">
        <f>IF(ISERROR(FIND('112'!$M$9,G1312,1)),"",IF((AND(LEFT(G1312,2)=LEFT('112'!$M$9,2),B1312&lt;'112'!$N$8,$L1312='112'!$I$6)),"x",""))</f>
        <v/>
      </c>
      <c r="T1312" s="39" t="str">
        <f>IF(ISERROR(FIND('112'!$M$9,G1312,1)),"",IF((AND(RIGHT(G1312,2)=RIGHT('112'!$M$9,2),B1312&lt;'112'!$N$8,$M1312='112'!$I$6)),"x",""))</f>
        <v/>
      </c>
      <c r="U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39" t="str">
        <f>IF(OR(TH!L1312=TH!$V$7,M1312=TH!$V$7),"x","")</f>
        <v/>
      </c>
      <c r="W1312" s="39" t="str">
        <f>IF(AND(B1312&gt;='IN-NX'!$P$3,B1312&lt;='IN-NX'!$Q$3,'IN-NX'!$D$7=D1312,OR(LEFT(L1312,2)="15",AND(LEFT(M1312,2)&lt;&gt;"15",LEFT(M1312,2)&lt;&gt;"33"))),"x","")</f>
        <v/>
      </c>
      <c r="X1312" s="39" t="str">
        <f>IF(AND(OR(LEFT(TH!L1312,2)="15",LEFT(TH!M1312,2)="15"),'152-CT'!$J$8=TH!F1312),"x","")</f>
        <v/>
      </c>
      <c r="Y1312" s="39" t="str">
        <f>IF(AND(OR(LEFT(TH!L1312,2)="15",LEFT(TH!M1312,2)="15"),TK!$E$7=TH!F1312),"x","")</f>
        <v/>
      </c>
      <c r="Z1312" s="39" t="str">
        <f>IF(AND(B1312&lt;=NKC!$N$8,B1312&gt;=NKC!$M$8),"x","")</f>
        <v/>
      </c>
      <c r="AA1312" s="886"/>
    </row>
    <row r="1313" spans="1:27" s="211" customFormat="1" ht="15.75" customHeight="1">
      <c r="A1313" s="204" t="str">
        <f>IF(B1313&lt;&gt;"",IF(AND(B1313&gt;=_TM1,B1313&lt;=_TM2,OR(TH!L1313="1111",TH!M1313="1111")),TH!D1313,""),"")</f>
        <v/>
      </c>
      <c r="B1313" s="36">
        <f t="shared" ref="B1313:B1376" si="233">IF(C1313&lt;&gt;"",MONTH(C1313),"")</f>
        <v>11</v>
      </c>
      <c r="C1313" s="191">
        <f t="shared" si="231"/>
        <v>41583</v>
      </c>
      <c r="D1313" s="191"/>
      <c r="E1313" s="191">
        <v>41583</v>
      </c>
      <c r="F1313" s="192"/>
      <c r="G1313" s="487" t="s">
        <v>1007</v>
      </c>
      <c r="H1313" s="7" t="s">
        <v>1287</v>
      </c>
      <c r="I1313" s="256"/>
      <c r="J1313" s="256"/>
      <c r="K1313" s="602">
        <f t="shared" si="232"/>
        <v>0</v>
      </c>
      <c r="L1313" s="39" t="s">
        <v>165</v>
      </c>
      <c r="M1313" s="603" t="s">
        <v>159</v>
      </c>
      <c r="N1313" s="39" t="str">
        <f>IF(AND('331-CT'!$E$7=TH!H1313,OR(L1313="331",M1313="331")),"331",IF(AND(OR(L1313="131",M1313="131"),H1313='131-CT'!$E$7),"131",""))</f>
        <v/>
      </c>
      <c r="O1313" s="39" t="str">
        <f>IF(AND($B1313&gt;='111'!$N$11,$B1313&lt;='111'!$O$11,OR($L1313=$O$7,$M1313=$O$7)),"x","")</f>
        <v/>
      </c>
      <c r="P1313" s="39" t="str">
        <f>IF(AND($L1313=$O$7,$B1313&lt;'111'!$N$11),"x","")</f>
        <v/>
      </c>
      <c r="Q1313" s="39" t="str">
        <f>IF(AND($M1313=$O$7,$B1313&lt;'111'!$N$11),"x","")</f>
        <v/>
      </c>
      <c r="R1313" s="39" t="str">
        <f>IF(ISERROR(FIND('112'!$M$9,G1313,1)),"",IF((AND(FIND('112'!$M$9,G1313,1)&gt;=1,$B1313&gt;='112'!$N$8,$B1313&lt;='112'!$O$8,OR($L1313='112'!$I$6,$M1313='112'!$I$6))),"x",""))</f>
        <v/>
      </c>
      <c r="S1313" s="39" t="str">
        <f>IF(ISERROR(FIND('112'!$M$9,G1313,1)),"",IF((AND(LEFT(G1313,2)=LEFT('112'!$M$9,2),B1313&lt;'112'!$N$8,$L1313='112'!$I$6)),"x",""))</f>
        <v/>
      </c>
      <c r="T1313" s="39" t="str">
        <f>IF(ISERROR(FIND('112'!$M$9,G1313,1)),"",IF((AND(RIGHT(G1313,2)=RIGHT('112'!$M$9,2),B1313&lt;'112'!$N$8,$M1313='112'!$I$6)),"x",""))</f>
        <v/>
      </c>
      <c r="U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39" t="str">
        <f>IF(OR(TH!L1313=TH!$V$7,M1313=TH!$V$7),"x","")</f>
        <v/>
      </c>
      <c r="W1313" s="39" t="str">
        <f>IF(AND(B1313&gt;='IN-NX'!$P$3,B1313&lt;='IN-NX'!$Q$3,'IN-NX'!$D$7=D1313,OR(LEFT(L1313,2)="15",AND(LEFT(M1313,2)&lt;&gt;"15",LEFT(M1313,2)&lt;&gt;"33"))),"x","")</f>
        <v/>
      </c>
      <c r="X1313" s="39" t="str">
        <f>IF(AND(OR(LEFT(TH!L1313,2)="15",LEFT(TH!M1313,2)="15"),'152-CT'!$J$8=TH!F1313),"x","")</f>
        <v/>
      </c>
      <c r="Y1313" s="39" t="str">
        <f>IF(AND(OR(LEFT(TH!L1313,2)="15",LEFT(TH!M1313,2)="15"),TK!$E$7=TH!F1313),"x","")</f>
        <v/>
      </c>
      <c r="Z1313" s="39" t="str">
        <f>IF(AND(B1313&lt;=NKC!$N$8,B1313&gt;=NKC!$M$8),"x","")</f>
        <v/>
      </c>
      <c r="AA1313" s="886"/>
    </row>
    <row r="1314" spans="1:27" s="211" customFormat="1" ht="15.75" customHeight="1">
      <c r="A1314" s="204" t="str">
        <f>IF(B1314&lt;&gt;"",IF(AND(B1314&gt;=_TM1,B1314&lt;=_TM2,OR(TH!L1314="1111",TH!M1314="1111")),TH!D1314,""),"")</f>
        <v/>
      </c>
      <c r="B1314" s="36">
        <f t="shared" si="233"/>
        <v>11</v>
      </c>
      <c r="C1314" s="191">
        <f t="shared" si="231"/>
        <v>41583</v>
      </c>
      <c r="D1314" s="191"/>
      <c r="E1314" s="191">
        <v>41583</v>
      </c>
      <c r="F1314" s="192"/>
      <c r="G1314" s="487" t="s">
        <v>1007</v>
      </c>
      <c r="H1314" s="7" t="s">
        <v>1287</v>
      </c>
      <c r="I1314" s="256"/>
      <c r="J1314" s="256"/>
      <c r="K1314" s="602">
        <f t="shared" si="232"/>
        <v>0</v>
      </c>
      <c r="L1314" s="39" t="s">
        <v>165</v>
      </c>
      <c r="M1314" s="603" t="s">
        <v>159</v>
      </c>
      <c r="N1314" s="39" t="str">
        <f>IF(AND('331-CT'!$E$7=TH!H1314,OR(L1314="331",M1314="331")),"331",IF(AND(OR(L1314="131",M1314="131"),H1314='131-CT'!$E$7),"131",""))</f>
        <v/>
      </c>
      <c r="O1314" s="39" t="str">
        <f>IF(AND($B1314&gt;='111'!$N$11,$B1314&lt;='111'!$O$11,OR($L1314=$O$7,$M1314=$O$7)),"x","")</f>
        <v/>
      </c>
      <c r="P1314" s="39" t="str">
        <f>IF(AND($L1314=$O$7,$B1314&lt;'111'!$N$11),"x","")</f>
        <v/>
      </c>
      <c r="Q1314" s="39" t="str">
        <f>IF(AND($M1314=$O$7,$B1314&lt;'111'!$N$11),"x","")</f>
        <v/>
      </c>
      <c r="R1314" s="39" t="str">
        <f>IF(ISERROR(FIND('112'!$M$9,G1314,1)),"",IF((AND(FIND('112'!$M$9,G1314,1)&gt;=1,$B1314&gt;='112'!$N$8,$B1314&lt;='112'!$O$8,OR($L1314='112'!$I$6,$M1314='112'!$I$6))),"x",""))</f>
        <v/>
      </c>
      <c r="S1314" s="39" t="str">
        <f>IF(ISERROR(FIND('112'!$M$9,G1314,1)),"",IF((AND(LEFT(G1314,2)=LEFT('112'!$M$9,2),B1314&lt;'112'!$N$8,$L1314='112'!$I$6)),"x",""))</f>
        <v/>
      </c>
      <c r="T1314" s="39" t="str">
        <f>IF(ISERROR(FIND('112'!$M$9,G1314,1)),"",IF((AND(RIGHT(G1314,2)=RIGHT('112'!$M$9,2),B1314&lt;'112'!$N$8,$M1314='112'!$I$6)),"x",""))</f>
        <v/>
      </c>
      <c r="U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39" t="str">
        <f>IF(OR(TH!L1314=TH!$V$7,M1314=TH!$V$7),"x","")</f>
        <v/>
      </c>
      <c r="W1314" s="39" t="str">
        <f>IF(AND(B1314&gt;='IN-NX'!$P$3,B1314&lt;='IN-NX'!$Q$3,'IN-NX'!$D$7=D1314,OR(LEFT(L1314,2)="15",AND(LEFT(M1314,2)&lt;&gt;"15",LEFT(M1314,2)&lt;&gt;"33"))),"x","")</f>
        <v/>
      </c>
      <c r="X1314" s="39" t="str">
        <f>IF(AND(OR(LEFT(TH!L1314,2)="15",LEFT(TH!M1314,2)="15"),'152-CT'!$J$8=TH!F1314),"x","")</f>
        <v/>
      </c>
      <c r="Y1314" s="39" t="str">
        <f>IF(AND(OR(LEFT(TH!L1314,2)="15",LEFT(TH!M1314,2)="15"),TK!$E$7=TH!F1314),"x","")</f>
        <v/>
      </c>
      <c r="Z1314" s="39" t="str">
        <f>IF(AND(B1314&lt;=NKC!$N$8,B1314&gt;=NKC!$M$8),"x","")</f>
        <v/>
      </c>
      <c r="AA1314" s="886"/>
    </row>
    <row r="1315" spans="1:27" s="211" customFormat="1" ht="15.75" customHeight="1">
      <c r="A1315" s="204" t="str">
        <f>IF(B1315&lt;&gt;"",IF(AND(B1315&gt;=_TM1,B1315&lt;=_TM2,OR(TH!L1315="1111",TH!M1315="1111")),TH!D1315,""),"")</f>
        <v/>
      </c>
      <c r="B1315" s="36">
        <f t="shared" si="233"/>
        <v>11</v>
      </c>
      <c r="C1315" s="191">
        <f t="shared" si="231"/>
        <v>41588</v>
      </c>
      <c r="D1315" s="191"/>
      <c r="E1315" s="191">
        <v>41588</v>
      </c>
      <c r="F1315" s="189"/>
      <c r="G1315" s="487" t="s">
        <v>1011</v>
      </c>
      <c r="H1315" s="7" t="s">
        <v>1287</v>
      </c>
      <c r="I1315" s="256"/>
      <c r="J1315" s="256"/>
      <c r="K1315" s="602">
        <f t="shared" si="232"/>
        <v>0</v>
      </c>
      <c r="L1315" s="39" t="s">
        <v>165</v>
      </c>
      <c r="M1315" s="603" t="s">
        <v>159</v>
      </c>
      <c r="N1315" s="39" t="str">
        <f>IF(AND('331-CT'!$E$7=TH!H1315,OR(L1315="331",M1315="331")),"331",IF(AND(OR(L1315="131",M1315="131"),H1315='131-CT'!$E$7),"131",""))</f>
        <v/>
      </c>
      <c r="O1315" s="39" t="str">
        <f>IF(AND($B1315&gt;='111'!$N$11,$B1315&lt;='111'!$O$11,OR($L1315=$O$7,$M1315=$O$7)),"x","")</f>
        <v/>
      </c>
      <c r="P1315" s="39" t="str">
        <f>IF(AND($L1315=$O$7,$B1315&lt;'111'!$N$11),"x","")</f>
        <v/>
      </c>
      <c r="Q1315" s="39" t="str">
        <f>IF(AND($M1315=$O$7,$B1315&lt;'111'!$N$11),"x","")</f>
        <v/>
      </c>
      <c r="R1315" s="39" t="str">
        <f>IF(ISERROR(FIND('112'!$M$9,G1315,1)),"",IF((AND(FIND('112'!$M$9,G1315,1)&gt;=1,$B1315&gt;='112'!$N$8,$B1315&lt;='112'!$O$8,OR($L1315='112'!$I$6,$M1315='112'!$I$6))),"x",""))</f>
        <v/>
      </c>
      <c r="S1315" s="39" t="str">
        <f>IF(ISERROR(FIND('112'!$M$9,G1315,1)),"",IF((AND(LEFT(G1315,2)=LEFT('112'!$M$9,2),B1315&lt;'112'!$N$8,$L1315='112'!$I$6)),"x",""))</f>
        <v/>
      </c>
      <c r="T1315" s="39" t="str">
        <f>IF(ISERROR(FIND('112'!$M$9,G1315,1)),"",IF((AND(RIGHT(G1315,2)=RIGHT('112'!$M$9,2),B1315&lt;'112'!$N$8,$M1315='112'!$I$6)),"x",""))</f>
        <v/>
      </c>
      <c r="U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39" t="str">
        <f>IF(OR(TH!L1315=TH!$V$7,M1315=TH!$V$7),"x","")</f>
        <v/>
      </c>
      <c r="W1315" s="39" t="str">
        <f>IF(AND(B1315&gt;='IN-NX'!$P$3,B1315&lt;='IN-NX'!$Q$3,'IN-NX'!$D$7=D1315,OR(LEFT(L1315,2)="15",AND(LEFT(M1315,2)&lt;&gt;"15",LEFT(M1315,2)&lt;&gt;"33"))),"x","")</f>
        <v/>
      </c>
      <c r="X1315" s="39" t="str">
        <f>IF(AND(OR(LEFT(TH!L1315,2)="15",LEFT(TH!M1315,2)="15"),'152-CT'!$J$8=TH!F1315),"x","")</f>
        <v/>
      </c>
      <c r="Y1315" s="39" t="str">
        <f>IF(AND(OR(LEFT(TH!L1315,2)="15",LEFT(TH!M1315,2)="15"),TK!$E$7=TH!F1315),"x","")</f>
        <v/>
      </c>
      <c r="Z1315" s="39" t="str">
        <f>IF(AND(B1315&lt;=NKC!$N$8,B1315&gt;=NKC!$M$8),"x","")</f>
        <v/>
      </c>
      <c r="AA1315" s="886"/>
    </row>
    <row r="1316" spans="1:27" s="211" customFormat="1" ht="15.75" customHeight="1">
      <c r="A1316" s="204" t="str">
        <f>IF(B1316&lt;&gt;"",IF(AND(B1316&gt;=_TM1,B1316&lt;=_TM2,OR(TH!L1316="1111",TH!M1316="1111")),TH!D1316,""),"")</f>
        <v/>
      </c>
      <c r="B1316" s="36">
        <f t="shared" si="233"/>
        <v>11</v>
      </c>
      <c r="C1316" s="191">
        <f t="shared" si="231"/>
        <v>41589</v>
      </c>
      <c r="D1316" s="191"/>
      <c r="E1316" s="191">
        <v>41589</v>
      </c>
      <c r="F1316" s="192"/>
      <c r="G1316" s="487" t="s">
        <v>1012</v>
      </c>
      <c r="H1316" s="7" t="s">
        <v>1287</v>
      </c>
      <c r="I1316" s="256"/>
      <c r="J1316" s="256"/>
      <c r="K1316" s="602">
        <f t="shared" si="232"/>
        <v>0</v>
      </c>
      <c r="L1316" s="39" t="s">
        <v>165</v>
      </c>
      <c r="M1316" s="603" t="s">
        <v>159</v>
      </c>
      <c r="N1316" s="39" t="str">
        <f>IF(AND('331-CT'!$E$7=TH!H1316,OR(L1316="331",M1316="331")),"331",IF(AND(OR(L1316="131",M1316="131"),H1316='131-CT'!$E$7),"131",""))</f>
        <v/>
      </c>
      <c r="O1316" s="39" t="str">
        <f>IF(AND($B1316&gt;='111'!$N$11,$B1316&lt;='111'!$O$11,OR($L1316=$O$7,$M1316=$O$7)),"x","")</f>
        <v/>
      </c>
      <c r="P1316" s="39" t="str">
        <f>IF(AND($L1316=$O$7,$B1316&lt;'111'!$N$11),"x","")</f>
        <v/>
      </c>
      <c r="Q1316" s="39" t="str">
        <f>IF(AND($M1316=$O$7,$B1316&lt;'111'!$N$11),"x","")</f>
        <v/>
      </c>
      <c r="R1316" s="39" t="str">
        <f>IF(ISERROR(FIND('112'!$M$9,G1316,1)),"",IF((AND(FIND('112'!$M$9,G1316,1)&gt;=1,$B1316&gt;='112'!$N$8,$B1316&lt;='112'!$O$8,OR($L1316='112'!$I$6,$M1316='112'!$I$6))),"x",""))</f>
        <v/>
      </c>
      <c r="S1316" s="39" t="str">
        <f>IF(ISERROR(FIND('112'!$M$9,G1316,1)),"",IF((AND(LEFT(G1316,2)=LEFT('112'!$M$9,2),B1316&lt;'112'!$N$8,$L1316='112'!$I$6)),"x",""))</f>
        <v/>
      </c>
      <c r="T1316" s="39" t="str">
        <f>IF(ISERROR(FIND('112'!$M$9,G1316,1)),"",IF((AND(RIGHT(G1316,2)=RIGHT('112'!$M$9,2),B1316&lt;'112'!$N$8,$M1316='112'!$I$6)),"x",""))</f>
        <v/>
      </c>
      <c r="U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39" t="str">
        <f>IF(OR(TH!L1316=TH!$V$7,M1316=TH!$V$7),"x","")</f>
        <v/>
      </c>
      <c r="W1316" s="39" t="str">
        <f>IF(AND(B1316&gt;='IN-NX'!$P$3,B1316&lt;='IN-NX'!$Q$3,'IN-NX'!$D$7=D1316,OR(LEFT(L1316,2)="15",AND(LEFT(M1316,2)&lt;&gt;"15",LEFT(M1316,2)&lt;&gt;"33"))),"x","")</f>
        <v/>
      </c>
      <c r="X1316" s="39" t="str">
        <f>IF(AND(OR(LEFT(TH!L1316,2)="15",LEFT(TH!M1316,2)="15"),'152-CT'!$J$8=TH!F1316),"x","")</f>
        <v/>
      </c>
      <c r="Y1316" s="39" t="str">
        <f>IF(AND(OR(LEFT(TH!L1316,2)="15",LEFT(TH!M1316,2)="15"),TK!$E$7=TH!F1316),"x","")</f>
        <v/>
      </c>
      <c r="Z1316" s="39" t="str">
        <f>IF(AND(B1316&lt;=NKC!$N$8,B1316&gt;=NKC!$M$8),"x","")</f>
        <v/>
      </c>
      <c r="AA1316" s="886"/>
    </row>
    <row r="1317" spans="1:27" s="211" customFormat="1" ht="15.75" customHeight="1">
      <c r="A1317" s="204" t="str">
        <f>IF(B1317&lt;&gt;"",IF(AND(B1317&gt;=_TM1,B1317&lt;=_TM2,OR(TH!L1317="1111",TH!M1317="1111")),TH!D1317,""),"")</f>
        <v/>
      </c>
      <c r="B1317" s="36">
        <f t="shared" si="233"/>
        <v>11</v>
      </c>
      <c r="C1317" s="191">
        <f t="shared" si="231"/>
        <v>41589</v>
      </c>
      <c r="D1317" s="191"/>
      <c r="E1317" s="191">
        <v>41589</v>
      </c>
      <c r="F1317" s="192"/>
      <c r="G1317" s="487" t="s">
        <v>1013</v>
      </c>
      <c r="H1317" s="7" t="s">
        <v>1287</v>
      </c>
      <c r="I1317" s="256"/>
      <c r="J1317" s="256"/>
      <c r="K1317" s="602">
        <f t="shared" si="232"/>
        <v>0</v>
      </c>
      <c r="L1317" s="39" t="s">
        <v>165</v>
      </c>
      <c r="M1317" s="603" t="s">
        <v>159</v>
      </c>
      <c r="N1317" s="39" t="str">
        <f>IF(AND('331-CT'!$E$7=TH!H1317,OR(L1317="331",M1317="331")),"331",IF(AND(OR(L1317="131",M1317="131"),H1317='131-CT'!$E$7),"131",""))</f>
        <v/>
      </c>
      <c r="O1317" s="39" t="str">
        <f>IF(AND($B1317&gt;='111'!$N$11,$B1317&lt;='111'!$O$11,OR($L1317=$O$7,$M1317=$O$7)),"x","")</f>
        <v/>
      </c>
      <c r="P1317" s="39" t="str">
        <f>IF(AND($L1317=$O$7,$B1317&lt;'111'!$N$11),"x","")</f>
        <v/>
      </c>
      <c r="Q1317" s="39" t="str">
        <f>IF(AND($M1317=$O$7,$B1317&lt;'111'!$N$11),"x","")</f>
        <v/>
      </c>
      <c r="R1317" s="39" t="str">
        <f>IF(ISERROR(FIND('112'!$M$9,G1317,1)),"",IF((AND(FIND('112'!$M$9,G1317,1)&gt;=1,$B1317&gt;='112'!$N$8,$B1317&lt;='112'!$O$8,OR($L1317='112'!$I$6,$M1317='112'!$I$6))),"x",""))</f>
        <v/>
      </c>
      <c r="S1317" s="39" t="str">
        <f>IF(ISERROR(FIND('112'!$M$9,G1317,1)),"",IF((AND(LEFT(G1317,2)=LEFT('112'!$M$9,2),B1317&lt;'112'!$N$8,$L1317='112'!$I$6)),"x",""))</f>
        <v/>
      </c>
      <c r="T1317" s="39" t="str">
        <f>IF(ISERROR(FIND('112'!$M$9,G1317,1)),"",IF((AND(RIGHT(G1317,2)=RIGHT('112'!$M$9,2),B1317&lt;'112'!$N$8,$M1317='112'!$I$6)),"x",""))</f>
        <v/>
      </c>
      <c r="U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39" t="str">
        <f>IF(OR(TH!L1317=TH!$V$7,M1317=TH!$V$7),"x","")</f>
        <v/>
      </c>
      <c r="W1317" s="39" t="str">
        <f>IF(AND(B1317&gt;='IN-NX'!$P$3,B1317&lt;='IN-NX'!$Q$3,'IN-NX'!$D$7=D1317,OR(LEFT(L1317,2)="15",AND(LEFT(M1317,2)&lt;&gt;"15",LEFT(M1317,2)&lt;&gt;"33"))),"x","")</f>
        <v/>
      </c>
      <c r="X1317" s="39" t="str">
        <f>IF(AND(OR(LEFT(TH!L1317,2)="15",LEFT(TH!M1317,2)="15"),'152-CT'!$J$8=TH!F1317),"x","")</f>
        <v/>
      </c>
      <c r="Y1317" s="39" t="str">
        <f>IF(AND(OR(LEFT(TH!L1317,2)="15",LEFT(TH!M1317,2)="15"),TK!$E$7=TH!F1317),"x","")</f>
        <v/>
      </c>
      <c r="Z1317" s="39" t="str">
        <f>IF(AND(B1317&lt;=NKC!$N$8,B1317&gt;=NKC!$M$8),"x","")</f>
        <v/>
      </c>
      <c r="AA1317" s="886"/>
    </row>
    <row r="1318" spans="1:27" s="211" customFormat="1" ht="15.75" customHeight="1">
      <c r="A1318" s="204" t="str">
        <f>IF(B1318&lt;&gt;"",IF(AND(B1318&gt;=_TM1,B1318&lt;=_TM2,OR(TH!L1318="1111",TH!M1318="1111")),TH!D1318,""),"")</f>
        <v/>
      </c>
      <c r="B1318" s="36">
        <f t="shared" si="233"/>
        <v>11</v>
      </c>
      <c r="C1318" s="191">
        <f t="shared" si="231"/>
        <v>41589</v>
      </c>
      <c r="D1318" s="191"/>
      <c r="E1318" s="191">
        <v>41589</v>
      </c>
      <c r="F1318" s="192"/>
      <c r="G1318" s="487" t="s">
        <v>1014</v>
      </c>
      <c r="H1318" s="7" t="s">
        <v>1287</v>
      </c>
      <c r="I1318" s="256"/>
      <c r="J1318" s="256"/>
      <c r="K1318" s="602">
        <f t="shared" si="232"/>
        <v>0</v>
      </c>
      <c r="L1318" s="39" t="s">
        <v>165</v>
      </c>
      <c r="M1318" s="603" t="s">
        <v>159</v>
      </c>
      <c r="N1318" s="39" t="str">
        <f>IF(AND('331-CT'!$E$7=TH!H1318,OR(L1318="331",M1318="331")),"331",IF(AND(OR(L1318="131",M1318="131"),H1318='131-CT'!$E$7),"131",""))</f>
        <v/>
      </c>
      <c r="O1318" s="39" t="str">
        <f>IF(AND($B1318&gt;='111'!$N$11,$B1318&lt;='111'!$O$11,OR($L1318=$O$7,$M1318=$O$7)),"x","")</f>
        <v/>
      </c>
      <c r="P1318" s="39" t="str">
        <f>IF(AND($L1318=$O$7,$B1318&lt;'111'!$N$11),"x","")</f>
        <v/>
      </c>
      <c r="Q1318" s="39" t="str">
        <f>IF(AND($M1318=$O$7,$B1318&lt;'111'!$N$11),"x","")</f>
        <v/>
      </c>
      <c r="R1318" s="39" t="str">
        <f>IF(ISERROR(FIND('112'!$M$9,G1318,1)),"",IF((AND(FIND('112'!$M$9,G1318,1)&gt;=1,$B1318&gt;='112'!$N$8,$B1318&lt;='112'!$O$8,OR($L1318='112'!$I$6,$M1318='112'!$I$6))),"x",""))</f>
        <v/>
      </c>
      <c r="S1318" s="39" t="str">
        <f>IF(ISERROR(FIND('112'!$M$9,G1318,1)),"",IF((AND(LEFT(G1318,2)=LEFT('112'!$M$9,2),B1318&lt;'112'!$N$8,$L1318='112'!$I$6)),"x",""))</f>
        <v/>
      </c>
      <c r="T1318" s="39" t="str">
        <f>IF(ISERROR(FIND('112'!$M$9,G1318,1)),"",IF((AND(RIGHT(G1318,2)=RIGHT('112'!$M$9,2),B1318&lt;'112'!$N$8,$M1318='112'!$I$6)),"x",""))</f>
        <v/>
      </c>
      <c r="U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39" t="str">
        <f>IF(OR(TH!L1318=TH!$V$7,M1318=TH!$V$7),"x","")</f>
        <v/>
      </c>
      <c r="W1318" s="39" t="str">
        <f>IF(AND(B1318&gt;='IN-NX'!$P$3,B1318&lt;='IN-NX'!$Q$3,'IN-NX'!$D$7=D1318,OR(LEFT(L1318,2)="15",AND(LEFT(M1318,2)&lt;&gt;"15",LEFT(M1318,2)&lt;&gt;"33"))),"x","")</f>
        <v/>
      </c>
      <c r="X1318" s="39" t="str">
        <f>IF(AND(OR(LEFT(TH!L1318,2)="15",LEFT(TH!M1318,2)="15"),'152-CT'!$J$8=TH!F1318),"x","")</f>
        <v/>
      </c>
      <c r="Y1318" s="39" t="str">
        <f>IF(AND(OR(LEFT(TH!L1318,2)="15",LEFT(TH!M1318,2)="15"),TK!$E$7=TH!F1318),"x","")</f>
        <v/>
      </c>
      <c r="Z1318" s="39" t="str">
        <f>IF(AND(B1318&lt;=NKC!$N$8,B1318&gt;=NKC!$M$8),"x","")</f>
        <v/>
      </c>
      <c r="AA1318" s="886"/>
    </row>
    <row r="1319" spans="1:27" s="211" customFormat="1" ht="15.75" customHeight="1">
      <c r="A1319" s="204" t="str">
        <f>IF(B1319&lt;&gt;"",IF(AND(B1319&gt;=_TM1,B1319&lt;=_TM2,OR(TH!L1319="1111",TH!M1319="1111")),TH!D1319,""),"")</f>
        <v/>
      </c>
      <c r="B1319" s="36">
        <f t="shared" si="233"/>
        <v>11</v>
      </c>
      <c r="C1319" s="191">
        <f t="shared" si="231"/>
        <v>41590</v>
      </c>
      <c r="D1319" s="37"/>
      <c r="E1319" s="774">
        <v>41590</v>
      </c>
      <c r="F1319" s="40"/>
      <c r="G1319" s="40" t="s">
        <v>1015</v>
      </c>
      <c r="H1319" s="7" t="s">
        <v>1287</v>
      </c>
      <c r="I1319" s="256"/>
      <c r="J1319" s="256"/>
      <c r="K1319" s="602">
        <f t="shared" si="232"/>
        <v>0</v>
      </c>
      <c r="L1319" s="39" t="s">
        <v>165</v>
      </c>
      <c r="M1319" s="603" t="s">
        <v>159</v>
      </c>
      <c r="N1319" s="39" t="str">
        <f>IF(AND('331-CT'!$E$7=TH!H1319,OR(L1319="331",M1319="331")),"331",IF(AND(OR(L1319="131",M1319="131"),H1319='131-CT'!$E$7),"131",""))</f>
        <v/>
      </c>
      <c r="O1319" s="39" t="str">
        <f>IF(AND($B1319&gt;='111'!$N$11,$B1319&lt;='111'!$O$11,OR($L1319=$O$7,$M1319=$O$7)),"x","")</f>
        <v/>
      </c>
      <c r="P1319" s="39" t="str">
        <f>IF(AND($L1319=$O$7,$B1319&lt;'111'!$N$11),"x","")</f>
        <v/>
      </c>
      <c r="Q1319" s="39" t="str">
        <f>IF(AND($M1319=$O$7,$B1319&lt;'111'!$N$11),"x","")</f>
        <v/>
      </c>
      <c r="R1319" s="39" t="str">
        <f>IF(ISERROR(FIND('112'!$M$9,G1319,1)),"",IF((AND(FIND('112'!$M$9,G1319,1)&gt;=1,$B1319&gt;='112'!$N$8,$B1319&lt;='112'!$O$8,OR($L1319='112'!$I$6,$M1319='112'!$I$6))),"x",""))</f>
        <v/>
      </c>
      <c r="S1319" s="39" t="str">
        <f>IF(ISERROR(FIND('112'!$M$9,G1319,1)),"",IF((AND(LEFT(G1319,2)=LEFT('112'!$M$9,2),B1319&lt;'112'!$N$8,$L1319='112'!$I$6)),"x",""))</f>
        <v/>
      </c>
      <c r="T1319" s="39" t="str">
        <f>IF(ISERROR(FIND('112'!$M$9,G1319,1)),"",IF((AND(RIGHT(G1319,2)=RIGHT('112'!$M$9,2),B1319&lt;'112'!$N$8,$M1319='112'!$I$6)),"x",""))</f>
        <v/>
      </c>
      <c r="U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39" t="str">
        <f>IF(OR(TH!L1319=TH!$V$7,M1319=TH!$V$7),"x","")</f>
        <v/>
      </c>
      <c r="W1319" s="39" t="str">
        <f>IF(AND(B1319&gt;='IN-NX'!$P$3,B1319&lt;='IN-NX'!$Q$3,'IN-NX'!$D$7=D1319,OR(LEFT(L1319,2)="15",AND(LEFT(M1319,2)&lt;&gt;"15",LEFT(M1319,2)&lt;&gt;"33"))),"x","")</f>
        <v/>
      </c>
      <c r="X1319" s="39" t="str">
        <f>IF(AND(OR(LEFT(TH!L1319,2)="15",LEFT(TH!M1319,2)="15"),'152-CT'!$J$8=TH!F1319),"x","")</f>
        <v/>
      </c>
      <c r="Y1319" s="39" t="str">
        <f>IF(AND(OR(LEFT(TH!L1319,2)="15",LEFT(TH!M1319,2)="15"),TK!$E$7=TH!F1319),"x","")</f>
        <v/>
      </c>
      <c r="Z1319" s="39" t="str">
        <f>IF(AND(B1319&lt;=NKC!$N$8,B1319&gt;=NKC!$M$8),"x","")</f>
        <v/>
      </c>
      <c r="AA1319" s="886"/>
    </row>
    <row r="1320" spans="1:27" s="211" customFormat="1" ht="15.75" customHeight="1">
      <c r="A1320" s="204" t="str">
        <f>IF(B1320&lt;&gt;"",IF(AND(B1320&gt;=_TM1,B1320&lt;=_TM2,OR(TH!L1320="1111",TH!M1320="1111")),TH!D1320,""),"")</f>
        <v/>
      </c>
      <c r="B1320" s="36">
        <f t="shared" si="233"/>
        <v>11</v>
      </c>
      <c r="C1320" s="191">
        <f t="shared" si="231"/>
        <v>41591</v>
      </c>
      <c r="D1320" s="37"/>
      <c r="E1320" s="774">
        <v>41591</v>
      </c>
      <c r="F1320" s="40"/>
      <c r="G1320" s="40" t="s">
        <v>1016</v>
      </c>
      <c r="H1320" s="7" t="s">
        <v>1287</v>
      </c>
      <c r="I1320" s="816"/>
      <c r="J1320" s="256"/>
      <c r="K1320" s="602">
        <f t="shared" si="232"/>
        <v>0</v>
      </c>
      <c r="L1320" s="39" t="s">
        <v>165</v>
      </c>
      <c r="M1320" s="603" t="s">
        <v>159</v>
      </c>
      <c r="N1320" s="39" t="str">
        <f>IF(AND('331-CT'!$E$7=TH!H1320,OR(L1320="331",M1320="331")),"331",IF(AND(OR(L1320="131",M1320="131"),H1320='131-CT'!$E$7),"131",""))</f>
        <v/>
      </c>
      <c r="O1320" s="39" t="str">
        <f>IF(AND($B1320&gt;='111'!$N$11,$B1320&lt;='111'!$O$11,OR($L1320=$O$7,$M1320=$O$7)),"x","")</f>
        <v/>
      </c>
      <c r="P1320" s="39" t="str">
        <f>IF(AND($L1320=$O$7,$B1320&lt;'111'!$N$11),"x","")</f>
        <v/>
      </c>
      <c r="Q1320" s="39" t="str">
        <f>IF(AND($M1320=$O$7,$B1320&lt;'111'!$N$11),"x","")</f>
        <v/>
      </c>
      <c r="R1320" s="39" t="str">
        <f>IF(ISERROR(FIND('112'!$M$9,G1320,1)),"",IF((AND(FIND('112'!$M$9,G1320,1)&gt;=1,$B1320&gt;='112'!$N$8,$B1320&lt;='112'!$O$8,OR($L1320='112'!$I$6,$M1320='112'!$I$6))),"x",""))</f>
        <v/>
      </c>
      <c r="S1320" s="39" t="str">
        <f>IF(ISERROR(FIND('112'!$M$9,G1320,1)),"",IF((AND(LEFT(G1320,2)=LEFT('112'!$M$9,2),B1320&lt;'112'!$N$8,$L1320='112'!$I$6)),"x",""))</f>
        <v/>
      </c>
      <c r="T1320" s="39" t="str">
        <f>IF(ISERROR(FIND('112'!$M$9,G1320,1)),"",IF((AND(RIGHT(G1320,2)=RIGHT('112'!$M$9,2),B1320&lt;'112'!$N$8,$M1320='112'!$I$6)),"x",""))</f>
        <v/>
      </c>
      <c r="U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39" t="str">
        <f>IF(OR(TH!L1320=TH!$V$7,M1320=TH!$V$7),"x","")</f>
        <v/>
      </c>
      <c r="W1320" s="39" t="str">
        <f>IF(AND(B1320&gt;='IN-NX'!$P$3,B1320&lt;='IN-NX'!$Q$3,'IN-NX'!$D$7=D1320,OR(LEFT(L1320,2)="15",AND(LEFT(M1320,2)&lt;&gt;"15",LEFT(M1320,2)&lt;&gt;"33"))),"x","")</f>
        <v/>
      </c>
      <c r="X1320" s="39" t="str">
        <f>IF(AND(OR(LEFT(TH!L1320,2)="15",LEFT(TH!M1320,2)="15"),'152-CT'!$J$8=TH!F1320),"x","")</f>
        <v/>
      </c>
      <c r="Y1320" s="39" t="str">
        <f>IF(AND(OR(LEFT(TH!L1320,2)="15",LEFT(TH!M1320,2)="15"),TK!$E$7=TH!F1320),"x","")</f>
        <v/>
      </c>
      <c r="Z1320" s="39" t="str">
        <f>IF(AND(B1320&lt;=NKC!$N$8,B1320&gt;=NKC!$M$8),"x","")</f>
        <v/>
      </c>
      <c r="AA1320" s="886"/>
    </row>
    <row r="1321" spans="1:27" s="211" customFormat="1" ht="15.75" customHeight="1">
      <c r="A1321" s="204" t="str">
        <f>IF(B1321&lt;&gt;"",IF(AND(B1321&gt;=_TM1,B1321&lt;=_TM2,OR(TH!L1321="1111",TH!M1321="1111")),TH!D1321,""),"")</f>
        <v/>
      </c>
      <c r="B1321" s="36">
        <f t="shared" si="233"/>
        <v>11</v>
      </c>
      <c r="C1321" s="191">
        <f t="shared" si="231"/>
        <v>41593</v>
      </c>
      <c r="D1321" s="37"/>
      <c r="E1321" s="774">
        <v>41593</v>
      </c>
      <c r="F1321" s="40"/>
      <c r="G1321" s="40" t="s">
        <v>1017</v>
      </c>
      <c r="H1321" s="7" t="s">
        <v>1287</v>
      </c>
      <c r="I1321" s="256"/>
      <c r="J1321" s="256"/>
      <c r="K1321" s="602">
        <f t="shared" si="232"/>
        <v>0</v>
      </c>
      <c r="L1321" s="39" t="s">
        <v>165</v>
      </c>
      <c r="M1321" s="603" t="s">
        <v>159</v>
      </c>
      <c r="N1321" s="39" t="str">
        <f>IF(AND('331-CT'!$E$7=TH!H1321,OR(L1321="331",M1321="331")),"331",IF(AND(OR(L1321="131",M1321="131"),H1321='131-CT'!$E$7),"131",""))</f>
        <v/>
      </c>
      <c r="O1321" s="39" t="str">
        <f>IF(AND($B1321&gt;='111'!$N$11,$B1321&lt;='111'!$O$11,OR($L1321=$O$7,$M1321=$O$7)),"x","")</f>
        <v/>
      </c>
      <c r="P1321" s="39" t="str">
        <f>IF(AND($L1321=$O$7,$B1321&lt;'111'!$N$11),"x","")</f>
        <v/>
      </c>
      <c r="Q1321" s="39" t="str">
        <f>IF(AND($M1321=$O$7,$B1321&lt;'111'!$N$11),"x","")</f>
        <v/>
      </c>
      <c r="R1321" s="39" t="str">
        <f>IF(ISERROR(FIND('112'!$M$9,G1321,1)),"",IF((AND(FIND('112'!$M$9,G1321,1)&gt;=1,$B1321&gt;='112'!$N$8,$B1321&lt;='112'!$O$8,OR($L1321='112'!$I$6,$M1321='112'!$I$6))),"x",""))</f>
        <v/>
      </c>
      <c r="S1321" s="39" t="str">
        <f>IF(ISERROR(FIND('112'!$M$9,G1321,1)),"",IF((AND(LEFT(G1321,2)=LEFT('112'!$M$9,2),B1321&lt;'112'!$N$8,$L1321='112'!$I$6)),"x",""))</f>
        <v/>
      </c>
      <c r="T1321" s="39" t="str">
        <f>IF(ISERROR(FIND('112'!$M$9,G1321,1)),"",IF((AND(RIGHT(G1321,2)=RIGHT('112'!$M$9,2),B1321&lt;'112'!$N$8,$M1321='112'!$I$6)),"x",""))</f>
        <v/>
      </c>
      <c r="U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39" t="str">
        <f>IF(OR(TH!L1321=TH!$V$7,M1321=TH!$V$7),"x","")</f>
        <v/>
      </c>
      <c r="W1321" s="39" t="str">
        <f>IF(AND(B1321&gt;='IN-NX'!$P$3,B1321&lt;='IN-NX'!$Q$3,'IN-NX'!$D$7=D1321,OR(LEFT(L1321,2)="15",AND(LEFT(M1321,2)&lt;&gt;"15",LEFT(M1321,2)&lt;&gt;"33"))),"x","")</f>
        <v/>
      </c>
      <c r="X1321" s="39" t="str">
        <f>IF(AND(OR(LEFT(TH!L1321,2)="15",LEFT(TH!M1321,2)="15"),'152-CT'!$J$8=TH!F1321),"x","")</f>
        <v/>
      </c>
      <c r="Y1321" s="39" t="str">
        <f>IF(AND(OR(LEFT(TH!L1321,2)="15",LEFT(TH!M1321,2)="15"),TK!$E$7=TH!F1321),"x","")</f>
        <v/>
      </c>
      <c r="Z1321" s="39" t="str">
        <f>IF(AND(B1321&lt;=NKC!$N$8,B1321&gt;=NKC!$M$8),"x","")</f>
        <v/>
      </c>
      <c r="AA1321" s="886"/>
    </row>
    <row r="1322" spans="1:27" s="211" customFormat="1" ht="15.75" customHeight="1">
      <c r="A1322" s="204" t="str">
        <f>IF(B1322&lt;&gt;"",IF(AND(B1322&gt;=_TM1,B1322&lt;=_TM2,OR(TH!L1322="1111",TH!M1322="1111")),TH!D1322,""),"")</f>
        <v/>
      </c>
      <c r="B1322" s="36">
        <f t="shared" si="233"/>
        <v>11</v>
      </c>
      <c r="C1322" s="191">
        <f t="shared" si="231"/>
        <v>41594</v>
      </c>
      <c r="D1322" s="37"/>
      <c r="E1322" s="37">
        <v>41594</v>
      </c>
      <c r="F1322" s="40"/>
      <c r="G1322" s="40" t="s">
        <v>1019</v>
      </c>
      <c r="H1322" s="7" t="s">
        <v>1287</v>
      </c>
      <c r="I1322" s="256"/>
      <c r="J1322" s="256"/>
      <c r="K1322" s="602">
        <f t="shared" si="232"/>
        <v>0</v>
      </c>
      <c r="L1322" s="39" t="s">
        <v>165</v>
      </c>
      <c r="M1322" s="603" t="s">
        <v>159</v>
      </c>
      <c r="N1322" s="39" t="str">
        <f>IF(AND('331-CT'!$E$7=TH!H1322,OR(L1322="331",M1322="331")),"331",IF(AND(OR(L1322="131",M1322="131"),H1322='131-CT'!$E$7),"131",""))</f>
        <v/>
      </c>
      <c r="O1322" s="39" t="str">
        <f>IF(AND($B1322&gt;='111'!$N$11,$B1322&lt;='111'!$O$11,OR($L1322=$O$7,$M1322=$O$7)),"x","")</f>
        <v/>
      </c>
      <c r="P1322" s="39" t="str">
        <f>IF(AND($L1322=$O$7,$B1322&lt;'111'!$N$11),"x","")</f>
        <v/>
      </c>
      <c r="Q1322" s="39" t="str">
        <f>IF(AND($M1322=$O$7,$B1322&lt;'111'!$N$11),"x","")</f>
        <v/>
      </c>
      <c r="R1322" s="39" t="str">
        <f>IF(ISERROR(FIND('112'!$M$9,G1322,1)),"",IF((AND(FIND('112'!$M$9,G1322,1)&gt;=1,$B1322&gt;='112'!$N$8,$B1322&lt;='112'!$O$8,OR($L1322='112'!$I$6,$M1322='112'!$I$6))),"x",""))</f>
        <v/>
      </c>
      <c r="S1322" s="39" t="str">
        <f>IF(ISERROR(FIND('112'!$M$9,G1322,1)),"",IF((AND(LEFT(G1322,2)=LEFT('112'!$M$9,2),B1322&lt;'112'!$N$8,$L1322='112'!$I$6)),"x",""))</f>
        <v/>
      </c>
      <c r="T1322" s="39" t="str">
        <f>IF(ISERROR(FIND('112'!$M$9,G1322,1)),"",IF((AND(RIGHT(G1322,2)=RIGHT('112'!$M$9,2),B1322&lt;'112'!$N$8,$M1322='112'!$I$6)),"x",""))</f>
        <v/>
      </c>
      <c r="U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39" t="str">
        <f>IF(OR(TH!L1322=TH!$V$7,M1322=TH!$V$7),"x","")</f>
        <v/>
      </c>
      <c r="W1322" s="39" t="str">
        <f>IF(AND(B1322&gt;='IN-NX'!$P$3,B1322&lt;='IN-NX'!$Q$3,'IN-NX'!$D$7=D1322,OR(LEFT(L1322,2)="15",AND(LEFT(M1322,2)&lt;&gt;"15",LEFT(M1322,2)&lt;&gt;"33"))),"x","")</f>
        <v/>
      </c>
      <c r="X1322" s="39" t="str">
        <f>IF(AND(OR(LEFT(TH!L1322,2)="15",LEFT(TH!M1322,2)="15"),'152-CT'!$J$8=TH!F1322),"x","")</f>
        <v/>
      </c>
      <c r="Y1322" s="39" t="str">
        <f>IF(AND(OR(LEFT(TH!L1322,2)="15",LEFT(TH!M1322,2)="15"),TK!$E$7=TH!F1322),"x","")</f>
        <v/>
      </c>
      <c r="Z1322" s="39" t="str">
        <f>IF(AND(B1322&lt;=NKC!$N$8,B1322&gt;=NKC!$M$8),"x","")</f>
        <v/>
      </c>
      <c r="AA1322" s="886"/>
    </row>
    <row r="1323" spans="1:27" s="211" customFormat="1" ht="15.75" customHeight="1">
      <c r="A1323" s="204" t="str">
        <f>IF(B1323&lt;&gt;"",IF(AND(B1323&gt;=_TM1,B1323&lt;=_TM2,OR(TH!L1323="1111",TH!M1323="1111")),TH!D1323,""),"")</f>
        <v/>
      </c>
      <c r="B1323" s="36">
        <f t="shared" si="233"/>
        <v>11</v>
      </c>
      <c r="C1323" s="191">
        <f t="shared" si="231"/>
        <v>41594</v>
      </c>
      <c r="D1323" s="37"/>
      <c r="E1323" s="37">
        <v>41594</v>
      </c>
      <c r="F1323" s="40"/>
      <c r="G1323" s="40" t="s">
        <v>1019</v>
      </c>
      <c r="H1323" s="7" t="s">
        <v>1287</v>
      </c>
      <c r="I1323" s="256"/>
      <c r="J1323" s="256"/>
      <c r="K1323" s="602">
        <f t="shared" si="232"/>
        <v>0</v>
      </c>
      <c r="L1323" s="39" t="s">
        <v>165</v>
      </c>
      <c r="M1323" s="603" t="s">
        <v>159</v>
      </c>
      <c r="N1323" s="39" t="str">
        <f>IF(AND('331-CT'!$E$7=TH!H1323,OR(L1323="331",M1323="331")),"331",IF(AND(OR(L1323="131",M1323="131"),H1323='131-CT'!$E$7),"131",""))</f>
        <v/>
      </c>
      <c r="O1323" s="39" t="str">
        <f>IF(AND($B1323&gt;='111'!$N$11,$B1323&lt;='111'!$O$11,OR($L1323=$O$7,$M1323=$O$7)),"x","")</f>
        <v/>
      </c>
      <c r="P1323" s="39" t="str">
        <f>IF(AND($L1323=$O$7,$B1323&lt;'111'!$N$11),"x","")</f>
        <v/>
      </c>
      <c r="Q1323" s="39" t="str">
        <f>IF(AND($M1323=$O$7,$B1323&lt;'111'!$N$11),"x","")</f>
        <v/>
      </c>
      <c r="R1323" s="39" t="str">
        <f>IF(ISERROR(FIND('112'!$M$9,G1323,1)),"",IF((AND(FIND('112'!$M$9,G1323,1)&gt;=1,$B1323&gt;='112'!$N$8,$B1323&lt;='112'!$O$8,OR($L1323='112'!$I$6,$M1323='112'!$I$6))),"x",""))</f>
        <v/>
      </c>
      <c r="S1323" s="39" t="str">
        <f>IF(ISERROR(FIND('112'!$M$9,G1323,1)),"",IF((AND(LEFT(G1323,2)=LEFT('112'!$M$9,2),B1323&lt;'112'!$N$8,$L1323='112'!$I$6)),"x",""))</f>
        <v/>
      </c>
      <c r="T1323" s="39" t="str">
        <f>IF(ISERROR(FIND('112'!$M$9,G1323,1)),"",IF((AND(RIGHT(G1323,2)=RIGHT('112'!$M$9,2),B1323&lt;'112'!$N$8,$M1323='112'!$I$6)),"x",""))</f>
        <v/>
      </c>
      <c r="U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39" t="str">
        <f>IF(OR(TH!L1323=TH!$V$7,M1323=TH!$V$7),"x","")</f>
        <v/>
      </c>
      <c r="W1323" s="39" t="str">
        <f>IF(AND(B1323&gt;='IN-NX'!$P$3,B1323&lt;='IN-NX'!$Q$3,'IN-NX'!$D$7=D1323,OR(LEFT(L1323,2)="15",AND(LEFT(M1323,2)&lt;&gt;"15",LEFT(M1323,2)&lt;&gt;"33"))),"x","")</f>
        <v/>
      </c>
      <c r="X1323" s="39" t="str">
        <f>IF(AND(OR(LEFT(TH!L1323,2)="15",LEFT(TH!M1323,2)="15"),'152-CT'!$J$8=TH!F1323),"x","")</f>
        <v/>
      </c>
      <c r="Y1323" s="39" t="str">
        <f>IF(AND(OR(LEFT(TH!L1323,2)="15",LEFT(TH!M1323,2)="15"),TK!$E$7=TH!F1323),"x","")</f>
        <v/>
      </c>
      <c r="Z1323" s="39" t="str">
        <f>IF(AND(B1323&lt;=NKC!$N$8,B1323&gt;=NKC!$M$8),"x","")</f>
        <v/>
      </c>
      <c r="AA1323" s="886"/>
    </row>
    <row r="1324" spans="1:27" s="211" customFormat="1" ht="15.75" customHeight="1">
      <c r="A1324" s="204" t="str">
        <f>IF(B1324&lt;&gt;"",IF(AND(B1324&gt;=_TM1,B1324&lt;=_TM2,OR(TH!L1324="1111",TH!M1324="1111")),TH!D1324,""),"")</f>
        <v/>
      </c>
      <c r="B1324" s="36">
        <f t="shared" si="233"/>
        <v>11</v>
      </c>
      <c r="C1324" s="191">
        <f t="shared" si="231"/>
        <v>41594</v>
      </c>
      <c r="D1324" s="37"/>
      <c r="E1324" s="37">
        <v>41594</v>
      </c>
      <c r="F1324" s="192"/>
      <c r="G1324" s="40" t="s">
        <v>1019</v>
      </c>
      <c r="H1324" s="7" t="s">
        <v>1287</v>
      </c>
      <c r="I1324" s="256"/>
      <c r="J1324" s="256"/>
      <c r="K1324" s="602">
        <f t="shared" si="232"/>
        <v>0</v>
      </c>
      <c r="L1324" s="39" t="s">
        <v>165</v>
      </c>
      <c r="M1324" s="603" t="s">
        <v>159</v>
      </c>
      <c r="N1324" s="39" t="str">
        <f>IF(AND('331-CT'!$E$7=TH!H1324,OR(L1324="331",M1324="331")),"331",IF(AND(OR(L1324="131",M1324="131"),H1324='131-CT'!$E$7),"131",""))</f>
        <v/>
      </c>
      <c r="O1324" s="39" t="str">
        <f>IF(AND($B1324&gt;='111'!$N$11,$B1324&lt;='111'!$O$11,OR($L1324=$O$7,$M1324=$O$7)),"x","")</f>
        <v/>
      </c>
      <c r="P1324" s="39" t="str">
        <f>IF(AND($L1324=$O$7,$B1324&lt;'111'!$N$11),"x","")</f>
        <v/>
      </c>
      <c r="Q1324" s="39" t="str">
        <f>IF(AND($M1324=$O$7,$B1324&lt;'111'!$N$11),"x","")</f>
        <v/>
      </c>
      <c r="R1324" s="39" t="str">
        <f>IF(ISERROR(FIND('112'!$M$9,G1324,1)),"",IF((AND(FIND('112'!$M$9,G1324,1)&gt;=1,$B1324&gt;='112'!$N$8,$B1324&lt;='112'!$O$8,OR($L1324='112'!$I$6,$M1324='112'!$I$6))),"x",""))</f>
        <v/>
      </c>
      <c r="S1324" s="39" t="str">
        <f>IF(ISERROR(FIND('112'!$M$9,G1324,1)),"",IF((AND(LEFT(G1324,2)=LEFT('112'!$M$9,2),B1324&lt;'112'!$N$8,$L1324='112'!$I$6)),"x",""))</f>
        <v/>
      </c>
      <c r="T1324" s="39" t="str">
        <f>IF(ISERROR(FIND('112'!$M$9,G1324,1)),"",IF((AND(RIGHT(G1324,2)=RIGHT('112'!$M$9,2),B1324&lt;'112'!$N$8,$M1324='112'!$I$6)),"x",""))</f>
        <v/>
      </c>
      <c r="U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39" t="str">
        <f>IF(OR(TH!L1324=TH!$V$7,M1324=TH!$V$7),"x","")</f>
        <v/>
      </c>
      <c r="W1324" s="39" t="str">
        <f>IF(AND(B1324&gt;='IN-NX'!$P$3,B1324&lt;='IN-NX'!$Q$3,'IN-NX'!$D$7=D1324,OR(LEFT(L1324,2)="15",AND(LEFT(M1324,2)&lt;&gt;"15",LEFT(M1324,2)&lt;&gt;"33"))),"x","")</f>
        <v/>
      </c>
      <c r="X1324" s="39" t="str">
        <f>IF(AND(OR(LEFT(TH!L1324,2)="15",LEFT(TH!M1324,2)="15"),'152-CT'!$J$8=TH!F1324),"x","")</f>
        <v/>
      </c>
      <c r="Y1324" s="39" t="str">
        <f>IF(AND(OR(LEFT(TH!L1324,2)="15",LEFT(TH!M1324,2)="15"),TK!$E$7=TH!F1324),"x","")</f>
        <v/>
      </c>
      <c r="Z1324" s="39" t="str">
        <f>IF(AND(B1324&lt;=NKC!$N$8,B1324&gt;=NKC!$M$8),"x","")</f>
        <v/>
      </c>
      <c r="AA1324" s="886"/>
    </row>
    <row r="1325" spans="1:27" s="211" customFormat="1" ht="15.75" customHeight="1">
      <c r="A1325" s="204" t="str">
        <f>IF(B1325&lt;&gt;"",IF(AND(B1325&gt;=_TM1,B1325&lt;=_TM2,OR(TH!L1325="1111",TH!M1325="1111")),TH!D1325,""),"")</f>
        <v/>
      </c>
      <c r="B1325" s="36">
        <f t="shared" si="233"/>
        <v>11</v>
      </c>
      <c r="C1325" s="191">
        <f t="shared" si="231"/>
        <v>41594</v>
      </c>
      <c r="D1325" s="37"/>
      <c r="E1325" s="37">
        <v>41594</v>
      </c>
      <c r="F1325" s="40"/>
      <c r="G1325" s="40" t="s">
        <v>1019</v>
      </c>
      <c r="H1325" s="7" t="s">
        <v>1287</v>
      </c>
      <c r="I1325" s="256"/>
      <c r="J1325" s="256"/>
      <c r="K1325" s="602">
        <f t="shared" si="232"/>
        <v>0</v>
      </c>
      <c r="L1325" s="39" t="s">
        <v>165</v>
      </c>
      <c r="M1325" s="603" t="s">
        <v>159</v>
      </c>
      <c r="N1325" s="39" t="str">
        <f>IF(AND('331-CT'!$E$7=TH!H1325,OR(L1325="331",M1325="331")),"331",IF(AND(OR(L1325="131",M1325="131"),H1325='131-CT'!$E$7),"131",""))</f>
        <v/>
      </c>
      <c r="O1325" s="39" t="str">
        <f>IF(AND($B1325&gt;='111'!$N$11,$B1325&lt;='111'!$O$11,OR($L1325=$O$7,$M1325=$O$7)),"x","")</f>
        <v/>
      </c>
      <c r="P1325" s="39" t="str">
        <f>IF(AND($L1325=$O$7,$B1325&lt;'111'!$N$11),"x","")</f>
        <v/>
      </c>
      <c r="Q1325" s="39" t="str">
        <f>IF(AND($M1325=$O$7,$B1325&lt;'111'!$N$11),"x","")</f>
        <v/>
      </c>
      <c r="R1325" s="39" t="str">
        <f>IF(ISERROR(FIND('112'!$M$9,G1325,1)),"",IF((AND(FIND('112'!$M$9,G1325,1)&gt;=1,$B1325&gt;='112'!$N$8,$B1325&lt;='112'!$O$8,OR($L1325='112'!$I$6,$M1325='112'!$I$6))),"x",""))</f>
        <v/>
      </c>
      <c r="S1325" s="39" t="str">
        <f>IF(ISERROR(FIND('112'!$M$9,G1325,1)),"",IF((AND(LEFT(G1325,2)=LEFT('112'!$M$9,2),B1325&lt;'112'!$N$8,$L1325='112'!$I$6)),"x",""))</f>
        <v/>
      </c>
      <c r="T1325" s="39" t="str">
        <f>IF(ISERROR(FIND('112'!$M$9,G1325,1)),"",IF((AND(RIGHT(G1325,2)=RIGHT('112'!$M$9,2),B1325&lt;'112'!$N$8,$M1325='112'!$I$6)),"x",""))</f>
        <v/>
      </c>
      <c r="U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39" t="str">
        <f>IF(OR(TH!L1325=TH!$V$7,M1325=TH!$V$7),"x","")</f>
        <v/>
      </c>
      <c r="W1325" s="39" t="str">
        <f>IF(AND(B1325&gt;='IN-NX'!$P$3,B1325&lt;='IN-NX'!$Q$3,'IN-NX'!$D$7=D1325,OR(LEFT(L1325,2)="15",AND(LEFT(M1325,2)&lt;&gt;"15",LEFT(M1325,2)&lt;&gt;"33"))),"x","")</f>
        <v/>
      </c>
      <c r="X1325" s="39" t="str">
        <f>IF(AND(OR(LEFT(TH!L1325,2)="15",LEFT(TH!M1325,2)="15"),'152-CT'!$J$8=TH!F1325),"x","")</f>
        <v/>
      </c>
      <c r="Y1325" s="39" t="str">
        <f>IF(AND(OR(LEFT(TH!L1325,2)="15",LEFT(TH!M1325,2)="15"),TK!$E$7=TH!F1325),"x","")</f>
        <v/>
      </c>
      <c r="Z1325" s="39" t="str">
        <f>IF(AND(B1325&lt;=NKC!$N$8,B1325&gt;=NKC!$M$8),"x","")</f>
        <v/>
      </c>
      <c r="AA1325" s="886"/>
    </row>
    <row r="1326" spans="1:27" s="211" customFormat="1" ht="15.75" customHeight="1">
      <c r="A1326" s="204" t="str">
        <f>IF(B1326&lt;&gt;"",IF(AND(B1326&gt;=_TM1,B1326&lt;=_TM2,OR(TH!L1326="1111",TH!M1326="1111")),TH!D1326,""),"")</f>
        <v/>
      </c>
      <c r="B1326" s="36">
        <f t="shared" si="233"/>
        <v>11</v>
      </c>
      <c r="C1326" s="191">
        <f t="shared" si="231"/>
        <v>41595</v>
      </c>
      <c r="D1326" s="37"/>
      <c r="E1326" s="37">
        <v>41595</v>
      </c>
      <c r="F1326" s="40"/>
      <c r="G1326" s="40" t="s">
        <v>1021</v>
      </c>
      <c r="H1326" s="7" t="s">
        <v>1287</v>
      </c>
      <c r="I1326" s="256"/>
      <c r="J1326" s="256"/>
      <c r="K1326" s="602">
        <f t="shared" si="232"/>
        <v>0</v>
      </c>
      <c r="L1326" s="39" t="s">
        <v>165</v>
      </c>
      <c r="M1326" s="603" t="s">
        <v>159</v>
      </c>
      <c r="N1326" s="39" t="str">
        <f>IF(AND('331-CT'!$E$7=TH!H1326,OR(L1326="331",M1326="331")),"331",IF(AND(OR(L1326="131",M1326="131"),H1326='131-CT'!$E$7),"131",""))</f>
        <v/>
      </c>
      <c r="O1326" s="39" t="str">
        <f>IF(AND($B1326&gt;='111'!$N$11,$B1326&lt;='111'!$O$11,OR($L1326=$O$7,$M1326=$O$7)),"x","")</f>
        <v/>
      </c>
      <c r="P1326" s="39" t="str">
        <f>IF(AND($L1326=$O$7,$B1326&lt;'111'!$N$11),"x","")</f>
        <v/>
      </c>
      <c r="Q1326" s="39" t="str">
        <f>IF(AND($M1326=$O$7,$B1326&lt;'111'!$N$11),"x","")</f>
        <v/>
      </c>
      <c r="R1326" s="39" t="str">
        <f>IF(ISERROR(FIND('112'!$M$9,G1326,1)),"",IF((AND(FIND('112'!$M$9,G1326,1)&gt;=1,$B1326&gt;='112'!$N$8,$B1326&lt;='112'!$O$8,OR($L1326='112'!$I$6,$M1326='112'!$I$6))),"x",""))</f>
        <v/>
      </c>
      <c r="S1326" s="39" t="str">
        <f>IF(ISERROR(FIND('112'!$M$9,G1326,1)),"",IF((AND(LEFT(G1326,2)=LEFT('112'!$M$9,2),B1326&lt;'112'!$N$8,$L1326='112'!$I$6)),"x",""))</f>
        <v/>
      </c>
      <c r="T1326" s="39" t="str">
        <f>IF(ISERROR(FIND('112'!$M$9,G1326,1)),"",IF((AND(RIGHT(G1326,2)=RIGHT('112'!$M$9,2),B1326&lt;'112'!$N$8,$M1326='112'!$I$6)),"x",""))</f>
        <v/>
      </c>
      <c r="U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39" t="str">
        <f>IF(OR(TH!L1326=TH!$V$7,M1326=TH!$V$7),"x","")</f>
        <v/>
      </c>
      <c r="W1326" s="39" t="str">
        <f>IF(AND(B1326&gt;='IN-NX'!$P$3,B1326&lt;='IN-NX'!$Q$3,'IN-NX'!$D$7=D1326,OR(LEFT(L1326,2)="15",AND(LEFT(M1326,2)&lt;&gt;"15",LEFT(M1326,2)&lt;&gt;"33"))),"x","")</f>
        <v/>
      </c>
      <c r="X1326" s="39" t="str">
        <f>IF(AND(OR(LEFT(TH!L1326,2)="15",LEFT(TH!M1326,2)="15"),'152-CT'!$J$8=TH!F1326),"x","")</f>
        <v/>
      </c>
      <c r="Y1326" s="39" t="str">
        <f>IF(AND(OR(LEFT(TH!L1326,2)="15",LEFT(TH!M1326,2)="15"),TK!$E$7=TH!F1326),"x","")</f>
        <v/>
      </c>
      <c r="Z1326" s="39" t="str">
        <f>IF(AND(B1326&lt;=NKC!$N$8,B1326&gt;=NKC!$M$8),"x","")</f>
        <v/>
      </c>
      <c r="AA1326" s="886"/>
    </row>
    <row r="1327" spans="1:27" s="211" customFormat="1" ht="15.75" customHeight="1">
      <c r="A1327" s="204" t="str">
        <f>IF(B1327&lt;&gt;"",IF(AND(B1327&gt;=_TM1,B1327&lt;=_TM2,OR(TH!L1327="1111",TH!M1327="1111")),TH!D1327,""),"")</f>
        <v/>
      </c>
      <c r="B1327" s="36">
        <f t="shared" si="233"/>
        <v>11</v>
      </c>
      <c r="C1327" s="191">
        <f t="shared" si="231"/>
        <v>41595</v>
      </c>
      <c r="D1327" s="37"/>
      <c r="E1327" s="37">
        <v>41595</v>
      </c>
      <c r="F1327" s="189"/>
      <c r="G1327" s="40" t="s">
        <v>1021</v>
      </c>
      <c r="H1327" s="7" t="s">
        <v>1287</v>
      </c>
      <c r="I1327" s="256"/>
      <c r="J1327" s="256"/>
      <c r="K1327" s="602">
        <f t="shared" si="232"/>
        <v>0</v>
      </c>
      <c r="L1327" s="39" t="s">
        <v>165</v>
      </c>
      <c r="M1327" s="603" t="s">
        <v>159</v>
      </c>
      <c r="N1327" s="39" t="str">
        <f>IF(AND('331-CT'!$E$7=TH!H1327,OR(L1327="331",M1327="331")),"331",IF(AND(OR(L1327="131",M1327="131"),H1327='131-CT'!$E$7),"131",""))</f>
        <v/>
      </c>
      <c r="O1327" s="39" t="str">
        <f>IF(AND($B1327&gt;='111'!$N$11,$B1327&lt;='111'!$O$11,OR($L1327=$O$7,$M1327=$O$7)),"x","")</f>
        <v/>
      </c>
      <c r="P1327" s="39" t="str">
        <f>IF(AND($L1327=$O$7,$B1327&lt;'111'!$N$11),"x","")</f>
        <v/>
      </c>
      <c r="Q1327" s="39" t="str">
        <f>IF(AND($M1327=$O$7,$B1327&lt;'111'!$N$11),"x","")</f>
        <v/>
      </c>
      <c r="R1327" s="39" t="str">
        <f>IF(ISERROR(FIND('112'!$M$9,G1327,1)),"",IF((AND(FIND('112'!$M$9,G1327,1)&gt;=1,$B1327&gt;='112'!$N$8,$B1327&lt;='112'!$O$8,OR($L1327='112'!$I$6,$M1327='112'!$I$6))),"x",""))</f>
        <v/>
      </c>
      <c r="S1327" s="39" t="str">
        <f>IF(ISERROR(FIND('112'!$M$9,G1327,1)),"",IF((AND(LEFT(G1327,2)=LEFT('112'!$M$9,2),B1327&lt;'112'!$N$8,$L1327='112'!$I$6)),"x",""))</f>
        <v/>
      </c>
      <c r="T1327" s="39" t="str">
        <f>IF(ISERROR(FIND('112'!$M$9,G1327,1)),"",IF((AND(RIGHT(G1327,2)=RIGHT('112'!$M$9,2),B1327&lt;'112'!$N$8,$M1327='112'!$I$6)),"x",""))</f>
        <v/>
      </c>
      <c r="U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39" t="str">
        <f>IF(OR(TH!L1327=TH!$V$7,M1327=TH!$V$7),"x","")</f>
        <v/>
      </c>
      <c r="W1327" s="39" t="str">
        <f>IF(AND(B1327&gt;='IN-NX'!$P$3,B1327&lt;='IN-NX'!$Q$3,'IN-NX'!$D$7=D1327,OR(LEFT(L1327,2)="15",AND(LEFT(M1327,2)&lt;&gt;"15",LEFT(M1327,2)&lt;&gt;"33"))),"x","")</f>
        <v/>
      </c>
      <c r="X1327" s="39" t="str">
        <f>IF(AND(OR(LEFT(TH!L1327,2)="15",LEFT(TH!M1327,2)="15"),'152-CT'!$J$8=TH!F1327),"x","")</f>
        <v/>
      </c>
      <c r="Y1327" s="39" t="str">
        <f>IF(AND(OR(LEFT(TH!L1327,2)="15",LEFT(TH!M1327,2)="15"),TK!$E$7=TH!F1327),"x","")</f>
        <v/>
      </c>
      <c r="Z1327" s="39" t="str">
        <f>IF(AND(B1327&lt;=NKC!$N$8,B1327&gt;=NKC!$M$8),"x","")</f>
        <v/>
      </c>
      <c r="AA1327" s="886"/>
    </row>
    <row r="1328" spans="1:27" s="211" customFormat="1" ht="15.75" customHeight="1">
      <c r="A1328" s="204" t="str">
        <f>IF(B1328&lt;&gt;"",IF(AND(B1328&gt;=_TM1,B1328&lt;=_TM2,OR(TH!L1328="1111",TH!M1328="1111")),TH!D1328,""),"")</f>
        <v/>
      </c>
      <c r="B1328" s="36">
        <f t="shared" si="233"/>
        <v>11</v>
      </c>
      <c r="C1328" s="191">
        <f t="shared" si="231"/>
        <v>41595</v>
      </c>
      <c r="D1328" s="37"/>
      <c r="E1328" s="37">
        <v>41595</v>
      </c>
      <c r="F1328" s="40"/>
      <c r="G1328" s="40" t="s">
        <v>1021</v>
      </c>
      <c r="H1328" s="7" t="s">
        <v>1287</v>
      </c>
      <c r="I1328" s="256"/>
      <c r="J1328" s="256"/>
      <c r="K1328" s="602">
        <f t="shared" si="232"/>
        <v>0</v>
      </c>
      <c r="L1328" s="39" t="s">
        <v>165</v>
      </c>
      <c r="M1328" s="603" t="s">
        <v>159</v>
      </c>
      <c r="N1328" s="39" t="str">
        <f>IF(AND('331-CT'!$E$7=TH!H1328,OR(L1328="331",M1328="331")),"331",IF(AND(OR(L1328="131",M1328="131"),H1328='131-CT'!$E$7),"131",""))</f>
        <v/>
      </c>
      <c r="O1328" s="39" t="str">
        <f>IF(AND($B1328&gt;='111'!$N$11,$B1328&lt;='111'!$O$11,OR($L1328=$O$7,$M1328=$O$7)),"x","")</f>
        <v/>
      </c>
      <c r="P1328" s="39" t="str">
        <f>IF(AND($L1328=$O$7,$B1328&lt;'111'!$N$11),"x","")</f>
        <v/>
      </c>
      <c r="Q1328" s="39" t="str">
        <f>IF(AND($M1328=$O$7,$B1328&lt;'111'!$N$11),"x","")</f>
        <v/>
      </c>
      <c r="R1328" s="39" t="str">
        <f>IF(ISERROR(FIND('112'!$M$9,G1328,1)),"",IF((AND(FIND('112'!$M$9,G1328,1)&gt;=1,$B1328&gt;='112'!$N$8,$B1328&lt;='112'!$O$8,OR($L1328='112'!$I$6,$M1328='112'!$I$6))),"x",""))</f>
        <v/>
      </c>
      <c r="S1328" s="39" t="str">
        <f>IF(ISERROR(FIND('112'!$M$9,G1328,1)),"",IF((AND(LEFT(G1328,2)=LEFT('112'!$M$9,2),B1328&lt;'112'!$N$8,$L1328='112'!$I$6)),"x",""))</f>
        <v/>
      </c>
      <c r="T1328" s="39" t="str">
        <f>IF(ISERROR(FIND('112'!$M$9,G1328,1)),"",IF((AND(RIGHT(G1328,2)=RIGHT('112'!$M$9,2),B1328&lt;'112'!$N$8,$M1328='112'!$I$6)),"x",""))</f>
        <v/>
      </c>
      <c r="U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39" t="str">
        <f>IF(OR(TH!L1328=TH!$V$7,M1328=TH!$V$7),"x","")</f>
        <v/>
      </c>
      <c r="W1328" s="39" t="str">
        <f>IF(AND(B1328&gt;='IN-NX'!$P$3,B1328&lt;='IN-NX'!$Q$3,'IN-NX'!$D$7=D1328,OR(LEFT(L1328,2)="15",AND(LEFT(M1328,2)&lt;&gt;"15",LEFT(M1328,2)&lt;&gt;"33"))),"x","")</f>
        <v/>
      </c>
      <c r="X1328" s="39" t="str">
        <f>IF(AND(OR(LEFT(TH!L1328,2)="15",LEFT(TH!M1328,2)="15"),'152-CT'!$J$8=TH!F1328),"x","")</f>
        <v/>
      </c>
      <c r="Y1328" s="39" t="str">
        <f>IF(AND(OR(LEFT(TH!L1328,2)="15",LEFT(TH!M1328,2)="15"),TK!$E$7=TH!F1328),"x","")</f>
        <v/>
      </c>
      <c r="Z1328" s="39" t="str">
        <f>IF(AND(B1328&lt;=NKC!$N$8,B1328&gt;=NKC!$M$8),"x","")</f>
        <v/>
      </c>
      <c r="AA1328" s="886"/>
    </row>
    <row r="1329" spans="1:27" s="211" customFormat="1" ht="15.75" customHeight="1">
      <c r="A1329" s="204" t="str">
        <f>IF(B1329&lt;&gt;"",IF(AND(B1329&gt;=_TM1,B1329&lt;=_TM2,OR(TH!L1329="1111",TH!M1329="1111")),TH!D1329,""),"")</f>
        <v/>
      </c>
      <c r="B1329" s="36">
        <f t="shared" si="233"/>
        <v>11</v>
      </c>
      <c r="C1329" s="191">
        <f t="shared" si="231"/>
        <v>41600</v>
      </c>
      <c r="D1329" s="37"/>
      <c r="E1329" s="37">
        <v>41600</v>
      </c>
      <c r="F1329" s="40"/>
      <c r="G1329" s="40" t="s">
        <v>1024</v>
      </c>
      <c r="H1329" s="7" t="s">
        <v>1287</v>
      </c>
      <c r="I1329" s="256"/>
      <c r="J1329" s="256"/>
      <c r="K1329" s="602">
        <f t="shared" si="232"/>
        <v>0</v>
      </c>
      <c r="L1329" s="39" t="s">
        <v>165</v>
      </c>
      <c r="M1329" s="603" t="s">
        <v>159</v>
      </c>
      <c r="N1329" s="39" t="str">
        <f>IF(AND('331-CT'!$E$7=TH!H1329,OR(L1329="331",M1329="331")),"331",IF(AND(OR(L1329="131",M1329="131"),H1329='131-CT'!$E$7),"131",""))</f>
        <v/>
      </c>
      <c r="O1329" s="39" t="str">
        <f>IF(AND($B1329&gt;='111'!$N$11,$B1329&lt;='111'!$O$11,OR($L1329=$O$7,$M1329=$O$7)),"x","")</f>
        <v/>
      </c>
      <c r="P1329" s="39" t="str">
        <f>IF(AND($L1329=$O$7,$B1329&lt;'111'!$N$11),"x","")</f>
        <v/>
      </c>
      <c r="Q1329" s="39" t="str">
        <f>IF(AND($M1329=$O$7,$B1329&lt;'111'!$N$11),"x","")</f>
        <v/>
      </c>
      <c r="R1329" s="39" t="str">
        <f>IF(ISERROR(FIND('112'!$M$9,G1329,1)),"",IF((AND(FIND('112'!$M$9,G1329,1)&gt;=1,$B1329&gt;='112'!$N$8,$B1329&lt;='112'!$O$8,OR($L1329='112'!$I$6,$M1329='112'!$I$6))),"x",""))</f>
        <v/>
      </c>
      <c r="S1329" s="39" t="str">
        <f>IF(ISERROR(FIND('112'!$M$9,G1329,1)),"",IF((AND(LEFT(G1329,2)=LEFT('112'!$M$9,2),B1329&lt;'112'!$N$8,$L1329='112'!$I$6)),"x",""))</f>
        <v/>
      </c>
      <c r="T1329" s="39" t="str">
        <f>IF(ISERROR(FIND('112'!$M$9,G1329,1)),"",IF((AND(RIGHT(G1329,2)=RIGHT('112'!$M$9,2),B1329&lt;'112'!$N$8,$M1329='112'!$I$6)),"x",""))</f>
        <v/>
      </c>
      <c r="U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39" t="str">
        <f>IF(OR(TH!L1329=TH!$V$7,M1329=TH!$V$7),"x","")</f>
        <v/>
      </c>
      <c r="W1329" s="39" t="str">
        <f>IF(AND(B1329&gt;='IN-NX'!$P$3,B1329&lt;='IN-NX'!$Q$3,'IN-NX'!$D$7=D1329,OR(LEFT(L1329,2)="15",AND(LEFT(M1329,2)&lt;&gt;"15",LEFT(M1329,2)&lt;&gt;"33"))),"x","")</f>
        <v/>
      </c>
      <c r="X1329" s="39" t="str">
        <f>IF(AND(OR(LEFT(TH!L1329,2)="15",LEFT(TH!M1329,2)="15"),'152-CT'!$J$8=TH!F1329),"x","")</f>
        <v/>
      </c>
      <c r="Y1329" s="39" t="str">
        <f>IF(AND(OR(LEFT(TH!L1329,2)="15",LEFT(TH!M1329,2)="15"),TK!$E$7=TH!F1329),"x","")</f>
        <v/>
      </c>
      <c r="Z1329" s="39" t="str">
        <f>IF(AND(B1329&lt;=NKC!$N$8,B1329&gt;=NKC!$M$8),"x","")</f>
        <v/>
      </c>
      <c r="AA1329" s="886"/>
    </row>
    <row r="1330" spans="1:27" s="211" customFormat="1" ht="15.75" customHeight="1">
      <c r="A1330" s="204" t="str">
        <f>IF(B1330&lt;&gt;"",IF(AND(B1330&gt;=_TM1,B1330&lt;=_TM2,OR(TH!L1330="1111",TH!M1330="1111")),TH!D1330,""),"")</f>
        <v/>
      </c>
      <c r="B1330" s="36">
        <f t="shared" si="233"/>
        <v>11</v>
      </c>
      <c r="C1330" s="191">
        <f t="shared" si="231"/>
        <v>41601</v>
      </c>
      <c r="D1330" s="37"/>
      <c r="E1330" s="37">
        <v>41601</v>
      </c>
      <c r="F1330" s="40"/>
      <c r="G1330" s="40" t="s">
        <v>654</v>
      </c>
      <c r="H1330" s="7" t="s">
        <v>1287</v>
      </c>
      <c r="I1330" s="256"/>
      <c r="J1330" s="256"/>
      <c r="K1330" s="602">
        <f t="shared" si="232"/>
        <v>0</v>
      </c>
      <c r="L1330" s="39" t="s">
        <v>165</v>
      </c>
      <c r="M1330" s="603" t="s">
        <v>159</v>
      </c>
      <c r="N1330" s="39" t="str">
        <f>IF(AND('331-CT'!$E$7=TH!H1330,OR(L1330="331",M1330="331")),"331",IF(AND(OR(L1330="131",M1330="131"),H1330='131-CT'!$E$7),"131",""))</f>
        <v/>
      </c>
      <c r="O1330" s="39" t="str">
        <f>IF(AND($B1330&gt;='111'!$N$11,$B1330&lt;='111'!$O$11,OR($L1330=$O$7,$M1330=$O$7)),"x","")</f>
        <v/>
      </c>
      <c r="P1330" s="39" t="str">
        <f>IF(AND($L1330=$O$7,$B1330&lt;'111'!$N$11),"x","")</f>
        <v/>
      </c>
      <c r="Q1330" s="39" t="str">
        <f>IF(AND($M1330=$O$7,$B1330&lt;'111'!$N$11),"x","")</f>
        <v/>
      </c>
      <c r="R1330" s="39" t="str">
        <f>IF(ISERROR(FIND('112'!$M$9,G1330,1)),"",IF((AND(FIND('112'!$M$9,G1330,1)&gt;=1,$B1330&gt;='112'!$N$8,$B1330&lt;='112'!$O$8,OR($L1330='112'!$I$6,$M1330='112'!$I$6))),"x",""))</f>
        <v/>
      </c>
      <c r="S1330" s="39" t="str">
        <f>IF(ISERROR(FIND('112'!$M$9,G1330,1)),"",IF((AND(LEFT(G1330,2)=LEFT('112'!$M$9,2),B1330&lt;'112'!$N$8,$L1330='112'!$I$6)),"x",""))</f>
        <v/>
      </c>
      <c r="T1330" s="39" t="str">
        <f>IF(ISERROR(FIND('112'!$M$9,G1330,1)),"",IF((AND(RIGHT(G1330,2)=RIGHT('112'!$M$9,2),B1330&lt;'112'!$N$8,$M1330='112'!$I$6)),"x",""))</f>
        <v/>
      </c>
      <c r="U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39" t="str">
        <f>IF(OR(TH!L1330=TH!$V$7,M1330=TH!$V$7),"x","")</f>
        <v/>
      </c>
      <c r="W1330" s="39" t="str">
        <f>IF(AND(B1330&gt;='IN-NX'!$P$3,B1330&lt;='IN-NX'!$Q$3,'IN-NX'!$D$7=D1330,OR(LEFT(L1330,2)="15",AND(LEFT(M1330,2)&lt;&gt;"15",LEFT(M1330,2)&lt;&gt;"33"))),"x","")</f>
        <v/>
      </c>
      <c r="X1330" s="39" t="str">
        <f>IF(AND(OR(LEFT(TH!L1330,2)="15",LEFT(TH!M1330,2)="15"),'152-CT'!$J$8=TH!F1330),"x","")</f>
        <v/>
      </c>
      <c r="Y1330" s="39" t="str">
        <f>IF(AND(OR(LEFT(TH!L1330,2)="15",LEFT(TH!M1330,2)="15"),TK!$E$7=TH!F1330),"x","")</f>
        <v/>
      </c>
      <c r="Z1330" s="39" t="str">
        <f>IF(AND(B1330&lt;=NKC!$N$8,B1330&gt;=NKC!$M$8),"x","")</f>
        <v/>
      </c>
      <c r="AA1330" s="886"/>
    </row>
    <row r="1331" spans="1:27" s="211" customFormat="1" ht="15.75" customHeight="1">
      <c r="A1331" s="204" t="str">
        <f>IF(B1331&lt;&gt;"",IF(AND(B1331&gt;=_TM1,B1331&lt;=_TM2,OR(TH!L1331="1111",TH!M1331="1111")),TH!D1331,""),"")</f>
        <v/>
      </c>
      <c r="B1331" s="36">
        <f t="shared" si="233"/>
        <v>11</v>
      </c>
      <c r="C1331" s="191">
        <f t="shared" si="231"/>
        <v>41601</v>
      </c>
      <c r="D1331" s="37"/>
      <c r="E1331" s="37">
        <v>41601</v>
      </c>
      <c r="F1331" s="40"/>
      <c r="G1331" s="40" t="s">
        <v>654</v>
      </c>
      <c r="H1331" s="7" t="s">
        <v>1287</v>
      </c>
      <c r="I1331" s="256"/>
      <c r="J1331" s="256"/>
      <c r="K1331" s="602">
        <f t="shared" si="232"/>
        <v>0</v>
      </c>
      <c r="L1331" s="39" t="s">
        <v>165</v>
      </c>
      <c r="M1331" s="603" t="s">
        <v>159</v>
      </c>
      <c r="N1331" s="39" t="str">
        <f>IF(AND('331-CT'!$E$7=TH!H1331,OR(L1331="331",M1331="331")),"331",IF(AND(OR(L1331="131",M1331="131"),H1331='131-CT'!$E$7),"131",""))</f>
        <v/>
      </c>
      <c r="O1331" s="39" t="str">
        <f>IF(AND($B1331&gt;='111'!$N$11,$B1331&lt;='111'!$O$11,OR($L1331=$O$7,$M1331=$O$7)),"x","")</f>
        <v/>
      </c>
      <c r="P1331" s="39" t="str">
        <f>IF(AND($L1331=$O$7,$B1331&lt;'111'!$N$11),"x","")</f>
        <v/>
      </c>
      <c r="Q1331" s="39" t="str">
        <f>IF(AND($M1331=$O$7,$B1331&lt;'111'!$N$11),"x","")</f>
        <v/>
      </c>
      <c r="R1331" s="39" t="str">
        <f>IF(ISERROR(FIND('112'!$M$9,G1331,1)),"",IF((AND(FIND('112'!$M$9,G1331,1)&gt;=1,$B1331&gt;='112'!$N$8,$B1331&lt;='112'!$O$8,OR($L1331='112'!$I$6,$M1331='112'!$I$6))),"x",""))</f>
        <v/>
      </c>
      <c r="S1331" s="39" t="str">
        <f>IF(ISERROR(FIND('112'!$M$9,G1331,1)),"",IF((AND(LEFT(G1331,2)=LEFT('112'!$M$9,2),B1331&lt;'112'!$N$8,$L1331='112'!$I$6)),"x",""))</f>
        <v/>
      </c>
      <c r="T1331" s="39" t="str">
        <f>IF(ISERROR(FIND('112'!$M$9,G1331,1)),"",IF((AND(RIGHT(G1331,2)=RIGHT('112'!$M$9,2),B1331&lt;'112'!$N$8,$M1331='112'!$I$6)),"x",""))</f>
        <v/>
      </c>
      <c r="U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39" t="str">
        <f>IF(OR(TH!L1331=TH!$V$7,M1331=TH!$V$7),"x","")</f>
        <v/>
      </c>
      <c r="W1331" s="39" t="str">
        <f>IF(AND(B1331&gt;='IN-NX'!$P$3,B1331&lt;='IN-NX'!$Q$3,'IN-NX'!$D$7=D1331,OR(LEFT(L1331,2)="15",AND(LEFT(M1331,2)&lt;&gt;"15",LEFT(M1331,2)&lt;&gt;"33"))),"x","")</f>
        <v/>
      </c>
      <c r="X1331" s="39" t="str">
        <f>IF(AND(OR(LEFT(TH!L1331,2)="15",LEFT(TH!M1331,2)="15"),'152-CT'!$J$8=TH!F1331),"x","")</f>
        <v/>
      </c>
      <c r="Y1331" s="39" t="str">
        <f>IF(AND(OR(LEFT(TH!L1331,2)="15",LEFT(TH!M1331,2)="15"),TK!$E$7=TH!F1331),"x","")</f>
        <v/>
      </c>
      <c r="Z1331" s="39" t="str">
        <f>IF(AND(B1331&lt;=NKC!$N$8,B1331&gt;=NKC!$M$8),"x","")</f>
        <v/>
      </c>
      <c r="AA1331" s="886"/>
    </row>
    <row r="1332" spans="1:27" s="211" customFormat="1" ht="15.75" customHeight="1">
      <c r="A1332" s="204" t="str">
        <f>IF(B1332&lt;&gt;"",IF(AND(B1332&gt;=_TM1,B1332&lt;=_TM2,OR(TH!L1332="1111",TH!M1332="1111")),TH!D1332,""),"")</f>
        <v/>
      </c>
      <c r="B1332" s="36">
        <f t="shared" si="233"/>
        <v>11</v>
      </c>
      <c r="C1332" s="191">
        <f t="shared" si="231"/>
        <v>41601</v>
      </c>
      <c r="D1332" s="37"/>
      <c r="E1332" s="37">
        <v>41601</v>
      </c>
      <c r="F1332" s="192"/>
      <c r="G1332" s="40" t="s">
        <v>654</v>
      </c>
      <c r="H1332" s="7" t="s">
        <v>1287</v>
      </c>
      <c r="I1332" s="256"/>
      <c r="J1332" s="256"/>
      <c r="K1332" s="602">
        <f t="shared" si="232"/>
        <v>0</v>
      </c>
      <c r="L1332" s="39" t="s">
        <v>165</v>
      </c>
      <c r="M1332" s="603" t="s">
        <v>159</v>
      </c>
      <c r="N1332" s="39" t="str">
        <f>IF(AND('331-CT'!$E$7=TH!H1332,OR(L1332="331",M1332="331")),"331",IF(AND(OR(L1332="131",M1332="131"),H1332='131-CT'!$E$7),"131",""))</f>
        <v/>
      </c>
      <c r="O1332" s="39" t="str">
        <f>IF(AND($B1332&gt;='111'!$N$11,$B1332&lt;='111'!$O$11,OR($L1332=$O$7,$M1332=$O$7)),"x","")</f>
        <v/>
      </c>
      <c r="P1332" s="39" t="str">
        <f>IF(AND($L1332=$O$7,$B1332&lt;'111'!$N$11),"x","")</f>
        <v/>
      </c>
      <c r="Q1332" s="39" t="str">
        <f>IF(AND($M1332=$O$7,$B1332&lt;'111'!$N$11),"x","")</f>
        <v/>
      </c>
      <c r="R1332" s="39" t="str">
        <f>IF(ISERROR(FIND('112'!$M$9,G1332,1)),"",IF((AND(FIND('112'!$M$9,G1332,1)&gt;=1,$B1332&gt;='112'!$N$8,$B1332&lt;='112'!$O$8,OR($L1332='112'!$I$6,$M1332='112'!$I$6))),"x",""))</f>
        <v/>
      </c>
      <c r="S1332" s="39" t="str">
        <f>IF(ISERROR(FIND('112'!$M$9,G1332,1)),"",IF((AND(LEFT(G1332,2)=LEFT('112'!$M$9,2),B1332&lt;'112'!$N$8,$L1332='112'!$I$6)),"x",""))</f>
        <v/>
      </c>
      <c r="T1332" s="39" t="str">
        <f>IF(ISERROR(FIND('112'!$M$9,G1332,1)),"",IF((AND(RIGHT(G1332,2)=RIGHT('112'!$M$9,2),B1332&lt;'112'!$N$8,$M1332='112'!$I$6)),"x",""))</f>
        <v/>
      </c>
      <c r="U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39" t="str">
        <f>IF(OR(TH!L1332=TH!$V$7,M1332=TH!$V$7),"x","")</f>
        <v/>
      </c>
      <c r="W1332" s="39" t="str">
        <f>IF(AND(B1332&gt;='IN-NX'!$P$3,B1332&lt;='IN-NX'!$Q$3,'IN-NX'!$D$7=D1332,OR(LEFT(L1332,2)="15",AND(LEFT(M1332,2)&lt;&gt;"15",LEFT(M1332,2)&lt;&gt;"33"))),"x","")</f>
        <v/>
      </c>
      <c r="X1332" s="39" t="str">
        <f>IF(AND(OR(LEFT(TH!L1332,2)="15",LEFT(TH!M1332,2)="15"),'152-CT'!$J$8=TH!F1332),"x","")</f>
        <v/>
      </c>
      <c r="Y1332" s="39" t="str">
        <f>IF(AND(OR(LEFT(TH!L1332,2)="15",LEFT(TH!M1332,2)="15"),TK!$E$7=TH!F1332),"x","")</f>
        <v/>
      </c>
      <c r="Z1332" s="39" t="str">
        <f>IF(AND(B1332&lt;=NKC!$N$8,B1332&gt;=NKC!$M$8),"x","")</f>
        <v/>
      </c>
      <c r="AA1332" s="886"/>
    </row>
    <row r="1333" spans="1:27" s="211" customFormat="1" ht="15.75" customHeight="1">
      <c r="A1333" s="204" t="str">
        <f>IF(B1333&lt;&gt;"",IF(AND(B1333&gt;=_TM1,B1333&lt;=_TM2,OR(TH!L1333="1111",TH!M1333="1111")),TH!D1333,""),"")</f>
        <v/>
      </c>
      <c r="B1333" s="36">
        <f t="shared" si="233"/>
        <v>11</v>
      </c>
      <c r="C1333" s="191">
        <f t="shared" si="231"/>
        <v>41603</v>
      </c>
      <c r="D1333" s="37"/>
      <c r="E1333" s="37">
        <v>41603</v>
      </c>
      <c r="F1333" s="40"/>
      <c r="G1333" s="40" t="s">
        <v>1026</v>
      </c>
      <c r="H1333" s="7" t="s">
        <v>1287</v>
      </c>
      <c r="I1333" s="256"/>
      <c r="J1333" s="256"/>
      <c r="K1333" s="602">
        <f t="shared" si="232"/>
        <v>0</v>
      </c>
      <c r="L1333" s="39" t="s">
        <v>165</v>
      </c>
      <c r="M1333" s="603" t="s">
        <v>159</v>
      </c>
      <c r="N1333" s="39" t="str">
        <f>IF(AND('331-CT'!$E$7=TH!H1333,OR(L1333="331",M1333="331")),"331",IF(AND(OR(L1333="131",M1333="131"),H1333='131-CT'!$E$7),"131",""))</f>
        <v/>
      </c>
      <c r="O1333" s="39" t="str">
        <f>IF(AND($B1333&gt;='111'!$N$11,$B1333&lt;='111'!$O$11,OR($L1333=$O$7,$M1333=$O$7)),"x","")</f>
        <v/>
      </c>
      <c r="P1333" s="39" t="str">
        <f>IF(AND($L1333=$O$7,$B1333&lt;'111'!$N$11),"x","")</f>
        <v/>
      </c>
      <c r="Q1333" s="39" t="str">
        <f>IF(AND($M1333=$O$7,$B1333&lt;'111'!$N$11),"x","")</f>
        <v/>
      </c>
      <c r="R1333" s="39" t="str">
        <f>IF(ISERROR(FIND('112'!$M$9,G1333,1)),"",IF((AND(FIND('112'!$M$9,G1333,1)&gt;=1,$B1333&gt;='112'!$N$8,$B1333&lt;='112'!$O$8,OR($L1333='112'!$I$6,$M1333='112'!$I$6))),"x",""))</f>
        <v/>
      </c>
      <c r="S1333" s="39" t="str">
        <f>IF(ISERROR(FIND('112'!$M$9,G1333,1)),"",IF((AND(LEFT(G1333,2)=LEFT('112'!$M$9,2),B1333&lt;'112'!$N$8,$L1333='112'!$I$6)),"x",""))</f>
        <v/>
      </c>
      <c r="T1333" s="39" t="str">
        <f>IF(ISERROR(FIND('112'!$M$9,G1333,1)),"",IF((AND(RIGHT(G1333,2)=RIGHT('112'!$M$9,2),B1333&lt;'112'!$N$8,$M1333='112'!$I$6)),"x",""))</f>
        <v/>
      </c>
      <c r="U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39" t="str">
        <f>IF(OR(TH!L1333=TH!$V$7,M1333=TH!$V$7),"x","")</f>
        <v/>
      </c>
      <c r="W1333" s="39" t="str">
        <f>IF(AND(B1333&gt;='IN-NX'!$P$3,B1333&lt;='IN-NX'!$Q$3,'IN-NX'!$D$7=D1333,OR(LEFT(L1333,2)="15",AND(LEFT(M1333,2)&lt;&gt;"15",LEFT(M1333,2)&lt;&gt;"33"))),"x","")</f>
        <v/>
      </c>
      <c r="X1333" s="39" t="str">
        <f>IF(AND(OR(LEFT(TH!L1333,2)="15",LEFT(TH!M1333,2)="15"),'152-CT'!$J$8=TH!F1333),"x","")</f>
        <v/>
      </c>
      <c r="Y1333" s="39" t="str">
        <f>IF(AND(OR(LEFT(TH!L1333,2)="15",LEFT(TH!M1333,2)="15"),TK!$E$7=TH!F1333),"x","")</f>
        <v/>
      </c>
      <c r="Z1333" s="39" t="str">
        <f>IF(AND(B1333&lt;=NKC!$N$8,B1333&gt;=NKC!$M$8),"x","")</f>
        <v/>
      </c>
      <c r="AA1333" s="886"/>
    </row>
    <row r="1334" spans="1:27" s="211" customFormat="1" ht="15.75" customHeight="1">
      <c r="A1334" s="204" t="str">
        <f>IF(B1334&lt;&gt;"",IF(AND(B1334&gt;=_TM1,B1334&lt;=_TM2,OR(TH!L1334="1111",TH!M1334="1111")),TH!D1334,""),"")</f>
        <v/>
      </c>
      <c r="B1334" s="36">
        <f t="shared" si="233"/>
        <v>11</v>
      </c>
      <c r="C1334" s="191">
        <f t="shared" si="231"/>
        <v>41603</v>
      </c>
      <c r="D1334" s="37"/>
      <c r="E1334" s="37">
        <v>41603</v>
      </c>
      <c r="F1334" s="40"/>
      <c r="G1334" s="40" t="s">
        <v>1026</v>
      </c>
      <c r="H1334" s="7" t="s">
        <v>1287</v>
      </c>
      <c r="I1334" s="256"/>
      <c r="J1334" s="256"/>
      <c r="K1334" s="602">
        <f t="shared" si="232"/>
        <v>0</v>
      </c>
      <c r="L1334" s="39" t="s">
        <v>165</v>
      </c>
      <c r="M1334" s="603" t="s">
        <v>159</v>
      </c>
      <c r="N1334" s="39" t="str">
        <f>IF(AND('331-CT'!$E$7=TH!H1334,OR(L1334="331",M1334="331")),"331",IF(AND(OR(L1334="131",M1334="131"),H1334='131-CT'!$E$7),"131",""))</f>
        <v/>
      </c>
      <c r="O1334" s="39" t="str">
        <f>IF(AND($B1334&gt;='111'!$N$11,$B1334&lt;='111'!$O$11,OR($L1334=$O$7,$M1334=$O$7)),"x","")</f>
        <v/>
      </c>
      <c r="P1334" s="39" t="str">
        <f>IF(AND($L1334=$O$7,$B1334&lt;'111'!$N$11),"x","")</f>
        <v/>
      </c>
      <c r="Q1334" s="39" t="str">
        <f>IF(AND($M1334=$O$7,$B1334&lt;'111'!$N$11),"x","")</f>
        <v/>
      </c>
      <c r="R1334" s="39" t="str">
        <f>IF(ISERROR(FIND('112'!$M$9,G1334,1)),"",IF((AND(FIND('112'!$M$9,G1334,1)&gt;=1,$B1334&gt;='112'!$N$8,$B1334&lt;='112'!$O$8,OR($L1334='112'!$I$6,$M1334='112'!$I$6))),"x",""))</f>
        <v/>
      </c>
      <c r="S1334" s="39" t="str">
        <f>IF(ISERROR(FIND('112'!$M$9,G1334,1)),"",IF((AND(LEFT(G1334,2)=LEFT('112'!$M$9,2),B1334&lt;'112'!$N$8,$L1334='112'!$I$6)),"x",""))</f>
        <v/>
      </c>
      <c r="T1334" s="39" t="str">
        <f>IF(ISERROR(FIND('112'!$M$9,G1334,1)),"",IF((AND(RIGHT(G1334,2)=RIGHT('112'!$M$9,2),B1334&lt;'112'!$N$8,$M1334='112'!$I$6)),"x",""))</f>
        <v/>
      </c>
      <c r="U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39" t="str">
        <f>IF(OR(TH!L1334=TH!$V$7,M1334=TH!$V$7),"x","")</f>
        <v/>
      </c>
      <c r="W1334" s="39" t="str">
        <f>IF(AND(B1334&gt;='IN-NX'!$P$3,B1334&lt;='IN-NX'!$Q$3,'IN-NX'!$D$7=D1334,OR(LEFT(L1334,2)="15",AND(LEFT(M1334,2)&lt;&gt;"15",LEFT(M1334,2)&lt;&gt;"33"))),"x","")</f>
        <v/>
      </c>
      <c r="X1334" s="39" t="str">
        <f>IF(AND(OR(LEFT(TH!L1334,2)="15",LEFT(TH!M1334,2)="15"),'152-CT'!$J$8=TH!F1334),"x","")</f>
        <v/>
      </c>
      <c r="Y1334" s="39" t="str">
        <f>IF(AND(OR(LEFT(TH!L1334,2)="15",LEFT(TH!M1334,2)="15"),TK!$E$7=TH!F1334),"x","")</f>
        <v/>
      </c>
      <c r="Z1334" s="39" t="str">
        <f>IF(AND(B1334&lt;=NKC!$N$8,B1334&gt;=NKC!$M$8),"x","")</f>
        <v/>
      </c>
      <c r="AA1334" s="886"/>
    </row>
    <row r="1335" spans="1:27" s="211" customFormat="1" ht="15.75" customHeight="1">
      <c r="A1335" s="204" t="str">
        <f>IF(B1335&lt;&gt;"",IF(AND(B1335&gt;=_TM1,B1335&lt;=_TM2,OR(TH!L1335="1111",TH!M1335="1111")),TH!D1335,""),"")</f>
        <v/>
      </c>
      <c r="B1335" s="36">
        <f t="shared" si="233"/>
        <v>11</v>
      </c>
      <c r="C1335" s="191">
        <f t="shared" si="231"/>
        <v>41603</v>
      </c>
      <c r="D1335" s="37"/>
      <c r="E1335" s="37">
        <v>41603</v>
      </c>
      <c r="F1335" s="189"/>
      <c r="G1335" s="40" t="s">
        <v>660</v>
      </c>
      <c r="H1335" s="7" t="s">
        <v>1287</v>
      </c>
      <c r="I1335" s="256"/>
      <c r="J1335" s="256"/>
      <c r="K1335" s="602">
        <f t="shared" si="232"/>
        <v>0</v>
      </c>
      <c r="L1335" s="39" t="s">
        <v>165</v>
      </c>
      <c r="M1335" s="603" t="s">
        <v>159</v>
      </c>
      <c r="N1335" s="39" t="str">
        <f>IF(AND('331-CT'!$E$7=TH!H1335,OR(L1335="331",M1335="331")),"331",IF(AND(OR(L1335="131",M1335="131"),H1335='131-CT'!$E$7),"131",""))</f>
        <v/>
      </c>
      <c r="O1335" s="39" t="str">
        <f>IF(AND($B1335&gt;='111'!$N$11,$B1335&lt;='111'!$O$11,OR($L1335=$O$7,$M1335=$O$7)),"x","")</f>
        <v/>
      </c>
      <c r="P1335" s="39" t="str">
        <f>IF(AND($L1335=$O$7,$B1335&lt;'111'!$N$11),"x","")</f>
        <v/>
      </c>
      <c r="Q1335" s="39" t="str">
        <f>IF(AND($M1335=$O$7,$B1335&lt;'111'!$N$11),"x","")</f>
        <v/>
      </c>
      <c r="R1335" s="39" t="str">
        <f>IF(ISERROR(FIND('112'!$M$9,G1335,1)),"",IF((AND(FIND('112'!$M$9,G1335,1)&gt;=1,$B1335&gt;='112'!$N$8,$B1335&lt;='112'!$O$8,OR($L1335='112'!$I$6,$M1335='112'!$I$6))),"x",""))</f>
        <v/>
      </c>
      <c r="S1335" s="39" t="str">
        <f>IF(ISERROR(FIND('112'!$M$9,G1335,1)),"",IF((AND(LEFT(G1335,2)=LEFT('112'!$M$9,2),B1335&lt;'112'!$N$8,$L1335='112'!$I$6)),"x",""))</f>
        <v/>
      </c>
      <c r="T1335" s="39" t="str">
        <f>IF(ISERROR(FIND('112'!$M$9,G1335,1)),"",IF((AND(RIGHT(G1335,2)=RIGHT('112'!$M$9,2),B1335&lt;'112'!$N$8,$M1335='112'!$I$6)),"x",""))</f>
        <v/>
      </c>
      <c r="U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39" t="str">
        <f>IF(OR(TH!L1335=TH!$V$7,M1335=TH!$V$7),"x","")</f>
        <v/>
      </c>
      <c r="W1335" s="39" t="str">
        <f>IF(AND(B1335&gt;='IN-NX'!$P$3,B1335&lt;='IN-NX'!$Q$3,'IN-NX'!$D$7=D1335,OR(LEFT(L1335,2)="15",AND(LEFT(M1335,2)&lt;&gt;"15",LEFT(M1335,2)&lt;&gt;"33"))),"x","")</f>
        <v/>
      </c>
      <c r="X1335" s="39" t="str">
        <f>IF(AND(OR(LEFT(TH!L1335,2)="15",LEFT(TH!M1335,2)="15"),'152-CT'!$J$8=TH!F1335),"x","")</f>
        <v/>
      </c>
      <c r="Y1335" s="39" t="str">
        <f>IF(AND(OR(LEFT(TH!L1335,2)="15",LEFT(TH!M1335,2)="15"),TK!$E$7=TH!F1335),"x","")</f>
        <v/>
      </c>
      <c r="Z1335" s="39" t="str">
        <f>IF(AND(B1335&lt;=NKC!$N$8,B1335&gt;=NKC!$M$8),"x","")</f>
        <v/>
      </c>
      <c r="AA1335" s="886"/>
    </row>
    <row r="1336" spans="1:27" s="211" customFormat="1" ht="15.75" customHeight="1">
      <c r="A1336" s="204" t="str">
        <f>IF(B1336&lt;&gt;"",IF(AND(B1336&gt;=_TM1,B1336&lt;=_TM2,OR(TH!L1336="1111",TH!M1336="1111")),TH!D1336,""),"")</f>
        <v/>
      </c>
      <c r="B1336" s="36">
        <f t="shared" si="233"/>
        <v>11</v>
      </c>
      <c r="C1336" s="191">
        <f t="shared" si="231"/>
        <v>41605</v>
      </c>
      <c r="D1336" s="37"/>
      <c r="E1336" s="37">
        <v>41605</v>
      </c>
      <c r="F1336" s="40"/>
      <c r="G1336" s="40" t="s">
        <v>1027</v>
      </c>
      <c r="H1336" s="7" t="s">
        <v>1287</v>
      </c>
      <c r="I1336" s="256"/>
      <c r="J1336" s="256"/>
      <c r="K1336" s="602">
        <f t="shared" si="232"/>
        <v>0</v>
      </c>
      <c r="L1336" s="39" t="s">
        <v>165</v>
      </c>
      <c r="M1336" s="603" t="s">
        <v>159</v>
      </c>
      <c r="N1336" s="39" t="str">
        <f>IF(AND('331-CT'!$E$7=TH!H1336,OR(L1336="331",M1336="331")),"331",IF(AND(OR(L1336="131",M1336="131"),H1336='131-CT'!$E$7),"131",""))</f>
        <v/>
      </c>
      <c r="O1336" s="39" t="str">
        <f>IF(AND($B1336&gt;='111'!$N$11,$B1336&lt;='111'!$O$11,OR($L1336=$O$7,$M1336=$O$7)),"x","")</f>
        <v/>
      </c>
      <c r="P1336" s="39" t="str">
        <f>IF(AND($L1336=$O$7,$B1336&lt;'111'!$N$11),"x","")</f>
        <v/>
      </c>
      <c r="Q1336" s="39" t="str">
        <f>IF(AND($M1336=$O$7,$B1336&lt;'111'!$N$11),"x","")</f>
        <v/>
      </c>
      <c r="R1336" s="39" t="str">
        <f>IF(ISERROR(FIND('112'!$M$9,G1336,1)),"",IF((AND(FIND('112'!$M$9,G1336,1)&gt;=1,$B1336&gt;='112'!$N$8,$B1336&lt;='112'!$O$8,OR($L1336='112'!$I$6,$M1336='112'!$I$6))),"x",""))</f>
        <v/>
      </c>
      <c r="S1336" s="39" t="str">
        <f>IF(ISERROR(FIND('112'!$M$9,G1336,1)),"",IF((AND(LEFT(G1336,2)=LEFT('112'!$M$9,2),B1336&lt;'112'!$N$8,$L1336='112'!$I$6)),"x",""))</f>
        <v/>
      </c>
      <c r="T1336" s="39" t="str">
        <f>IF(ISERROR(FIND('112'!$M$9,G1336,1)),"",IF((AND(RIGHT(G1336,2)=RIGHT('112'!$M$9,2),B1336&lt;'112'!$N$8,$M1336='112'!$I$6)),"x",""))</f>
        <v/>
      </c>
      <c r="U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39" t="str">
        <f>IF(OR(TH!L1336=TH!$V$7,M1336=TH!$V$7),"x","")</f>
        <v/>
      </c>
      <c r="W1336" s="39" t="str">
        <f>IF(AND(B1336&gt;='IN-NX'!$P$3,B1336&lt;='IN-NX'!$Q$3,'IN-NX'!$D$7=D1336,OR(LEFT(L1336,2)="15",AND(LEFT(M1336,2)&lt;&gt;"15",LEFT(M1336,2)&lt;&gt;"33"))),"x","")</f>
        <v/>
      </c>
      <c r="X1336" s="39" t="str">
        <f>IF(AND(OR(LEFT(TH!L1336,2)="15",LEFT(TH!M1336,2)="15"),'152-CT'!$J$8=TH!F1336),"x","")</f>
        <v/>
      </c>
      <c r="Y1336" s="39" t="str">
        <f>IF(AND(OR(LEFT(TH!L1336,2)="15",LEFT(TH!M1336,2)="15"),TK!$E$7=TH!F1336),"x","")</f>
        <v/>
      </c>
      <c r="Z1336" s="39" t="str">
        <f>IF(AND(B1336&lt;=NKC!$N$8,B1336&gt;=NKC!$M$8),"x","")</f>
        <v/>
      </c>
      <c r="AA1336" s="886"/>
    </row>
    <row r="1337" spans="1:27" s="211" customFormat="1" ht="15.75" customHeight="1">
      <c r="A1337" s="204" t="str">
        <f>IF(B1337&lt;&gt;"",IF(AND(B1337&gt;=_TM1,B1337&lt;=_TM2,OR(TH!L1337="1111",TH!M1337="1111")),TH!D1337,""),"")</f>
        <v/>
      </c>
      <c r="B1337" s="36">
        <f t="shared" si="233"/>
        <v>11</v>
      </c>
      <c r="C1337" s="191">
        <f t="shared" si="231"/>
        <v>41605</v>
      </c>
      <c r="D1337" s="37"/>
      <c r="E1337" s="37">
        <v>41605</v>
      </c>
      <c r="F1337" s="40"/>
      <c r="G1337" s="40" t="s">
        <v>1027</v>
      </c>
      <c r="H1337" s="7" t="s">
        <v>1287</v>
      </c>
      <c r="I1337" s="256"/>
      <c r="J1337" s="256"/>
      <c r="K1337" s="602">
        <f t="shared" si="232"/>
        <v>0</v>
      </c>
      <c r="L1337" s="39" t="s">
        <v>165</v>
      </c>
      <c r="M1337" s="603" t="s">
        <v>159</v>
      </c>
      <c r="N1337" s="39" t="str">
        <f>IF(AND('331-CT'!$E$7=TH!H1337,OR(L1337="331",M1337="331")),"331",IF(AND(OR(L1337="131",M1337="131"),H1337='131-CT'!$E$7),"131",""))</f>
        <v/>
      </c>
      <c r="O1337" s="39" t="str">
        <f>IF(AND($B1337&gt;='111'!$N$11,$B1337&lt;='111'!$O$11,OR($L1337=$O$7,$M1337=$O$7)),"x","")</f>
        <v/>
      </c>
      <c r="P1337" s="39" t="str">
        <f>IF(AND($L1337=$O$7,$B1337&lt;'111'!$N$11),"x","")</f>
        <v/>
      </c>
      <c r="Q1337" s="39" t="str">
        <f>IF(AND($M1337=$O$7,$B1337&lt;'111'!$N$11),"x","")</f>
        <v/>
      </c>
      <c r="R1337" s="39" t="str">
        <f>IF(ISERROR(FIND('112'!$M$9,G1337,1)),"",IF((AND(FIND('112'!$M$9,G1337,1)&gt;=1,$B1337&gt;='112'!$N$8,$B1337&lt;='112'!$O$8,OR($L1337='112'!$I$6,$M1337='112'!$I$6))),"x",""))</f>
        <v/>
      </c>
      <c r="S1337" s="39" t="str">
        <f>IF(ISERROR(FIND('112'!$M$9,G1337,1)),"",IF((AND(LEFT(G1337,2)=LEFT('112'!$M$9,2),B1337&lt;'112'!$N$8,$L1337='112'!$I$6)),"x",""))</f>
        <v/>
      </c>
      <c r="T1337" s="39" t="str">
        <f>IF(ISERROR(FIND('112'!$M$9,G1337,1)),"",IF((AND(RIGHT(G1337,2)=RIGHT('112'!$M$9,2),B1337&lt;'112'!$N$8,$M1337='112'!$I$6)),"x",""))</f>
        <v/>
      </c>
      <c r="U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39" t="str">
        <f>IF(OR(TH!L1337=TH!$V$7,M1337=TH!$V$7),"x","")</f>
        <v/>
      </c>
      <c r="W1337" s="39" t="str">
        <f>IF(AND(B1337&gt;='IN-NX'!$P$3,B1337&lt;='IN-NX'!$Q$3,'IN-NX'!$D$7=D1337,OR(LEFT(L1337,2)="15",AND(LEFT(M1337,2)&lt;&gt;"15",LEFT(M1337,2)&lt;&gt;"33"))),"x","")</f>
        <v/>
      </c>
      <c r="X1337" s="39" t="str">
        <f>IF(AND(OR(LEFT(TH!L1337,2)="15",LEFT(TH!M1337,2)="15"),'152-CT'!$J$8=TH!F1337),"x","")</f>
        <v/>
      </c>
      <c r="Y1337" s="39" t="str">
        <f>IF(AND(OR(LEFT(TH!L1337,2)="15",LEFT(TH!M1337,2)="15"),TK!$E$7=TH!F1337),"x","")</f>
        <v/>
      </c>
      <c r="Z1337" s="39" t="str">
        <f>IF(AND(B1337&lt;=NKC!$N$8,B1337&gt;=NKC!$M$8),"x","")</f>
        <v/>
      </c>
      <c r="AA1337" s="886"/>
    </row>
    <row r="1338" spans="1:27" s="211" customFormat="1" ht="15.75" customHeight="1">
      <c r="A1338" s="204" t="str">
        <f>IF(B1338&lt;&gt;"",IF(AND(B1338&gt;=_TM1,B1338&lt;=_TM2,OR(TH!L1338="1111",TH!M1338="1111")),TH!D1338,""),"")</f>
        <v/>
      </c>
      <c r="B1338" s="36">
        <f t="shared" si="233"/>
        <v>11</v>
      </c>
      <c r="C1338" s="191">
        <f t="shared" si="231"/>
        <v>41605</v>
      </c>
      <c r="D1338" s="191"/>
      <c r="E1338" s="191">
        <v>41605</v>
      </c>
      <c r="F1338" s="192"/>
      <c r="G1338" s="487" t="s">
        <v>1027</v>
      </c>
      <c r="H1338" s="7" t="s">
        <v>1287</v>
      </c>
      <c r="I1338" s="256"/>
      <c r="J1338" s="256"/>
      <c r="K1338" s="602">
        <f t="shared" si="232"/>
        <v>0</v>
      </c>
      <c r="L1338" s="39" t="s">
        <v>165</v>
      </c>
      <c r="M1338" s="603" t="s">
        <v>159</v>
      </c>
      <c r="N1338" s="39" t="str">
        <f>IF(AND('331-CT'!$E$7=TH!H1338,OR(L1338="331",M1338="331")),"331",IF(AND(OR(L1338="131",M1338="131"),H1338='131-CT'!$E$7),"131",""))</f>
        <v/>
      </c>
      <c r="O1338" s="39" t="str">
        <f>IF(AND($B1338&gt;='111'!$N$11,$B1338&lt;='111'!$O$11,OR($L1338=$O$7,$M1338=$O$7)),"x","")</f>
        <v/>
      </c>
      <c r="P1338" s="39" t="str">
        <f>IF(AND($L1338=$O$7,$B1338&lt;'111'!$N$11),"x","")</f>
        <v/>
      </c>
      <c r="Q1338" s="39" t="str">
        <f>IF(AND($M1338=$O$7,$B1338&lt;'111'!$N$11),"x","")</f>
        <v/>
      </c>
      <c r="R1338" s="39" t="str">
        <f>IF(ISERROR(FIND('112'!$M$9,G1338,1)),"",IF((AND(FIND('112'!$M$9,G1338,1)&gt;=1,$B1338&gt;='112'!$N$8,$B1338&lt;='112'!$O$8,OR($L1338='112'!$I$6,$M1338='112'!$I$6))),"x",""))</f>
        <v/>
      </c>
      <c r="S1338" s="39" t="str">
        <f>IF(ISERROR(FIND('112'!$M$9,G1338,1)),"",IF((AND(LEFT(G1338,2)=LEFT('112'!$M$9,2),B1338&lt;'112'!$N$8,$L1338='112'!$I$6)),"x",""))</f>
        <v/>
      </c>
      <c r="T1338" s="39" t="str">
        <f>IF(ISERROR(FIND('112'!$M$9,G1338,1)),"",IF((AND(RIGHT(G1338,2)=RIGHT('112'!$M$9,2),B1338&lt;'112'!$N$8,$M1338='112'!$I$6)),"x",""))</f>
        <v/>
      </c>
      <c r="U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39" t="str">
        <f>IF(OR(TH!L1338=TH!$V$7,M1338=TH!$V$7),"x","")</f>
        <v/>
      </c>
      <c r="W1338" s="39" t="str">
        <f>IF(AND(B1338&gt;='IN-NX'!$P$3,B1338&lt;='IN-NX'!$Q$3,'IN-NX'!$D$7=D1338,OR(LEFT(L1338,2)="15",AND(LEFT(M1338,2)&lt;&gt;"15",LEFT(M1338,2)&lt;&gt;"33"))),"x","")</f>
        <v/>
      </c>
      <c r="X1338" s="39" t="str">
        <f>IF(AND(OR(LEFT(TH!L1338,2)="15",LEFT(TH!M1338,2)="15"),'152-CT'!$J$8=TH!F1338),"x","")</f>
        <v/>
      </c>
      <c r="Y1338" s="39" t="str">
        <f>IF(AND(OR(LEFT(TH!L1338,2)="15",LEFT(TH!M1338,2)="15"),TK!$E$7=TH!F1338),"x","")</f>
        <v/>
      </c>
      <c r="Z1338" s="39" t="str">
        <f>IF(AND(B1338&lt;=NKC!$N$8,B1338&gt;=NKC!$M$8),"x","")</f>
        <v/>
      </c>
      <c r="AA1338" s="886"/>
    </row>
    <row r="1339" spans="1:27" s="211" customFormat="1" ht="15.75" customHeight="1">
      <c r="A1339" s="204" t="str">
        <f>IF(B1339&lt;&gt;"",IF(AND(B1339&gt;=_TM1,B1339&lt;=_TM2,OR(TH!L1339="1111",TH!M1339="1111")),TH!D1339,""),"")</f>
        <v/>
      </c>
      <c r="B1339" s="36">
        <f t="shared" si="233"/>
        <v>11</v>
      </c>
      <c r="C1339" s="191">
        <f t="shared" si="231"/>
        <v>41605</v>
      </c>
      <c r="D1339" s="191"/>
      <c r="E1339" s="191">
        <v>41605</v>
      </c>
      <c r="F1339" s="192"/>
      <c r="G1339" s="487" t="s">
        <v>1029</v>
      </c>
      <c r="H1339" s="7" t="s">
        <v>1287</v>
      </c>
      <c r="I1339" s="256"/>
      <c r="J1339" s="256"/>
      <c r="K1339" s="602">
        <f t="shared" si="232"/>
        <v>0</v>
      </c>
      <c r="L1339" s="39" t="s">
        <v>165</v>
      </c>
      <c r="M1339" s="603" t="s">
        <v>159</v>
      </c>
      <c r="N1339" s="39" t="str">
        <f>IF(AND('331-CT'!$E$7=TH!H1339,OR(L1339="331",M1339="331")),"331",IF(AND(OR(L1339="131",M1339="131"),H1339='131-CT'!$E$7),"131",""))</f>
        <v/>
      </c>
      <c r="O1339" s="39" t="str">
        <f>IF(AND($B1339&gt;='111'!$N$11,$B1339&lt;='111'!$O$11,OR($L1339=$O$7,$M1339=$O$7)),"x","")</f>
        <v/>
      </c>
      <c r="P1339" s="39" t="str">
        <f>IF(AND($L1339=$O$7,$B1339&lt;'111'!$N$11),"x","")</f>
        <v/>
      </c>
      <c r="Q1339" s="39" t="str">
        <f>IF(AND($M1339=$O$7,$B1339&lt;'111'!$N$11),"x","")</f>
        <v/>
      </c>
      <c r="R1339" s="39" t="str">
        <f>IF(ISERROR(FIND('112'!$M$9,G1339,1)),"",IF((AND(FIND('112'!$M$9,G1339,1)&gt;=1,$B1339&gt;='112'!$N$8,$B1339&lt;='112'!$O$8,OR($L1339='112'!$I$6,$M1339='112'!$I$6))),"x",""))</f>
        <v/>
      </c>
      <c r="S1339" s="39" t="str">
        <f>IF(ISERROR(FIND('112'!$M$9,G1339,1)),"",IF((AND(LEFT(G1339,2)=LEFT('112'!$M$9,2),B1339&lt;'112'!$N$8,$L1339='112'!$I$6)),"x",""))</f>
        <v/>
      </c>
      <c r="T1339" s="39" t="str">
        <f>IF(ISERROR(FIND('112'!$M$9,G1339,1)),"",IF((AND(RIGHT(G1339,2)=RIGHT('112'!$M$9,2),B1339&lt;'112'!$N$8,$M1339='112'!$I$6)),"x",""))</f>
        <v/>
      </c>
      <c r="U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39" t="str">
        <f>IF(OR(TH!L1339=TH!$V$7,M1339=TH!$V$7),"x","")</f>
        <v/>
      </c>
      <c r="W1339" s="39" t="str">
        <f>IF(AND(B1339&gt;='IN-NX'!$P$3,B1339&lt;='IN-NX'!$Q$3,'IN-NX'!$D$7=D1339,OR(LEFT(L1339,2)="15",AND(LEFT(M1339,2)&lt;&gt;"15",LEFT(M1339,2)&lt;&gt;"33"))),"x","")</f>
        <v/>
      </c>
      <c r="X1339" s="39" t="str">
        <f>IF(AND(OR(LEFT(TH!L1339,2)="15",LEFT(TH!M1339,2)="15"),'152-CT'!$J$8=TH!F1339),"x","")</f>
        <v/>
      </c>
      <c r="Y1339" s="39" t="str">
        <f>IF(AND(OR(LEFT(TH!L1339,2)="15",LEFT(TH!M1339,2)="15"),TK!$E$7=TH!F1339),"x","")</f>
        <v/>
      </c>
      <c r="Z1339" s="39" t="str">
        <f>IF(AND(B1339&lt;=NKC!$N$8,B1339&gt;=NKC!$M$8),"x","")</f>
        <v/>
      </c>
      <c r="AA1339" s="886"/>
    </row>
    <row r="1340" spans="1:27" s="211" customFormat="1" ht="15.75" customHeight="1">
      <c r="A1340" s="204" t="str">
        <f>IF(B1340&lt;&gt;"",IF(AND(B1340&gt;=_TM1,B1340&lt;=_TM2,OR(TH!L1340="1111",TH!M1340="1111")),TH!D1340,""),"")</f>
        <v/>
      </c>
      <c r="B1340" s="36">
        <f t="shared" si="233"/>
        <v>12</v>
      </c>
      <c r="C1340" s="191">
        <f t="shared" si="231"/>
        <v>41609</v>
      </c>
      <c r="D1340" s="191"/>
      <c r="E1340" s="191">
        <v>41609</v>
      </c>
      <c r="F1340" s="192"/>
      <c r="G1340" s="487" t="s">
        <v>1030</v>
      </c>
      <c r="H1340" s="7" t="s">
        <v>1287</v>
      </c>
      <c r="I1340" s="256"/>
      <c r="J1340" s="256"/>
      <c r="K1340" s="602">
        <f t="shared" si="232"/>
        <v>0</v>
      </c>
      <c r="L1340" s="39" t="s">
        <v>165</v>
      </c>
      <c r="M1340" s="603" t="s">
        <v>159</v>
      </c>
      <c r="N1340" s="39" t="str">
        <f>IF(AND('331-CT'!$E$7=TH!H1340,OR(L1340="331",M1340="331")),"331",IF(AND(OR(L1340="131",M1340="131"),H1340='131-CT'!$E$7),"131",""))</f>
        <v/>
      </c>
      <c r="O1340" s="39" t="str">
        <f>IF(AND($B1340&gt;='111'!$N$11,$B1340&lt;='111'!$O$11,OR($L1340=$O$7,$M1340=$O$7)),"x","")</f>
        <v/>
      </c>
      <c r="P1340" s="39" t="str">
        <f>IF(AND($L1340=$O$7,$B1340&lt;'111'!$N$11),"x","")</f>
        <v/>
      </c>
      <c r="Q1340" s="39" t="str">
        <f>IF(AND($M1340=$O$7,$B1340&lt;'111'!$N$11),"x","")</f>
        <v/>
      </c>
      <c r="R1340" s="39" t="str">
        <f>IF(ISERROR(FIND('112'!$M$9,G1340,1)),"",IF((AND(FIND('112'!$M$9,G1340,1)&gt;=1,$B1340&gt;='112'!$N$8,$B1340&lt;='112'!$O$8,OR($L1340='112'!$I$6,$M1340='112'!$I$6))),"x",""))</f>
        <v/>
      </c>
      <c r="S1340" s="39" t="str">
        <f>IF(ISERROR(FIND('112'!$M$9,G1340,1)),"",IF((AND(LEFT(G1340,2)=LEFT('112'!$M$9,2),B1340&lt;'112'!$N$8,$L1340='112'!$I$6)),"x",""))</f>
        <v/>
      </c>
      <c r="T1340" s="39" t="str">
        <f>IF(ISERROR(FIND('112'!$M$9,G1340,1)),"",IF((AND(RIGHT(G1340,2)=RIGHT('112'!$M$9,2),B1340&lt;'112'!$N$8,$M1340='112'!$I$6)),"x",""))</f>
        <v/>
      </c>
      <c r="U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39" t="str">
        <f>IF(OR(TH!L1340=TH!$V$7,M1340=TH!$V$7),"x","")</f>
        <v/>
      </c>
      <c r="W1340" s="39" t="str">
        <f>IF(AND(B1340&gt;='IN-NX'!$P$3,B1340&lt;='IN-NX'!$Q$3,'IN-NX'!$D$7=D1340,OR(LEFT(L1340,2)="15",AND(LEFT(M1340,2)&lt;&gt;"15",LEFT(M1340,2)&lt;&gt;"33"))),"x","")</f>
        <v/>
      </c>
      <c r="X1340" s="39" t="str">
        <f>IF(AND(OR(LEFT(TH!L1340,2)="15",LEFT(TH!M1340,2)="15"),'152-CT'!$J$8=TH!F1340),"x","")</f>
        <v/>
      </c>
      <c r="Y1340" s="39" t="str">
        <f>IF(AND(OR(LEFT(TH!L1340,2)="15",LEFT(TH!M1340,2)="15"),TK!$E$7=TH!F1340),"x","")</f>
        <v/>
      </c>
      <c r="Z1340" s="39" t="str">
        <f>IF(AND(B1340&lt;=NKC!$N$8,B1340&gt;=NKC!$M$8),"x","")</f>
        <v/>
      </c>
      <c r="AA1340" s="886"/>
    </row>
    <row r="1341" spans="1:27" s="211" customFormat="1" ht="15.75" customHeight="1">
      <c r="A1341" s="204" t="str">
        <f>IF(B1341&lt;&gt;"",IF(AND(B1341&gt;=_TM1,B1341&lt;=_TM2,OR(TH!L1341="1111",TH!M1341="1111")),TH!D1341,""),"")</f>
        <v/>
      </c>
      <c r="B1341" s="36">
        <f t="shared" si="233"/>
        <v>12</v>
      </c>
      <c r="C1341" s="191">
        <f t="shared" si="231"/>
        <v>41609</v>
      </c>
      <c r="D1341" s="191"/>
      <c r="E1341" s="191">
        <v>41609</v>
      </c>
      <c r="F1341" s="192"/>
      <c r="G1341" s="487" t="s">
        <v>1030</v>
      </c>
      <c r="H1341" s="7" t="s">
        <v>1287</v>
      </c>
      <c r="I1341" s="256"/>
      <c r="J1341" s="256"/>
      <c r="K1341" s="602">
        <f t="shared" si="232"/>
        <v>0</v>
      </c>
      <c r="L1341" s="39" t="s">
        <v>165</v>
      </c>
      <c r="M1341" s="603" t="s">
        <v>159</v>
      </c>
      <c r="N1341" s="39" t="str">
        <f>IF(AND('331-CT'!$E$7=TH!H1341,OR(L1341="331",M1341="331")),"331",IF(AND(OR(L1341="131",M1341="131"),H1341='131-CT'!$E$7),"131",""))</f>
        <v/>
      </c>
      <c r="O1341" s="39" t="str">
        <f>IF(AND($B1341&gt;='111'!$N$11,$B1341&lt;='111'!$O$11,OR($L1341=$O$7,$M1341=$O$7)),"x","")</f>
        <v/>
      </c>
      <c r="P1341" s="39" t="str">
        <f>IF(AND($L1341=$O$7,$B1341&lt;'111'!$N$11),"x","")</f>
        <v/>
      </c>
      <c r="Q1341" s="39" t="str">
        <f>IF(AND($M1341=$O$7,$B1341&lt;'111'!$N$11),"x","")</f>
        <v/>
      </c>
      <c r="R1341" s="39" t="str">
        <f>IF(ISERROR(FIND('112'!$M$9,G1341,1)),"",IF((AND(FIND('112'!$M$9,G1341,1)&gt;=1,$B1341&gt;='112'!$N$8,$B1341&lt;='112'!$O$8,OR($L1341='112'!$I$6,$M1341='112'!$I$6))),"x",""))</f>
        <v/>
      </c>
      <c r="S1341" s="39" t="str">
        <f>IF(ISERROR(FIND('112'!$M$9,G1341,1)),"",IF((AND(LEFT(G1341,2)=LEFT('112'!$M$9,2),B1341&lt;'112'!$N$8,$L1341='112'!$I$6)),"x",""))</f>
        <v/>
      </c>
      <c r="T1341" s="39" t="str">
        <f>IF(ISERROR(FIND('112'!$M$9,G1341,1)),"",IF((AND(RIGHT(G1341,2)=RIGHT('112'!$M$9,2),B1341&lt;'112'!$N$8,$M1341='112'!$I$6)),"x",""))</f>
        <v/>
      </c>
      <c r="U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39" t="str">
        <f>IF(OR(TH!L1341=TH!$V$7,M1341=TH!$V$7),"x","")</f>
        <v/>
      </c>
      <c r="W1341" s="39" t="str">
        <f>IF(AND(B1341&gt;='IN-NX'!$P$3,B1341&lt;='IN-NX'!$Q$3,'IN-NX'!$D$7=D1341,OR(LEFT(L1341,2)="15",AND(LEFT(M1341,2)&lt;&gt;"15",LEFT(M1341,2)&lt;&gt;"33"))),"x","")</f>
        <v/>
      </c>
      <c r="X1341" s="39" t="str">
        <f>IF(AND(OR(LEFT(TH!L1341,2)="15",LEFT(TH!M1341,2)="15"),'152-CT'!$J$8=TH!F1341),"x","")</f>
        <v/>
      </c>
      <c r="Y1341" s="39" t="str">
        <f>IF(AND(OR(LEFT(TH!L1341,2)="15",LEFT(TH!M1341,2)="15"),TK!$E$7=TH!F1341),"x","")</f>
        <v/>
      </c>
      <c r="Z1341" s="39" t="str">
        <f>IF(AND(B1341&lt;=NKC!$N$8,B1341&gt;=NKC!$M$8),"x","")</f>
        <v/>
      </c>
      <c r="AA1341" s="886"/>
    </row>
    <row r="1342" spans="1:27" s="211" customFormat="1" ht="15.75" customHeight="1">
      <c r="A1342" s="204" t="str">
        <f>IF(B1342&lt;&gt;"",IF(AND(B1342&gt;=_TM1,B1342&lt;=_TM2,OR(TH!L1342="1111",TH!M1342="1111")),TH!D1342,""),"")</f>
        <v/>
      </c>
      <c r="B1342" s="36">
        <f t="shared" si="233"/>
        <v>12</v>
      </c>
      <c r="C1342" s="191">
        <f t="shared" si="231"/>
        <v>41610</v>
      </c>
      <c r="D1342" s="191"/>
      <c r="E1342" s="845">
        <v>41610</v>
      </c>
      <c r="F1342" s="192"/>
      <c r="G1342" s="487" t="s">
        <v>1031</v>
      </c>
      <c r="H1342" s="7" t="s">
        <v>1287</v>
      </c>
      <c r="I1342" s="256"/>
      <c r="J1342" s="256"/>
      <c r="K1342" s="602">
        <f t="shared" si="232"/>
        <v>0</v>
      </c>
      <c r="L1342" s="39" t="s">
        <v>165</v>
      </c>
      <c r="M1342" s="603" t="s">
        <v>159</v>
      </c>
      <c r="N1342" s="39" t="str">
        <f>IF(AND('331-CT'!$E$7=TH!H1342,OR(L1342="331",M1342="331")),"331",IF(AND(OR(L1342="131",M1342="131"),H1342='131-CT'!$E$7),"131",""))</f>
        <v/>
      </c>
      <c r="O1342" s="39" t="str">
        <f>IF(AND($B1342&gt;='111'!$N$11,$B1342&lt;='111'!$O$11,OR($L1342=$O$7,$M1342=$O$7)),"x","")</f>
        <v/>
      </c>
      <c r="P1342" s="39" t="str">
        <f>IF(AND($L1342=$O$7,$B1342&lt;'111'!$N$11),"x","")</f>
        <v/>
      </c>
      <c r="Q1342" s="39" t="str">
        <f>IF(AND($M1342=$O$7,$B1342&lt;'111'!$N$11),"x","")</f>
        <v/>
      </c>
      <c r="R1342" s="39" t="str">
        <f>IF(ISERROR(FIND('112'!$M$9,G1342,1)),"",IF((AND(FIND('112'!$M$9,G1342,1)&gt;=1,$B1342&gt;='112'!$N$8,$B1342&lt;='112'!$O$8,OR($L1342='112'!$I$6,$M1342='112'!$I$6))),"x",""))</f>
        <v/>
      </c>
      <c r="S1342" s="39" t="str">
        <f>IF(ISERROR(FIND('112'!$M$9,G1342,1)),"",IF((AND(LEFT(G1342,2)=LEFT('112'!$M$9,2),B1342&lt;'112'!$N$8,$L1342='112'!$I$6)),"x",""))</f>
        <v/>
      </c>
      <c r="T1342" s="39" t="str">
        <f>IF(ISERROR(FIND('112'!$M$9,G1342,1)),"",IF((AND(RIGHT(G1342,2)=RIGHT('112'!$M$9,2),B1342&lt;'112'!$N$8,$M1342='112'!$I$6)),"x",""))</f>
        <v/>
      </c>
      <c r="U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39" t="str">
        <f>IF(OR(TH!L1342=TH!$V$7,M1342=TH!$V$7),"x","")</f>
        <v/>
      </c>
      <c r="W1342" s="39" t="str">
        <f>IF(AND(B1342&gt;='IN-NX'!$P$3,B1342&lt;='IN-NX'!$Q$3,'IN-NX'!$D$7=D1342,OR(LEFT(L1342,2)="15",AND(LEFT(M1342,2)&lt;&gt;"15",LEFT(M1342,2)&lt;&gt;"33"))),"x","")</f>
        <v/>
      </c>
      <c r="X1342" s="39" t="str">
        <f>IF(AND(OR(LEFT(TH!L1342,2)="15",LEFT(TH!M1342,2)="15"),'152-CT'!$J$8=TH!F1342),"x","")</f>
        <v/>
      </c>
      <c r="Y1342" s="39" t="str">
        <f>IF(AND(OR(LEFT(TH!L1342,2)="15",LEFT(TH!M1342,2)="15"),TK!$E$7=TH!F1342),"x","")</f>
        <v/>
      </c>
      <c r="Z1342" s="39" t="str">
        <f>IF(AND(B1342&lt;=NKC!$N$8,B1342&gt;=NKC!$M$8),"x","")</f>
        <v/>
      </c>
      <c r="AA1342" s="886"/>
    </row>
    <row r="1343" spans="1:27" s="211" customFormat="1" ht="15.75" customHeight="1">
      <c r="A1343" s="204" t="str">
        <f>IF(B1343&lt;&gt;"",IF(AND(B1343&gt;=_TM1,B1343&lt;=_TM2,OR(TH!L1343="1111",TH!M1343="1111")),TH!D1343,""),"")</f>
        <v/>
      </c>
      <c r="B1343" s="36">
        <f t="shared" si="233"/>
        <v>12</v>
      </c>
      <c r="C1343" s="191">
        <f t="shared" si="231"/>
        <v>41610</v>
      </c>
      <c r="D1343" s="191"/>
      <c r="E1343" s="845">
        <v>41610</v>
      </c>
      <c r="F1343" s="192"/>
      <c r="G1343" s="487" t="s">
        <v>1031</v>
      </c>
      <c r="H1343" s="7" t="s">
        <v>1287</v>
      </c>
      <c r="I1343" s="256"/>
      <c r="J1343" s="256"/>
      <c r="K1343" s="602">
        <f t="shared" si="232"/>
        <v>0</v>
      </c>
      <c r="L1343" s="39" t="s">
        <v>165</v>
      </c>
      <c r="M1343" s="603" t="s">
        <v>159</v>
      </c>
      <c r="N1343" s="39" t="str">
        <f>IF(AND('331-CT'!$E$7=TH!H1343,OR(L1343="331",M1343="331")),"331",IF(AND(OR(L1343="131",M1343="131"),H1343='131-CT'!$E$7),"131",""))</f>
        <v/>
      </c>
      <c r="O1343" s="39" t="str">
        <f>IF(AND($B1343&gt;='111'!$N$11,$B1343&lt;='111'!$O$11,OR($L1343=$O$7,$M1343=$O$7)),"x","")</f>
        <v/>
      </c>
      <c r="P1343" s="39" t="str">
        <f>IF(AND($L1343=$O$7,$B1343&lt;'111'!$N$11),"x","")</f>
        <v/>
      </c>
      <c r="Q1343" s="39" t="str">
        <f>IF(AND($M1343=$O$7,$B1343&lt;'111'!$N$11),"x","")</f>
        <v/>
      </c>
      <c r="R1343" s="39" t="str">
        <f>IF(ISERROR(FIND('112'!$M$9,G1343,1)),"",IF((AND(FIND('112'!$M$9,G1343,1)&gt;=1,$B1343&gt;='112'!$N$8,$B1343&lt;='112'!$O$8,OR($L1343='112'!$I$6,$M1343='112'!$I$6))),"x",""))</f>
        <v/>
      </c>
      <c r="S1343" s="39" t="str">
        <f>IF(ISERROR(FIND('112'!$M$9,G1343,1)),"",IF((AND(LEFT(G1343,2)=LEFT('112'!$M$9,2),B1343&lt;'112'!$N$8,$L1343='112'!$I$6)),"x",""))</f>
        <v/>
      </c>
      <c r="T1343" s="39" t="str">
        <f>IF(ISERROR(FIND('112'!$M$9,G1343,1)),"",IF((AND(RIGHT(G1343,2)=RIGHT('112'!$M$9,2),B1343&lt;'112'!$N$8,$M1343='112'!$I$6)),"x",""))</f>
        <v/>
      </c>
      <c r="U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39" t="str">
        <f>IF(OR(TH!L1343=TH!$V$7,M1343=TH!$V$7),"x","")</f>
        <v/>
      </c>
      <c r="W1343" s="39" t="str">
        <f>IF(AND(B1343&gt;='IN-NX'!$P$3,B1343&lt;='IN-NX'!$Q$3,'IN-NX'!$D$7=D1343,OR(LEFT(L1343,2)="15",AND(LEFT(M1343,2)&lt;&gt;"15",LEFT(M1343,2)&lt;&gt;"33"))),"x","")</f>
        <v/>
      </c>
      <c r="X1343" s="39" t="str">
        <f>IF(AND(OR(LEFT(TH!L1343,2)="15",LEFT(TH!M1343,2)="15"),'152-CT'!$J$8=TH!F1343),"x","")</f>
        <v/>
      </c>
      <c r="Y1343" s="39" t="str">
        <f>IF(AND(OR(LEFT(TH!L1343,2)="15",LEFT(TH!M1343,2)="15"),TK!$E$7=TH!F1343),"x","")</f>
        <v/>
      </c>
      <c r="Z1343" s="39" t="str">
        <f>IF(AND(B1343&lt;=NKC!$N$8,B1343&gt;=NKC!$M$8),"x","")</f>
        <v/>
      </c>
      <c r="AA1343" s="886"/>
    </row>
    <row r="1344" spans="1:27" s="211" customFormat="1" ht="15.75" customHeight="1">
      <c r="A1344" s="204" t="str">
        <f>IF(B1344&lt;&gt;"",IF(AND(B1344&gt;=_TM1,B1344&lt;=_TM2,OR(TH!L1344="1111",TH!M1344="1111")),TH!D1344,""),"")</f>
        <v/>
      </c>
      <c r="B1344" s="36">
        <f t="shared" si="233"/>
        <v>12</v>
      </c>
      <c r="C1344" s="191">
        <f t="shared" si="231"/>
        <v>41612</v>
      </c>
      <c r="D1344" s="37"/>
      <c r="E1344" s="772">
        <v>41612</v>
      </c>
      <c r="F1344" s="189"/>
      <c r="G1344" s="40" t="s">
        <v>662</v>
      </c>
      <c r="H1344" s="7" t="s">
        <v>1287</v>
      </c>
      <c r="I1344" s="256"/>
      <c r="J1344" s="256"/>
      <c r="K1344" s="602">
        <f t="shared" si="232"/>
        <v>0</v>
      </c>
      <c r="L1344" s="39" t="s">
        <v>165</v>
      </c>
      <c r="M1344" s="603" t="s">
        <v>159</v>
      </c>
      <c r="N1344" s="39" t="str">
        <f>IF(AND('331-CT'!$E$7=TH!H1344,OR(L1344="331",M1344="331")),"331",IF(AND(OR(L1344="131",M1344="131"),H1344='131-CT'!$E$7),"131",""))</f>
        <v/>
      </c>
      <c r="O1344" s="39" t="str">
        <f>IF(AND($B1344&gt;='111'!$N$11,$B1344&lt;='111'!$O$11,OR($L1344=$O$7,$M1344=$O$7)),"x","")</f>
        <v/>
      </c>
      <c r="P1344" s="39" t="str">
        <f>IF(AND($L1344=$O$7,$B1344&lt;'111'!$N$11),"x","")</f>
        <v/>
      </c>
      <c r="Q1344" s="39" t="str">
        <f>IF(AND($M1344=$O$7,$B1344&lt;'111'!$N$11),"x","")</f>
        <v/>
      </c>
      <c r="R1344" s="39" t="str">
        <f>IF(ISERROR(FIND('112'!$M$9,G1344,1)),"",IF((AND(FIND('112'!$M$9,G1344,1)&gt;=1,$B1344&gt;='112'!$N$8,$B1344&lt;='112'!$O$8,OR($L1344='112'!$I$6,$M1344='112'!$I$6))),"x",""))</f>
        <v/>
      </c>
      <c r="S1344" s="39" t="str">
        <f>IF(ISERROR(FIND('112'!$M$9,G1344,1)),"",IF((AND(LEFT(G1344,2)=LEFT('112'!$M$9,2),B1344&lt;'112'!$N$8,$L1344='112'!$I$6)),"x",""))</f>
        <v/>
      </c>
      <c r="T1344" s="39" t="str">
        <f>IF(ISERROR(FIND('112'!$M$9,G1344,1)),"",IF((AND(RIGHT(G1344,2)=RIGHT('112'!$M$9,2),B1344&lt;'112'!$N$8,$M1344='112'!$I$6)),"x",""))</f>
        <v/>
      </c>
      <c r="U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39" t="str">
        <f>IF(OR(TH!L1344=TH!$V$7,M1344=TH!$V$7),"x","")</f>
        <v/>
      </c>
      <c r="W1344" s="39" t="str">
        <f>IF(AND(B1344&gt;='IN-NX'!$P$3,B1344&lt;='IN-NX'!$Q$3,'IN-NX'!$D$7=D1344,OR(LEFT(L1344,2)="15",AND(LEFT(M1344,2)&lt;&gt;"15",LEFT(M1344,2)&lt;&gt;"33"))),"x","")</f>
        <v/>
      </c>
      <c r="X1344" s="39" t="str">
        <f>IF(AND(OR(LEFT(TH!L1344,2)="15",LEFT(TH!M1344,2)="15"),'152-CT'!$J$8=TH!F1344),"x","")</f>
        <v/>
      </c>
      <c r="Y1344" s="39" t="str">
        <f>IF(AND(OR(LEFT(TH!L1344,2)="15",LEFT(TH!M1344,2)="15"),TK!$E$7=TH!F1344),"x","")</f>
        <v/>
      </c>
      <c r="Z1344" s="39" t="str">
        <f>IF(AND(B1344&lt;=NKC!$N$8,B1344&gt;=NKC!$M$8),"x","")</f>
        <v/>
      </c>
      <c r="AA1344" s="886"/>
    </row>
    <row r="1345" spans="1:27" s="211" customFormat="1" ht="15.75" customHeight="1">
      <c r="A1345" s="204" t="str">
        <f>IF(B1345&lt;&gt;"",IF(AND(B1345&gt;=_TM1,B1345&lt;=_TM2,OR(TH!L1345="1111",TH!M1345="1111")),TH!D1345,""),"")</f>
        <v/>
      </c>
      <c r="B1345" s="36">
        <f t="shared" si="233"/>
        <v>12</v>
      </c>
      <c r="C1345" s="191">
        <f t="shared" si="231"/>
        <v>41617</v>
      </c>
      <c r="D1345" s="37"/>
      <c r="E1345" s="844">
        <v>41617</v>
      </c>
      <c r="F1345" s="40"/>
      <c r="G1345" s="40" t="s">
        <v>1032</v>
      </c>
      <c r="H1345" s="7" t="s">
        <v>1287</v>
      </c>
      <c r="I1345" s="256"/>
      <c r="J1345" s="256"/>
      <c r="K1345" s="602">
        <f t="shared" si="232"/>
        <v>0</v>
      </c>
      <c r="L1345" s="39" t="s">
        <v>165</v>
      </c>
      <c r="M1345" s="603" t="s">
        <v>159</v>
      </c>
      <c r="N1345" s="39" t="str">
        <f>IF(AND('331-CT'!$E$7=TH!H1345,OR(L1345="331",M1345="331")),"331",IF(AND(OR(L1345="131",M1345="131"),H1345='131-CT'!$E$7),"131",""))</f>
        <v/>
      </c>
      <c r="O1345" s="39" t="str">
        <f>IF(AND($B1345&gt;='111'!$N$11,$B1345&lt;='111'!$O$11,OR($L1345=$O$7,$M1345=$O$7)),"x","")</f>
        <v/>
      </c>
      <c r="P1345" s="39" t="str">
        <f>IF(AND($L1345=$O$7,$B1345&lt;'111'!$N$11),"x","")</f>
        <v/>
      </c>
      <c r="Q1345" s="39" t="str">
        <f>IF(AND($M1345=$O$7,$B1345&lt;'111'!$N$11),"x","")</f>
        <v/>
      </c>
      <c r="R1345" s="39" t="str">
        <f>IF(ISERROR(FIND('112'!$M$9,G1345,1)),"",IF((AND(FIND('112'!$M$9,G1345,1)&gt;=1,$B1345&gt;='112'!$N$8,$B1345&lt;='112'!$O$8,OR($L1345='112'!$I$6,$M1345='112'!$I$6))),"x",""))</f>
        <v/>
      </c>
      <c r="S1345" s="39" t="str">
        <f>IF(ISERROR(FIND('112'!$M$9,G1345,1)),"",IF((AND(LEFT(G1345,2)=LEFT('112'!$M$9,2),B1345&lt;'112'!$N$8,$L1345='112'!$I$6)),"x",""))</f>
        <v/>
      </c>
      <c r="T1345" s="39" t="str">
        <f>IF(ISERROR(FIND('112'!$M$9,G1345,1)),"",IF((AND(RIGHT(G1345,2)=RIGHT('112'!$M$9,2),B1345&lt;'112'!$N$8,$M1345='112'!$I$6)),"x",""))</f>
        <v/>
      </c>
      <c r="U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39" t="str">
        <f>IF(OR(TH!L1345=TH!$V$7,M1345=TH!$V$7),"x","")</f>
        <v/>
      </c>
      <c r="W1345" s="39" t="str">
        <f>IF(AND(B1345&gt;='IN-NX'!$P$3,B1345&lt;='IN-NX'!$Q$3,'IN-NX'!$D$7=D1345,OR(LEFT(L1345,2)="15",AND(LEFT(M1345,2)&lt;&gt;"15",LEFT(M1345,2)&lt;&gt;"33"))),"x","")</f>
        <v/>
      </c>
      <c r="X1345" s="39" t="str">
        <f>IF(AND(OR(LEFT(TH!L1345,2)="15",LEFT(TH!M1345,2)="15"),'152-CT'!$J$8=TH!F1345),"x","")</f>
        <v/>
      </c>
      <c r="Y1345" s="39" t="str">
        <f>IF(AND(OR(LEFT(TH!L1345,2)="15",LEFT(TH!M1345,2)="15"),TK!$E$7=TH!F1345),"x","")</f>
        <v/>
      </c>
      <c r="Z1345" s="39" t="str">
        <f>IF(AND(B1345&lt;=NKC!$N$8,B1345&gt;=NKC!$M$8),"x","")</f>
        <v/>
      </c>
      <c r="AA1345" s="886"/>
    </row>
    <row r="1346" spans="1:27" s="211" customFormat="1" ht="15.75" customHeight="1">
      <c r="A1346" s="204" t="str">
        <f>IF(B1346&lt;&gt;"",IF(AND(B1346&gt;=_TM1,B1346&lt;=_TM2,OR(TH!L1346="1111",TH!M1346="1111")),TH!D1346,""),"")</f>
        <v/>
      </c>
      <c r="B1346" s="36">
        <f t="shared" si="233"/>
        <v>12</v>
      </c>
      <c r="C1346" s="191">
        <f t="shared" si="231"/>
        <v>41619</v>
      </c>
      <c r="D1346" s="37"/>
      <c r="E1346" s="844">
        <v>41619</v>
      </c>
      <c r="F1346" s="40"/>
      <c r="G1346" s="40" t="s">
        <v>1033</v>
      </c>
      <c r="H1346" s="7" t="s">
        <v>1287</v>
      </c>
      <c r="I1346" s="256"/>
      <c r="J1346" s="256"/>
      <c r="K1346" s="602">
        <f t="shared" si="232"/>
        <v>0</v>
      </c>
      <c r="L1346" s="39" t="s">
        <v>165</v>
      </c>
      <c r="M1346" s="603" t="s">
        <v>159</v>
      </c>
      <c r="N1346" s="39" t="str">
        <f>IF(AND('331-CT'!$E$7=TH!H1346,OR(L1346="331",M1346="331")),"331",IF(AND(OR(L1346="131",M1346="131"),H1346='131-CT'!$E$7),"131",""))</f>
        <v/>
      </c>
      <c r="O1346" s="39" t="str">
        <f>IF(AND($B1346&gt;='111'!$N$11,$B1346&lt;='111'!$O$11,OR($L1346=$O$7,$M1346=$O$7)),"x","")</f>
        <v/>
      </c>
      <c r="P1346" s="39" t="str">
        <f>IF(AND($L1346=$O$7,$B1346&lt;'111'!$N$11),"x","")</f>
        <v/>
      </c>
      <c r="Q1346" s="39" t="str">
        <f>IF(AND($M1346=$O$7,$B1346&lt;'111'!$N$11),"x","")</f>
        <v/>
      </c>
      <c r="R1346" s="39" t="str">
        <f>IF(ISERROR(FIND('112'!$M$9,G1346,1)),"",IF((AND(FIND('112'!$M$9,G1346,1)&gt;=1,$B1346&gt;='112'!$N$8,$B1346&lt;='112'!$O$8,OR($L1346='112'!$I$6,$M1346='112'!$I$6))),"x",""))</f>
        <v/>
      </c>
      <c r="S1346" s="39" t="str">
        <f>IF(ISERROR(FIND('112'!$M$9,G1346,1)),"",IF((AND(LEFT(G1346,2)=LEFT('112'!$M$9,2),B1346&lt;'112'!$N$8,$L1346='112'!$I$6)),"x",""))</f>
        <v/>
      </c>
      <c r="T1346" s="39" t="str">
        <f>IF(ISERROR(FIND('112'!$M$9,G1346,1)),"",IF((AND(RIGHT(G1346,2)=RIGHT('112'!$M$9,2),B1346&lt;'112'!$N$8,$M1346='112'!$I$6)),"x",""))</f>
        <v/>
      </c>
      <c r="U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39" t="str">
        <f>IF(OR(TH!L1346=TH!$V$7,M1346=TH!$V$7),"x","")</f>
        <v/>
      </c>
      <c r="W1346" s="39" t="str">
        <f>IF(AND(B1346&gt;='IN-NX'!$P$3,B1346&lt;='IN-NX'!$Q$3,'IN-NX'!$D$7=D1346,OR(LEFT(L1346,2)="15",AND(LEFT(M1346,2)&lt;&gt;"15",LEFT(M1346,2)&lt;&gt;"33"))),"x","")</f>
        <v/>
      </c>
      <c r="X1346" s="39" t="str">
        <f>IF(AND(OR(LEFT(TH!L1346,2)="15",LEFT(TH!M1346,2)="15"),'152-CT'!$J$8=TH!F1346),"x","")</f>
        <v/>
      </c>
      <c r="Y1346" s="39" t="str">
        <f>IF(AND(OR(LEFT(TH!L1346,2)="15",LEFT(TH!M1346,2)="15"),TK!$E$7=TH!F1346),"x","")</f>
        <v/>
      </c>
      <c r="Z1346" s="39" t="str">
        <f>IF(AND(B1346&lt;=NKC!$N$8,B1346&gt;=NKC!$M$8),"x","")</f>
        <v/>
      </c>
      <c r="AA1346" s="886"/>
    </row>
    <row r="1347" spans="1:27" s="211" customFormat="1" ht="15.75" customHeight="1">
      <c r="A1347" s="204" t="str">
        <f>IF(B1347&lt;&gt;"",IF(AND(B1347&gt;=_TM1,B1347&lt;=_TM2,OR(TH!L1347="1111",TH!M1347="1111")),TH!D1347,""),"")</f>
        <v/>
      </c>
      <c r="B1347" s="36">
        <f t="shared" si="233"/>
        <v>12</v>
      </c>
      <c r="C1347" s="191">
        <f t="shared" si="231"/>
        <v>41621</v>
      </c>
      <c r="D1347" s="37"/>
      <c r="E1347" s="844">
        <v>41621</v>
      </c>
      <c r="F1347" s="40"/>
      <c r="G1347" s="40" t="s">
        <v>1034</v>
      </c>
      <c r="H1347" s="7" t="s">
        <v>1287</v>
      </c>
      <c r="I1347" s="256"/>
      <c r="J1347" s="256"/>
      <c r="K1347" s="602">
        <f t="shared" si="232"/>
        <v>0</v>
      </c>
      <c r="L1347" s="39" t="s">
        <v>165</v>
      </c>
      <c r="M1347" s="603" t="s">
        <v>159</v>
      </c>
      <c r="N1347" s="39" t="str">
        <f>IF(AND('331-CT'!$E$7=TH!H1347,OR(L1347="331",M1347="331")),"331",IF(AND(OR(L1347="131",M1347="131"),H1347='131-CT'!$E$7),"131",""))</f>
        <v/>
      </c>
      <c r="O1347" s="39" t="str">
        <f>IF(AND($B1347&gt;='111'!$N$11,$B1347&lt;='111'!$O$11,OR($L1347=$O$7,$M1347=$O$7)),"x","")</f>
        <v/>
      </c>
      <c r="P1347" s="39" t="str">
        <f>IF(AND($L1347=$O$7,$B1347&lt;'111'!$N$11),"x","")</f>
        <v/>
      </c>
      <c r="Q1347" s="39" t="str">
        <f>IF(AND($M1347=$O$7,$B1347&lt;'111'!$N$11),"x","")</f>
        <v/>
      </c>
      <c r="R1347" s="39" t="str">
        <f>IF(ISERROR(FIND('112'!$M$9,G1347,1)),"",IF((AND(FIND('112'!$M$9,G1347,1)&gt;=1,$B1347&gt;='112'!$N$8,$B1347&lt;='112'!$O$8,OR($L1347='112'!$I$6,$M1347='112'!$I$6))),"x",""))</f>
        <v/>
      </c>
      <c r="S1347" s="39" t="str">
        <f>IF(ISERROR(FIND('112'!$M$9,G1347,1)),"",IF((AND(LEFT(G1347,2)=LEFT('112'!$M$9,2),B1347&lt;'112'!$N$8,$L1347='112'!$I$6)),"x",""))</f>
        <v/>
      </c>
      <c r="T1347" s="39" t="str">
        <f>IF(ISERROR(FIND('112'!$M$9,G1347,1)),"",IF((AND(RIGHT(G1347,2)=RIGHT('112'!$M$9,2),B1347&lt;'112'!$N$8,$M1347='112'!$I$6)),"x",""))</f>
        <v/>
      </c>
      <c r="U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39" t="str">
        <f>IF(OR(TH!L1347=TH!$V$7,M1347=TH!$V$7),"x","")</f>
        <v/>
      </c>
      <c r="W1347" s="39" t="str">
        <f>IF(AND(B1347&gt;='IN-NX'!$P$3,B1347&lt;='IN-NX'!$Q$3,'IN-NX'!$D$7=D1347,OR(LEFT(L1347,2)="15",AND(LEFT(M1347,2)&lt;&gt;"15",LEFT(M1347,2)&lt;&gt;"33"))),"x","")</f>
        <v/>
      </c>
      <c r="X1347" s="39" t="str">
        <f>IF(AND(OR(LEFT(TH!L1347,2)="15",LEFT(TH!M1347,2)="15"),'152-CT'!$J$8=TH!F1347),"x","")</f>
        <v/>
      </c>
      <c r="Y1347" s="39" t="str">
        <f>IF(AND(OR(LEFT(TH!L1347,2)="15",LEFT(TH!M1347,2)="15"),TK!$E$7=TH!F1347),"x","")</f>
        <v/>
      </c>
      <c r="Z1347" s="39" t="str">
        <f>IF(AND(B1347&lt;=NKC!$N$8,B1347&gt;=NKC!$M$8),"x","")</f>
        <v/>
      </c>
      <c r="AA1347" s="886"/>
    </row>
    <row r="1348" spans="1:27" s="211" customFormat="1" ht="15.75" customHeight="1">
      <c r="A1348" s="204" t="str">
        <f>IF(B1348&lt;&gt;"",IF(AND(B1348&gt;=_TM1,B1348&lt;=_TM2,OR(TH!L1348="1111",TH!M1348="1111")),TH!D1348,""),"")</f>
        <v/>
      </c>
      <c r="B1348" s="36">
        <f t="shared" si="233"/>
        <v>12</v>
      </c>
      <c r="C1348" s="191">
        <f t="shared" si="231"/>
        <v>41622</v>
      </c>
      <c r="D1348" s="37"/>
      <c r="E1348" s="844">
        <v>41622</v>
      </c>
      <c r="F1348" s="192"/>
      <c r="G1348" s="40" t="s">
        <v>1035</v>
      </c>
      <c r="H1348" s="7" t="s">
        <v>1287</v>
      </c>
      <c r="I1348" s="256"/>
      <c r="J1348" s="256"/>
      <c r="K1348" s="602">
        <f t="shared" si="232"/>
        <v>0</v>
      </c>
      <c r="L1348" s="39" t="s">
        <v>165</v>
      </c>
      <c r="M1348" s="603" t="s">
        <v>159</v>
      </c>
      <c r="N1348" s="39" t="str">
        <f>IF(AND('331-CT'!$E$7=TH!H1348,OR(L1348="331",M1348="331")),"331",IF(AND(OR(L1348="131",M1348="131"),H1348='131-CT'!$E$7),"131",""))</f>
        <v/>
      </c>
      <c r="O1348" s="39" t="str">
        <f>IF(AND($B1348&gt;='111'!$N$11,$B1348&lt;='111'!$O$11,OR($L1348=$O$7,$M1348=$O$7)),"x","")</f>
        <v/>
      </c>
      <c r="P1348" s="39" t="str">
        <f>IF(AND($L1348=$O$7,$B1348&lt;'111'!$N$11),"x","")</f>
        <v/>
      </c>
      <c r="Q1348" s="39" t="str">
        <f>IF(AND($M1348=$O$7,$B1348&lt;'111'!$N$11),"x","")</f>
        <v/>
      </c>
      <c r="R1348" s="39" t="str">
        <f>IF(ISERROR(FIND('112'!$M$9,G1348,1)),"",IF((AND(FIND('112'!$M$9,G1348,1)&gt;=1,$B1348&gt;='112'!$N$8,$B1348&lt;='112'!$O$8,OR($L1348='112'!$I$6,$M1348='112'!$I$6))),"x",""))</f>
        <v/>
      </c>
      <c r="S1348" s="39" t="str">
        <f>IF(ISERROR(FIND('112'!$M$9,G1348,1)),"",IF((AND(LEFT(G1348,2)=LEFT('112'!$M$9,2),B1348&lt;'112'!$N$8,$L1348='112'!$I$6)),"x",""))</f>
        <v/>
      </c>
      <c r="T1348" s="39" t="str">
        <f>IF(ISERROR(FIND('112'!$M$9,G1348,1)),"",IF((AND(RIGHT(G1348,2)=RIGHT('112'!$M$9,2),B1348&lt;'112'!$N$8,$M1348='112'!$I$6)),"x",""))</f>
        <v/>
      </c>
      <c r="U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39" t="str">
        <f>IF(OR(TH!L1348=TH!$V$7,M1348=TH!$V$7),"x","")</f>
        <v/>
      </c>
      <c r="W1348" s="39" t="str">
        <f>IF(AND(B1348&gt;='IN-NX'!$P$3,B1348&lt;='IN-NX'!$Q$3,'IN-NX'!$D$7=D1348,OR(LEFT(L1348,2)="15",AND(LEFT(M1348,2)&lt;&gt;"15",LEFT(M1348,2)&lt;&gt;"33"))),"x","")</f>
        <v/>
      </c>
      <c r="X1348" s="39" t="str">
        <f>IF(AND(OR(LEFT(TH!L1348,2)="15",LEFT(TH!M1348,2)="15"),'152-CT'!$J$8=TH!F1348),"x","")</f>
        <v/>
      </c>
      <c r="Y1348" s="39" t="str">
        <f>IF(AND(OR(LEFT(TH!L1348,2)="15",LEFT(TH!M1348,2)="15"),TK!$E$7=TH!F1348),"x","")</f>
        <v/>
      </c>
      <c r="Z1348" s="39" t="str">
        <f>IF(AND(B1348&lt;=NKC!$N$8,B1348&gt;=NKC!$M$8),"x","")</f>
        <v/>
      </c>
      <c r="AA1348" s="886"/>
    </row>
    <row r="1349" spans="1:27" s="211" customFormat="1" ht="15.75" customHeight="1">
      <c r="A1349" s="204" t="str">
        <f>IF(B1349&lt;&gt;"",IF(AND(B1349&gt;=_TM1,B1349&lt;=_TM2,OR(TH!L1349="1111",TH!M1349="1111")),TH!D1349,""),"")</f>
        <v/>
      </c>
      <c r="B1349" s="36">
        <f t="shared" si="233"/>
        <v>12</v>
      </c>
      <c r="C1349" s="191">
        <f t="shared" si="231"/>
        <v>41623</v>
      </c>
      <c r="D1349" s="37"/>
      <c r="E1349" s="844">
        <v>41623</v>
      </c>
      <c r="F1349" s="40"/>
      <c r="G1349" s="40" t="s">
        <v>1036</v>
      </c>
      <c r="H1349" s="7" t="s">
        <v>1287</v>
      </c>
      <c r="I1349" s="256"/>
      <c r="J1349" s="256"/>
      <c r="K1349" s="602">
        <f t="shared" si="232"/>
        <v>0</v>
      </c>
      <c r="L1349" s="39" t="s">
        <v>165</v>
      </c>
      <c r="M1349" s="603" t="s">
        <v>159</v>
      </c>
      <c r="N1349" s="39" t="str">
        <f>IF(AND('331-CT'!$E$7=TH!H1349,OR(L1349="331",M1349="331")),"331",IF(AND(OR(L1349="131",M1349="131"),H1349='131-CT'!$E$7),"131",""))</f>
        <v/>
      </c>
      <c r="O1349" s="39" t="str">
        <f>IF(AND($B1349&gt;='111'!$N$11,$B1349&lt;='111'!$O$11,OR($L1349=$O$7,$M1349=$O$7)),"x","")</f>
        <v/>
      </c>
      <c r="P1349" s="39" t="str">
        <f>IF(AND($L1349=$O$7,$B1349&lt;'111'!$N$11),"x","")</f>
        <v/>
      </c>
      <c r="Q1349" s="39" t="str">
        <f>IF(AND($M1349=$O$7,$B1349&lt;'111'!$N$11),"x","")</f>
        <v/>
      </c>
      <c r="R1349" s="39" t="str">
        <f>IF(ISERROR(FIND('112'!$M$9,G1349,1)),"",IF((AND(FIND('112'!$M$9,G1349,1)&gt;=1,$B1349&gt;='112'!$N$8,$B1349&lt;='112'!$O$8,OR($L1349='112'!$I$6,$M1349='112'!$I$6))),"x",""))</f>
        <v/>
      </c>
      <c r="S1349" s="39" t="str">
        <f>IF(ISERROR(FIND('112'!$M$9,G1349,1)),"",IF((AND(LEFT(G1349,2)=LEFT('112'!$M$9,2),B1349&lt;'112'!$N$8,$L1349='112'!$I$6)),"x",""))</f>
        <v/>
      </c>
      <c r="T1349" s="39" t="str">
        <f>IF(ISERROR(FIND('112'!$M$9,G1349,1)),"",IF((AND(RIGHT(G1349,2)=RIGHT('112'!$M$9,2),B1349&lt;'112'!$N$8,$M1349='112'!$I$6)),"x",""))</f>
        <v/>
      </c>
      <c r="U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39" t="str">
        <f>IF(OR(TH!L1349=TH!$V$7,M1349=TH!$V$7),"x","")</f>
        <v/>
      </c>
      <c r="W1349" s="39" t="str">
        <f>IF(AND(B1349&gt;='IN-NX'!$P$3,B1349&lt;='IN-NX'!$Q$3,'IN-NX'!$D$7=D1349,OR(LEFT(L1349,2)="15",AND(LEFT(M1349,2)&lt;&gt;"15",LEFT(M1349,2)&lt;&gt;"33"))),"x","")</f>
        <v/>
      </c>
      <c r="X1349" s="39" t="str">
        <f>IF(AND(OR(LEFT(TH!L1349,2)="15",LEFT(TH!M1349,2)="15"),'152-CT'!$J$8=TH!F1349),"x","")</f>
        <v/>
      </c>
      <c r="Y1349" s="39" t="str">
        <f>IF(AND(OR(LEFT(TH!L1349,2)="15",LEFT(TH!M1349,2)="15"),TK!$E$7=TH!F1349),"x","")</f>
        <v/>
      </c>
      <c r="Z1349" s="39" t="str">
        <f>IF(AND(B1349&lt;=NKC!$N$8,B1349&gt;=NKC!$M$8),"x","")</f>
        <v/>
      </c>
      <c r="AA1349" s="886"/>
    </row>
    <row r="1350" spans="1:27" s="211" customFormat="1" ht="15.75" customHeight="1">
      <c r="A1350" s="204" t="str">
        <f>IF(B1350&lt;&gt;"",IF(AND(B1350&gt;=_TM1,B1350&lt;=_TM2,OR(TH!L1350="1111",TH!M1350="1111")),TH!D1350,""),"")</f>
        <v/>
      </c>
      <c r="B1350" s="36">
        <f t="shared" si="233"/>
        <v>12</v>
      </c>
      <c r="C1350" s="191">
        <f t="shared" si="231"/>
        <v>41625</v>
      </c>
      <c r="D1350" s="37"/>
      <c r="E1350" s="37">
        <v>41625</v>
      </c>
      <c r="F1350" s="40"/>
      <c r="G1350" s="40" t="s">
        <v>1037</v>
      </c>
      <c r="H1350" s="7" t="s">
        <v>1287</v>
      </c>
      <c r="I1350" s="256"/>
      <c r="J1350" s="256"/>
      <c r="K1350" s="602">
        <f t="shared" si="232"/>
        <v>0</v>
      </c>
      <c r="L1350" s="39" t="s">
        <v>165</v>
      </c>
      <c r="M1350" s="603" t="s">
        <v>159</v>
      </c>
      <c r="N1350" s="39" t="str">
        <f>IF(AND('331-CT'!$E$7=TH!H1350,OR(L1350="331",M1350="331")),"331",IF(AND(OR(L1350="131",M1350="131"),H1350='131-CT'!$E$7),"131",""))</f>
        <v/>
      </c>
      <c r="O1350" s="39" t="str">
        <f>IF(AND($B1350&gt;='111'!$N$11,$B1350&lt;='111'!$O$11,OR($L1350=$O$7,$M1350=$O$7)),"x","")</f>
        <v/>
      </c>
      <c r="P1350" s="39" t="str">
        <f>IF(AND($L1350=$O$7,$B1350&lt;'111'!$N$11),"x","")</f>
        <v/>
      </c>
      <c r="Q1350" s="39" t="str">
        <f>IF(AND($M1350=$O$7,$B1350&lt;'111'!$N$11),"x","")</f>
        <v/>
      </c>
      <c r="R1350" s="39" t="str">
        <f>IF(ISERROR(FIND('112'!$M$9,G1350,1)),"",IF((AND(FIND('112'!$M$9,G1350,1)&gt;=1,$B1350&gt;='112'!$N$8,$B1350&lt;='112'!$O$8,OR($L1350='112'!$I$6,$M1350='112'!$I$6))),"x",""))</f>
        <v/>
      </c>
      <c r="S1350" s="39" t="str">
        <f>IF(ISERROR(FIND('112'!$M$9,G1350,1)),"",IF((AND(LEFT(G1350,2)=LEFT('112'!$M$9,2),B1350&lt;'112'!$N$8,$L1350='112'!$I$6)),"x",""))</f>
        <v/>
      </c>
      <c r="T1350" s="39" t="str">
        <f>IF(ISERROR(FIND('112'!$M$9,G1350,1)),"",IF((AND(RIGHT(G1350,2)=RIGHT('112'!$M$9,2),B1350&lt;'112'!$N$8,$M1350='112'!$I$6)),"x",""))</f>
        <v/>
      </c>
      <c r="U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39" t="str">
        <f>IF(OR(TH!L1350=TH!$V$7,M1350=TH!$V$7),"x","")</f>
        <v/>
      </c>
      <c r="W1350" s="39" t="str">
        <f>IF(AND(B1350&gt;='IN-NX'!$P$3,B1350&lt;='IN-NX'!$Q$3,'IN-NX'!$D$7=D1350,OR(LEFT(L1350,2)="15",AND(LEFT(M1350,2)&lt;&gt;"15",LEFT(M1350,2)&lt;&gt;"33"))),"x","")</f>
        <v/>
      </c>
      <c r="X1350" s="39" t="str">
        <f>IF(AND(OR(LEFT(TH!L1350,2)="15",LEFT(TH!M1350,2)="15"),'152-CT'!$J$8=TH!F1350),"x","")</f>
        <v/>
      </c>
      <c r="Y1350" s="39" t="str">
        <f>IF(AND(OR(LEFT(TH!L1350,2)="15",LEFT(TH!M1350,2)="15"),TK!$E$7=TH!F1350),"x","")</f>
        <v/>
      </c>
      <c r="Z1350" s="39" t="str">
        <f>IF(AND(B1350&lt;=NKC!$N$8,B1350&gt;=NKC!$M$8),"x","")</f>
        <v/>
      </c>
      <c r="AA1350" s="886"/>
    </row>
    <row r="1351" spans="1:27" s="211" customFormat="1" ht="15.75" customHeight="1">
      <c r="A1351" s="204" t="str">
        <f>IF(B1351&lt;&gt;"",IF(AND(B1351&gt;=_TM1,B1351&lt;=_TM2,OR(TH!L1351="1111",TH!M1351="1111")),TH!D1351,""),"")</f>
        <v/>
      </c>
      <c r="B1351" s="36">
        <f t="shared" si="233"/>
        <v>12</v>
      </c>
      <c r="C1351" s="191">
        <f t="shared" ref="C1351:C1414" si="234">E1351</f>
        <v>41625</v>
      </c>
      <c r="D1351" s="37"/>
      <c r="E1351" s="37">
        <v>41625</v>
      </c>
      <c r="F1351" s="40"/>
      <c r="G1351" s="40" t="s">
        <v>1037</v>
      </c>
      <c r="H1351" s="7" t="s">
        <v>1287</v>
      </c>
      <c r="I1351" s="256"/>
      <c r="J1351" s="256"/>
      <c r="K1351" s="602">
        <f t="shared" ref="K1351:K1414" si="235">ROUND(I1351*J1351,0)</f>
        <v>0</v>
      </c>
      <c r="L1351" s="39" t="s">
        <v>165</v>
      </c>
      <c r="M1351" s="603" t="s">
        <v>159</v>
      </c>
      <c r="N1351" s="39" t="str">
        <f>IF(AND('331-CT'!$E$7=TH!H1351,OR(L1351="331",M1351="331")),"331",IF(AND(OR(L1351="131",M1351="131"),H1351='131-CT'!$E$7),"131",""))</f>
        <v/>
      </c>
      <c r="O1351" s="39" t="str">
        <f>IF(AND($B1351&gt;='111'!$N$11,$B1351&lt;='111'!$O$11,OR($L1351=$O$7,$M1351=$O$7)),"x","")</f>
        <v/>
      </c>
      <c r="P1351" s="39" t="str">
        <f>IF(AND($L1351=$O$7,$B1351&lt;'111'!$N$11),"x","")</f>
        <v/>
      </c>
      <c r="Q1351" s="39" t="str">
        <f>IF(AND($M1351=$O$7,$B1351&lt;'111'!$N$11),"x","")</f>
        <v/>
      </c>
      <c r="R1351" s="39" t="str">
        <f>IF(ISERROR(FIND('112'!$M$9,G1351,1)),"",IF((AND(FIND('112'!$M$9,G1351,1)&gt;=1,$B1351&gt;='112'!$N$8,$B1351&lt;='112'!$O$8,OR($L1351='112'!$I$6,$M1351='112'!$I$6))),"x",""))</f>
        <v/>
      </c>
      <c r="S1351" s="39" t="str">
        <f>IF(ISERROR(FIND('112'!$M$9,G1351,1)),"",IF((AND(LEFT(G1351,2)=LEFT('112'!$M$9,2),B1351&lt;'112'!$N$8,$L1351='112'!$I$6)),"x",""))</f>
        <v/>
      </c>
      <c r="T1351" s="39" t="str">
        <f>IF(ISERROR(FIND('112'!$M$9,G1351,1)),"",IF((AND(RIGHT(G1351,2)=RIGHT('112'!$M$9,2),B1351&lt;'112'!$N$8,$M1351='112'!$I$6)),"x",""))</f>
        <v/>
      </c>
      <c r="U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39" t="str">
        <f>IF(OR(TH!L1351=TH!$V$7,M1351=TH!$V$7),"x","")</f>
        <v/>
      </c>
      <c r="W1351" s="39" t="str">
        <f>IF(AND(B1351&gt;='IN-NX'!$P$3,B1351&lt;='IN-NX'!$Q$3,'IN-NX'!$D$7=D1351,OR(LEFT(L1351,2)="15",AND(LEFT(M1351,2)&lt;&gt;"15",LEFT(M1351,2)&lt;&gt;"33"))),"x","")</f>
        <v/>
      </c>
      <c r="X1351" s="39" t="str">
        <f>IF(AND(OR(LEFT(TH!L1351,2)="15",LEFT(TH!M1351,2)="15"),'152-CT'!$J$8=TH!F1351),"x","")</f>
        <v/>
      </c>
      <c r="Y1351" s="39" t="str">
        <f>IF(AND(OR(LEFT(TH!L1351,2)="15",LEFT(TH!M1351,2)="15"),TK!$E$7=TH!F1351),"x","")</f>
        <v/>
      </c>
      <c r="Z1351" s="39" t="str">
        <f>IF(AND(B1351&lt;=NKC!$N$8,B1351&gt;=NKC!$M$8),"x","")</f>
        <v/>
      </c>
      <c r="AA1351" s="886"/>
    </row>
    <row r="1352" spans="1:27" s="211" customFormat="1" ht="15.75" customHeight="1">
      <c r="A1352" s="204" t="str">
        <f>IF(B1352&lt;&gt;"",IF(AND(B1352&gt;=_TM1,B1352&lt;=_TM2,OR(TH!L1352="1111",TH!M1352="1111")),TH!D1352,""),"")</f>
        <v/>
      </c>
      <c r="B1352" s="36">
        <f t="shared" si="233"/>
        <v>12</v>
      </c>
      <c r="C1352" s="191">
        <f t="shared" si="234"/>
        <v>41625</v>
      </c>
      <c r="D1352" s="37"/>
      <c r="E1352" s="37">
        <v>41625</v>
      </c>
      <c r="F1352" s="40"/>
      <c r="G1352" s="40" t="s">
        <v>1037</v>
      </c>
      <c r="H1352" s="7" t="s">
        <v>1287</v>
      </c>
      <c r="I1352" s="256"/>
      <c r="J1352" s="256"/>
      <c r="K1352" s="602">
        <f t="shared" si="235"/>
        <v>0</v>
      </c>
      <c r="L1352" s="39" t="s">
        <v>165</v>
      </c>
      <c r="M1352" s="603" t="s">
        <v>159</v>
      </c>
      <c r="N1352" s="39" t="str">
        <f>IF(AND('331-CT'!$E$7=TH!H1352,OR(L1352="331",M1352="331")),"331",IF(AND(OR(L1352="131",M1352="131"),H1352='131-CT'!$E$7),"131",""))</f>
        <v/>
      </c>
      <c r="O1352" s="39" t="str">
        <f>IF(AND($B1352&gt;='111'!$N$11,$B1352&lt;='111'!$O$11,OR($L1352=$O$7,$M1352=$O$7)),"x","")</f>
        <v/>
      </c>
      <c r="P1352" s="39" t="str">
        <f>IF(AND($L1352=$O$7,$B1352&lt;'111'!$N$11),"x","")</f>
        <v/>
      </c>
      <c r="Q1352" s="39" t="str">
        <f>IF(AND($M1352=$O$7,$B1352&lt;'111'!$N$11),"x","")</f>
        <v/>
      </c>
      <c r="R1352" s="39" t="str">
        <f>IF(ISERROR(FIND('112'!$M$9,G1352,1)),"",IF((AND(FIND('112'!$M$9,G1352,1)&gt;=1,$B1352&gt;='112'!$N$8,$B1352&lt;='112'!$O$8,OR($L1352='112'!$I$6,$M1352='112'!$I$6))),"x",""))</f>
        <v/>
      </c>
      <c r="S1352" s="39" t="str">
        <f>IF(ISERROR(FIND('112'!$M$9,G1352,1)),"",IF((AND(LEFT(G1352,2)=LEFT('112'!$M$9,2),B1352&lt;'112'!$N$8,$L1352='112'!$I$6)),"x",""))</f>
        <v/>
      </c>
      <c r="T1352" s="39" t="str">
        <f>IF(ISERROR(FIND('112'!$M$9,G1352,1)),"",IF((AND(RIGHT(G1352,2)=RIGHT('112'!$M$9,2),B1352&lt;'112'!$N$8,$M1352='112'!$I$6)),"x",""))</f>
        <v/>
      </c>
      <c r="U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39" t="str">
        <f>IF(OR(TH!L1352=TH!$V$7,M1352=TH!$V$7),"x","")</f>
        <v/>
      </c>
      <c r="W1352" s="39" t="str">
        <f>IF(AND(B1352&gt;='IN-NX'!$P$3,B1352&lt;='IN-NX'!$Q$3,'IN-NX'!$D$7=D1352,OR(LEFT(L1352,2)="15",AND(LEFT(M1352,2)&lt;&gt;"15",LEFT(M1352,2)&lt;&gt;"33"))),"x","")</f>
        <v/>
      </c>
      <c r="X1352" s="39" t="str">
        <f>IF(AND(OR(LEFT(TH!L1352,2)="15",LEFT(TH!M1352,2)="15"),'152-CT'!$J$8=TH!F1352),"x","")</f>
        <v/>
      </c>
      <c r="Y1352" s="39" t="str">
        <f>IF(AND(OR(LEFT(TH!L1352,2)="15",LEFT(TH!M1352,2)="15"),TK!$E$7=TH!F1352),"x","")</f>
        <v/>
      </c>
      <c r="Z1352" s="39" t="str">
        <f>IF(AND(B1352&lt;=NKC!$N$8,B1352&gt;=NKC!$M$8),"x","")</f>
        <v/>
      </c>
      <c r="AA1352" s="886"/>
    </row>
    <row r="1353" spans="1:27" s="211" customFormat="1" ht="15.75" customHeight="1">
      <c r="A1353" s="204" t="str">
        <f>IF(B1353&lt;&gt;"",IF(AND(B1353&gt;=_TM1,B1353&lt;=_TM2,OR(TH!L1353="1111",TH!M1353="1111")),TH!D1353,""),"")</f>
        <v/>
      </c>
      <c r="B1353" s="36">
        <f t="shared" si="233"/>
        <v>12</v>
      </c>
      <c r="C1353" s="191">
        <f t="shared" si="234"/>
        <v>41625</v>
      </c>
      <c r="D1353" s="37"/>
      <c r="E1353" s="37">
        <v>41625</v>
      </c>
      <c r="F1353" s="192"/>
      <c r="G1353" s="40" t="s">
        <v>1037</v>
      </c>
      <c r="H1353" s="7" t="s">
        <v>1287</v>
      </c>
      <c r="I1353" s="256"/>
      <c r="J1353" s="256"/>
      <c r="K1353" s="602">
        <f t="shared" si="235"/>
        <v>0</v>
      </c>
      <c r="L1353" s="39" t="s">
        <v>165</v>
      </c>
      <c r="M1353" s="603" t="s">
        <v>159</v>
      </c>
      <c r="N1353" s="39" t="str">
        <f>IF(AND('331-CT'!$E$7=TH!H1353,OR(L1353="331",M1353="331")),"331",IF(AND(OR(L1353="131",M1353="131"),H1353='131-CT'!$E$7),"131",""))</f>
        <v/>
      </c>
      <c r="O1353" s="39" t="str">
        <f>IF(AND($B1353&gt;='111'!$N$11,$B1353&lt;='111'!$O$11,OR($L1353=$O$7,$M1353=$O$7)),"x","")</f>
        <v/>
      </c>
      <c r="P1353" s="39" t="str">
        <f>IF(AND($L1353=$O$7,$B1353&lt;'111'!$N$11),"x","")</f>
        <v/>
      </c>
      <c r="Q1353" s="39" t="str">
        <f>IF(AND($M1353=$O$7,$B1353&lt;'111'!$N$11),"x","")</f>
        <v/>
      </c>
      <c r="R1353" s="39" t="str">
        <f>IF(ISERROR(FIND('112'!$M$9,G1353,1)),"",IF((AND(FIND('112'!$M$9,G1353,1)&gt;=1,$B1353&gt;='112'!$N$8,$B1353&lt;='112'!$O$8,OR($L1353='112'!$I$6,$M1353='112'!$I$6))),"x",""))</f>
        <v/>
      </c>
      <c r="S1353" s="39" t="str">
        <f>IF(ISERROR(FIND('112'!$M$9,G1353,1)),"",IF((AND(LEFT(G1353,2)=LEFT('112'!$M$9,2),B1353&lt;'112'!$N$8,$L1353='112'!$I$6)),"x",""))</f>
        <v/>
      </c>
      <c r="T1353" s="39" t="str">
        <f>IF(ISERROR(FIND('112'!$M$9,G1353,1)),"",IF((AND(RIGHT(G1353,2)=RIGHT('112'!$M$9,2),B1353&lt;'112'!$N$8,$M1353='112'!$I$6)),"x",""))</f>
        <v/>
      </c>
      <c r="U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39" t="str">
        <f>IF(OR(TH!L1353=TH!$V$7,M1353=TH!$V$7),"x","")</f>
        <v/>
      </c>
      <c r="W1353" s="39" t="str">
        <f>IF(AND(B1353&gt;='IN-NX'!$P$3,B1353&lt;='IN-NX'!$Q$3,'IN-NX'!$D$7=D1353,OR(LEFT(L1353,2)="15",AND(LEFT(M1353,2)&lt;&gt;"15",LEFT(M1353,2)&lt;&gt;"33"))),"x","")</f>
        <v/>
      </c>
      <c r="X1353" s="39" t="str">
        <f>IF(AND(OR(LEFT(TH!L1353,2)="15",LEFT(TH!M1353,2)="15"),'152-CT'!$J$8=TH!F1353),"x","")</f>
        <v/>
      </c>
      <c r="Y1353" s="39" t="str">
        <f>IF(AND(OR(LEFT(TH!L1353,2)="15",LEFT(TH!M1353,2)="15"),TK!$E$7=TH!F1353),"x","")</f>
        <v/>
      </c>
      <c r="Z1353" s="39" t="str">
        <f>IF(AND(B1353&lt;=NKC!$N$8,B1353&gt;=NKC!$M$8),"x","")</f>
        <v/>
      </c>
      <c r="AA1353" s="886"/>
    </row>
    <row r="1354" spans="1:27" s="211" customFormat="1" ht="15.75" customHeight="1">
      <c r="A1354" s="204" t="str">
        <f>IF(B1354&lt;&gt;"",IF(AND(B1354&gt;=_TM1,B1354&lt;=_TM2,OR(TH!L1354="1111",TH!M1354="1111")),TH!D1354,""),"")</f>
        <v/>
      </c>
      <c r="B1354" s="36">
        <f t="shared" si="233"/>
        <v>12</v>
      </c>
      <c r="C1354" s="191">
        <f t="shared" si="234"/>
        <v>41625</v>
      </c>
      <c r="D1354" s="37"/>
      <c r="E1354" s="37">
        <v>41625</v>
      </c>
      <c r="F1354" s="40"/>
      <c r="G1354" s="40" t="s">
        <v>1037</v>
      </c>
      <c r="H1354" s="7" t="s">
        <v>1287</v>
      </c>
      <c r="I1354" s="256"/>
      <c r="J1354" s="256"/>
      <c r="K1354" s="602">
        <f t="shared" si="235"/>
        <v>0</v>
      </c>
      <c r="L1354" s="39" t="s">
        <v>165</v>
      </c>
      <c r="M1354" s="603" t="s">
        <v>159</v>
      </c>
      <c r="N1354" s="39" t="str">
        <f>IF(AND('331-CT'!$E$7=TH!H1354,OR(L1354="331",M1354="331")),"331",IF(AND(OR(L1354="131",M1354="131"),H1354='131-CT'!$E$7),"131",""))</f>
        <v/>
      </c>
      <c r="O1354" s="39" t="str">
        <f>IF(AND($B1354&gt;='111'!$N$11,$B1354&lt;='111'!$O$11,OR($L1354=$O$7,$M1354=$O$7)),"x","")</f>
        <v/>
      </c>
      <c r="P1354" s="39" t="str">
        <f>IF(AND($L1354=$O$7,$B1354&lt;'111'!$N$11),"x","")</f>
        <v/>
      </c>
      <c r="Q1354" s="39" t="str">
        <f>IF(AND($M1354=$O$7,$B1354&lt;'111'!$N$11),"x","")</f>
        <v/>
      </c>
      <c r="R1354" s="39" t="str">
        <f>IF(ISERROR(FIND('112'!$M$9,G1354,1)),"",IF((AND(FIND('112'!$M$9,G1354,1)&gt;=1,$B1354&gt;='112'!$N$8,$B1354&lt;='112'!$O$8,OR($L1354='112'!$I$6,$M1354='112'!$I$6))),"x",""))</f>
        <v/>
      </c>
      <c r="S1354" s="39" t="str">
        <f>IF(ISERROR(FIND('112'!$M$9,G1354,1)),"",IF((AND(LEFT(G1354,2)=LEFT('112'!$M$9,2),B1354&lt;'112'!$N$8,$L1354='112'!$I$6)),"x",""))</f>
        <v/>
      </c>
      <c r="T1354" s="39" t="str">
        <f>IF(ISERROR(FIND('112'!$M$9,G1354,1)),"",IF((AND(RIGHT(G1354,2)=RIGHT('112'!$M$9,2),B1354&lt;'112'!$N$8,$M1354='112'!$I$6)),"x",""))</f>
        <v/>
      </c>
      <c r="U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39" t="str">
        <f>IF(OR(TH!L1354=TH!$V$7,M1354=TH!$V$7),"x","")</f>
        <v/>
      </c>
      <c r="W1354" s="39" t="str">
        <f>IF(AND(B1354&gt;='IN-NX'!$P$3,B1354&lt;='IN-NX'!$Q$3,'IN-NX'!$D$7=D1354,OR(LEFT(L1354,2)="15",AND(LEFT(M1354,2)&lt;&gt;"15",LEFT(M1354,2)&lt;&gt;"33"))),"x","")</f>
        <v/>
      </c>
      <c r="X1354" s="39" t="str">
        <f>IF(AND(OR(LEFT(TH!L1354,2)="15",LEFT(TH!M1354,2)="15"),'152-CT'!$J$8=TH!F1354),"x","")</f>
        <v/>
      </c>
      <c r="Y1354" s="39" t="str">
        <f>IF(AND(OR(LEFT(TH!L1354,2)="15",LEFT(TH!M1354,2)="15"),TK!$E$7=TH!F1354),"x","")</f>
        <v/>
      </c>
      <c r="Z1354" s="39" t="str">
        <f>IF(AND(B1354&lt;=NKC!$N$8,B1354&gt;=NKC!$M$8),"x","")</f>
        <v/>
      </c>
      <c r="AA1354" s="886"/>
    </row>
    <row r="1355" spans="1:27" s="211" customFormat="1" ht="15.75" customHeight="1">
      <c r="A1355" s="204" t="str">
        <f>IF(B1355&lt;&gt;"",IF(AND(B1355&gt;=_TM1,B1355&lt;=_TM2,OR(TH!L1355="1111",TH!M1355="1111")),TH!D1355,""),"")</f>
        <v/>
      </c>
      <c r="B1355" s="36">
        <f t="shared" si="233"/>
        <v>12</v>
      </c>
      <c r="C1355" s="191">
        <f t="shared" si="234"/>
        <v>41625</v>
      </c>
      <c r="D1355" s="184"/>
      <c r="E1355" s="184">
        <v>41625</v>
      </c>
      <c r="F1355" s="189"/>
      <c r="G1355" s="604" t="s">
        <v>1037</v>
      </c>
      <c r="H1355" s="7" t="s">
        <v>1287</v>
      </c>
      <c r="I1355" s="256"/>
      <c r="J1355" s="256"/>
      <c r="K1355" s="602">
        <f t="shared" si="235"/>
        <v>0</v>
      </c>
      <c r="L1355" s="39" t="s">
        <v>165</v>
      </c>
      <c r="M1355" s="603" t="s">
        <v>159</v>
      </c>
      <c r="N1355" s="39" t="str">
        <f>IF(AND('331-CT'!$E$7=TH!H1355,OR(L1355="331",M1355="331")),"331",IF(AND(OR(L1355="131",M1355="131"),H1355='131-CT'!$E$7),"131",""))</f>
        <v/>
      </c>
      <c r="O1355" s="39" t="str">
        <f>IF(AND($B1355&gt;='111'!$N$11,$B1355&lt;='111'!$O$11,OR($L1355=$O$7,$M1355=$O$7)),"x","")</f>
        <v/>
      </c>
      <c r="P1355" s="39" t="str">
        <f>IF(AND($L1355=$O$7,$B1355&lt;'111'!$N$11),"x","")</f>
        <v/>
      </c>
      <c r="Q1355" s="39" t="str">
        <f>IF(AND($M1355=$O$7,$B1355&lt;'111'!$N$11),"x","")</f>
        <v/>
      </c>
      <c r="R1355" s="39" t="str">
        <f>IF(ISERROR(FIND('112'!$M$9,G1355,1)),"",IF((AND(FIND('112'!$M$9,G1355,1)&gt;=1,$B1355&gt;='112'!$N$8,$B1355&lt;='112'!$O$8,OR($L1355='112'!$I$6,$M1355='112'!$I$6))),"x",""))</f>
        <v/>
      </c>
      <c r="S1355" s="39" t="str">
        <f>IF(ISERROR(FIND('112'!$M$9,G1355,1)),"",IF((AND(LEFT(G1355,2)=LEFT('112'!$M$9,2),B1355&lt;'112'!$N$8,$L1355='112'!$I$6)),"x",""))</f>
        <v/>
      </c>
      <c r="T1355" s="39" t="str">
        <f>IF(ISERROR(FIND('112'!$M$9,G1355,1)),"",IF((AND(RIGHT(G1355,2)=RIGHT('112'!$M$9,2),B1355&lt;'112'!$N$8,$M1355='112'!$I$6)),"x",""))</f>
        <v/>
      </c>
      <c r="U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39" t="str">
        <f>IF(OR(TH!L1355=TH!$V$7,M1355=TH!$V$7),"x","")</f>
        <v/>
      </c>
      <c r="W1355" s="39" t="str">
        <f>IF(AND(B1355&gt;='IN-NX'!$P$3,B1355&lt;='IN-NX'!$Q$3,'IN-NX'!$D$7=D1355,OR(LEFT(L1355,2)="15",AND(LEFT(M1355,2)&lt;&gt;"15",LEFT(M1355,2)&lt;&gt;"33"))),"x","")</f>
        <v/>
      </c>
      <c r="X1355" s="39" t="str">
        <f>IF(AND(OR(LEFT(TH!L1355,2)="15",LEFT(TH!M1355,2)="15"),'152-CT'!$J$8=TH!F1355),"x","")</f>
        <v/>
      </c>
      <c r="Y1355" s="39" t="str">
        <f>IF(AND(OR(LEFT(TH!L1355,2)="15",LEFT(TH!M1355,2)="15"),TK!$E$7=TH!F1355),"x","")</f>
        <v/>
      </c>
      <c r="Z1355" s="39" t="str">
        <f>IF(AND(B1355&lt;=NKC!$N$8,B1355&gt;=NKC!$M$8),"x","")</f>
        <v/>
      </c>
      <c r="AA1355" s="886"/>
    </row>
    <row r="1356" spans="1:27" s="211" customFormat="1" ht="15.75" customHeight="1">
      <c r="A1356" s="204" t="str">
        <f>IF(B1356&lt;&gt;"",IF(AND(B1356&gt;=_TM1,B1356&lt;=_TM2,OR(TH!L1356="1111",TH!M1356="1111")),TH!D1356,""),"")</f>
        <v/>
      </c>
      <c r="B1356" s="36">
        <f t="shared" si="233"/>
        <v>12</v>
      </c>
      <c r="C1356" s="191">
        <f t="shared" si="234"/>
        <v>41625</v>
      </c>
      <c r="D1356" s="191"/>
      <c r="E1356" s="191">
        <v>41625</v>
      </c>
      <c r="F1356" s="192"/>
      <c r="G1356" s="487" t="s">
        <v>1037</v>
      </c>
      <c r="H1356" s="7" t="s">
        <v>1287</v>
      </c>
      <c r="I1356" s="256"/>
      <c r="J1356" s="256"/>
      <c r="K1356" s="602">
        <f t="shared" si="235"/>
        <v>0</v>
      </c>
      <c r="L1356" s="39" t="s">
        <v>165</v>
      </c>
      <c r="M1356" s="603" t="s">
        <v>159</v>
      </c>
      <c r="N1356" s="39" t="str">
        <f>IF(AND('331-CT'!$E$7=TH!H1356,OR(L1356="331",M1356="331")),"331",IF(AND(OR(L1356="131",M1356="131"),H1356='131-CT'!$E$7),"131",""))</f>
        <v/>
      </c>
      <c r="O1356" s="39" t="str">
        <f>IF(AND($B1356&gt;='111'!$N$11,$B1356&lt;='111'!$O$11,OR($L1356=$O$7,$M1356=$O$7)),"x","")</f>
        <v/>
      </c>
      <c r="P1356" s="39" t="str">
        <f>IF(AND($L1356=$O$7,$B1356&lt;'111'!$N$11),"x","")</f>
        <v/>
      </c>
      <c r="Q1356" s="39" t="str">
        <f>IF(AND($M1356=$O$7,$B1356&lt;'111'!$N$11),"x","")</f>
        <v/>
      </c>
      <c r="R1356" s="39" t="str">
        <f>IF(ISERROR(FIND('112'!$M$9,G1356,1)),"",IF((AND(FIND('112'!$M$9,G1356,1)&gt;=1,$B1356&gt;='112'!$N$8,$B1356&lt;='112'!$O$8,OR($L1356='112'!$I$6,$M1356='112'!$I$6))),"x",""))</f>
        <v/>
      </c>
      <c r="S1356" s="39" t="str">
        <f>IF(ISERROR(FIND('112'!$M$9,G1356,1)),"",IF((AND(LEFT(G1356,2)=LEFT('112'!$M$9,2),B1356&lt;'112'!$N$8,$L1356='112'!$I$6)),"x",""))</f>
        <v/>
      </c>
      <c r="T1356" s="39" t="str">
        <f>IF(ISERROR(FIND('112'!$M$9,G1356,1)),"",IF((AND(RIGHT(G1356,2)=RIGHT('112'!$M$9,2),B1356&lt;'112'!$N$8,$M1356='112'!$I$6)),"x",""))</f>
        <v/>
      </c>
      <c r="U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39" t="str">
        <f>IF(OR(TH!L1356=TH!$V$7,M1356=TH!$V$7),"x","")</f>
        <v/>
      </c>
      <c r="W1356" s="39" t="str">
        <f>IF(AND(B1356&gt;='IN-NX'!$P$3,B1356&lt;='IN-NX'!$Q$3,'IN-NX'!$D$7=D1356,OR(LEFT(L1356,2)="15",AND(LEFT(M1356,2)&lt;&gt;"15",LEFT(M1356,2)&lt;&gt;"33"))),"x","")</f>
        <v/>
      </c>
      <c r="X1356" s="39" t="str">
        <f>IF(AND(OR(LEFT(TH!L1356,2)="15",LEFT(TH!M1356,2)="15"),'152-CT'!$J$8=TH!F1356),"x","")</f>
        <v/>
      </c>
      <c r="Y1356" s="39" t="str">
        <f>IF(AND(OR(LEFT(TH!L1356,2)="15",LEFT(TH!M1356,2)="15"),TK!$E$7=TH!F1356),"x","")</f>
        <v/>
      </c>
      <c r="Z1356" s="39" t="str">
        <f>IF(AND(B1356&lt;=NKC!$N$8,B1356&gt;=NKC!$M$8),"x","")</f>
        <v/>
      </c>
      <c r="AA1356" s="886"/>
    </row>
    <row r="1357" spans="1:27" s="211" customFormat="1" ht="15.75" customHeight="1">
      <c r="A1357" s="204" t="str">
        <f>IF(B1357&lt;&gt;"",IF(AND(B1357&gt;=_TM1,B1357&lt;=_TM2,OR(TH!L1357="1111",TH!M1357="1111")),TH!D1357,""),"")</f>
        <v/>
      </c>
      <c r="B1357" s="36">
        <f t="shared" si="233"/>
        <v>12</v>
      </c>
      <c r="C1357" s="191">
        <f t="shared" si="234"/>
        <v>41625</v>
      </c>
      <c r="D1357" s="191"/>
      <c r="E1357" s="191">
        <v>41625</v>
      </c>
      <c r="F1357" s="192"/>
      <c r="G1357" s="487" t="s">
        <v>1037</v>
      </c>
      <c r="H1357" s="7" t="s">
        <v>1287</v>
      </c>
      <c r="I1357" s="256"/>
      <c r="J1357" s="256"/>
      <c r="K1357" s="602">
        <f t="shared" si="235"/>
        <v>0</v>
      </c>
      <c r="L1357" s="39" t="s">
        <v>165</v>
      </c>
      <c r="M1357" s="603" t="s">
        <v>159</v>
      </c>
      <c r="N1357" s="39" t="str">
        <f>IF(AND('331-CT'!$E$7=TH!H1357,OR(L1357="331",M1357="331")),"331",IF(AND(OR(L1357="131",M1357="131"),H1357='131-CT'!$E$7),"131",""))</f>
        <v/>
      </c>
      <c r="O1357" s="39" t="str">
        <f>IF(AND($B1357&gt;='111'!$N$11,$B1357&lt;='111'!$O$11,OR($L1357=$O$7,$M1357=$O$7)),"x","")</f>
        <v/>
      </c>
      <c r="P1357" s="39" t="str">
        <f>IF(AND($L1357=$O$7,$B1357&lt;'111'!$N$11),"x","")</f>
        <v/>
      </c>
      <c r="Q1357" s="39" t="str">
        <f>IF(AND($M1357=$O$7,$B1357&lt;'111'!$N$11),"x","")</f>
        <v/>
      </c>
      <c r="R1357" s="39" t="str">
        <f>IF(ISERROR(FIND('112'!$M$9,G1357,1)),"",IF((AND(FIND('112'!$M$9,G1357,1)&gt;=1,$B1357&gt;='112'!$N$8,$B1357&lt;='112'!$O$8,OR($L1357='112'!$I$6,$M1357='112'!$I$6))),"x",""))</f>
        <v/>
      </c>
      <c r="S1357" s="39" t="str">
        <f>IF(ISERROR(FIND('112'!$M$9,G1357,1)),"",IF((AND(LEFT(G1357,2)=LEFT('112'!$M$9,2),B1357&lt;'112'!$N$8,$L1357='112'!$I$6)),"x",""))</f>
        <v/>
      </c>
      <c r="T1357" s="39" t="str">
        <f>IF(ISERROR(FIND('112'!$M$9,G1357,1)),"",IF((AND(RIGHT(G1357,2)=RIGHT('112'!$M$9,2),B1357&lt;'112'!$N$8,$M1357='112'!$I$6)),"x",""))</f>
        <v/>
      </c>
      <c r="U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39" t="str">
        <f>IF(OR(TH!L1357=TH!$V$7,M1357=TH!$V$7),"x","")</f>
        <v/>
      </c>
      <c r="W1357" s="39" t="str">
        <f>IF(AND(B1357&gt;='IN-NX'!$P$3,B1357&lt;='IN-NX'!$Q$3,'IN-NX'!$D$7=D1357,OR(LEFT(L1357,2)="15",AND(LEFT(M1357,2)&lt;&gt;"15",LEFT(M1357,2)&lt;&gt;"33"))),"x","")</f>
        <v/>
      </c>
      <c r="X1357" s="39" t="str">
        <f>IF(AND(OR(LEFT(TH!L1357,2)="15",LEFT(TH!M1357,2)="15"),'152-CT'!$J$8=TH!F1357),"x","")</f>
        <v/>
      </c>
      <c r="Y1357" s="39" t="str">
        <f>IF(AND(OR(LEFT(TH!L1357,2)="15",LEFT(TH!M1357,2)="15"),TK!$E$7=TH!F1357),"x","")</f>
        <v/>
      </c>
      <c r="Z1357" s="39" t="str">
        <f>IF(AND(B1357&lt;=NKC!$N$8,B1357&gt;=NKC!$M$8),"x","")</f>
        <v/>
      </c>
      <c r="AA1357" s="886"/>
    </row>
    <row r="1358" spans="1:27" s="211" customFormat="1" ht="15.75" customHeight="1">
      <c r="A1358" s="204" t="str">
        <f>IF(B1358&lt;&gt;"",IF(AND(B1358&gt;=_TM1,B1358&lt;=_TM2,OR(TH!L1358="1111",TH!M1358="1111")),TH!D1358,""),"")</f>
        <v/>
      </c>
      <c r="B1358" s="36">
        <f t="shared" si="233"/>
        <v>12</v>
      </c>
      <c r="C1358" s="191">
        <f t="shared" si="234"/>
        <v>41628</v>
      </c>
      <c r="D1358" s="191"/>
      <c r="E1358" s="191">
        <v>41628</v>
      </c>
      <c r="F1358" s="192"/>
      <c r="G1358" s="487" t="s">
        <v>1039</v>
      </c>
      <c r="H1358" s="7" t="s">
        <v>1287</v>
      </c>
      <c r="I1358" s="256"/>
      <c r="J1358" s="256"/>
      <c r="K1358" s="602">
        <f t="shared" si="235"/>
        <v>0</v>
      </c>
      <c r="L1358" s="39" t="s">
        <v>165</v>
      </c>
      <c r="M1358" s="603" t="s">
        <v>159</v>
      </c>
      <c r="N1358" s="39" t="str">
        <f>IF(AND('331-CT'!$E$7=TH!H1358,OR(L1358="331",M1358="331")),"331",IF(AND(OR(L1358="131",M1358="131"),H1358='131-CT'!$E$7),"131",""))</f>
        <v/>
      </c>
      <c r="O1358" s="39" t="str">
        <f>IF(AND($B1358&gt;='111'!$N$11,$B1358&lt;='111'!$O$11,OR($L1358=$O$7,$M1358=$O$7)),"x","")</f>
        <v/>
      </c>
      <c r="P1358" s="39" t="str">
        <f>IF(AND($L1358=$O$7,$B1358&lt;'111'!$N$11),"x","")</f>
        <v/>
      </c>
      <c r="Q1358" s="39" t="str">
        <f>IF(AND($M1358=$O$7,$B1358&lt;'111'!$N$11),"x","")</f>
        <v/>
      </c>
      <c r="R1358" s="39" t="str">
        <f>IF(ISERROR(FIND('112'!$M$9,G1358,1)),"",IF((AND(FIND('112'!$M$9,G1358,1)&gt;=1,$B1358&gt;='112'!$N$8,$B1358&lt;='112'!$O$8,OR($L1358='112'!$I$6,$M1358='112'!$I$6))),"x",""))</f>
        <v/>
      </c>
      <c r="S1358" s="39" t="str">
        <f>IF(ISERROR(FIND('112'!$M$9,G1358,1)),"",IF((AND(LEFT(G1358,2)=LEFT('112'!$M$9,2),B1358&lt;'112'!$N$8,$L1358='112'!$I$6)),"x",""))</f>
        <v/>
      </c>
      <c r="T1358" s="39" t="str">
        <f>IF(ISERROR(FIND('112'!$M$9,G1358,1)),"",IF((AND(RIGHT(G1358,2)=RIGHT('112'!$M$9,2),B1358&lt;'112'!$N$8,$M1358='112'!$I$6)),"x",""))</f>
        <v/>
      </c>
      <c r="U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39" t="str">
        <f>IF(OR(TH!L1358=TH!$V$7,M1358=TH!$V$7),"x","")</f>
        <v/>
      </c>
      <c r="W1358" s="39" t="str">
        <f>IF(AND(B1358&gt;='IN-NX'!$P$3,B1358&lt;='IN-NX'!$Q$3,'IN-NX'!$D$7=D1358,OR(LEFT(L1358,2)="15",AND(LEFT(M1358,2)&lt;&gt;"15",LEFT(M1358,2)&lt;&gt;"33"))),"x","")</f>
        <v/>
      </c>
      <c r="X1358" s="39" t="str">
        <f>IF(AND(OR(LEFT(TH!L1358,2)="15",LEFT(TH!M1358,2)="15"),'152-CT'!$J$8=TH!F1358),"x","")</f>
        <v/>
      </c>
      <c r="Y1358" s="39" t="str">
        <f>IF(AND(OR(LEFT(TH!L1358,2)="15",LEFT(TH!M1358,2)="15"),TK!$E$7=TH!F1358),"x","")</f>
        <v/>
      </c>
      <c r="Z1358" s="39" t="str">
        <f>IF(AND(B1358&lt;=NKC!$N$8,B1358&gt;=NKC!$M$8),"x","")</f>
        <v/>
      </c>
      <c r="AA1358" s="886"/>
    </row>
    <row r="1359" spans="1:27" s="211" customFormat="1" ht="15.75" customHeight="1">
      <c r="A1359" s="204" t="str">
        <f>IF(B1359&lt;&gt;"",IF(AND(B1359&gt;=_TM1,B1359&lt;=_TM2,OR(TH!L1359="1111",TH!M1359="1111")),TH!D1359,""),"")</f>
        <v/>
      </c>
      <c r="B1359" s="36">
        <f t="shared" si="233"/>
        <v>12</v>
      </c>
      <c r="C1359" s="191">
        <f t="shared" si="234"/>
        <v>41630</v>
      </c>
      <c r="D1359" s="191"/>
      <c r="E1359" s="191">
        <v>41630</v>
      </c>
      <c r="F1359" s="192"/>
      <c r="G1359" s="487" t="s">
        <v>1040</v>
      </c>
      <c r="H1359" s="7" t="s">
        <v>1287</v>
      </c>
      <c r="I1359" s="256"/>
      <c r="J1359" s="256"/>
      <c r="K1359" s="602">
        <f t="shared" si="235"/>
        <v>0</v>
      </c>
      <c r="L1359" s="39" t="s">
        <v>165</v>
      </c>
      <c r="M1359" s="603" t="s">
        <v>159</v>
      </c>
      <c r="N1359" s="39" t="str">
        <f>IF(AND('331-CT'!$E$7=TH!H1359,OR(L1359="331",M1359="331")),"331",IF(AND(OR(L1359="131",M1359="131"),H1359='131-CT'!$E$7),"131",""))</f>
        <v/>
      </c>
      <c r="O1359" s="39" t="str">
        <f>IF(AND($B1359&gt;='111'!$N$11,$B1359&lt;='111'!$O$11,OR($L1359=$O$7,$M1359=$O$7)),"x","")</f>
        <v/>
      </c>
      <c r="P1359" s="39" t="str">
        <f>IF(AND($L1359=$O$7,$B1359&lt;'111'!$N$11),"x","")</f>
        <v/>
      </c>
      <c r="Q1359" s="39" t="str">
        <f>IF(AND($M1359=$O$7,$B1359&lt;'111'!$N$11),"x","")</f>
        <v/>
      </c>
      <c r="R1359" s="39" t="str">
        <f>IF(ISERROR(FIND('112'!$M$9,G1359,1)),"",IF((AND(FIND('112'!$M$9,G1359,1)&gt;=1,$B1359&gt;='112'!$N$8,$B1359&lt;='112'!$O$8,OR($L1359='112'!$I$6,$M1359='112'!$I$6))),"x",""))</f>
        <v/>
      </c>
      <c r="S1359" s="39" t="str">
        <f>IF(ISERROR(FIND('112'!$M$9,G1359,1)),"",IF((AND(LEFT(G1359,2)=LEFT('112'!$M$9,2),B1359&lt;'112'!$N$8,$L1359='112'!$I$6)),"x",""))</f>
        <v/>
      </c>
      <c r="T1359" s="39" t="str">
        <f>IF(ISERROR(FIND('112'!$M$9,G1359,1)),"",IF((AND(RIGHT(G1359,2)=RIGHT('112'!$M$9,2),B1359&lt;'112'!$N$8,$M1359='112'!$I$6)),"x",""))</f>
        <v/>
      </c>
      <c r="U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39" t="str">
        <f>IF(OR(TH!L1359=TH!$V$7,M1359=TH!$V$7),"x","")</f>
        <v/>
      </c>
      <c r="W1359" s="39" t="str">
        <f>IF(AND(B1359&gt;='IN-NX'!$P$3,B1359&lt;='IN-NX'!$Q$3,'IN-NX'!$D$7=D1359,OR(LEFT(L1359,2)="15",AND(LEFT(M1359,2)&lt;&gt;"15",LEFT(M1359,2)&lt;&gt;"33"))),"x","")</f>
        <v/>
      </c>
      <c r="X1359" s="39" t="str">
        <f>IF(AND(OR(LEFT(TH!L1359,2)="15",LEFT(TH!M1359,2)="15"),'152-CT'!$J$8=TH!F1359),"x","")</f>
        <v/>
      </c>
      <c r="Y1359" s="39" t="str">
        <f>IF(AND(OR(LEFT(TH!L1359,2)="15",LEFT(TH!M1359,2)="15"),TK!$E$7=TH!F1359),"x","")</f>
        <v/>
      </c>
      <c r="Z1359" s="39" t="str">
        <f>IF(AND(B1359&lt;=NKC!$N$8,B1359&gt;=NKC!$M$8),"x","")</f>
        <v/>
      </c>
      <c r="AA1359" s="886"/>
    </row>
    <row r="1360" spans="1:27" s="211" customFormat="1" ht="15.75" customHeight="1">
      <c r="A1360" s="204" t="str">
        <f>IF(B1360&lt;&gt;"",IF(AND(B1360&gt;=_TM1,B1360&lt;=_TM2,OR(TH!L1360="1111",TH!M1360="1111")),TH!D1360,""),"")</f>
        <v/>
      </c>
      <c r="B1360" s="36">
        <f t="shared" si="233"/>
        <v>12</v>
      </c>
      <c r="C1360" s="191">
        <f t="shared" si="234"/>
        <v>41632</v>
      </c>
      <c r="D1360" s="37"/>
      <c r="E1360" s="37">
        <v>41632</v>
      </c>
      <c r="F1360" s="40"/>
      <c r="G1360" s="40" t="s">
        <v>1041</v>
      </c>
      <c r="H1360" s="7" t="s">
        <v>1287</v>
      </c>
      <c r="I1360" s="256"/>
      <c r="J1360" s="256"/>
      <c r="K1360" s="602">
        <f t="shared" si="235"/>
        <v>0</v>
      </c>
      <c r="L1360" s="39" t="s">
        <v>165</v>
      </c>
      <c r="M1360" s="603" t="s">
        <v>159</v>
      </c>
      <c r="N1360" s="39" t="str">
        <f>IF(AND('331-CT'!$E$7=TH!H1360,OR(L1360="331",M1360="331")),"331",IF(AND(OR(L1360="131",M1360="131"),H1360='131-CT'!$E$7),"131",""))</f>
        <v/>
      </c>
      <c r="O1360" s="39" t="str">
        <f>IF(AND($B1360&gt;='111'!$N$11,$B1360&lt;='111'!$O$11,OR($L1360=$O$7,$M1360=$O$7)),"x","")</f>
        <v/>
      </c>
      <c r="P1360" s="39" t="str">
        <f>IF(AND($L1360=$O$7,$B1360&lt;'111'!$N$11),"x","")</f>
        <v/>
      </c>
      <c r="Q1360" s="39" t="str">
        <f>IF(AND($M1360=$O$7,$B1360&lt;'111'!$N$11),"x","")</f>
        <v/>
      </c>
      <c r="R1360" s="39" t="str">
        <f>IF(ISERROR(FIND('112'!$M$9,G1360,1)),"",IF((AND(FIND('112'!$M$9,G1360,1)&gt;=1,$B1360&gt;='112'!$N$8,$B1360&lt;='112'!$O$8,OR($L1360='112'!$I$6,$M1360='112'!$I$6))),"x",""))</f>
        <v/>
      </c>
      <c r="S1360" s="39" t="str">
        <f>IF(ISERROR(FIND('112'!$M$9,G1360,1)),"",IF((AND(LEFT(G1360,2)=LEFT('112'!$M$9,2),B1360&lt;'112'!$N$8,$L1360='112'!$I$6)),"x",""))</f>
        <v/>
      </c>
      <c r="T1360" s="39" t="str">
        <f>IF(ISERROR(FIND('112'!$M$9,G1360,1)),"",IF((AND(RIGHT(G1360,2)=RIGHT('112'!$M$9,2),B1360&lt;'112'!$N$8,$M1360='112'!$I$6)),"x",""))</f>
        <v/>
      </c>
      <c r="U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39" t="str">
        <f>IF(OR(TH!L1360=TH!$V$7,M1360=TH!$V$7),"x","")</f>
        <v/>
      </c>
      <c r="W1360" s="39" t="str">
        <f>IF(AND(B1360&gt;='IN-NX'!$P$3,B1360&lt;='IN-NX'!$Q$3,'IN-NX'!$D$7=D1360,OR(LEFT(L1360,2)="15",AND(LEFT(M1360,2)&lt;&gt;"15",LEFT(M1360,2)&lt;&gt;"33"))),"x","")</f>
        <v/>
      </c>
      <c r="X1360" s="39" t="str">
        <f>IF(AND(OR(LEFT(TH!L1360,2)="15",LEFT(TH!M1360,2)="15"),'152-CT'!$J$8=TH!F1360),"x","")</f>
        <v/>
      </c>
      <c r="Y1360" s="39" t="str">
        <f>IF(AND(OR(LEFT(TH!L1360,2)="15",LEFT(TH!M1360,2)="15"),TK!$E$7=TH!F1360),"x","")</f>
        <v/>
      </c>
      <c r="Z1360" s="39" t="str">
        <f>IF(AND(B1360&lt;=NKC!$N$8,B1360&gt;=NKC!$M$8),"x","")</f>
        <v/>
      </c>
      <c r="AA1360" s="886"/>
    </row>
    <row r="1361" spans="1:27" s="211" customFormat="1" ht="15.75" customHeight="1">
      <c r="A1361" s="204" t="str">
        <f>IF(B1361&lt;&gt;"",IF(AND(B1361&gt;=_TM1,B1361&lt;=_TM2,OR(TH!L1361="1111",TH!M1361="1111")),TH!D1361,""),"")</f>
        <v/>
      </c>
      <c r="B1361" s="36">
        <f t="shared" si="233"/>
        <v>12</v>
      </c>
      <c r="C1361" s="191">
        <f t="shared" si="234"/>
        <v>41632</v>
      </c>
      <c r="D1361" s="37"/>
      <c r="E1361" s="37">
        <v>41632</v>
      </c>
      <c r="F1361" s="40"/>
      <c r="G1361" s="40" t="s">
        <v>1041</v>
      </c>
      <c r="H1361" s="7" t="s">
        <v>1287</v>
      </c>
      <c r="I1361" s="256"/>
      <c r="J1361" s="256"/>
      <c r="K1361" s="602">
        <f t="shared" si="235"/>
        <v>0</v>
      </c>
      <c r="L1361" s="39" t="s">
        <v>165</v>
      </c>
      <c r="M1361" s="603" t="s">
        <v>159</v>
      </c>
      <c r="N1361" s="39" t="str">
        <f>IF(AND('331-CT'!$E$7=TH!H1361,OR(L1361="331",M1361="331")),"331",IF(AND(OR(L1361="131",M1361="131"),H1361='131-CT'!$E$7),"131",""))</f>
        <v/>
      </c>
      <c r="O1361" s="39" t="str">
        <f>IF(AND($B1361&gt;='111'!$N$11,$B1361&lt;='111'!$O$11,OR($L1361=$O$7,$M1361=$O$7)),"x","")</f>
        <v/>
      </c>
      <c r="P1361" s="39" t="str">
        <f>IF(AND($L1361=$O$7,$B1361&lt;'111'!$N$11),"x","")</f>
        <v/>
      </c>
      <c r="Q1361" s="39" t="str">
        <f>IF(AND($M1361=$O$7,$B1361&lt;'111'!$N$11),"x","")</f>
        <v/>
      </c>
      <c r="R1361" s="39" t="str">
        <f>IF(ISERROR(FIND('112'!$M$9,G1361,1)),"",IF((AND(FIND('112'!$M$9,G1361,1)&gt;=1,$B1361&gt;='112'!$N$8,$B1361&lt;='112'!$O$8,OR($L1361='112'!$I$6,$M1361='112'!$I$6))),"x",""))</f>
        <v/>
      </c>
      <c r="S1361" s="39" t="str">
        <f>IF(ISERROR(FIND('112'!$M$9,G1361,1)),"",IF((AND(LEFT(G1361,2)=LEFT('112'!$M$9,2),B1361&lt;'112'!$N$8,$L1361='112'!$I$6)),"x",""))</f>
        <v/>
      </c>
      <c r="T1361" s="39" t="str">
        <f>IF(ISERROR(FIND('112'!$M$9,G1361,1)),"",IF((AND(RIGHT(G1361,2)=RIGHT('112'!$M$9,2),B1361&lt;'112'!$N$8,$M1361='112'!$I$6)),"x",""))</f>
        <v/>
      </c>
      <c r="U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39" t="str">
        <f>IF(OR(TH!L1361=TH!$V$7,M1361=TH!$V$7),"x","")</f>
        <v/>
      </c>
      <c r="W1361" s="39" t="str">
        <f>IF(AND(B1361&gt;='IN-NX'!$P$3,B1361&lt;='IN-NX'!$Q$3,'IN-NX'!$D$7=D1361,OR(LEFT(L1361,2)="15",AND(LEFT(M1361,2)&lt;&gt;"15",LEFT(M1361,2)&lt;&gt;"33"))),"x","")</f>
        <v/>
      </c>
      <c r="X1361" s="39" t="str">
        <f>IF(AND(OR(LEFT(TH!L1361,2)="15",LEFT(TH!M1361,2)="15"),'152-CT'!$J$8=TH!F1361),"x","")</f>
        <v/>
      </c>
      <c r="Y1361" s="39" t="str">
        <f>IF(AND(OR(LEFT(TH!L1361,2)="15",LEFT(TH!M1361,2)="15"),TK!$E$7=TH!F1361),"x","")</f>
        <v/>
      </c>
      <c r="Z1361" s="39" t="str">
        <f>IF(AND(B1361&lt;=NKC!$N$8,B1361&gt;=NKC!$M$8),"x","")</f>
        <v/>
      </c>
      <c r="AA1361" s="886"/>
    </row>
    <row r="1362" spans="1:27" s="211" customFormat="1" ht="15.75" customHeight="1">
      <c r="A1362" s="204" t="str">
        <f>IF(B1362&lt;&gt;"",IF(AND(B1362&gt;=_TM1,B1362&lt;=_TM2,OR(TH!L1362="1111",TH!M1362="1111")),TH!D1362,""),"")</f>
        <v/>
      </c>
      <c r="B1362" s="36">
        <f t="shared" si="233"/>
        <v>12</v>
      </c>
      <c r="C1362" s="191">
        <f t="shared" si="234"/>
        <v>41632</v>
      </c>
      <c r="D1362" s="37"/>
      <c r="E1362" s="37">
        <v>41632</v>
      </c>
      <c r="F1362" s="40"/>
      <c r="G1362" s="40" t="s">
        <v>1041</v>
      </c>
      <c r="H1362" s="7" t="s">
        <v>1287</v>
      </c>
      <c r="I1362" s="256"/>
      <c r="J1362" s="256"/>
      <c r="K1362" s="602">
        <f t="shared" si="235"/>
        <v>0</v>
      </c>
      <c r="L1362" s="39" t="s">
        <v>165</v>
      </c>
      <c r="M1362" s="603" t="s">
        <v>159</v>
      </c>
      <c r="N1362" s="39" t="str">
        <f>IF(AND('331-CT'!$E$7=TH!H1362,OR(L1362="331",M1362="331")),"331",IF(AND(OR(L1362="131",M1362="131"),H1362='131-CT'!$E$7),"131",""))</f>
        <v/>
      </c>
      <c r="O1362" s="39" t="str">
        <f>IF(AND($B1362&gt;='111'!$N$11,$B1362&lt;='111'!$O$11,OR($L1362=$O$7,$M1362=$O$7)),"x","")</f>
        <v/>
      </c>
      <c r="P1362" s="39" t="str">
        <f>IF(AND($L1362=$O$7,$B1362&lt;'111'!$N$11),"x","")</f>
        <v/>
      </c>
      <c r="Q1362" s="39" t="str">
        <f>IF(AND($M1362=$O$7,$B1362&lt;'111'!$N$11),"x","")</f>
        <v/>
      </c>
      <c r="R1362" s="39" t="str">
        <f>IF(ISERROR(FIND('112'!$M$9,G1362,1)),"",IF((AND(FIND('112'!$M$9,G1362,1)&gt;=1,$B1362&gt;='112'!$N$8,$B1362&lt;='112'!$O$8,OR($L1362='112'!$I$6,$M1362='112'!$I$6))),"x",""))</f>
        <v/>
      </c>
      <c r="S1362" s="39" t="str">
        <f>IF(ISERROR(FIND('112'!$M$9,G1362,1)),"",IF((AND(LEFT(G1362,2)=LEFT('112'!$M$9,2),B1362&lt;'112'!$N$8,$L1362='112'!$I$6)),"x",""))</f>
        <v/>
      </c>
      <c r="T1362" s="39" t="str">
        <f>IF(ISERROR(FIND('112'!$M$9,G1362,1)),"",IF((AND(RIGHT(G1362,2)=RIGHT('112'!$M$9,2),B1362&lt;'112'!$N$8,$M1362='112'!$I$6)),"x",""))</f>
        <v/>
      </c>
      <c r="U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39" t="str">
        <f>IF(OR(TH!L1362=TH!$V$7,M1362=TH!$V$7),"x","")</f>
        <v/>
      </c>
      <c r="W1362" s="39" t="str">
        <f>IF(AND(B1362&gt;='IN-NX'!$P$3,B1362&lt;='IN-NX'!$Q$3,'IN-NX'!$D$7=D1362,OR(LEFT(L1362,2)="15",AND(LEFT(M1362,2)&lt;&gt;"15",LEFT(M1362,2)&lt;&gt;"33"))),"x","")</f>
        <v/>
      </c>
      <c r="X1362" s="39" t="str">
        <f>IF(AND(OR(LEFT(TH!L1362,2)="15",LEFT(TH!M1362,2)="15"),'152-CT'!$J$8=TH!F1362),"x","")</f>
        <v/>
      </c>
      <c r="Y1362" s="39" t="str">
        <f>IF(AND(OR(LEFT(TH!L1362,2)="15",LEFT(TH!M1362,2)="15"),TK!$E$7=TH!F1362),"x","")</f>
        <v/>
      </c>
      <c r="Z1362" s="39" t="str">
        <f>IF(AND(B1362&lt;=NKC!$N$8,B1362&gt;=NKC!$M$8),"x","")</f>
        <v/>
      </c>
      <c r="AA1362" s="886"/>
    </row>
    <row r="1363" spans="1:27" s="211" customFormat="1" ht="15.75" customHeight="1">
      <c r="A1363" s="204" t="str">
        <f>IF(B1363&lt;&gt;"",IF(AND(B1363&gt;=_TM1,B1363&lt;=_TM2,OR(TH!L1363="1111",TH!M1363="1111")),TH!D1363,""),"")</f>
        <v/>
      </c>
      <c r="B1363" s="36">
        <f t="shared" si="233"/>
        <v>12</v>
      </c>
      <c r="C1363" s="191">
        <f t="shared" si="234"/>
        <v>41632</v>
      </c>
      <c r="D1363" s="37"/>
      <c r="E1363" s="37">
        <v>41632</v>
      </c>
      <c r="F1363" s="40"/>
      <c r="G1363" s="40" t="s">
        <v>1042</v>
      </c>
      <c r="H1363" s="7" t="s">
        <v>1287</v>
      </c>
      <c r="I1363" s="256"/>
      <c r="J1363" s="256"/>
      <c r="K1363" s="602">
        <f t="shared" si="235"/>
        <v>0</v>
      </c>
      <c r="L1363" s="39" t="s">
        <v>165</v>
      </c>
      <c r="M1363" s="603" t="s">
        <v>159</v>
      </c>
      <c r="N1363" s="39" t="str">
        <f>IF(AND('331-CT'!$E$7=TH!H1363,OR(L1363="331",M1363="331")),"331",IF(AND(OR(L1363="131",M1363="131"),H1363='131-CT'!$E$7),"131",""))</f>
        <v/>
      </c>
      <c r="O1363" s="39" t="str">
        <f>IF(AND($B1363&gt;='111'!$N$11,$B1363&lt;='111'!$O$11,OR($L1363=$O$7,$M1363=$O$7)),"x","")</f>
        <v/>
      </c>
      <c r="P1363" s="39" t="str">
        <f>IF(AND($L1363=$O$7,$B1363&lt;'111'!$N$11),"x","")</f>
        <v/>
      </c>
      <c r="Q1363" s="39" t="str">
        <f>IF(AND($M1363=$O$7,$B1363&lt;'111'!$N$11),"x","")</f>
        <v/>
      </c>
      <c r="R1363" s="39" t="str">
        <f>IF(ISERROR(FIND('112'!$M$9,G1363,1)),"",IF((AND(FIND('112'!$M$9,G1363,1)&gt;=1,$B1363&gt;='112'!$N$8,$B1363&lt;='112'!$O$8,OR($L1363='112'!$I$6,$M1363='112'!$I$6))),"x",""))</f>
        <v/>
      </c>
      <c r="S1363" s="39" t="str">
        <f>IF(ISERROR(FIND('112'!$M$9,G1363,1)),"",IF((AND(LEFT(G1363,2)=LEFT('112'!$M$9,2),B1363&lt;'112'!$N$8,$L1363='112'!$I$6)),"x",""))</f>
        <v/>
      </c>
      <c r="T1363" s="39" t="str">
        <f>IF(ISERROR(FIND('112'!$M$9,G1363,1)),"",IF((AND(RIGHT(G1363,2)=RIGHT('112'!$M$9,2),B1363&lt;'112'!$N$8,$M1363='112'!$I$6)),"x",""))</f>
        <v/>
      </c>
      <c r="U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39" t="str">
        <f>IF(OR(TH!L1363=TH!$V$7,M1363=TH!$V$7),"x","")</f>
        <v/>
      </c>
      <c r="W1363" s="39" t="str">
        <f>IF(AND(B1363&gt;='IN-NX'!$P$3,B1363&lt;='IN-NX'!$Q$3,'IN-NX'!$D$7=D1363,OR(LEFT(L1363,2)="15",AND(LEFT(M1363,2)&lt;&gt;"15",LEFT(M1363,2)&lt;&gt;"33"))),"x","")</f>
        <v/>
      </c>
      <c r="X1363" s="39" t="str">
        <f>IF(AND(OR(LEFT(TH!L1363,2)="15",LEFT(TH!M1363,2)="15"),'152-CT'!$J$8=TH!F1363),"x","")</f>
        <v/>
      </c>
      <c r="Y1363" s="39" t="str">
        <f>IF(AND(OR(LEFT(TH!L1363,2)="15",LEFT(TH!M1363,2)="15"),TK!$E$7=TH!F1363),"x","")</f>
        <v/>
      </c>
      <c r="Z1363" s="39" t="str">
        <f>IF(AND(B1363&lt;=NKC!$N$8,B1363&gt;=NKC!$M$8),"x","")</f>
        <v/>
      </c>
      <c r="AA1363" s="886"/>
    </row>
    <row r="1364" spans="1:27" s="211" customFormat="1" ht="15.75" customHeight="1">
      <c r="A1364" s="204" t="str">
        <f>IF(B1364&lt;&gt;"",IF(AND(B1364&gt;=_TM1,B1364&lt;=_TM2,OR(TH!L1364="1111",TH!M1364="1111")),TH!D1364,""),"")</f>
        <v/>
      </c>
      <c r="B1364" s="36">
        <f t="shared" si="233"/>
        <v>12</v>
      </c>
      <c r="C1364" s="191">
        <f t="shared" si="234"/>
        <v>41633</v>
      </c>
      <c r="D1364" s="37"/>
      <c r="E1364" s="37">
        <v>41633</v>
      </c>
      <c r="F1364" s="40"/>
      <c r="G1364" s="40" t="s">
        <v>1043</v>
      </c>
      <c r="H1364" s="7" t="s">
        <v>1287</v>
      </c>
      <c r="I1364" s="256"/>
      <c r="J1364" s="256"/>
      <c r="K1364" s="602">
        <f t="shared" si="235"/>
        <v>0</v>
      </c>
      <c r="L1364" s="39" t="s">
        <v>165</v>
      </c>
      <c r="M1364" s="603" t="s">
        <v>159</v>
      </c>
      <c r="N1364" s="39" t="str">
        <f>IF(AND('331-CT'!$E$7=TH!H1364,OR(L1364="331",M1364="331")),"331",IF(AND(OR(L1364="131",M1364="131"),H1364='131-CT'!$E$7),"131",""))</f>
        <v/>
      </c>
      <c r="O1364" s="39" t="str">
        <f>IF(AND($B1364&gt;='111'!$N$11,$B1364&lt;='111'!$O$11,OR($L1364=$O$7,$M1364=$O$7)),"x","")</f>
        <v/>
      </c>
      <c r="P1364" s="39" t="str">
        <f>IF(AND($L1364=$O$7,$B1364&lt;'111'!$N$11),"x","")</f>
        <v/>
      </c>
      <c r="Q1364" s="39" t="str">
        <f>IF(AND($M1364=$O$7,$B1364&lt;'111'!$N$11),"x","")</f>
        <v/>
      </c>
      <c r="R1364" s="39" t="str">
        <f>IF(ISERROR(FIND('112'!$M$9,G1364,1)),"",IF((AND(FIND('112'!$M$9,G1364,1)&gt;=1,$B1364&gt;='112'!$N$8,$B1364&lt;='112'!$O$8,OR($L1364='112'!$I$6,$M1364='112'!$I$6))),"x",""))</f>
        <v/>
      </c>
      <c r="S1364" s="39" t="str">
        <f>IF(ISERROR(FIND('112'!$M$9,G1364,1)),"",IF((AND(LEFT(G1364,2)=LEFT('112'!$M$9,2),B1364&lt;'112'!$N$8,$L1364='112'!$I$6)),"x",""))</f>
        <v/>
      </c>
      <c r="T1364" s="39" t="str">
        <f>IF(ISERROR(FIND('112'!$M$9,G1364,1)),"",IF((AND(RIGHT(G1364,2)=RIGHT('112'!$M$9,2),B1364&lt;'112'!$N$8,$M1364='112'!$I$6)),"x",""))</f>
        <v/>
      </c>
      <c r="U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39" t="str">
        <f>IF(OR(TH!L1364=TH!$V$7,M1364=TH!$V$7),"x","")</f>
        <v/>
      </c>
      <c r="W1364" s="39" t="str">
        <f>IF(AND(B1364&gt;='IN-NX'!$P$3,B1364&lt;='IN-NX'!$Q$3,'IN-NX'!$D$7=D1364,OR(LEFT(L1364,2)="15",AND(LEFT(M1364,2)&lt;&gt;"15",LEFT(M1364,2)&lt;&gt;"33"))),"x","")</f>
        <v/>
      </c>
      <c r="X1364" s="39" t="str">
        <f>IF(AND(OR(LEFT(TH!L1364,2)="15",LEFT(TH!M1364,2)="15"),'152-CT'!$J$8=TH!F1364),"x","")</f>
        <v/>
      </c>
      <c r="Y1364" s="39" t="str">
        <f>IF(AND(OR(LEFT(TH!L1364,2)="15",LEFT(TH!M1364,2)="15"),TK!$E$7=TH!F1364),"x","")</f>
        <v/>
      </c>
      <c r="Z1364" s="39" t="str">
        <f>IF(AND(B1364&lt;=NKC!$N$8,B1364&gt;=NKC!$M$8),"x","")</f>
        <v/>
      </c>
      <c r="AA1364" s="886"/>
    </row>
    <row r="1365" spans="1:27" s="843" customFormat="1" ht="15.75" customHeight="1">
      <c r="A1365" s="1106" t="str">
        <f>IF(B1365&lt;&gt;"",IF(AND(B1365&gt;=_TM1,B1365&lt;=_TM2,OR(TH!L1365="1111",TH!M1365="1111")),TH!D1365,""),"")</f>
        <v/>
      </c>
      <c r="B1365" s="841">
        <f t="shared" si="233"/>
        <v>1</v>
      </c>
      <c r="C1365" s="1107">
        <f t="shared" si="234"/>
        <v>41276</v>
      </c>
      <c r="D1365" s="1108"/>
      <c r="E1365" s="1108">
        <v>41276</v>
      </c>
      <c r="F1365" s="1109" t="s">
        <v>723</v>
      </c>
      <c r="G1365" s="1109" t="s">
        <v>724</v>
      </c>
      <c r="H1365" s="1110" t="s">
        <v>1292</v>
      </c>
      <c r="I1365" s="1118"/>
      <c r="J1365" s="1118"/>
      <c r="K1365" s="838">
        <f t="shared" si="235"/>
        <v>0</v>
      </c>
      <c r="L1365" s="831" t="s">
        <v>167</v>
      </c>
      <c r="M1365" s="1113" t="s">
        <v>165</v>
      </c>
      <c r="N1365" s="831" t="str">
        <f>IF(AND('331-CT'!$E$7=TH!H1365,OR(L1365="331",M1365="331")),"331",IF(AND(OR(L1365="131",M1365="131"),H1365='131-CT'!$E$7),"131",""))</f>
        <v/>
      </c>
      <c r="O1365" s="831" t="str">
        <f>IF(AND($B1365&gt;='111'!$N$11,$B1365&lt;='111'!$O$11,OR($L1365=$O$7,$M1365=$O$7)),"x","")</f>
        <v/>
      </c>
      <c r="P1365" s="831" t="str">
        <f>IF(AND($L1365=$O$7,$B1365&lt;'111'!$N$11),"x","")</f>
        <v/>
      </c>
      <c r="Q1365" s="831" t="str">
        <f>IF(AND($M1365=$O$7,$B1365&lt;'111'!$N$11),"x","")</f>
        <v/>
      </c>
      <c r="R1365" s="831" t="str">
        <f>IF(ISERROR(FIND('112'!$M$9,G1365,1)),"",IF((AND(FIND('112'!$M$9,G1365,1)&gt;=1,$B1365&gt;='112'!$N$8,$B1365&lt;='112'!$O$8,OR($L1365='112'!$I$6,$M1365='112'!$I$6))),"x",""))</f>
        <v/>
      </c>
      <c r="S1365" s="831" t="str">
        <f>IF(ISERROR(FIND('112'!$M$9,G1365,1)),"",IF((AND(LEFT(G1365,2)=LEFT('112'!$M$9,2),B1365&lt;'112'!$N$8,$L1365='112'!$I$6)),"x",""))</f>
        <v/>
      </c>
      <c r="T1365" s="831" t="str">
        <f>IF(ISERROR(FIND('112'!$M$9,G1365,1)),"",IF((AND(RIGHT(G1365,2)=RIGHT('112'!$M$9,2),B1365&lt;'112'!$N$8,$M1365='112'!$I$6)),"x",""))</f>
        <v/>
      </c>
      <c r="U1365" s="831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831" t="str">
        <f>IF(OR(TH!L1365=TH!$V$7,M1365=TH!$V$7),"x","")</f>
        <v/>
      </c>
      <c r="W1365" s="831" t="str">
        <f>IF(AND(B1365&gt;='IN-NX'!$P$3,B1365&lt;='IN-NX'!$Q$3,'IN-NX'!$D$7=D1365,OR(LEFT(L1365,2)="15",AND(LEFT(M1365,2)&lt;&gt;"15",LEFT(M1365,2)&lt;&gt;"33"))),"x","")</f>
        <v/>
      </c>
      <c r="X1365" s="831" t="str">
        <f>IF(AND(OR(LEFT(TH!L1365,2)="15",LEFT(TH!M1365,2)="15"),'152-CT'!$J$8=TH!F1365),"x","")</f>
        <v/>
      </c>
      <c r="Y1365" s="831" t="str">
        <f>IF(AND(OR(LEFT(TH!L1365,2)="15",LEFT(TH!M1365,2)="15"),TK!$E$7=TH!F1365),"x","")</f>
        <v/>
      </c>
      <c r="Z1365" s="831" t="str">
        <f>IF(AND(B1365&lt;=NKC!$N$8,B1365&gt;=NKC!$M$8),"x","")</f>
        <v/>
      </c>
      <c r="AA1365" s="1114"/>
    </row>
    <row r="1366" spans="1:27" s="810" customFormat="1" ht="15.75" customHeight="1">
      <c r="A1366" s="1097" t="str">
        <f>IF(B1366&lt;&gt;"",IF(AND(B1366&gt;=_TM1,B1366&lt;=_TM2,OR(TH!L1366="1111",TH!M1366="1111")),TH!D1366,""),"")</f>
        <v/>
      </c>
      <c r="B1366" s="700">
        <f t="shared" si="233"/>
        <v>1</v>
      </c>
      <c r="C1366" s="836">
        <f t="shared" si="234"/>
        <v>41276</v>
      </c>
      <c r="D1366" s="836"/>
      <c r="E1366" s="836">
        <v>41276</v>
      </c>
      <c r="F1366" s="1099" t="s">
        <v>725</v>
      </c>
      <c r="G1366" s="837" t="s">
        <v>724</v>
      </c>
      <c r="H1366" s="840" t="s">
        <v>1292</v>
      </c>
      <c r="I1366" s="254"/>
      <c r="J1366" s="254"/>
      <c r="K1366" s="701">
        <f t="shared" si="235"/>
        <v>0</v>
      </c>
      <c r="L1366" s="52" t="s">
        <v>167</v>
      </c>
      <c r="M1366" s="1100" t="s">
        <v>165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52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853"/>
    </row>
    <row r="1367" spans="1:27" s="810" customFormat="1" ht="15.75" customHeight="1">
      <c r="A1367" s="1097" t="str">
        <f>IF(B1367&lt;&gt;"",IF(AND(B1367&gt;=_TM1,B1367&lt;=_TM2,OR(TH!L1367="1111",TH!M1367="1111")),TH!D1367,""),"")</f>
        <v/>
      </c>
      <c r="B1367" s="700">
        <f t="shared" si="233"/>
        <v>1</v>
      </c>
      <c r="C1367" s="836">
        <f t="shared" si="234"/>
        <v>41282</v>
      </c>
      <c r="D1367" s="836"/>
      <c r="E1367" s="836">
        <v>41282</v>
      </c>
      <c r="F1367" s="1099" t="s">
        <v>727</v>
      </c>
      <c r="G1367" s="837" t="s">
        <v>728</v>
      </c>
      <c r="H1367" s="840" t="s">
        <v>1292</v>
      </c>
      <c r="I1367" s="1121"/>
      <c r="J1367" s="1121"/>
      <c r="K1367" s="701">
        <f t="shared" si="235"/>
        <v>0</v>
      </c>
      <c r="L1367" s="52" t="s">
        <v>167</v>
      </c>
      <c r="M1367" s="1100" t="s">
        <v>165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52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853"/>
    </row>
    <row r="1368" spans="1:27" s="810" customFormat="1" ht="15.75" customHeight="1">
      <c r="A1368" s="1097" t="str">
        <f>IF(B1368&lt;&gt;"",IF(AND(B1368&gt;=_TM1,B1368&lt;=_TM2,OR(TH!L1368="1111",TH!M1368="1111")),TH!D1368,""),"")</f>
        <v/>
      </c>
      <c r="B1368" s="700">
        <f t="shared" si="233"/>
        <v>1</v>
      </c>
      <c r="C1368" s="836">
        <f t="shared" si="234"/>
        <v>41282</v>
      </c>
      <c r="D1368" s="48"/>
      <c r="E1368" s="48">
        <v>41282</v>
      </c>
      <c r="F1368" s="49" t="s">
        <v>730</v>
      </c>
      <c r="G1368" s="49" t="s">
        <v>728</v>
      </c>
      <c r="H1368" s="840" t="s">
        <v>1292</v>
      </c>
      <c r="I1368" s="254"/>
      <c r="J1368" s="254"/>
      <c r="K1368" s="701">
        <f t="shared" si="235"/>
        <v>0</v>
      </c>
      <c r="L1368" s="52" t="s">
        <v>167</v>
      </c>
      <c r="M1368" s="1100" t="s">
        <v>165</v>
      </c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52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853"/>
    </row>
    <row r="1369" spans="1:27" s="810" customFormat="1" ht="15.75" customHeight="1">
      <c r="A1369" s="1097" t="str">
        <f>IF(B1369&lt;&gt;"",IF(AND(B1369&gt;=_TM1,B1369&lt;=_TM2,OR(TH!L1369="1111",TH!M1369="1111")),TH!D1369,""),"")</f>
        <v/>
      </c>
      <c r="B1369" s="700">
        <f t="shared" si="233"/>
        <v>1</v>
      </c>
      <c r="C1369" s="836">
        <f t="shared" si="234"/>
        <v>41284</v>
      </c>
      <c r="D1369" s="48"/>
      <c r="E1369" s="48">
        <v>41284</v>
      </c>
      <c r="F1369" s="49" t="s">
        <v>731</v>
      </c>
      <c r="G1369" s="49" t="s">
        <v>732</v>
      </c>
      <c r="H1369" s="840" t="s">
        <v>1292</v>
      </c>
      <c r="I1369" s="254"/>
      <c r="J1369" s="254"/>
      <c r="K1369" s="701">
        <f t="shared" si="235"/>
        <v>0</v>
      </c>
      <c r="L1369" s="52" t="s">
        <v>167</v>
      </c>
      <c r="M1369" s="1100" t="s">
        <v>165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52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  <c r="AA1369" s="853"/>
    </row>
    <row r="1370" spans="1:27" s="810" customFormat="1" ht="15.75" customHeight="1">
      <c r="A1370" s="1097" t="str">
        <f>IF(B1370&lt;&gt;"",IF(AND(B1370&gt;=_TM1,B1370&lt;=_TM2,OR(TH!L1370="1111",TH!M1370="1111")),TH!D1370,""),"")</f>
        <v/>
      </c>
      <c r="B1370" s="700">
        <f t="shared" si="233"/>
        <v>1</v>
      </c>
      <c r="C1370" s="836">
        <f t="shared" si="234"/>
        <v>41285</v>
      </c>
      <c r="D1370" s="1098"/>
      <c r="E1370" s="836">
        <v>41285</v>
      </c>
      <c r="F1370" s="1122" t="s">
        <v>733</v>
      </c>
      <c r="G1370" s="1123" t="s">
        <v>734</v>
      </c>
      <c r="H1370" s="840" t="s">
        <v>1292</v>
      </c>
      <c r="I1370" s="254"/>
      <c r="J1370" s="254"/>
      <c r="K1370" s="701">
        <f t="shared" si="235"/>
        <v>0</v>
      </c>
      <c r="L1370" s="52" t="s">
        <v>167</v>
      </c>
      <c r="M1370" s="1100" t="s">
        <v>165</v>
      </c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52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  <c r="AA1370" s="853"/>
    </row>
    <row r="1371" spans="1:27" s="810" customFormat="1" ht="15.75" customHeight="1">
      <c r="A1371" s="1097" t="str">
        <f>IF(B1371&lt;&gt;"",IF(AND(B1371&gt;=_TM1,B1371&lt;=_TM2,OR(TH!L1371="1111",TH!M1371="1111")),TH!D1371,""),"")</f>
        <v/>
      </c>
      <c r="B1371" s="700">
        <f t="shared" si="233"/>
        <v>1</v>
      </c>
      <c r="C1371" s="836">
        <f t="shared" si="234"/>
        <v>41285</v>
      </c>
      <c r="D1371" s="1098"/>
      <c r="E1371" s="836">
        <v>41285</v>
      </c>
      <c r="F1371" s="1099" t="s">
        <v>735</v>
      </c>
      <c r="G1371" s="837" t="s">
        <v>734</v>
      </c>
      <c r="H1371" s="840" t="s">
        <v>1292</v>
      </c>
      <c r="I1371" s="254"/>
      <c r="J1371" s="254"/>
      <c r="K1371" s="701">
        <f t="shared" si="235"/>
        <v>0</v>
      </c>
      <c r="L1371" s="52" t="s">
        <v>167</v>
      </c>
      <c r="M1371" s="1100" t="s">
        <v>165</v>
      </c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52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  <c r="AA1371" s="853"/>
    </row>
    <row r="1372" spans="1:27" s="810" customFormat="1" ht="15.75" customHeight="1">
      <c r="A1372" s="1097" t="str">
        <f>IF(B1372&lt;&gt;"",IF(AND(B1372&gt;=_TM1,B1372&lt;=_TM2,OR(TH!L1372="1111",TH!M1372="1111")),TH!D1372,""),"")</f>
        <v/>
      </c>
      <c r="B1372" s="700">
        <f t="shared" si="233"/>
        <v>1</v>
      </c>
      <c r="C1372" s="836">
        <f t="shared" si="234"/>
        <v>41285</v>
      </c>
      <c r="D1372" s="1098"/>
      <c r="E1372" s="836">
        <v>41285</v>
      </c>
      <c r="F1372" s="1099" t="s">
        <v>736</v>
      </c>
      <c r="G1372" s="837" t="s">
        <v>734</v>
      </c>
      <c r="H1372" s="840" t="s">
        <v>1292</v>
      </c>
      <c r="I1372" s="254"/>
      <c r="J1372" s="254"/>
      <c r="K1372" s="701">
        <f t="shared" si="235"/>
        <v>0</v>
      </c>
      <c r="L1372" s="52" t="s">
        <v>167</v>
      </c>
      <c r="M1372" s="1100" t="s">
        <v>165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52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  <c r="AA1372" s="853"/>
    </row>
    <row r="1373" spans="1:27" s="810" customFormat="1" ht="15.75" customHeight="1">
      <c r="A1373" s="1097" t="str">
        <f>IF(B1373&lt;&gt;"",IF(AND(B1373&gt;=_TM1,B1373&lt;=_TM2,OR(TH!L1373="1111",TH!M1373="1111")),TH!D1373,""),"")</f>
        <v/>
      </c>
      <c r="B1373" s="700">
        <f t="shared" si="233"/>
        <v>1</v>
      </c>
      <c r="C1373" s="836">
        <f t="shared" si="234"/>
        <v>41285</v>
      </c>
      <c r="D1373" s="1098"/>
      <c r="E1373" s="836">
        <v>41285</v>
      </c>
      <c r="F1373" s="1122" t="s">
        <v>737</v>
      </c>
      <c r="G1373" s="1123" t="s">
        <v>734</v>
      </c>
      <c r="H1373" s="840" t="s">
        <v>1292</v>
      </c>
      <c r="I1373" s="254"/>
      <c r="J1373" s="254"/>
      <c r="K1373" s="701">
        <f t="shared" si="235"/>
        <v>0</v>
      </c>
      <c r="L1373" s="52" t="s">
        <v>167</v>
      </c>
      <c r="M1373" s="1100" t="s">
        <v>165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52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  <c r="AA1373" s="853"/>
    </row>
    <row r="1374" spans="1:27" s="810" customFormat="1" ht="15.75" customHeight="1">
      <c r="A1374" s="1097" t="str">
        <f>IF(B1374&lt;&gt;"",IF(AND(B1374&gt;=_TM1,B1374&lt;=_TM2,OR(TH!L1374="1111",TH!M1374="1111")),TH!D1374,""),"")</f>
        <v/>
      </c>
      <c r="B1374" s="700">
        <f t="shared" si="233"/>
        <v>1</v>
      </c>
      <c r="C1374" s="836">
        <f t="shared" si="234"/>
        <v>41285</v>
      </c>
      <c r="D1374" s="1098"/>
      <c r="E1374" s="836">
        <v>41285</v>
      </c>
      <c r="F1374" s="1122" t="s">
        <v>738</v>
      </c>
      <c r="G1374" s="1123" t="s">
        <v>734</v>
      </c>
      <c r="H1374" s="840" t="s">
        <v>1292</v>
      </c>
      <c r="I1374" s="254"/>
      <c r="J1374" s="254"/>
      <c r="K1374" s="701">
        <f t="shared" si="235"/>
        <v>0</v>
      </c>
      <c r="L1374" s="52" t="s">
        <v>167</v>
      </c>
      <c r="M1374" s="1100" t="s">
        <v>165</v>
      </c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52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A1374" s="853"/>
    </row>
    <row r="1375" spans="1:27" s="810" customFormat="1" ht="15.75" customHeight="1">
      <c r="A1375" s="1097" t="str">
        <f>IF(B1375&lt;&gt;"",IF(AND(B1375&gt;=_TM1,B1375&lt;=_TM2,OR(TH!L1375="1111",TH!M1375="1111")),TH!D1375,""),"")</f>
        <v/>
      </c>
      <c r="B1375" s="700">
        <f t="shared" si="233"/>
        <v>1</v>
      </c>
      <c r="C1375" s="836">
        <f t="shared" si="234"/>
        <v>41285</v>
      </c>
      <c r="D1375" s="48"/>
      <c r="E1375" s="854">
        <v>41285</v>
      </c>
      <c r="F1375" s="49" t="s">
        <v>739</v>
      </c>
      <c r="G1375" s="49" t="s">
        <v>734</v>
      </c>
      <c r="H1375" s="840" t="s">
        <v>1292</v>
      </c>
      <c r="I1375" s="254"/>
      <c r="J1375" s="254"/>
      <c r="K1375" s="701">
        <f t="shared" si="235"/>
        <v>0</v>
      </c>
      <c r="L1375" s="52" t="s">
        <v>167</v>
      </c>
      <c r="M1375" s="1100" t="s">
        <v>165</v>
      </c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52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853"/>
    </row>
    <row r="1376" spans="1:27" s="810" customFormat="1" ht="15.75" customHeight="1">
      <c r="A1376" s="1097" t="str">
        <f>IF(B1376&lt;&gt;"",IF(AND(B1376&gt;=_TM1,B1376&lt;=_TM2,OR(TH!L1376="1111",TH!M1376="1111")),TH!D1376,""),"")</f>
        <v/>
      </c>
      <c r="B1376" s="700">
        <f t="shared" si="233"/>
        <v>1</v>
      </c>
      <c r="C1376" s="836">
        <f t="shared" si="234"/>
        <v>41285</v>
      </c>
      <c r="D1376" s="1098"/>
      <c r="E1376" s="1124">
        <v>41285</v>
      </c>
      <c r="F1376" s="1099" t="s">
        <v>740</v>
      </c>
      <c r="G1376" s="837" t="s">
        <v>734</v>
      </c>
      <c r="H1376" s="840" t="s">
        <v>1292</v>
      </c>
      <c r="I1376" s="254"/>
      <c r="J1376" s="254"/>
      <c r="K1376" s="701">
        <f t="shared" si="235"/>
        <v>0</v>
      </c>
      <c r="L1376" s="52" t="s">
        <v>167</v>
      </c>
      <c r="M1376" s="1100" t="s">
        <v>165</v>
      </c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52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A1376" s="853"/>
    </row>
    <row r="1377" spans="1:27" s="810" customFormat="1" ht="15.75" customHeight="1">
      <c r="A1377" s="1097" t="str">
        <f>IF(B1377&lt;&gt;"",IF(AND(B1377&gt;=_TM1,B1377&lt;=_TM2,OR(TH!L1377="1111",TH!M1377="1111")),TH!D1377,""),"")</f>
        <v/>
      </c>
      <c r="B1377" s="700">
        <f t="shared" ref="B1377:B1440" si="236">IF(C1377&lt;&gt;"",MONTH(C1377),"")</f>
        <v>1</v>
      </c>
      <c r="C1377" s="836">
        <f t="shared" si="234"/>
        <v>41288</v>
      </c>
      <c r="D1377" s="1098"/>
      <c r="E1377" s="1124">
        <v>41288</v>
      </c>
      <c r="F1377" s="1099" t="s">
        <v>741</v>
      </c>
      <c r="G1377" s="837" t="s">
        <v>742</v>
      </c>
      <c r="H1377" s="840" t="s">
        <v>1292</v>
      </c>
      <c r="I1377" s="254"/>
      <c r="J1377" s="254"/>
      <c r="K1377" s="701">
        <f t="shared" si="235"/>
        <v>0</v>
      </c>
      <c r="L1377" s="52" t="s">
        <v>167</v>
      </c>
      <c r="M1377" s="1100" t="s">
        <v>165</v>
      </c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52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  <c r="AA1377" s="853"/>
    </row>
    <row r="1378" spans="1:27" s="810" customFormat="1" ht="15.75" customHeight="1">
      <c r="A1378" s="1097" t="str">
        <f>IF(B1378&lt;&gt;"",IF(AND(B1378&gt;=_TM1,B1378&lt;=_TM2,OR(TH!L1378="1111",TH!M1378="1111")),TH!D1378,""),"")</f>
        <v/>
      </c>
      <c r="B1378" s="700">
        <f t="shared" si="236"/>
        <v>1</v>
      </c>
      <c r="C1378" s="836">
        <f t="shared" si="234"/>
        <v>41290</v>
      </c>
      <c r="D1378" s="1098"/>
      <c r="E1378" s="836">
        <v>41290</v>
      </c>
      <c r="F1378" s="839" t="s">
        <v>744</v>
      </c>
      <c r="G1378" s="837" t="s">
        <v>745</v>
      </c>
      <c r="H1378" s="840" t="s">
        <v>1292</v>
      </c>
      <c r="I1378" s="254"/>
      <c r="J1378" s="254"/>
      <c r="K1378" s="701">
        <f t="shared" si="235"/>
        <v>0</v>
      </c>
      <c r="L1378" s="52" t="s">
        <v>167</v>
      </c>
      <c r="M1378" s="1100" t="s">
        <v>165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52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853"/>
    </row>
    <row r="1379" spans="1:27" s="810" customFormat="1" ht="15.75" customHeight="1">
      <c r="A1379" s="1097" t="str">
        <f>IF(B1379&lt;&gt;"",IF(AND(B1379&gt;=_TM1,B1379&lt;=_TM2,OR(TH!L1379="1111",TH!M1379="1111")),TH!D1379,""),"")</f>
        <v/>
      </c>
      <c r="B1379" s="700">
        <f t="shared" si="236"/>
        <v>1</v>
      </c>
      <c r="C1379" s="836">
        <f t="shared" si="234"/>
        <v>41292</v>
      </c>
      <c r="D1379" s="1098"/>
      <c r="E1379" s="836">
        <v>41292</v>
      </c>
      <c r="F1379" s="839" t="s">
        <v>747</v>
      </c>
      <c r="G1379" s="837" t="s">
        <v>748</v>
      </c>
      <c r="H1379" s="840" t="s">
        <v>1292</v>
      </c>
      <c r="I1379" s="254"/>
      <c r="J1379" s="254"/>
      <c r="K1379" s="701">
        <f t="shared" si="235"/>
        <v>0</v>
      </c>
      <c r="L1379" s="52" t="s">
        <v>167</v>
      </c>
      <c r="M1379" s="1100" t="s">
        <v>165</v>
      </c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52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  <c r="AA1379" s="853"/>
    </row>
    <row r="1380" spans="1:27" s="810" customFormat="1" ht="15.75" customHeight="1">
      <c r="A1380" s="1097" t="str">
        <f>IF(B1380&lt;&gt;"",IF(AND(B1380&gt;=_TM1,B1380&lt;=_TM2,OR(TH!L1380="1111",TH!M1380="1111")),TH!D1380,""),"")</f>
        <v/>
      </c>
      <c r="B1380" s="700">
        <f t="shared" si="236"/>
        <v>1</v>
      </c>
      <c r="C1380" s="836">
        <f t="shared" si="234"/>
        <v>41292</v>
      </c>
      <c r="D1380" s="1098"/>
      <c r="E1380" s="1098">
        <v>41292</v>
      </c>
      <c r="F1380" s="1122" t="s">
        <v>749</v>
      </c>
      <c r="G1380" s="1123" t="s">
        <v>750</v>
      </c>
      <c r="H1380" s="840" t="s">
        <v>1292</v>
      </c>
      <c r="I1380" s="254"/>
      <c r="J1380" s="254"/>
      <c r="K1380" s="701">
        <f t="shared" si="235"/>
        <v>0</v>
      </c>
      <c r="L1380" s="52" t="s">
        <v>167</v>
      </c>
      <c r="M1380" s="1100" t="s">
        <v>165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52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853"/>
    </row>
    <row r="1381" spans="1:27" s="810" customFormat="1" ht="15.75" customHeight="1">
      <c r="A1381" s="1097" t="str">
        <f>IF(B1381&lt;&gt;"",IF(AND(B1381&gt;=_TM1,B1381&lt;=_TM2,OR(TH!L1381="1111",TH!M1381="1111")),TH!D1381,""),"")</f>
        <v/>
      </c>
      <c r="B1381" s="700">
        <f t="shared" si="236"/>
        <v>1</v>
      </c>
      <c r="C1381" s="836">
        <f t="shared" si="234"/>
        <v>41292</v>
      </c>
      <c r="D1381" s="48"/>
      <c r="E1381" s="854">
        <v>41292</v>
      </c>
      <c r="F1381" s="1122" t="s">
        <v>751</v>
      </c>
      <c r="G1381" s="49" t="s">
        <v>750</v>
      </c>
      <c r="H1381" s="840" t="s">
        <v>1292</v>
      </c>
      <c r="I1381" s="254"/>
      <c r="J1381" s="254"/>
      <c r="K1381" s="701">
        <f t="shared" si="235"/>
        <v>0</v>
      </c>
      <c r="L1381" s="52" t="s">
        <v>167</v>
      </c>
      <c r="M1381" s="1100" t="s">
        <v>165</v>
      </c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52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  <c r="AA1381" s="853"/>
    </row>
    <row r="1382" spans="1:27" s="810" customFormat="1" ht="15.75" customHeight="1">
      <c r="A1382" s="1097" t="str">
        <f>IF(B1382&lt;&gt;"",IF(AND(B1382&gt;=_TM1,B1382&lt;=_TM2,OR(TH!L1382="1111",TH!M1382="1111")),TH!D1382,""),"")</f>
        <v/>
      </c>
      <c r="B1382" s="700">
        <f t="shared" si="236"/>
        <v>1</v>
      </c>
      <c r="C1382" s="836">
        <f t="shared" si="234"/>
        <v>41293</v>
      </c>
      <c r="D1382" s="48"/>
      <c r="E1382" s="854">
        <v>41293</v>
      </c>
      <c r="F1382" s="49" t="s">
        <v>752</v>
      </c>
      <c r="G1382" s="49" t="s">
        <v>753</v>
      </c>
      <c r="H1382" s="840" t="s">
        <v>1292</v>
      </c>
      <c r="I1382" s="254"/>
      <c r="J1382" s="254"/>
      <c r="K1382" s="701">
        <f t="shared" si="235"/>
        <v>0</v>
      </c>
      <c r="L1382" s="52" t="s">
        <v>167</v>
      </c>
      <c r="M1382" s="1100" t="s">
        <v>165</v>
      </c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52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  <c r="AA1382" s="853"/>
    </row>
    <row r="1383" spans="1:27" s="810" customFormat="1" ht="15.75" customHeight="1">
      <c r="A1383" s="1097" t="str">
        <f>IF(B1383&lt;&gt;"",IF(AND(B1383&gt;=_TM1,B1383&lt;=_TM2,OR(TH!L1383="1111",TH!M1383="1111")),TH!D1383,""),"")</f>
        <v/>
      </c>
      <c r="B1383" s="700">
        <f t="shared" si="236"/>
        <v>1</v>
      </c>
      <c r="C1383" s="836">
        <f t="shared" si="234"/>
        <v>41293</v>
      </c>
      <c r="D1383" s="48"/>
      <c r="E1383" s="854">
        <v>41293</v>
      </c>
      <c r="F1383" s="1122" t="s">
        <v>754</v>
      </c>
      <c r="G1383" s="49" t="s">
        <v>753</v>
      </c>
      <c r="H1383" s="840" t="s">
        <v>1292</v>
      </c>
      <c r="I1383" s="1125"/>
      <c r="J1383" s="254"/>
      <c r="K1383" s="701">
        <f t="shared" si="235"/>
        <v>0</v>
      </c>
      <c r="L1383" s="52" t="s">
        <v>167</v>
      </c>
      <c r="M1383" s="1100" t="s">
        <v>165</v>
      </c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52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  <c r="AA1383" s="853"/>
    </row>
    <row r="1384" spans="1:27" s="810" customFormat="1" ht="15.75" customHeight="1">
      <c r="A1384" s="1097" t="str">
        <f>IF(B1384&lt;&gt;"",IF(AND(B1384&gt;=_TM1,B1384&lt;=_TM2,OR(TH!L1384="1111",TH!M1384="1111")),TH!D1384,""),"")</f>
        <v/>
      </c>
      <c r="B1384" s="700">
        <f t="shared" si="236"/>
        <v>1</v>
      </c>
      <c r="C1384" s="836">
        <f t="shared" si="234"/>
        <v>41293</v>
      </c>
      <c r="D1384" s="48"/>
      <c r="E1384" s="854">
        <v>41293</v>
      </c>
      <c r="F1384" s="49" t="s">
        <v>755</v>
      </c>
      <c r="G1384" s="49" t="s">
        <v>753</v>
      </c>
      <c r="H1384" s="840" t="s">
        <v>1292</v>
      </c>
      <c r="I1384" s="254"/>
      <c r="J1384" s="254"/>
      <c r="K1384" s="701">
        <f t="shared" si="235"/>
        <v>0</v>
      </c>
      <c r="L1384" s="52" t="s">
        <v>167</v>
      </c>
      <c r="M1384" s="1100" t="s">
        <v>165</v>
      </c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52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853"/>
    </row>
    <row r="1385" spans="1:27" s="810" customFormat="1" ht="15.75" customHeight="1">
      <c r="A1385" s="1097" t="str">
        <f>IF(B1385&lt;&gt;"",IF(AND(B1385&gt;=_TM1,B1385&lt;=_TM2,OR(TH!L1385="1111",TH!M1385="1111")),TH!D1385,""),"")</f>
        <v/>
      </c>
      <c r="B1385" s="700">
        <f t="shared" si="236"/>
        <v>1</v>
      </c>
      <c r="C1385" s="836">
        <f t="shared" si="234"/>
        <v>41293</v>
      </c>
      <c r="D1385" s="48"/>
      <c r="E1385" s="854">
        <v>41293</v>
      </c>
      <c r="F1385" s="1122" t="s">
        <v>756</v>
      </c>
      <c r="G1385" s="49" t="s">
        <v>753</v>
      </c>
      <c r="H1385" s="840" t="s">
        <v>1292</v>
      </c>
      <c r="I1385" s="254"/>
      <c r="J1385" s="254"/>
      <c r="K1385" s="701">
        <f t="shared" si="235"/>
        <v>0</v>
      </c>
      <c r="L1385" s="52" t="s">
        <v>167</v>
      </c>
      <c r="M1385" s="1100" t="s">
        <v>165</v>
      </c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52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A1385" s="853"/>
    </row>
    <row r="1386" spans="1:27" s="810" customFormat="1" ht="15.75" customHeight="1">
      <c r="A1386" s="1097" t="str">
        <f>IF(B1386&lt;&gt;"",IF(AND(B1386&gt;=_TM1,B1386&lt;=_TM2,OR(TH!L1386="1111",TH!M1386="1111")),TH!D1386,""),"")</f>
        <v/>
      </c>
      <c r="B1386" s="700">
        <f t="shared" si="236"/>
        <v>1</v>
      </c>
      <c r="C1386" s="836">
        <f t="shared" si="234"/>
        <v>41297</v>
      </c>
      <c r="D1386" s="48"/>
      <c r="E1386" s="854">
        <v>41297</v>
      </c>
      <c r="F1386" s="1122" t="s">
        <v>757</v>
      </c>
      <c r="G1386" s="49" t="s">
        <v>758</v>
      </c>
      <c r="H1386" s="840" t="s">
        <v>1292</v>
      </c>
      <c r="I1386" s="254"/>
      <c r="J1386" s="254"/>
      <c r="K1386" s="701">
        <f t="shared" si="235"/>
        <v>0</v>
      </c>
      <c r="L1386" s="52" t="s">
        <v>167</v>
      </c>
      <c r="M1386" s="1100" t="s">
        <v>165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52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A1386" s="853"/>
    </row>
    <row r="1387" spans="1:27" s="810" customFormat="1" ht="15.75" customHeight="1">
      <c r="A1387" s="1097" t="str">
        <f>IF(B1387&lt;&gt;"",IF(AND(B1387&gt;=_TM1,B1387&lt;=_TM2,OR(TH!L1387="1111",TH!M1387="1111")),TH!D1387,""),"")</f>
        <v/>
      </c>
      <c r="B1387" s="700">
        <f t="shared" si="236"/>
        <v>1</v>
      </c>
      <c r="C1387" s="836">
        <f t="shared" si="234"/>
        <v>41303</v>
      </c>
      <c r="D1387" s="48"/>
      <c r="E1387" s="854">
        <v>41303</v>
      </c>
      <c r="F1387" s="1122" t="s">
        <v>741</v>
      </c>
      <c r="G1387" s="49" t="s">
        <v>759</v>
      </c>
      <c r="H1387" s="840" t="s">
        <v>1292</v>
      </c>
      <c r="I1387" s="254"/>
      <c r="J1387" s="254"/>
      <c r="K1387" s="701">
        <f t="shared" si="235"/>
        <v>0</v>
      </c>
      <c r="L1387" s="52" t="s">
        <v>167</v>
      </c>
      <c r="M1387" s="1100" t="s">
        <v>165</v>
      </c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52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  <c r="AA1387" s="853"/>
    </row>
    <row r="1388" spans="1:27" s="810" customFormat="1" ht="15.75" customHeight="1">
      <c r="A1388" s="1097" t="str">
        <f>IF(B1388&lt;&gt;"",IF(AND(B1388&gt;=_TM1,B1388&lt;=_TM2,OR(TH!L1388="1111",TH!M1388="1111")),TH!D1388,""),"")</f>
        <v/>
      </c>
      <c r="B1388" s="700">
        <f t="shared" si="236"/>
        <v>1</v>
      </c>
      <c r="C1388" s="836">
        <f t="shared" si="234"/>
        <v>41303</v>
      </c>
      <c r="D1388" s="48"/>
      <c r="E1388" s="854">
        <v>41303</v>
      </c>
      <c r="F1388" s="1122" t="s">
        <v>760</v>
      </c>
      <c r="G1388" s="49" t="s">
        <v>759</v>
      </c>
      <c r="H1388" s="840" t="s">
        <v>1292</v>
      </c>
      <c r="I1388" s="254"/>
      <c r="J1388" s="254"/>
      <c r="K1388" s="701">
        <f t="shared" si="235"/>
        <v>0</v>
      </c>
      <c r="L1388" s="52" t="s">
        <v>167</v>
      </c>
      <c r="M1388" s="1100" t="s">
        <v>165</v>
      </c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52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A1388" s="853"/>
    </row>
    <row r="1389" spans="1:27" s="810" customFormat="1" ht="15.75" customHeight="1">
      <c r="A1389" s="1097" t="str">
        <f>IF(B1389&lt;&gt;"",IF(AND(B1389&gt;=_TM1,B1389&lt;=_TM2,OR(TH!L1389="1111",TH!M1389="1111")),TH!D1389,""),"")</f>
        <v/>
      </c>
      <c r="B1389" s="700">
        <f t="shared" si="236"/>
        <v>1</v>
      </c>
      <c r="C1389" s="836">
        <f t="shared" si="234"/>
        <v>41303</v>
      </c>
      <c r="D1389" s="48"/>
      <c r="E1389" s="854">
        <v>41303</v>
      </c>
      <c r="F1389" s="1122" t="s">
        <v>752</v>
      </c>
      <c r="G1389" s="49" t="s">
        <v>761</v>
      </c>
      <c r="H1389" s="840" t="s">
        <v>1292</v>
      </c>
      <c r="I1389" s="254"/>
      <c r="J1389" s="254"/>
      <c r="K1389" s="701">
        <f t="shared" si="235"/>
        <v>0</v>
      </c>
      <c r="L1389" s="52" t="s">
        <v>167</v>
      </c>
      <c r="M1389" s="1100" t="s">
        <v>165</v>
      </c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52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  <c r="AA1389" s="853"/>
    </row>
    <row r="1390" spans="1:27" s="810" customFormat="1" ht="15.75" customHeight="1">
      <c r="A1390" s="1097" t="str">
        <f>IF(B1390&lt;&gt;"",IF(AND(B1390&gt;=_TM1,B1390&lt;=_TM2,OR(TH!L1390="1111",TH!M1390="1111")),TH!D1390,""),"")</f>
        <v/>
      </c>
      <c r="B1390" s="700">
        <f t="shared" si="236"/>
        <v>1</v>
      </c>
      <c r="C1390" s="836">
        <f t="shared" si="234"/>
        <v>41303</v>
      </c>
      <c r="D1390" s="1098"/>
      <c r="E1390" s="836">
        <v>41303</v>
      </c>
      <c r="F1390" s="1099" t="s">
        <v>757</v>
      </c>
      <c r="G1390" s="837" t="s">
        <v>762</v>
      </c>
      <c r="H1390" s="840" t="s">
        <v>1292</v>
      </c>
      <c r="I1390" s="254"/>
      <c r="J1390" s="254"/>
      <c r="K1390" s="701">
        <f t="shared" si="235"/>
        <v>0</v>
      </c>
      <c r="L1390" s="52" t="s">
        <v>167</v>
      </c>
      <c r="M1390" s="1100" t="s">
        <v>165</v>
      </c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52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A1390" s="853"/>
    </row>
    <row r="1391" spans="1:27" s="810" customFormat="1" ht="15.75" customHeight="1">
      <c r="A1391" s="1097" t="str">
        <f>IF(B1391&lt;&gt;"",IF(AND(B1391&gt;=_TM1,B1391&lt;=_TM2,OR(TH!L1391="1111",TH!M1391="1111")),TH!D1391,""),"")</f>
        <v/>
      </c>
      <c r="B1391" s="700">
        <f t="shared" si="236"/>
        <v>1</v>
      </c>
      <c r="C1391" s="836">
        <f t="shared" si="234"/>
        <v>41305</v>
      </c>
      <c r="D1391" s="1098"/>
      <c r="E1391" s="836">
        <v>41305</v>
      </c>
      <c r="F1391" s="1099" t="s">
        <v>731</v>
      </c>
      <c r="G1391" s="837" t="s">
        <v>763</v>
      </c>
      <c r="H1391" s="840" t="s">
        <v>1292</v>
      </c>
      <c r="I1391" s="254"/>
      <c r="J1391" s="254"/>
      <c r="K1391" s="701">
        <f t="shared" si="235"/>
        <v>0</v>
      </c>
      <c r="L1391" s="52" t="s">
        <v>167</v>
      </c>
      <c r="M1391" s="1100" t="s">
        <v>165</v>
      </c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52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853"/>
    </row>
    <row r="1392" spans="1:27" s="810" customFormat="1" ht="15.75" customHeight="1">
      <c r="A1392" s="1097" t="str">
        <f>IF(B1392&lt;&gt;"",IF(AND(B1392&gt;=_TM1,B1392&lt;=_TM2,OR(TH!L1392="1111",TH!M1392="1111")),TH!D1392,""),"")</f>
        <v/>
      </c>
      <c r="B1392" s="700">
        <f t="shared" si="236"/>
        <v>1</v>
      </c>
      <c r="C1392" s="836">
        <f t="shared" si="234"/>
        <v>41305</v>
      </c>
      <c r="D1392" s="48"/>
      <c r="E1392" s="854">
        <v>41305</v>
      </c>
      <c r="F1392" s="49" t="s">
        <v>764</v>
      </c>
      <c r="G1392" s="49" t="s">
        <v>765</v>
      </c>
      <c r="H1392" s="840" t="s">
        <v>1292</v>
      </c>
      <c r="I1392" s="254"/>
      <c r="J1392" s="254"/>
      <c r="K1392" s="701">
        <f t="shared" si="235"/>
        <v>0</v>
      </c>
      <c r="L1392" s="52" t="s">
        <v>167</v>
      </c>
      <c r="M1392" s="1100" t="s">
        <v>165</v>
      </c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52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  <c r="AA1392" s="853"/>
    </row>
    <row r="1393" spans="1:27" s="810" customFormat="1" ht="15.75" customHeight="1">
      <c r="A1393" s="1097" t="str">
        <f>IF(B1393&lt;&gt;"",IF(AND(B1393&gt;=_TM1,B1393&lt;=_TM2,OR(TH!L1393="1111",TH!M1393="1111")),TH!D1393,""),"")</f>
        <v/>
      </c>
      <c r="B1393" s="700">
        <f t="shared" si="236"/>
        <v>2</v>
      </c>
      <c r="C1393" s="836">
        <f t="shared" si="234"/>
        <v>41328</v>
      </c>
      <c r="D1393" s="48"/>
      <c r="E1393" s="854">
        <v>41328</v>
      </c>
      <c r="F1393" s="1122" t="s">
        <v>766</v>
      </c>
      <c r="G1393" s="49" t="s">
        <v>767</v>
      </c>
      <c r="H1393" s="840" t="s">
        <v>1292</v>
      </c>
      <c r="I1393" s="254"/>
      <c r="J1393" s="254"/>
      <c r="K1393" s="701">
        <f t="shared" si="235"/>
        <v>0</v>
      </c>
      <c r="L1393" s="52" t="s">
        <v>167</v>
      </c>
      <c r="M1393" s="1100" t="s">
        <v>165</v>
      </c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52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  <c r="AA1393" s="853"/>
    </row>
    <row r="1394" spans="1:27" s="810" customFormat="1" ht="15.75" customHeight="1">
      <c r="A1394" s="1097" t="str">
        <f>IF(B1394&lt;&gt;"",IF(AND(B1394&gt;=_TM1,B1394&lt;=_TM2,OR(TH!L1394="1111",TH!M1394="1111")),TH!D1394,""),"")</f>
        <v/>
      </c>
      <c r="B1394" s="700">
        <f t="shared" si="236"/>
        <v>3</v>
      </c>
      <c r="C1394" s="836">
        <f t="shared" si="234"/>
        <v>41337</v>
      </c>
      <c r="D1394" s="48"/>
      <c r="E1394" s="854">
        <v>41337</v>
      </c>
      <c r="F1394" s="1122" t="s">
        <v>768</v>
      </c>
      <c r="G1394" s="49" t="s">
        <v>769</v>
      </c>
      <c r="H1394" s="840" t="s">
        <v>1292</v>
      </c>
      <c r="I1394" s="254"/>
      <c r="J1394" s="254"/>
      <c r="K1394" s="701">
        <f t="shared" si="235"/>
        <v>0</v>
      </c>
      <c r="L1394" s="52" t="s">
        <v>167</v>
      </c>
      <c r="M1394" s="1100" t="s">
        <v>165</v>
      </c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52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  <c r="AA1394" s="853"/>
    </row>
    <row r="1395" spans="1:27" s="810" customFormat="1" ht="15.75" customHeight="1">
      <c r="A1395" s="1097" t="str">
        <f>IF(B1395&lt;&gt;"",IF(AND(B1395&gt;=_TM1,B1395&lt;=_TM2,OR(TH!L1395="1111",TH!M1395="1111")),TH!D1395,""),"")</f>
        <v/>
      </c>
      <c r="B1395" s="700">
        <f t="shared" si="236"/>
        <v>3</v>
      </c>
      <c r="C1395" s="836">
        <f t="shared" si="234"/>
        <v>41337</v>
      </c>
      <c r="D1395" s="48"/>
      <c r="E1395" s="854">
        <v>41337</v>
      </c>
      <c r="F1395" s="1122" t="s">
        <v>749</v>
      </c>
      <c r="G1395" s="49" t="s">
        <v>770</v>
      </c>
      <c r="H1395" s="840" t="s">
        <v>1292</v>
      </c>
      <c r="I1395" s="254"/>
      <c r="J1395" s="254"/>
      <c r="K1395" s="701">
        <f t="shared" si="235"/>
        <v>0</v>
      </c>
      <c r="L1395" s="52" t="s">
        <v>167</v>
      </c>
      <c r="M1395" s="1100" t="s">
        <v>165</v>
      </c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52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  <c r="AA1395" s="853"/>
    </row>
    <row r="1396" spans="1:27" s="810" customFormat="1" ht="15.75" customHeight="1">
      <c r="A1396" s="1097" t="str">
        <f>IF(B1396&lt;&gt;"",IF(AND(B1396&gt;=_TM1,B1396&lt;=_TM2,OR(TH!L1396="1111",TH!M1396="1111")),TH!D1396,""),"")</f>
        <v/>
      </c>
      <c r="B1396" s="700">
        <f t="shared" si="236"/>
        <v>3</v>
      </c>
      <c r="C1396" s="836">
        <f t="shared" si="234"/>
        <v>41337</v>
      </c>
      <c r="D1396" s="48"/>
      <c r="E1396" s="854">
        <v>41337</v>
      </c>
      <c r="F1396" s="1122" t="s">
        <v>725</v>
      </c>
      <c r="G1396" s="49" t="s">
        <v>770</v>
      </c>
      <c r="H1396" s="840" t="s">
        <v>1292</v>
      </c>
      <c r="I1396" s="254"/>
      <c r="J1396" s="254"/>
      <c r="K1396" s="701">
        <f t="shared" si="235"/>
        <v>0</v>
      </c>
      <c r="L1396" s="52" t="s">
        <v>167</v>
      </c>
      <c r="M1396" s="1100" t="s">
        <v>165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52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  <c r="AA1396" s="853"/>
    </row>
    <row r="1397" spans="1:27" s="810" customFormat="1" ht="15.75" customHeight="1">
      <c r="A1397" s="1097" t="str">
        <f>IF(B1397&lt;&gt;"",IF(AND(B1397&gt;=_TM1,B1397&lt;=_TM2,OR(TH!L1397="1111",TH!M1397="1111")),TH!D1397,""),"")</f>
        <v/>
      </c>
      <c r="B1397" s="700">
        <f t="shared" si="236"/>
        <v>3</v>
      </c>
      <c r="C1397" s="836">
        <f t="shared" si="234"/>
        <v>41337</v>
      </c>
      <c r="D1397" s="48"/>
      <c r="E1397" s="854">
        <v>41337</v>
      </c>
      <c r="F1397" s="1122" t="s">
        <v>771</v>
      </c>
      <c r="G1397" s="49" t="s">
        <v>770</v>
      </c>
      <c r="H1397" s="840" t="s">
        <v>1292</v>
      </c>
      <c r="I1397" s="254"/>
      <c r="J1397" s="254"/>
      <c r="K1397" s="701">
        <f t="shared" si="235"/>
        <v>0</v>
      </c>
      <c r="L1397" s="52" t="s">
        <v>167</v>
      </c>
      <c r="M1397" s="1100" t="s">
        <v>165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52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  <c r="AA1397" s="853"/>
    </row>
    <row r="1398" spans="1:27" s="810" customFormat="1" ht="15.75" customHeight="1">
      <c r="A1398" s="1097" t="str">
        <f>IF(B1398&lt;&gt;"",IF(AND(B1398&gt;=_TM1,B1398&lt;=_TM2,OR(TH!L1398="1111",TH!M1398="1111")),TH!D1398,""),"")</f>
        <v/>
      </c>
      <c r="B1398" s="700">
        <f t="shared" si="236"/>
        <v>3</v>
      </c>
      <c r="C1398" s="836">
        <f t="shared" si="234"/>
        <v>41345</v>
      </c>
      <c r="D1398" s="48"/>
      <c r="E1398" s="854">
        <v>41345</v>
      </c>
      <c r="F1398" s="1122" t="s">
        <v>1127</v>
      </c>
      <c r="G1398" s="49" t="s">
        <v>772</v>
      </c>
      <c r="H1398" s="840" t="s">
        <v>1292</v>
      </c>
      <c r="I1398" s="254"/>
      <c r="J1398" s="254"/>
      <c r="K1398" s="701">
        <f t="shared" si="235"/>
        <v>0</v>
      </c>
      <c r="L1398" s="52" t="s">
        <v>167</v>
      </c>
      <c r="M1398" s="1100" t="s">
        <v>165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52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  <c r="AA1398" s="853"/>
    </row>
    <row r="1399" spans="1:27" s="810" customFormat="1" ht="15.75" customHeight="1">
      <c r="A1399" s="1097" t="str">
        <f>IF(B1399&lt;&gt;"",IF(AND(B1399&gt;=_TM1,B1399&lt;=_TM2,OR(TH!L1399="1111",TH!M1399="1111")),TH!D1399,""),"")</f>
        <v/>
      </c>
      <c r="B1399" s="700">
        <f t="shared" si="236"/>
        <v>3</v>
      </c>
      <c r="C1399" s="836">
        <f t="shared" si="234"/>
        <v>41345</v>
      </c>
      <c r="D1399" s="48"/>
      <c r="E1399" s="854">
        <v>41345</v>
      </c>
      <c r="F1399" s="1122" t="s">
        <v>741</v>
      </c>
      <c r="G1399" s="49" t="s">
        <v>774</v>
      </c>
      <c r="H1399" s="840" t="s">
        <v>1292</v>
      </c>
      <c r="I1399" s="1125"/>
      <c r="J1399" s="254"/>
      <c r="K1399" s="701">
        <f t="shared" si="235"/>
        <v>0</v>
      </c>
      <c r="L1399" s="52" t="s">
        <v>167</v>
      </c>
      <c r="M1399" s="1100" t="s">
        <v>165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52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  <c r="AA1399" s="853"/>
    </row>
    <row r="1400" spans="1:27" s="810" customFormat="1" ht="15.75" customHeight="1">
      <c r="A1400" s="1097" t="str">
        <f>IF(B1400&lt;&gt;"",IF(AND(B1400&gt;=_TM1,B1400&lt;=_TM2,OR(TH!L1400="1111",TH!M1400="1111")),TH!D1400,""),"")</f>
        <v/>
      </c>
      <c r="B1400" s="700">
        <f t="shared" si="236"/>
        <v>3</v>
      </c>
      <c r="C1400" s="836">
        <f t="shared" si="234"/>
        <v>41345</v>
      </c>
      <c r="D1400" s="836"/>
      <c r="E1400" s="836">
        <v>41345</v>
      </c>
      <c r="F1400" s="1099" t="s">
        <v>760</v>
      </c>
      <c r="G1400" s="837" t="s">
        <v>774</v>
      </c>
      <c r="H1400" s="840" t="s">
        <v>1292</v>
      </c>
      <c r="I1400" s="254"/>
      <c r="J1400" s="254"/>
      <c r="K1400" s="701">
        <f t="shared" si="235"/>
        <v>0</v>
      </c>
      <c r="L1400" s="52" t="s">
        <v>167</v>
      </c>
      <c r="M1400" s="1100" t="s">
        <v>165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52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  <c r="AA1400" s="853"/>
    </row>
    <row r="1401" spans="1:27" s="810" customFormat="1" ht="15.75" customHeight="1">
      <c r="A1401" s="1097" t="str">
        <f>IF(B1401&lt;&gt;"",IF(AND(B1401&gt;=_TM1,B1401&lt;=_TM2,OR(TH!L1401="1111",TH!M1401="1111")),TH!D1401,""),"")</f>
        <v/>
      </c>
      <c r="B1401" s="700">
        <f t="shared" si="236"/>
        <v>3</v>
      </c>
      <c r="C1401" s="836">
        <f t="shared" si="234"/>
        <v>41346</v>
      </c>
      <c r="D1401" s="836"/>
      <c r="E1401" s="836">
        <v>41346</v>
      </c>
      <c r="F1401" s="1099" t="s">
        <v>775</v>
      </c>
      <c r="G1401" s="837" t="s">
        <v>496</v>
      </c>
      <c r="H1401" s="840" t="s">
        <v>1292</v>
      </c>
      <c r="I1401" s="254"/>
      <c r="J1401" s="254"/>
      <c r="K1401" s="701">
        <f t="shared" si="235"/>
        <v>0</v>
      </c>
      <c r="L1401" s="52" t="s">
        <v>167</v>
      </c>
      <c r="M1401" s="1100" t="s">
        <v>165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52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  <c r="AA1401" s="853"/>
    </row>
    <row r="1402" spans="1:27" s="810" customFormat="1" ht="15.75" customHeight="1">
      <c r="A1402" s="1097" t="str">
        <f>IF(B1402&lt;&gt;"",IF(AND(B1402&gt;=_TM1,B1402&lt;=_TM2,OR(TH!L1402="1111",TH!M1402="1111")),TH!D1402,""),"")</f>
        <v/>
      </c>
      <c r="B1402" s="700">
        <f t="shared" si="236"/>
        <v>3</v>
      </c>
      <c r="C1402" s="836">
        <f t="shared" si="234"/>
        <v>41346</v>
      </c>
      <c r="D1402" s="836"/>
      <c r="E1402" s="836">
        <v>41346</v>
      </c>
      <c r="F1402" s="1099" t="s">
        <v>1128</v>
      </c>
      <c r="G1402" s="837" t="s">
        <v>776</v>
      </c>
      <c r="H1402" s="840" t="s">
        <v>1292</v>
      </c>
      <c r="I1402" s="254"/>
      <c r="J1402" s="254"/>
      <c r="K1402" s="701">
        <f t="shared" si="235"/>
        <v>0</v>
      </c>
      <c r="L1402" s="52" t="s">
        <v>167</v>
      </c>
      <c r="M1402" s="1100" t="s">
        <v>165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52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  <c r="AA1402" s="853"/>
    </row>
    <row r="1403" spans="1:27" s="810" customFormat="1" ht="15.75" customHeight="1">
      <c r="A1403" s="1097" t="str">
        <f>IF(B1403&lt;&gt;"",IF(AND(B1403&gt;=_TM1,B1403&lt;=_TM2,OR(TH!L1403="1111",TH!M1403="1111")),TH!D1403,""),"")</f>
        <v/>
      </c>
      <c r="B1403" s="700">
        <f t="shared" si="236"/>
        <v>3</v>
      </c>
      <c r="C1403" s="836">
        <f t="shared" si="234"/>
        <v>41351</v>
      </c>
      <c r="D1403" s="48"/>
      <c r="E1403" s="48">
        <v>41351</v>
      </c>
      <c r="F1403" s="49" t="s">
        <v>778</v>
      </c>
      <c r="G1403" s="49" t="s">
        <v>779</v>
      </c>
      <c r="H1403" s="840" t="s">
        <v>1292</v>
      </c>
      <c r="I1403" s="254"/>
      <c r="J1403" s="254"/>
      <c r="K1403" s="701">
        <f t="shared" si="235"/>
        <v>0</v>
      </c>
      <c r="L1403" s="52" t="s">
        <v>167</v>
      </c>
      <c r="M1403" s="1100" t="s">
        <v>165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52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  <c r="AA1403" s="853"/>
    </row>
    <row r="1404" spans="1:27" s="810" customFormat="1" ht="15.75" customHeight="1">
      <c r="A1404" s="1097" t="str">
        <f>IF(B1404&lt;&gt;"",IF(AND(B1404&gt;=_TM1,B1404&lt;=_TM2,OR(TH!L1404="1111",TH!M1404="1111")),TH!D1404,""),"")</f>
        <v/>
      </c>
      <c r="B1404" s="700">
        <f t="shared" si="236"/>
        <v>3</v>
      </c>
      <c r="C1404" s="836">
        <f t="shared" si="234"/>
        <v>41359</v>
      </c>
      <c r="D1404" s="48"/>
      <c r="E1404" s="48">
        <v>41359</v>
      </c>
      <c r="F1404" s="49" t="s">
        <v>780</v>
      </c>
      <c r="G1404" s="49" t="s">
        <v>781</v>
      </c>
      <c r="H1404" s="840" t="s">
        <v>1292</v>
      </c>
      <c r="I1404" s="254"/>
      <c r="J1404" s="254"/>
      <c r="K1404" s="701">
        <f t="shared" si="235"/>
        <v>0</v>
      </c>
      <c r="L1404" s="52" t="s">
        <v>167</v>
      </c>
      <c r="M1404" s="1100" t="s">
        <v>165</v>
      </c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52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  <c r="AA1404" s="853"/>
    </row>
    <row r="1405" spans="1:27" s="810" customFormat="1" ht="15.75" customHeight="1">
      <c r="A1405" s="1097" t="str">
        <f>IF(B1405&lt;&gt;"",IF(AND(B1405&gt;=_TM1,B1405&lt;=_TM2,OR(TH!L1405="1111",TH!M1405="1111")),TH!D1405,""),"")</f>
        <v/>
      </c>
      <c r="B1405" s="700">
        <f t="shared" si="236"/>
        <v>3</v>
      </c>
      <c r="C1405" s="836">
        <f t="shared" si="234"/>
        <v>41359</v>
      </c>
      <c r="D1405" s="1098"/>
      <c r="E1405" s="1098">
        <v>41359</v>
      </c>
      <c r="F1405" s="1122" t="s">
        <v>819</v>
      </c>
      <c r="G1405" s="1123" t="s">
        <v>781</v>
      </c>
      <c r="H1405" s="840" t="s">
        <v>1292</v>
      </c>
      <c r="I1405" s="254"/>
      <c r="J1405" s="254"/>
      <c r="K1405" s="701">
        <f t="shared" si="235"/>
        <v>0</v>
      </c>
      <c r="L1405" s="52" t="s">
        <v>167</v>
      </c>
      <c r="M1405" s="1100" t="s">
        <v>165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52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  <c r="AA1405" s="853"/>
    </row>
    <row r="1406" spans="1:27" s="810" customFormat="1" ht="15.75" customHeight="1">
      <c r="A1406" s="1097" t="str">
        <f>IF(B1406&lt;&gt;"",IF(AND(B1406&gt;=_TM1,B1406&lt;=_TM2,OR(TH!L1406="1111",TH!M1406="1111")),TH!D1406,""),"")</f>
        <v/>
      </c>
      <c r="B1406" s="700">
        <f t="shared" si="236"/>
        <v>3</v>
      </c>
      <c r="C1406" s="836">
        <f t="shared" si="234"/>
        <v>41361</v>
      </c>
      <c r="D1406" s="1098"/>
      <c r="E1406" s="1098">
        <v>41361</v>
      </c>
      <c r="F1406" s="1122" t="s">
        <v>778</v>
      </c>
      <c r="G1406" s="1123" t="s">
        <v>782</v>
      </c>
      <c r="H1406" s="840" t="s">
        <v>1292</v>
      </c>
      <c r="I1406" s="254"/>
      <c r="J1406" s="254"/>
      <c r="K1406" s="701">
        <f t="shared" si="235"/>
        <v>0</v>
      </c>
      <c r="L1406" s="52" t="s">
        <v>167</v>
      </c>
      <c r="M1406" s="1100" t="s">
        <v>165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52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  <c r="AA1406" s="853"/>
    </row>
    <row r="1407" spans="1:27" s="810" customFormat="1" ht="15.75" customHeight="1">
      <c r="A1407" s="1097" t="str">
        <f>IF(B1407&lt;&gt;"",IF(AND(B1407&gt;=_TM1,B1407&lt;=_TM2,OR(TH!L1407="1111",TH!M1407="1111")),TH!D1407,""),"")</f>
        <v/>
      </c>
      <c r="B1407" s="700">
        <f t="shared" si="236"/>
        <v>3</v>
      </c>
      <c r="C1407" s="836">
        <f t="shared" si="234"/>
        <v>41361</v>
      </c>
      <c r="D1407" s="1098"/>
      <c r="E1407" s="1098">
        <v>41361</v>
      </c>
      <c r="F1407" s="1122" t="s">
        <v>756</v>
      </c>
      <c r="G1407" s="1123" t="s">
        <v>783</v>
      </c>
      <c r="H1407" s="840" t="s">
        <v>1292</v>
      </c>
      <c r="I1407" s="254"/>
      <c r="J1407" s="254"/>
      <c r="K1407" s="701">
        <f t="shared" si="235"/>
        <v>0</v>
      </c>
      <c r="L1407" s="52" t="s">
        <v>167</v>
      </c>
      <c r="M1407" s="1100" t="s">
        <v>165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52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  <c r="AA1407" s="853"/>
    </row>
    <row r="1408" spans="1:27" s="810" customFormat="1" ht="15.75" customHeight="1">
      <c r="A1408" s="1097" t="str">
        <f>IF(B1408&lt;&gt;"",IF(AND(B1408&gt;=_TM1,B1408&lt;=_TM2,OR(TH!L1408="1111",TH!M1408="1111")),TH!D1408,""),"")</f>
        <v/>
      </c>
      <c r="B1408" s="700">
        <f t="shared" si="236"/>
        <v>3</v>
      </c>
      <c r="C1408" s="836">
        <f t="shared" si="234"/>
        <v>41361</v>
      </c>
      <c r="D1408" s="1098"/>
      <c r="E1408" s="1098">
        <v>41361</v>
      </c>
      <c r="F1408" s="1122" t="s">
        <v>784</v>
      </c>
      <c r="G1408" s="1123" t="s">
        <v>783</v>
      </c>
      <c r="H1408" s="840" t="s">
        <v>1292</v>
      </c>
      <c r="I1408" s="254"/>
      <c r="J1408" s="254"/>
      <c r="K1408" s="701">
        <f t="shared" si="235"/>
        <v>0</v>
      </c>
      <c r="L1408" s="52" t="s">
        <v>167</v>
      </c>
      <c r="M1408" s="1100" t="s">
        <v>165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52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  <c r="AA1408" s="853"/>
    </row>
    <row r="1409" spans="1:27" s="810" customFormat="1" ht="15.75" customHeight="1">
      <c r="A1409" s="1097" t="str">
        <f>IF(B1409&lt;&gt;"",IF(AND(B1409&gt;=_TM1,B1409&lt;=_TM2,OR(TH!L1409="1111",TH!M1409="1111")),TH!D1409,""),"")</f>
        <v/>
      </c>
      <c r="B1409" s="700">
        <f t="shared" si="236"/>
        <v>3</v>
      </c>
      <c r="C1409" s="836">
        <f t="shared" si="234"/>
        <v>41361</v>
      </c>
      <c r="D1409" s="1098"/>
      <c r="E1409" s="1098">
        <v>41361</v>
      </c>
      <c r="F1409" s="1122" t="s">
        <v>785</v>
      </c>
      <c r="G1409" s="1123" t="s">
        <v>783</v>
      </c>
      <c r="H1409" s="840" t="s">
        <v>1292</v>
      </c>
      <c r="I1409" s="254"/>
      <c r="J1409" s="254"/>
      <c r="K1409" s="701">
        <f t="shared" si="235"/>
        <v>0</v>
      </c>
      <c r="L1409" s="52" t="s">
        <v>167</v>
      </c>
      <c r="M1409" s="1100" t="s">
        <v>165</v>
      </c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52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  <c r="AA1409" s="853"/>
    </row>
    <row r="1410" spans="1:27" s="810" customFormat="1" ht="15.75" customHeight="1">
      <c r="A1410" s="1097" t="str">
        <f>IF(B1410&lt;&gt;"",IF(AND(B1410&gt;=_TM1,B1410&lt;=_TM2,OR(TH!L1410="1111",TH!M1410="1111")),TH!D1410,""),"")</f>
        <v/>
      </c>
      <c r="B1410" s="700">
        <f t="shared" si="236"/>
        <v>3</v>
      </c>
      <c r="C1410" s="836">
        <f t="shared" si="234"/>
        <v>41361</v>
      </c>
      <c r="D1410" s="48"/>
      <c r="E1410" s="854">
        <v>41361</v>
      </c>
      <c r="F1410" s="1122" t="s">
        <v>786</v>
      </c>
      <c r="G1410" s="49" t="s">
        <v>783</v>
      </c>
      <c r="H1410" s="840" t="s">
        <v>1292</v>
      </c>
      <c r="I1410" s="254"/>
      <c r="J1410" s="254"/>
      <c r="K1410" s="701">
        <f t="shared" si="235"/>
        <v>0</v>
      </c>
      <c r="L1410" s="52" t="s">
        <v>167</v>
      </c>
      <c r="M1410" s="1100" t="s">
        <v>165</v>
      </c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52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  <c r="AA1410" s="853"/>
    </row>
    <row r="1411" spans="1:27" s="810" customFormat="1" ht="15.75" customHeight="1">
      <c r="A1411" s="1097" t="str">
        <f>IF(B1411&lt;&gt;"",IF(AND(B1411&gt;=_TM1,B1411&lt;=_TM2,OR(TH!L1411="1111",TH!M1411="1111")),TH!D1411,""),"")</f>
        <v/>
      </c>
      <c r="B1411" s="700">
        <f t="shared" si="236"/>
        <v>3</v>
      </c>
      <c r="C1411" s="836">
        <f t="shared" si="234"/>
        <v>41361</v>
      </c>
      <c r="D1411" s="48"/>
      <c r="E1411" s="854">
        <v>41361</v>
      </c>
      <c r="F1411" s="1122" t="s">
        <v>754</v>
      </c>
      <c r="G1411" s="49" t="s">
        <v>783</v>
      </c>
      <c r="H1411" s="840" t="s">
        <v>1292</v>
      </c>
      <c r="I1411" s="254"/>
      <c r="J1411" s="254"/>
      <c r="K1411" s="701">
        <f t="shared" si="235"/>
        <v>0</v>
      </c>
      <c r="L1411" s="52" t="s">
        <v>167</v>
      </c>
      <c r="M1411" s="1100" t="s">
        <v>165</v>
      </c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52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  <c r="AA1411" s="853"/>
    </row>
    <row r="1412" spans="1:27" s="810" customFormat="1" ht="15.75" customHeight="1">
      <c r="A1412" s="1097" t="str">
        <f>IF(B1412&lt;&gt;"",IF(AND(B1412&gt;=_TM1,B1412&lt;=_TM2,OR(TH!L1412="1111",TH!M1412="1111")),TH!D1412,""),"")</f>
        <v/>
      </c>
      <c r="B1412" s="700">
        <f t="shared" si="236"/>
        <v>3</v>
      </c>
      <c r="C1412" s="836">
        <f t="shared" si="234"/>
        <v>41363</v>
      </c>
      <c r="D1412" s="48"/>
      <c r="E1412" s="854">
        <v>41363</v>
      </c>
      <c r="F1412" s="1122" t="s">
        <v>723</v>
      </c>
      <c r="G1412" s="49" t="s">
        <v>787</v>
      </c>
      <c r="H1412" s="840" t="s">
        <v>1292</v>
      </c>
      <c r="I1412" s="254"/>
      <c r="J1412" s="254"/>
      <c r="K1412" s="701">
        <f t="shared" si="235"/>
        <v>0</v>
      </c>
      <c r="L1412" s="52" t="s">
        <v>167</v>
      </c>
      <c r="M1412" s="1100" t="s">
        <v>165</v>
      </c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52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  <c r="AA1412" s="853"/>
    </row>
    <row r="1413" spans="1:27" s="810" customFormat="1" ht="15.75" customHeight="1">
      <c r="A1413" s="1097" t="str">
        <f>IF(B1413&lt;&gt;"",IF(AND(B1413&gt;=_TM1,B1413&lt;=_TM2,OR(TH!L1413="1111",TH!M1413="1111")),TH!D1413,""),"")</f>
        <v/>
      </c>
      <c r="B1413" s="700">
        <f t="shared" si="236"/>
        <v>3</v>
      </c>
      <c r="C1413" s="836">
        <f t="shared" si="234"/>
        <v>41363</v>
      </c>
      <c r="D1413" s="48"/>
      <c r="E1413" s="854">
        <v>41363</v>
      </c>
      <c r="F1413" s="1122" t="s">
        <v>1137</v>
      </c>
      <c r="G1413" s="49" t="s">
        <v>788</v>
      </c>
      <c r="H1413" s="840" t="s">
        <v>1292</v>
      </c>
      <c r="I1413" s="1125"/>
      <c r="J1413" s="254"/>
      <c r="K1413" s="701">
        <f t="shared" si="235"/>
        <v>0</v>
      </c>
      <c r="L1413" s="52" t="s">
        <v>167</v>
      </c>
      <c r="M1413" s="1100" t="s">
        <v>165</v>
      </c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52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  <c r="AA1413" s="853"/>
    </row>
    <row r="1414" spans="1:27" s="843" customFormat="1" ht="15.75" customHeight="1">
      <c r="A1414" s="1106" t="str">
        <f>IF(B1414&lt;&gt;"",IF(AND(B1414&gt;=_TM1,B1414&lt;=_TM2,OR(TH!L1414="1111",TH!M1414="1111")),TH!D1414,""),"")</f>
        <v/>
      </c>
      <c r="B1414" s="841">
        <f t="shared" si="236"/>
        <v>4</v>
      </c>
      <c r="C1414" s="1107">
        <f t="shared" si="234"/>
        <v>41367</v>
      </c>
      <c r="D1414" s="1108"/>
      <c r="E1414" s="1127">
        <v>41367</v>
      </c>
      <c r="F1414" s="1119" t="s">
        <v>1129</v>
      </c>
      <c r="G1414" s="1109" t="s">
        <v>789</v>
      </c>
      <c r="H1414" s="1110" t="s">
        <v>1292</v>
      </c>
      <c r="I1414" s="1128"/>
      <c r="J1414" s="1118"/>
      <c r="K1414" s="838">
        <f t="shared" si="235"/>
        <v>0</v>
      </c>
      <c r="L1414" s="831" t="s">
        <v>167</v>
      </c>
      <c r="M1414" s="1113" t="s">
        <v>165</v>
      </c>
      <c r="N1414" s="831" t="str">
        <f>IF(AND('331-CT'!$E$7=TH!H1414,OR(L1414="331",M1414="331")),"331",IF(AND(OR(L1414="131",M1414="131"),H1414='131-CT'!$E$7),"131",""))</f>
        <v/>
      </c>
      <c r="O1414" s="831" t="str">
        <f>IF(AND($B1414&gt;='111'!$N$11,$B1414&lt;='111'!$O$11,OR($L1414=$O$7,$M1414=$O$7)),"x","")</f>
        <v/>
      </c>
      <c r="P1414" s="831" t="str">
        <f>IF(AND($L1414=$O$7,$B1414&lt;'111'!$N$11),"x","")</f>
        <v/>
      </c>
      <c r="Q1414" s="831" t="str">
        <f>IF(AND($M1414=$O$7,$B1414&lt;'111'!$N$11),"x","")</f>
        <v/>
      </c>
      <c r="R1414" s="831" t="str">
        <f>IF(ISERROR(FIND('112'!$M$9,G1414,1)),"",IF((AND(FIND('112'!$M$9,G1414,1)&gt;=1,$B1414&gt;='112'!$N$8,$B1414&lt;='112'!$O$8,OR($L1414='112'!$I$6,$M1414='112'!$I$6))),"x",""))</f>
        <v/>
      </c>
      <c r="S1414" s="831" t="str">
        <f>IF(ISERROR(FIND('112'!$M$9,G1414,1)),"",IF((AND(LEFT(G1414,2)=LEFT('112'!$M$9,2),B1414&lt;'112'!$N$8,$L1414='112'!$I$6)),"x",""))</f>
        <v/>
      </c>
      <c r="T1414" s="831" t="str">
        <f>IF(ISERROR(FIND('112'!$M$9,G1414,1)),"",IF((AND(RIGHT(G1414,2)=RIGHT('112'!$M$9,2),B1414&lt;'112'!$N$8,$M1414='112'!$I$6)),"x",""))</f>
        <v/>
      </c>
      <c r="U1414" s="831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831" t="str">
        <f>IF(OR(TH!L1414=TH!$V$7,M1414=TH!$V$7),"x","")</f>
        <v/>
      </c>
      <c r="W1414" s="831" t="str">
        <f>IF(AND(B1414&gt;='IN-NX'!$P$3,B1414&lt;='IN-NX'!$Q$3,'IN-NX'!$D$7=D1414,OR(LEFT(L1414,2)="15",AND(LEFT(M1414,2)&lt;&gt;"15",LEFT(M1414,2)&lt;&gt;"33"))),"x","")</f>
        <v/>
      </c>
      <c r="X1414" s="831" t="str">
        <f>IF(AND(OR(LEFT(TH!L1414,2)="15",LEFT(TH!M1414,2)="15"),'152-CT'!$J$8=TH!F1414),"x","")</f>
        <v/>
      </c>
      <c r="Y1414" s="831" t="str">
        <f>IF(AND(OR(LEFT(TH!L1414,2)="15",LEFT(TH!M1414,2)="15"),TK!$E$7=TH!F1414),"x","")</f>
        <v/>
      </c>
      <c r="Z1414" s="831" t="str">
        <f>IF(AND(B1414&lt;=NKC!$N$8,B1414&gt;=NKC!$M$8),"x","")</f>
        <v/>
      </c>
      <c r="AA1414" s="1114"/>
    </row>
    <row r="1415" spans="1:27" s="810" customFormat="1" ht="15.75" customHeight="1">
      <c r="A1415" s="1097" t="str">
        <f>IF(B1415&lt;&gt;"",IF(AND(B1415&gt;=_TM1,B1415&lt;=_TM2,OR(TH!L1415="1111",TH!M1415="1111")),TH!D1415,""),"")</f>
        <v/>
      </c>
      <c r="B1415" s="700">
        <f t="shared" si="236"/>
        <v>4</v>
      </c>
      <c r="C1415" s="836">
        <f t="shared" ref="C1415:C1478" si="237">E1415</f>
        <v>41368</v>
      </c>
      <c r="D1415" s="48"/>
      <c r="E1415" s="854">
        <v>41368</v>
      </c>
      <c r="F1415" s="1122" t="s">
        <v>741</v>
      </c>
      <c r="G1415" s="49" t="s">
        <v>791</v>
      </c>
      <c r="H1415" s="840" t="s">
        <v>1292</v>
      </c>
      <c r="I1415" s="254"/>
      <c r="J1415" s="254"/>
      <c r="K1415" s="701">
        <f t="shared" ref="K1415:K1478" si="238">ROUND(I1415*J1415,0)</f>
        <v>0</v>
      </c>
      <c r="L1415" s="52" t="s">
        <v>167</v>
      </c>
      <c r="M1415" s="1100" t="s">
        <v>165</v>
      </c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52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  <c r="AA1415" s="853"/>
    </row>
    <row r="1416" spans="1:27" s="810" customFormat="1" ht="15.75" customHeight="1">
      <c r="A1416" s="1097" t="str">
        <f>IF(B1416&lt;&gt;"",IF(AND(B1416&gt;=_TM1,B1416&lt;=_TM2,OR(TH!L1416="1111",TH!M1416="1111")),TH!D1416,""),"")</f>
        <v/>
      </c>
      <c r="B1416" s="700">
        <f t="shared" si="236"/>
        <v>4</v>
      </c>
      <c r="C1416" s="836">
        <f t="shared" si="237"/>
        <v>41368</v>
      </c>
      <c r="D1416" s="48"/>
      <c r="E1416" s="854">
        <v>41368</v>
      </c>
      <c r="F1416" s="1122" t="s">
        <v>483</v>
      </c>
      <c r="G1416" s="49" t="s">
        <v>792</v>
      </c>
      <c r="H1416" s="840" t="s">
        <v>1292</v>
      </c>
      <c r="I1416" s="254"/>
      <c r="J1416" s="254"/>
      <c r="K1416" s="701">
        <f t="shared" si="238"/>
        <v>0</v>
      </c>
      <c r="L1416" s="52" t="s">
        <v>167</v>
      </c>
      <c r="M1416" s="1100" t="s">
        <v>165</v>
      </c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52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  <c r="AA1416" s="853"/>
    </row>
    <row r="1417" spans="1:27" s="810" customFormat="1" ht="15.75" customHeight="1">
      <c r="A1417" s="1097" t="str">
        <f>IF(B1417&lt;&gt;"",IF(AND(B1417&gt;=_TM1,B1417&lt;=_TM2,OR(TH!L1417="1111",TH!M1417="1111")),TH!D1417,""),"")</f>
        <v/>
      </c>
      <c r="B1417" s="700">
        <f t="shared" si="236"/>
        <v>4</v>
      </c>
      <c r="C1417" s="836">
        <f t="shared" si="237"/>
        <v>41369</v>
      </c>
      <c r="D1417" s="48"/>
      <c r="E1417" s="854">
        <v>41369</v>
      </c>
      <c r="F1417" s="839" t="s">
        <v>483</v>
      </c>
      <c r="G1417" s="49" t="s">
        <v>579</v>
      </c>
      <c r="H1417" s="840" t="s">
        <v>1292</v>
      </c>
      <c r="I1417" s="254"/>
      <c r="J1417" s="254"/>
      <c r="K1417" s="701">
        <f t="shared" si="238"/>
        <v>0</v>
      </c>
      <c r="L1417" s="52" t="s">
        <v>167</v>
      </c>
      <c r="M1417" s="1100" t="s">
        <v>165</v>
      </c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52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  <c r="AA1417" s="853"/>
    </row>
    <row r="1418" spans="1:27" s="810" customFormat="1" ht="15.75" customHeight="1">
      <c r="A1418" s="1097" t="str">
        <f>IF(B1418&lt;&gt;"",IF(AND(B1418&gt;=_TM1,B1418&lt;=_TM2,OR(TH!L1418="1111",TH!M1418="1111")),TH!D1418,""),"")</f>
        <v/>
      </c>
      <c r="B1418" s="700">
        <f t="shared" si="236"/>
        <v>4</v>
      </c>
      <c r="C1418" s="836">
        <f t="shared" si="237"/>
        <v>41369</v>
      </c>
      <c r="D1418" s="48"/>
      <c r="E1418" s="854">
        <v>41369</v>
      </c>
      <c r="F1418" s="49" t="s">
        <v>795</v>
      </c>
      <c r="G1418" s="49" t="s">
        <v>796</v>
      </c>
      <c r="H1418" s="840" t="s">
        <v>1292</v>
      </c>
      <c r="I1418" s="254"/>
      <c r="J1418" s="254"/>
      <c r="K1418" s="701">
        <f t="shared" si="238"/>
        <v>0</v>
      </c>
      <c r="L1418" s="52" t="s">
        <v>167</v>
      </c>
      <c r="M1418" s="1100" t="s">
        <v>165</v>
      </c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52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  <c r="AA1418" s="853"/>
    </row>
    <row r="1419" spans="1:27" s="810" customFormat="1" ht="15.75" customHeight="1">
      <c r="A1419" s="1097" t="str">
        <f>IF(B1419&lt;&gt;"",IF(AND(B1419&gt;=_TM1,B1419&lt;=_TM2,OR(TH!L1419="1111",TH!M1419="1111")),TH!D1419,""),"")</f>
        <v/>
      </c>
      <c r="B1419" s="700">
        <f t="shared" si="236"/>
        <v>4</v>
      </c>
      <c r="C1419" s="836">
        <f t="shared" si="237"/>
        <v>41370</v>
      </c>
      <c r="D1419" s="48"/>
      <c r="E1419" s="854">
        <v>41370</v>
      </c>
      <c r="F1419" s="1122" t="s">
        <v>797</v>
      </c>
      <c r="G1419" s="49" t="s">
        <v>798</v>
      </c>
      <c r="H1419" s="840" t="s">
        <v>1292</v>
      </c>
      <c r="I1419" s="254"/>
      <c r="J1419" s="254"/>
      <c r="K1419" s="701">
        <f t="shared" si="238"/>
        <v>0</v>
      </c>
      <c r="L1419" s="52" t="s">
        <v>167</v>
      </c>
      <c r="M1419" s="1100" t="s">
        <v>165</v>
      </c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52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  <c r="AA1419" s="853"/>
    </row>
    <row r="1420" spans="1:27" s="810" customFormat="1" ht="15.75" customHeight="1">
      <c r="A1420" s="1097" t="str">
        <f>IF(B1420&lt;&gt;"",IF(AND(B1420&gt;=_TM1,B1420&lt;=_TM2,OR(TH!L1420="1111",TH!M1420="1111")),TH!D1420,""),"")</f>
        <v/>
      </c>
      <c r="B1420" s="700">
        <f t="shared" si="236"/>
        <v>4</v>
      </c>
      <c r="C1420" s="836">
        <f t="shared" si="237"/>
        <v>41370</v>
      </c>
      <c r="D1420" s="48"/>
      <c r="E1420" s="854">
        <v>41370</v>
      </c>
      <c r="F1420" s="1122" t="s">
        <v>797</v>
      </c>
      <c r="G1420" s="49" t="s">
        <v>798</v>
      </c>
      <c r="H1420" s="840" t="s">
        <v>1292</v>
      </c>
      <c r="I1420" s="254"/>
      <c r="J1420" s="254"/>
      <c r="K1420" s="701">
        <f t="shared" si="238"/>
        <v>0</v>
      </c>
      <c r="L1420" s="52" t="s">
        <v>167</v>
      </c>
      <c r="M1420" s="1100" t="s">
        <v>165</v>
      </c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52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  <c r="AA1420" s="853"/>
    </row>
    <row r="1421" spans="1:27" s="810" customFormat="1" ht="15.75" customHeight="1">
      <c r="A1421" s="1097" t="str">
        <f>IF(B1421&lt;&gt;"",IF(AND(B1421&gt;=_TM1,B1421&lt;=_TM2,OR(TH!L1421="1111",TH!M1421="1111")),TH!D1421,""),"")</f>
        <v/>
      </c>
      <c r="B1421" s="700">
        <f t="shared" si="236"/>
        <v>4</v>
      </c>
      <c r="C1421" s="836">
        <f t="shared" si="237"/>
        <v>41375</v>
      </c>
      <c r="D1421" s="48"/>
      <c r="E1421" s="854">
        <v>41375</v>
      </c>
      <c r="F1421" s="1122" t="s">
        <v>1163</v>
      </c>
      <c r="G1421" s="49" t="s">
        <v>799</v>
      </c>
      <c r="H1421" s="840" t="s">
        <v>1292</v>
      </c>
      <c r="I1421" s="254"/>
      <c r="J1421" s="254"/>
      <c r="K1421" s="701">
        <f t="shared" si="238"/>
        <v>0</v>
      </c>
      <c r="L1421" s="52" t="s">
        <v>167</v>
      </c>
      <c r="M1421" s="1100" t="s">
        <v>165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52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  <c r="AA1421" s="853"/>
    </row>
    <row r="1422" spans="1:27" s="810" customFormat="1" ht="15.75" customHeight="1">
      <c r="A1422" s="1097" t="str">
        <f>IF(B1422&lt;&gt;"",IF(AND(B1422&gt;=_TM1,B1422&lt;=_TM2,OR(TH!L1422="1111",TH!M1422="1111")),TH!D1422,""),"")</f>
        <v/>
      </c>
      <c r="B1422" s="700">
        <f t="shared" si="236"/>
        <v>4</v>
      </c>
      <c r="C1422" s="836">
        <f t="shared" si="237"/>
        <v>41375</v>
      </c>
      <c r="D1422" s="48"/>
      <c r="E1422" s="854">
        <v>41375</v>
      </c>
      <c r="F1422" s="1122" t="s">
        <v>1137</v>
      </c>
      <c r="G1422" s="49" t="s">
        <v>799</v>
      </c>
      <c r="H1422" s="840" t="s">
        <v>1292</v>
      </c>
      <c r="I1422" s="254"/>
      <c r="J1422" s="254"/>
      <c r="K1422" s="701">
        <f t="shared" si="238"/>
        <v>0</v>
      </c>
      <c r="L1422" s="52" t="s">
        <v>167</v>
      </c>
      <c r="M1422" s="1100" t="s">
        <v>165</v>
      </c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52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  <c r="AA1422" s="853"/>
    </row>
    <row r="1423" spans="1:27" s="810" customFormat="1" ht="15.75" customHeight="1">
      <c r="A1423" s="1097" t="str">
        <f>IF(B1423&lt;&gt;"",IF(AND(B1423&gt;=_TM1,B1423&lt;=_TM2,OR(TH!L1423="1111",TH!M1423="1111")),TH!D1423,""),"")</f>
        <v/>
      </c>
      <c r="B1423" s="700">
        <f t="shared" si="236"/>
        <v>4</v>
      </c>
      <c r="C1423" s="836">
        <f t="shared" si="237"/>
        <v>41375</v>
      </c>
      <c r="D1423" s="48"/>
      <c r="E1423" s="854">
        <v>41375</v>
      </c>
      <c r="F1423" s="49" t="s">
        <v>1144</v>
      </c>
      <c r="G1423" s="49" t="s">
        <v>800</v>
      </c>
      <c r="H1423" s="840" t="s">
        <v>1292</v>
      </c>
      <c r="I1423" s="254"/>
      <c r="J1423" s="254"/>
      <c r="K1423" s="701">
        <f t="shared" si="238"/>
        <v>0</v>
      </c>
      <c r="L1423" s="52" t="s">
        <v>167</v>
      </c>
      <c r="M1423" s="1100" t="s">
        <v>165</v>
      </c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52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  <c r="AA1423" s="853"/>
    </row>
    <row r="1424" spans="1:27" s="810" customFormat="1" ht="15.75" customHeight="1">
      <c r="A1424" s="1097" t="str">
        <f>IF(B1424&lt;&gt;"",IF(AND(B1424&gt;=_TM1,B1424&lt;=_TM2,OR(TH!L1424="1111",TH!M1424="1111")),TH!D1424,""),"")</f>
        <v/>
      </c>
      <c r="B1424" s="700">
        <f t="shared" si="236"/>
        <v>4</v>
      </c>
      <c r="C1424" s="836">
        <f t="shared" si="237"/>
        <v>41375</v>
      </c>
      <c r="D1424" s="48"/>
      <c r="E1424" s="854">
        <v>41375</v>
      </c>
      <c r="F1424" s="49" t="s">
        <v>801</v>
      </c>
      <c r="G1424" s="49" t="s">
        <v>800</v>
      </c>
      <c r="H1424" s="840" t="s">
        <v>1292</v>
      </c>
      <c r="I1424" s="254"/>
      <c r="J1424" s="254"/>
      <c r="K1424" s="701">
        <f t="shared" si="238"/>
        <v>0</v>
      </c>
      <c r="L1424" s="52" t="s">
        <v>167</v>
      </c>
      <c r="M1424" s="1100" t="s">
        <v>165</v>
      </c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52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  <c r="AA1424" s="853"/>
    </row>
    <row r="1425" spans="1:27" s="810" customFormat="1" ht="15.75" customHeight="1">
      <c r="A1425" s="1097" t="str">
        <f>IF(B1425&lt;&gt;"",IF(AND(B1425&gt;=_TM1,B1425&lt;=_TM2,OR(TH!L1425="1111",TH!M1425="1111")),TH!D1425,""),"")</f>
        <v/>
      </c>
      <c r="B1425" s="700">
        <f t="shared" si="236"/>
        <v>4</v>
      </c>
      <c r="C1425" s="836">
        <f t="shared" si="237"/>
        <v>41375</v>
      </c>
      <c r="D1425" s="48"/>
      <c r="E1425" s="854">
        <v>41375</v>
      </c>
      <c r="F1425" s="1122" t="s">
        <v>1142</v>
      </c>
      <c r="G1425" s="49" t="s">
        <v>800</v>
      </c>
      <c r="H1425" s="840" t="s">
        <v>1292</v>
      </c>
      <c r="I1425" s="254"/>
      <c r="J1425" s="254"/>
      <c r="K1425" s="701">
        <f t="shared" si="238"/>
        <v>0</v>
      </c>
      <c r="L1425" s="52" t="s">
        <v>167</v>
      </c>
      <c r="M1425" s="1100" t="s">
        <v>165</v>
      </c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52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  <c r="AA1425" s="853"/>
    </row>
    <row r="1426" spans="1:27" s="810" customFormat="1" ht="15.75" customHeight="1">
      <c r="A1426" s="1097" t="str">
        <f>IF(B1426&lt;&gt;"",IF(AND(B1426&gt;=_TM1,B1426&lt;=_TM2,OR(TH!L1426="1111",TH!M1426="1111")),TH!D1426,""),"")</f>
        <v/>
      </c>
      <c r="B1426" s="700">
        <f t="shared" si="236"/>
        <v>4</v>
      </c>
      <c r="C1426" s="836">
        <f t="shared" si="237"/>
        <v>41376</v>
      </c>
      <c r="D1426" s="1098"/>
      <c r="E1426" s="836">
        <v>41376</v>
      </c>
      <c r="F1426" s="1099" t="s">
        <v>755</v>
      </c>
      <c r="G1426" s="837" t="s">
        <v>802</v>
      </c>
      <c r="H1426" s="840" t="s">
        <v>1292</v>
      </c>
      <c r="I1426" s="254"/>
      <c r="J1426" s="254"/>
      <c r="K1426" s="701">
        <f t="shared" si="238"/>
        <v>0</v>
      </c>
      <c r="L1426" s="52" t="s">
        <v>167</v>
      </c>
      <c r="M1426" s="1100" t="s">
        <v>165</v>
      </c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52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  <c r="AA1426" s="853"/>
    </row>
    <row r="1427" spans="1:27" s="810" customFormat="1" ht="15.75" customHeight="1">
      <c r="A1427" s="1097" t="str">
        <f>IF(B1427&lt;&gt;"",IF(AND(B1427&gt;=_TM1,B1427&lt;=_TM2,OR(TH!L1427="1111",TH!M1427="1111")),TH!D1427,""),"")</f>
        <v/>
      </c>
      <c r="B1427" s="700">
        <f t="shared" si="236"/>
        <v>4</v>
      </c>
      <c r="C1427" s="836">
        <f t="shared" si="237"/>
        <v>41376</v>
      </c>
      <c r="D1427" s="1098"/>
      <c r="E1427" s="836">
        <v>41376</v>
      </c>
      <c r="F1427" s="1099" t="s">
        <v>752</v>
      </c>
      <c r="G1427" s="837" t="s">
        <v>802</v>
      </c>
      <c r="H1427" s="840" t="s">
        <v>1292</v>
      </c>
      <c r="I1427" s="254"/>
      <c r="J1427" s="254"/>
      <c r="K1427" s="701">
        <f t="shared" si="238"/>
        <v>0</v>
      </c>
      <c r="L1427" s="52" t="s">
        <v>167</v>
      </c>
      <c r="M1427" s="1100" t="s">
        <v>165</v>
      </c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52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  <c r="AA1427" s="853"/>
    </row>
    <row r="1428" spans="1:27" s="810" customFormat="1" ht="15.75" customHeight="1">
      <c r="A1428" s="1097" t="str">
        <f>IF(B1428&lt;&gt;"",IF(AND(B1428&gt;=_TM1,B1428&lt;=_TM2,OR(TH!L1428="1111",TH!M1428="1111")),TH!D1428,""),"")</f>
        <v/>
      </c>
      <c r="B1428" s="700">
        <f t="shared" si="236"/>
        <v>4</v>
      </c>
      <c r="C1428" s="836">
        <f t="shared" si="237"/>
        <v>41380</v>
      </c>
      <c r="D1428" s="1098"/>
      <c r="E1428" s="1098">
        <v>41380</v>
      </c>
      <c r="F1428" s="1122" t="s">
        <v>1137</v>
      </c>
      <c r="G1428" s="1123" t="s">
        <v>803</v>
      </c>
      <c r="H1428" s="840" t="s">
        <v>1292</v>
      </c>
      <c r="I1428" s="254"/>
      <c r="J1428" s="254"/>
      <c r="K1428" s="701">
        <f t="shared" si="238"/>
        <v>0</v>
      </c>
      <c r="L1428" s="52" t="s">
        <v>167</v>
      </c>
      <c r="M1428" s="1100" t="s">
        <v>165</v>
      </c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52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  <c r="AA1428" s="853"/>
    </row>
    <row r="1429" spans="1:27" s="810" customFormat="1" ht="15.75" customHeight="1">
      <c r="A1429" s="1097" t="str">
        <f>IF(B1429&lt;&gt;"",IF(AND(B1429&gt;=_TM1,B1429&lt;=_TM2,OR(TH!L1429="1111",TH!M1429="1111")),TH!D1429,""),"")</f>
        <v/>
      </c>
      <c r="B1429" s="700">
        <f t="shared" si="236"/>
        <v>4</v>
      </c>
      <c r="C1429" s="836">
        <f t="shared" si="237"/>
        <v>41380</v>
      </c>
      <c r="D1429" s="836"/>
      <c r="E1429" s="836">
        <v>41380</v>
      </c>
      <c r="F1429" s="1099" t="s">
        <v>840</v>
      </c>
      <c r="G1429" s="837" t="s">
        <v>804</v>
      </c>
      <c r="H1429" s="840" t="s">
        <v>1292</v>
      </c>
      <c r="I1429" s="254"/>
      <c r="J1429" s="254"/>
      <c r="K1429" s="701">
        <f t="shared" si="238"/>
        <v>0</v>
      </c>
      <c r="L1429" s="52" t="s">
        <v>167</v>
      </c>
      <c r="M1429" s="1100" t="s">
        <v>165</v>
      </c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52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  <c r="AA1429" s="853"/>
    </row>
    <row r="1430" spans="1:27" s="810" customFormat="1" ht="15.75" customHeight="1">
      <c r="A1430" s="1097" t="str">
        <f>IF(B1430&lt;&gt;"",IF(AND(B1430&gt;=_TM1,B1430&lt;=_TM2,OR(TH!L1430="1111",TH!M1430="1111")),TH!D1430,""),"")</f>
        <v/>
      </c>
      <c r="B1430" s="700">
        <f t="shared" si="236"/>
        <v>4</v>
      </c>
      <c r="C1430" s="836">
        <f t="shared" si="237"/>
        <v>41381</v>
      </c>
      <c r="D1430" s="836"/>
      <c r="E1430" s="836">
        <v>41381</v>
      </c>
      <c r="F1430" s="1099" t="s">
        <v>741</v>
      </c>
      <c r="G1430" s="837" t="s">
        <v>484</v>
      </c>
      <c r="H1430" s="840" t="s">
        <v>1292</v>
      </c>
      <c r="I1430" s="254"/>
      <c r="J1430" s="254"/>
      <c r="K1430" s="701">
        <f t="shared" si="238"/>
        <v>0</v>
      </c>
      <c r="L1430" s="52" t="s">
        <v>167</v>
      </c>
      <c r="M1430" s="1100" t="s">
        <v>165</v>
      </c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52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  <c r="AA1430" s="853"/>
    </row>
    <row r="1431" spans="1:27" s="810" customFormat="1" ht="15.75" customHeight="1">
      <c r="A1431" s="1097" t="str">
        <f>IF(B1431&lt;&gt;"",IF(AND(B1431&gt;=_TM1,B1431&lt;=_TM2,OR(TH!L1431="1111",TH!M1431="1111")),TH!D1431,""),"")</f>
        <v/>
      </c>
      <c r="B1431" s="700">
        <f t="shared" si="236"/>
        <v>4</v>
      </c>
      <c r="C1431" s="836">
        <f t="shared" si="237"/>
        <v>41387</v>
      </c>
      <c r="D1431" s="836"/>
      <c r="E1431" s="836">
        <v>41387</v>
      </c>
      <c r="F1431" s="1099" t="s">
        <v>805</v>
      </c>
      <c r="G1431" s="837" t="s">
        <v>806</v>
      </c>
      <c r="H1431" s="840" t="s">
        <v>1292</v>
      </c>
      <c r="I1431" s="254"/>
      <c r="J1431" s="254"/>
      <c r="K1431" s="701">
        <f t="shared" si="238"/>
        <v>0</v>
      </c>
      <c r="L1431" s="52" t="s">
        <v>167</v>
      </c>
      <c r="M1431" s="1100" t="s">
        <v>165</v>
      </c>
      <c r="N1431" s="52" t="str">
        <f>IF(AND('331-CT'!$E$7=TH!H1431,OR(L1431="331",M1431="331")),"331",IF(AND(OR(L1431="131",M1431="131"),H1431='131-CT'!$E$7),"131",""))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52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  <c r="AA1431" s="853"/>
    </row>
    <row r="1432" spans="1:27" s="810" customFormat="1" ht="15.75" customHeight="1">
      <c r="A1432" s="1097" t="str">
        <f>IF(B1432&lt;&gt;"",IF(AND(B1432&gt;=_TM1,B1432&lt;=_TM2,OR(TH!L1432="1111",TH!M1432="1111")),TH!D1432,""),"")</f>
        <v/>
      </c>
      <c r="B1432" s="700">
        <f t="shared" si="236"/>
        <v>4</v>
      </c>
      <c r="C1432" s="836">
        <f t="shared" si="237"/>
        <v>41387</v>
      </c>
      <c r="D1432" s="836"/>
      <c r="E1432" s="836">
        <v>41387</v>
      </c>
      <c r="F1432" s="1099" t="s">
        <v>808</v>
      </c>
      <c r="G1432" s="837" t="s">
        <v>806</v>
      </c>
      <c r="H1432" s="840" t="s">
        <v>1292</v>
      </c>
      <c r="I1432" s="254"/>
      <c r="J1432" s="254"/>
      <c r="K1432" s="701">
        <f t="shared" si="238"/>
        <v>0</v>
      </c>
      <c r="L1432" s="52" t="s">
        <v>167</v>
      </c>
      <c r="M1432" s="1100" t="s">
        <v>165</v>
      </c>
      <c r="N1432" s="52" t="str">
        <f>IF(AND('331-CT'!$E$7=TH!H1432,OR(L1432="331",M1432="331")),"331",IF(AND(OR(L1432="131",M1432="131"),H1432='131-CT'!$E$7),"131",""))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52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  <c r="AA1432" s="853"/>
    </row>
    <row r="1433" spans="1:27" s="810" customFormat="1" ht="15.75" customHeight="1">
      <c r="A1433" s="1097" t="str">
        <f>IF(B1433&lt;&gt;"",IF(AND(B1433&gt;=_TM1,B1433&lt;=_TM2,OR(TH!L1433="1111",TH!M1433="1111")),TH!D1433,""),"")</f>
        <v/>
      </c>
      <c r="B1433" s="700">
        <f t="shared" si="236"/>
        <v>4</v>
      </c>
      <c r="C1433" s="836">
        <f t="shared" si="237"/>
        <v>41388</v>
      </c>
      <c r="D1433" s="836"/>
      <c r="E1433" s="836">
        <v>41388</v>
      </c>
      <c r="F1433" s="1099" t="s">
        <v>1141</v>
      </c>
      <c r="G1433" s="837" t="s">
        <v>809</v>
      </c>
      <c r="H1433" s="840" t="s">
        <v>1292</v>
      </c>
      <c r="I1433" s="254"/>
      <c r="J1433" s="254"/>
      <c r="K1433" s="701">
        <f t="shared" si="238"/>
        <v>0</v>
      </c>
      <c r="L1433" s="52" t="s">
        <v>167</v>
      </c>
      <c r="M1433" s="1100" t="s">
        <v>165</v>
      </c>
      <c r="N1433" s="52" t="str">
        <f>IF(AND('331-CT'!$E$7=TH!H1433,OR(L1433="331",M1433="331")),"331",IF(AND(OR(L1433="131",M1433="131"),H1433='131-CT'!$E$7),"131",""))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52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  <c r="AA1433" s="853"/>
    </row>
    <row r="1434" spans="1:27" s="810" customFormat="1" ht="15.75" customHeight="1">
      <c r="A1434" s="1097" t="str">
        <f>IF(B1434&lt;&gt;"",IF(AND(B1434&gt;=_TM1,B1434&lt;=_TM2,OR(TH!L1434="1111",TH!M1434="1111")),TH!D1434,""),"")</f>
        <v/>
      </c>
      <c r="B1434" s="700">
        <f t="shared" si="236"/>
        <v>4</v>
      </c>
      <c r="C1434" s="836">
        <f t="shared" si="237"/>
        <v>41388</v>
      </c>
      <c r="D1434" s="836"/>
      <c r="E1434" s="836">
        <v>41388</v>
      </c>
      <c r="F1434" s="1099" t="s">
        <v>1147</v>
      </c>
      <c r="G1434" s="837" t="s">
        <v>809</v>
      </c>
      <c r="H1434" s="840" t="s">
        <v>1292</v>
      </c>
      <c r="I1434" s="254"/>
      <c r="J1434" s="254"/>
      <c r="K1434" s="701">
        <f t="shared" si="238"/>
        <v>0</v>
      </c>
      <c r="L1434" s="52" t="s">
        <v>167</v>
      </c>
      <c r="M1434" s="1100" t="s">
        <v>165</v>
      </c>
      <c r="N1434" s="52" t="str">
        <f>IF(AND('331-CT'!$E$7=TH!H1434,OR(L1434="331",M1434="331")),"331",IF(AND(OR(L1434="131",M1434="131"),H1434='131-CT'!$E$7),"131",""))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52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  <c r="AA1434" s="853"/>
    </row>
    <row r="1435" spans="1:27" s="810" customFormat="1" ht="15.75" customHeight="1">
      <c r="A1435" s="1097" t="str">
        <f>IF(B1435&lt;&gt;"",IF(AND(B1435&gt;=_TM1,B1435&lt;=_TM2,OR(TH!L1435="1111",TH!M1435="1111")),TH!D1435,""),"")</f>
        <v/>
      </c>
      <c r="B1435" s="700">
        <f t="shared" si="236"/>
        <v>4</v>
      </c>
      <c r="C1435" s="836">
        <f t="shared" si="237"/>
        <v>41388</v>
      </c>
      <c r="D1435" s="836"/>
      <c r="E1435" s="836">
        <v>41388</v>
      </c>
      <c r="F1435" s="1099" t="s">
        <v>810</v>
      </c>
      <c r="G1435" s="837" t="s">
        <v>811</v>
      </c>
      <c r="H1435" s="840" t="s">
        <v>1292</v>
      </c>
      <c r="I1435" s="254"/>
      <c r="J1435" s="254"/>
      <c r="K1435" s="701">
        <f t="shared" si="238"/>
        <v>0</v>
      </c>
      <c r="L1435" s="52" t="s">
        <v>167</v>
      </c>
      <c r="M1435" s="1100" t="s">
        <v>165</v>
      </c>
      <c r="N1435" s="52" t="str">
        <f>IF(AND('331-CT'!$E$7=TH!H1435,OR(L1435="331",M1435="331")),"331",IF(AND(OR(L1435="131",M1435="131"),H1435='131-CT'!$E$7),"131",""))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52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  <c r="AA1435" s="853"/>
    </row>
    <row r="1436" spans="1:27" s="810" customFormat="1" ht="15.75" customHeight="1">
      <c r="A1436" s="1097" t="str">
        <f>IF(B1436&lt;&gt;"",IF(AND(B1436&gt;=_TM1,B1436&lt;=_TM2,OR(TH!L1436="1111",TH!M1436="1111")),TH!D1436,""),"")</f>
        <v/>
      </c>
      <c r="B1436" s="700">
        <f t="shared" si="236"/>
        <v>4</v>
      </c>
      <c r="C1436" s="836">
        <f t="shared" si="237"/>
        <v>41388</v>
      </c>
      <c r="D1436" s="836"/>
      <c r="E1436" s="836">
        <v>41388</v>
      </c>
      <c r="F1436" s="1099" t="s">
        <v>812</v>
      </c>
      <c r="G1436" s="837" t="s">
        <v>811</v>
      </c>
      <c r="H1436" s="840" t="s">
        <v>1292</v>
      </c>
      <c r="I1436" s="1121"/>
      <c r="J1436" s="1121"/>
      <c r="K1436" s="701">
        <f t="shared" si="238"/>
        <v>0</v>
      </c>
      <c r="L1436" s="52" t="s">
        <v>167</v>
      </c>
      <c r="M1436" s="1100" t="s">
        <v>165</v>
      </c>
      <c r="N1436" s="52" t="str">
        <f>IF(AND('331-CT'!$E$7=TH!H1436,OR(L1436="331",M1436="331")),"331",IF(AND(OR(L1436="131",M1436="131"),H1436='131-CT'!$E$7),"131",""))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52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  <c r="AA1436" s="853"/>
    </row>
    <row r="1437" spans="1:27" s="810" customFormat="1" ht="15.75" customHeight="1">
      <c r="A1437" s="1097" t="str">
        <f>IF(B1437&lt;&gt;"",IF(AND(B1437&gt;=_TM1,B1437&lt;=_TM2,OR(TH!L1437="1111",TH!M1437="1111")),TH!D1437,""),"")</f>
        <v/>
      </c>
      <c r="B1437" s="700">
        <f t="shared" si="236"/>
        <v>4</v>
      </c>
      <c r="C1437" s="836">
        <f t="shared" si="237"/>
        <v>41389</v>
      </c>
      <c r="D1437" s="836"/>
      <c r="E1437" s="836">
        <v>41389</v>
      </c>
      <c r="F1437" s="1099" t="s">
        <v>1137</v>
      </c>
      <c r="G1437" s="837" t="s">
        <v>813</v>
      </c>
      <c r="H1437" s="840" t="s">
        <v>1292</v>
      </c>
      <c r="I1437" s="254"/>
      <c r="J1437" s="254"/>
      <c r="K1437" s="701">
        <f t="shared" si="238"/>
        <v>0</v>
      </c>
      <c r="L1437" s="52" t="s">
        <v>167</v>
      </c>
      <c r="M1437" s="1100" t="s">
        <v>165</v>
      </c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52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/>
      </c>
      <c r="AA1437" s="853"/>
    </row>
    <row r="1438" spans="1:27" s="810" customFormat="1" ht="15.75" customHeight="1">
      <c r="A1438" s="1097" t="str">
        <f>IF(B1438&lt;&gt;"",IF(AND(B1438&gt;=_TM1,B1438&lt;=_TM2,OR(TH!L1438="1111",TH!M1438="1111")),TH!D1438,""),"")</f>
        <v/>
      </c>
      <c r="B1438" s="700">
        <f t="shared" si="236"/>
        <v>4</v>
      </c>
      <c r="C1438" s="836">
        <f t="shared" si="237"/>
        <v>41391</v>
      </c>
      <c r="D1438" s="836"/>
      <c r="E1438" s="836">
        <v>41391</v>
      </c>
      <c r="F1438" s="1099" t="s">
        <v>814</v>
      </c>
      <c r="G1438" s="837" t="s">
        <v>815</v>
      </c>
      <c r="H1438" s="840" t="s">
        <v>1292</v>
      </c>
      <c r="I1438" s="254"/>
      <c r="J1438" s="254"/>
      <c r="K1438" s="701">
        <f t="shared" si="238"/>
        <v>0</v>
      </c>
      <c r="L1438" s="52" t="s">
        <v>167</v>
      </c>
      <c r="M1438" s="1100" t="s">
        <v>165</v>
      </c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52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  <c r="AA1438" s="853"/>
    </row>
    <row r="1439" spans="1:27" s="810" customFormat="1" ht="15.75" customHeight="1">
      <c r="A1439" s="1097" t="str">
        <f>IF(B1439&lt;&gt;"",IF(AND(B1439&gt;=_TM1,B1439&lt;=_TM2,OR(TH!L1439="1111",TH!M1439="1111")),TH!D1439,""),"")</f>
        <v/>
      </c>
      <c r="B1439" s="700">
        <f t="shared" si="236"/>
        <v>4</v>
      </c>
      <c r="C1439" s="836">
        <f t="shared" si="237"/>
        <v>41391</v>
      </c>
      <c r="D1439" s="836"/>
      <c r="E1439" s="836">
        <v>41391</v>
      </c>
      <c r="F1439" s="1099" t="s">
        <v>816</v>
      </c>
      <c r="G1439" s="837" t="s">
        <v>815</v>
      </c>
      <c r="H1439" s="840" t="s">
        <v>1292</v>
      </c>
      <c r="I1439" s="254"/>
      <c r="J1439" s="254"/>
      <c r="K1439" s="701">
        <f t="shared" si="238"/>
        <v>0</v>
      </c>
      <c r="L1439" s="52" t="s">
        <v>167</v>
      </c>
      <c r="M1439" s="1100" t="s">
        <v>165</v>
      </c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52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  <c r="AA1439" s="853"/>
    </row>
    <row r="1440" spans="1:27" s="810" customFormat="1" ht="15.75" customHeight="1">
      <c r="A1440" s="1097" t="str">
        <f>IF(B1440&lt;&gt;"",IF(AND(B1440&gt;=_TM1,B1440&lt;=_TM2,OR(TH!L1440="1111",TH!M1440="1111")),TH!D1440,""),"")</f>
        <v/>
      </c>
      <c r="B1440" s="700">
        <f t="shared" si="236"/>
        <v>5</v>
      </c>
      <c r="C1440" s="836">
        <f t="shared" si="237"/>
        <v>41400</v>
      </c>
      <c r="D1440" s="836"/>
      <c r="E1440" s="836">
        <v>41400</v>
      </c>
      <c r="F1440" s="1099" t="s">
        <v>817</v>
      </c>
      <c r="G1440" s="837" t="s">
        <v>818</v>
      </c>
      <c r="H1440" s="840" t="s">
        <v>1292</v>
      </c>
      <c r="I1440" s="254"/>
      <c r="J1440" s="254"/>
      <c r="K1440" s="701">
        <f t="shared" si="238"/>
        <v>0</v>
      </c>
      <c r="L1440" s="52" t="s">
        <v>167</v>
      </c>
      <c r="M1440" s="1100" t="s">
        <v>165</v>
      </c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52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  <c r="AA1440" s="853"/>
    </row>
    <row r="1441" spans="1:27" s="810" customFormat="1" ht="15.75" customHeight="1">
      <c r="A1441" s="1097" t="str">
        <f>IF(B1441&lt;&gt;"",IF(AND(B1441&gt;=_TM1,B1441&lt;=_TM2,OR(TH!L1441="1111",TH!M1441="1111")),TH!D1441,""),"")</f>
        <v/>
      </c>
      <c r="B1441" s="700">
        <f t="shared" ref="B1441:B1504" si="239">IF(C1441&lt;&gt;"",MONTH(C1441),"")</f>
        <v>5</v>
      </c>
      <c r="C1441" s="836">
        <f t="shared" si="237"/>
        <v>41400</v>
      </c>
      <c r="D1441" s="48"/>
      <c r="E1441" s="48">
        <v>41400</v>
      </c>
      <c r="F1441" s="49" t="s">
        <v>819</v>
      </c>
      <c r="G1441" s="49" t="s">
        <v>818</v>
      </c>
      <c r="H1441" s="840" t="s">
        <v>1292</v>
      </c>
      <c r="I1441" s="254"/>
      <c r="J1441" s="254"/>
      <c r="K1441" s="701">
        <f t="shared" si="238"/>
        <v>0</v>
      </c>
      <c r="L1441" s="52" t="s">
        <v>167</v>
      </c>
      <c r="M1441" s="1100" t="s">
        <v>165</v>
      </c>
      <c r="N1441" s="52" t="str">
        <f>IF(AND('331-CT'!$E$7=TH!H1441,OR(L1441="331",M1441="331")),"331",IF(AND(OR(L1441="131",M1441="131"),H1441='131-CT'!$E$7),"131",""))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52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  <c r="AA1441" s="853"/>
    </row>
    <row r="1442" spans="1:27" s="810" customFormat="1" ht="15.75" customHeight="1">
      <c r="A1442" s="1097" t="str">
        <f>IF(B1442&lt;&gt;"",IF(AND(B1442&gt;=_TM1,B1442&lt;=_TM2,OR(TH!L1442="1111",TH!M1442="1111")),TH!D1442,""),"")</f>
        <v/>
      </c>
      <c r="B1442" s="700">
        <f t="shared" si="239"/>
        <v>5</v>
      </c>
      <c r="C1442" s="836">
        <f t="shared" si="237"/>
        <v>41401</v>
      </c>
      <c r="D1442" s="48"/>
      <c r="E1442" s="48">
        <v>41401</v>
      </c>
      <c r="F1442" s="49" t="s">
        <v>820</v>
      </c>
      <c r="G1442" s="49" t="s">
        <v>821</v>
      </c>
      <c r="H1442" s="840" t="s">
        <v>1292</v>
      </c>
      <c r="I1442" s="254"/>
      <c r="J1442" s="254"/>
      <c r="K1442" s="701">
        <f t="shared" si="238"/>
        <v>0</v>
      </c>
      <c r="L1442" s="52" t="s">
        <v>167</v>
      </c>
      <c r="M1442" s="1100" t="s">
        <v>165</v>
      </c>
      <c r="N1442" s="52" t="str">
        <f>IF(AND('331-CT'!$E$7=TH!H1442,OR(L1442="331",M1442="331")),"331",IF(AND(OR(L1442="131",M1442="131"),H1442='131-CT'!$E$7),"131",""))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52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  <c r="AA1442" s="853"/>
    </row>
    <row r="1443" spans="1:27" s="810" customFormat="1" ht="15.75" customHeight="1">
      <c r="A1443" s="1097" t="str">
        <f>IF(B1443&lt;&gt;"",IF(AND(B1443&gt;=_TM1,B1443&lt;=_TM2,OR(TH!L1443="1111",TH!M1443="1111")),TH!D1443,""),"")</f>
        <v/>
      </c>
      <c r="B1443" s="700">
        <f t="shared" si="239"/>
        <v>5</v>
      </c>
      <c r="C1443" s="836">
        <f t="shared" si="237"/>
        <v>41409</v>
      </c>
      <c r="D1443" s="48"/>
      <c r="E1443" s="48">
        <v>41409</v>
      </c>
      <c r="F1443" s="49" t="s">
        <v>814</v>
      </c>
      <c r="G1443" s="49" t="s">
        <v>822</v>
      </c>
      <c r="H1443" s="840" t="s">
        <v>1292</v>
      </c>
      <c r="I1443" s="254"/>
      <c r="J1443" s="254"/>
      <c r="K1443" s="701">
        <f t="shared" si="238"/>
        <v>0</v>
      </c>
      <c r="L1443" s="52" t="s">
        <v>167</v>
      </c>
      <c r="M1443" s="1100" t="s">
        <v>165</v>
      </c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52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  <c r="AA1443" s="853"/>
    </row>
    <row r="1444" spans="1:27" s="810" customFormat="1" ht="15.75" customHeight="1">
      <c r="A1444" s="1097" t="str">
        <f>IF(B1444&lt;&gt;"",IF(AND(B1444&gt;=_TM1,B1444&lt;=_TM2,OR(TH!L1444="1111",TH!M1444="1111")),TH!D1444,""),"")</f>
        <v/>
      </c>
      <c r="B1444" s="700">
        <f t="shared" si="239"/>
        <v>5</v>
      </c>
      <c r="C1444" s="836">
        <f t="shared" si="237"/>
        <v>41409</v>
      </c>
      <c r="D1444" s="48"/>
      <c r="E1444" s="48">
        <v>41409</v>
      </c>
      <c r="F1444" s="49" t="s">
        <v>1131</v>
      </c>
      <c r="G1444" s="49" t="s">
        <v>822</v>
      </c>
      <c r="H1444" s="840" t="s">
        <v>1292</v>
      </c>
      <c r="I1444" s="254"/>
      <c r="J1444" s="254"/>
      <c r="K1444" s="701">
        <f t="shared" si="238"/>
        <v>0</v>
      </c>
      <c r="L1444" s="52" t="s">
        <v>167</v>
      </c>
      <c r="M1444" s="1100" t="s">
        <v>165</v>
      </c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52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  <c r="AA1444" s="853"/>
    </row>
    <row r="1445" spans="1:27" s="810" customFormat="1" ht="15.75" customHeight="1">
      <c r="A1445" s="1097" t="str">
        <f>IF(B1445&lt;&gt;"",IF(AND(B1445&gt;=_TM1,B1445&lt;=_TM2,OR(TH!L1445="1111",TH!M1445="1111")),TH!D1445,""),"")</f>
        <v/>
      </c>
      <c r="B1445" s="700">
        <f t="shared" si="239"/>
        <v>5</v>
      </c>
      <c r="C1445" s="836">
        <f t="shared" si="237"/>
        <v>41409</v>
      </c>
      <c r="D1445" s="48"/>
      <c r="E1445" s="48">
        <v>41409</v>
      </c>
      <c r="F1445" s="49" t="s">
        <v>1130</v>
      </c>
      <c r="G1445" s="49" t="s">
        <v>822</v>
      </c>
      <c r="H1445" s="840" t="s">
        <v>1292</v>
      </c>
      <c r="I1445" s="254"/>
      <c r="J1445" s="254"/>
      <c r="K1445" s="701">
        <f t="shared" si="238"/>
        <v>0</v>
      </c>
      <c r="L1445" s="52" t="s">
        <v>167</v>
      </c>
      <c r="M1445" s="1100" t="s">
        <v>165</v>
      </c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52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  <c r="AA1445" s="853"/>
    </row>
    <row r="1446" spans="1:27" s="810" customFormat="1" ht="15.75" customHeight="1">
      <c r="A1446" s="1097" t="str">
        <f>IF(B1446&lt;&gt;"",IF(AND(B1446&gt;=_TM1,B1446&lt;=_TM2,OR(TH!L1446="1111",TH!M1446="1111")),TH!D1446,""),"")</f>
        <v/>
      </c>
      <c r="B1446" s="700">
        <f t="shared" si="239"/>
        <v>5</v>
      </c>
      <c r="C1446" s="836">
        <f t="shared" si="237"/>
        <v>41409</v>
      </c>
      <c r="D1446" s="48"/>
      <c r="E1446" s="48">
        <v>41409</v>
      </c>
      <c r="F1446" s="49" t="s">
        <v>816</v>
      </c>
      <c r="G1446" s="49" t="s">
        <v>822</v>
      </c>
      <c r="H1446" s="840" t="s">
        <v>1292</v>
      </c>
      <c r="I1446" s="254"/>
      <c r="J1446" s="254"/>
      <c r="K1446" s="701">
        <f t="shared" si="238"/>
        <v>0</v>
      </c>
      <c r="L1446" s="52" t="s">
        <v>167</v>
      </c>
      <c r="M1446" s="1100" t="s">
        <v>165</v>
      </c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52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  <c r="AA1446" s="853"/>
    </row>
    <row r="1447" spans="1:27" s="810" customFormat="1" ht="15.75" customHeight="1">
      <c r="A1447" s="1097" t="str">
        <f>IF(B1447&lt;&gt;"",IF(AND(B1447&gt;=_TM1,B1447&lt;=_TM2,OR(TH!L1447="1111",TH!M1447="1111")),TH!D1447,""),"")</f>
        <v/>
      </c>
      <c r="B1447" s="700">
        <f t="shared" si="239"/>
        <v>5</v>
      </c>
      <c r="C1447" s="836">
        <f t="shared" si="237"/>
        <v>41409</v>
      </c>
      <c r="D1447" s="48"/>
      <c r="E1447" s="48">
        <v>41409</v>
      </c>
      <c r="F1447" s="49" t="s">
        <v>483</v>
      </c>
      <c r="G1447" s="49" t="s">
        <v>823</v>
      </c>
      <c r="H1447" s="840" t="s">
        <v>1292</v>
      </c>
      <c r="I1447" s="254"/>
      <c r="J1447" s="254"/>
      <c r="K1447" s="701">
        <f t="shared" si="238"/>
        <v>0</v>
      </c>
      <c r="L1447" s="52" t="s">
        <v>167</v>
      </c>
      <c r="M1447" s="1100" t="s">
        <v>165</v>
      </c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52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  <c r="AA1447" s="853"/>
    </row>
    <row r="1448" spans="1:27" s="810" customFormat="1" ht="15.75" customHeight="1">
      <c r="A1448" s="1097" t="str">
        <f>IF(B1448&lt;&gt;"",IF(AND(B1448&gt;=_TM1,B1448&lt;=_TM2,OR(TH!L1448="1111",TH!M1448="1111")),TH!D1448,""),"")</f>
        <v/>
      </c>
      <c r="B1448" s="700">
        <f t="shared" si="239"/>
        <v>5</v>
      </c>
      <c r="C1448" s="836">
        <f t="shared" si="237"/>
        <v>41410</v>
      </c>
      <c r="D1448" s="48"/>
      <c r="E1448" s="48">
        <v>41410</v>
      </c>
      <c r="F1448" s="49" t="s">
        <v>483</v>
      </c>
      <c r="G1448" s="49" t="s">
        <v>825</v>
      </c>
      <c r="H1448" s="840" t="s">
        <v>1292</v>
      </c>
      <c r="I1448" s="254"/>
      <c r="J1448" s="254"/>
      <c r="K1448" s="701">
        <f t="shared" si="238"/>
        <v>0</v>
      </c>
      <c r="L1448" s="52" t="s">
        <v>167</v>
      </c>
      <c r="M1448" s="1100" t="s">
        <v>165</v>
      </c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52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  <c r="AA1448" s="853"/>
    </row>
    <row r="1449" spans="1:27" s="810" customFormat="1" ht="15.75" customHeight="1">
      <c r="A1449" s="1097" t="str">
        <f>IF(B1449&lt;&gt;"",IF(AND(B1449&gt;=_TM1,B1449&lt;=_TM2,OR(TH!L1449="1111",TH!M1449="1111")),TH!D1449,""),"")</f>
        <v/>
      </c>
      <c r="B1449" s="700">
        <f t="shared" si="239"/>
        <v>5</v>
      </c>
      <c r="C1449" s="836">
        <f t="shared" si="237"/>
        <v>41410</v>
      </c>
      <c r="D1449" s="48"/>
      <c r="E1449" s="48">
        <v>41410</v>
      </c>
      <c r="F1449" s="49" t="s">
        <v>731</v>
      </c>
      <c r="G1449" s="49" t="s">
        <v>826</v>
      </c>
      <c r="H1449" s="840" t="s">
        <v>1292</v>
      </c>
      <c r="I1449" s="254"/>
      <c r="J1449" s="254"/>
      <c r="K1449" s="701">
        <f t="shared" si="238"/>
        <v>0</v>
      </c>
      <c r="L1449" s="52" t="s">
        <v>167</v>
      </c>
      <c r="M1449" s="1100" t="s">
        <v>165</v>
      </c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52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  <c r="AA1449" s="853"/>
    </row>
    <row r="1450" spans="1:27" s="810" customFormat="1" ht="15.75" customHeight="1">
      <c r="A1450" s="1097" t="str">
        <f>IF(B1450&lt;&gt;"",IF(AND(B1450&gt;=_TM1,B1450&lt;=_TM2,OR(TH!L1450="1111",TH!M1450="1111")),TH!D1450,""),"")</f>
        <v/>
      </c>
      <c r="B1450" s="700">
        <f t="shared" si="239"/>
        <v>5</v>
      </c>
      <c r="C1450" s="836">
        <f t="shared" si="237"/>
        <v>41410</v>
      </c>
      <c r="D1450" s="48"/>
      <c r="E1450" s="48">
        <v>41410</v>
      </c>
      <c r="F1450" s="49" t="s">
        <v>827</v>
      </c>
      <c r="G1450" s="49" t="s">
        <v>828</v>
      </c>
      <c r="H1450" s="840" t="s">
        <v>1292</v>
      </c>
      <c r="I1450" s="254"/>
      <c r="J1450" s="254"/>
      <c r="K1450" s="701">
        <f t="shared" si="238"/>
        <v>0</v>
      </c>
      <c r="L1450" s="52" t="s">
        <v>167</v>
      </c>
      <c r="M1450" s="1100" t="s">
        <v>165</v>
      </c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52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  <c r="AA1450" s="853"/>
    </row>
    <row r="1451" spans="1:27" s="810" customFormat="1" ht="15.75" customHeight="1">
      <c r="A1451" s="1097" t="str">
        <f>IF(B1451&lt;&gt;"",IF(AND(B1451&gt;=_TM1,B1451&lt;=_TM2,OR(TH!L1451="1111",TH!M1451="1111")),TH!D1451,""),"")</f>
        <v/>
      </c>
      <c r="B1451" s="700">
        <f t="shared" si="239"/>
        <v>5</v>
      </c>
      <c r="C1451" s="836">
        <f t="shared" si="237"/>
        <v>41411</v>
      </c>
      <c r="D1451" s="48"/>
      <c r="E1451" s="48">
        <v>41411</v>
      </c>
      <c r="F1451" s="49" t="s">
        <v>814</v>
      </c>
      <c r="G1451" s="49" t="s">
        <v>830</v>
      </c>
      <c r="H1451" s="840" t="s">
        <v>1292</v>
      </c>
      <c r="I1451" s="254"/>
      <c r="J1451" s="254"/>
      <c r="K1451" s="701">
        <f t="shared" si="238"/>
        <v>0</v>
      </c>
      <c r="L1451" s="52" t="s">
        <v>167</v>
      </c>
      <c r="M1451" s="1100" t="s">
        <v>165</v>
      </c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52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  <c r="AA1451" s="853"/>
    </row>
    <row r="1452" spans="1:27" s="810" customFormat="1" ht="15.75" customHeight="1">
      <c r="A1452" s="1097" t="str">
        <f>IF(B1452&lt;&gt;"",IF(AND(B1452&gt;=_TM1,B1452&lt;=_TM2,OR(TH!L1452="1111",TH!M1452="1111")),TH!D1452,""),"")</f>
        <v/>
      </c>
      <c r="B1452" s="700">
        <f t="shared" si="239"/>
        <v>5</v>
      </c>
      <c r="C1452" s="836">
        <f t="shared" si="237"/>
        <v>41415</v>
      </c>
      <c r="D1452" s="48"/>
      <c r="E1452" s="48">
        <v>41415</v>
      </c>
      <c r="F1452" s="49" t="s">
        <v>831</v>
      </c>
      <c r="G1452" s="49" t="s">
        <v>832</v>
      </c>
      <c r="H1452" s="840" t="s">
        <v>1292</v>
      </c>
      <c r="I1452" s="254"/>
      <c r="J1452" s="254"/>
      <c r="K1452" s="701">
        <f t="shared" si="238"/>
        <v>0</v>
      </c>
      <c r="L1452" s="52" t="s">
        <v>167</v>
      </c>
      <c r="M1452" s="1100" t="s">
        <v>165</v>
      </c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52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  <c r="AA1452" s="853"/>
    </row>
    <row r="1453" spans="1:27" s="810" customFormat="1" ht="15.75" customHeight="1">
      <c r="A1453" s="1097" t="str">
        <f>IF(B1453&lt;&gt;"",IF(AND(B1453&gt;=_TM1,B1453&lt;=_TM2,OR(TH!L1453="1111",TH!M1453="1111")),TH!D1453,""),"")</f>
        <v/>
      </c>
      <c r="B1453" s="700">
        <f t="shared" si="239"/>
        <v>5</v>
      </c>
      <c r="C1453" s="836">
        <f t="shared" si="237"/>
        <v>41415</v>
      </c>
      <c r="D1453" s="48"/>
      <c r="E1453" s="48">
        <v>41415</v>
      </c>
      <c r="F1453" s="49" t="s">
        <v>833</v>
      </c>
      <c r="G1453" s="49" t="s">
        <v>832</v>
      </c>
      <c r="H1453" s="840" t="s">
        <v>1292</v>
      </c>
      <c r="I1453" s="254"/>
      <c r="J1453" s="254"/>
      <c r="K1453" s="701">
        <f t="shared" si="238"/>
        <v>0</v>
      </c>
      <c r="L1453" s="52" t="s">
        <v>167</v>
      </c>
      <c r="M1453" s="1100" t="s">
        <v>165</v>
      </c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52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  <c r="AA1453" s="853"/>
    </row>
    <row r="1454" spans="1:27" s="810" customFormat="1" ht="15.75" customHeight="1">
      <c r="A1454" s="1097" t="str">
        <f>IF(B1454&lt;&gt;"",IF(AND(B1454&gt;=_TM1,B1454&lt;=_TM2,OR(TH!L1454="1111",TH!M1454="1111")),TH!D1454,""),"")</f>
        <v/>
      </c>
      <c r="B1454" s="700">
        <f t="shared" si="239"/>
        <v>5</v>
      </c>
      <c r="C1454" s="836">
        <f t="shared" si="237"/>
        <v>41415</v>
      </c>
      <c r="D1454" s="48"/>
      <c r="E1454" s="48">
        <v>41415</v>
      </c>
      <c r="F1454" s="49" t="s">
        <v>834</v>
      </c>
      <c r="G1454" s="49" t="s">
        <v>832</v>
      </c>
      <c r="H1454" s="840" t="s">
        <v>1292</v>
      </c>
      <c r="I1454" s="254"/>
      <c r="J1454" s="254"/>
      <c r="K1454" s="701">
        <f t="shared" si="238"/>
        <v>0</v>
      </c>
      <c r="L1454" s="52" t="s">
        <v>167</v>
      </c>
      <c r="M1454" s="1100" t="s">
        <v>165</v>
      </c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52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  <c r="AA1454" s="853"/>
    </row>
    <row r="1455" spans="1:27" s="810" customFormat="1" ht="15.75" customHeight="1">
      <c r="A1455" s="1097" t="str">
        <f>IF(B1455&lt;&gt;"",IF(AND(B1455&gt;=_TM1,B1455&lt;=_TM2,OR(TH!L1455="1111",TH!M1455="1111")),TH!D1455,""),"")</f>
        <v/>
      </c>
      <c r="B1455" s="700">
        <f t="shared" si="239"/>
        <v>5</v>
      </c>
      <c r="C1455" s="836">
        <f t="shared" si="237"/>
        <v>41415</v>
      </c>
      <c r="D1455" s="48"/>
      <c r="E1455" s="48">
        <v>41415</v>
      </c>
      <c r="F1455" s="49" t="s">
        <v>835</v>
      </c>
      <c r="G1455" s="49" t="s">
        <v>832</v>
      </c>
      <c r="H1455" s="840" t="s">
        <v>1292</v>
      </c>
      <c r="I1455" s="254"/>
      <c r="J1455" s="254"/>
      <c r="K1455" s="701">
        <f t="shared" si="238"/>
        <v>0</v>
      </c>
      <c r="L1455" s="52" t="s">
        <v>167</v>
      </c>
      <c r="M1455" s="1100" t="s">
        <v>165</v>
      </c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52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  <c r="AA1455" s="853"/>
    </row>
    <row r="1456" spans="1:27" s="810" customFormat="1" ht="15.75" customHeight="1">
      <c r="A1456" s="1097" t="str">
        <f>IF(B1456&lt;&gt;"",IF(AND(B1456&gt;=_TM1,B1456&lt;=_TM2,OR(TH!L1456="1111",TH!M1456="1111")),TH!D1456,""),"")</f>
        <v/>
      </c>
      <c r="B1456" s="700">
        <f t="shared" si="239"/>
        <v>5</v>
      </c>
      <c r="C1456" s="836">
        <f t="shared" si="237"/>
        <v>41415</v>
      </c>
      <c r="D1456" s="48"/>
      <c r="E1456" s="48">
        <v>41415</v>
      </c>
      <c r="F1456" s="49" t="s">
        <v>1157</v>
      </c>
      <c r="G1456" s="49" t="s">
        <v>832</v>
      </c>
      <c r="H1456" s="840" t="s">
        <v>1292</v>
      </c>
      <c r="I1456" s="254"/>
      <c r="J1456" s="254"/>
      <c r="K1456" s="701">
        <f t="shared" si="238"/>
        <v>0</v>
      </c>
      <c r="L1456" s="52" t="s">
        <v>167</v>
      </c>
      <c r="M1456" s="1100" t="s">
        <v>165</v>
      </c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52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  <c r="AA1456" s="853"/>
    </row>
    <row r="1457" spans="1:27" s="810" customFormat="1" ht="15.75" customHeight="1">
      <c r="A1457" s="1097" t="str">
        <f>IF(B1457&lt;&gt;"",IF(AND(B1457&gt;=_TM1,B1457&lt;=_TM2,OR(TH!L1457="1111",TH!M1457="1111")),TH!D1457,""),"")</f>
        <v/>
      </c>
      <c r="B1457" s="700">
        <f t="shared" si="239"/>
        <v>5</v>
      </c>
      <c r="C1457" s="836">
        <f t="shared" si="237"/>
        <v>41418</v>
      </c>
      <c r="D1457" s="48"/>
      <c r="E1457" s="48">
        <v>41418</v>
      </c>
      <c r="F1457" s="49" t="s">
        <v>1143</v>
      </c>
      <c r="G1457" s="49" t="s">
        <v>836</v>
      </c>
      <c r="H1457" s="840" t="s">
        <v>1292</v>
      </c>
      <c r="I1457" s="254"/>
      <c r="J1457" s="254"/>
      <c r="K1457" s="701">
        <f t="shared" si="238"/>
        <v>0</v>
      </c>
      <c r="L1457" s="52" t="s">
        <v>167</v>
      </c>
      <c r="M1457" s="1100" t="s">
        <v>165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52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  <c r="AA1457" s="853"/>
    </row>
    <row r="1458" spans="1:27" s="810" customFormat="1" ht="15.75" customHeight="1">
      <c r="A1458" s="1097" t="str">
        <f>IF(B1458&lt;&gt;"",IF(AND(B1458&gt;=_TM1,B1458&lt;=_TM2,OR(TH!L1458="1111",TH!M1458="1111")),TH!D1458,""),"")</f>
        <v/>
      </c>
      <c r="B1458" s="700">
        <f t="shared" si="239"/>
        <v>6</v>
      </c>
      <c r="C1458" s="836">
        <f t="shared" si="237"/>
        <v>41429</v>
      </c>
      <c r="D1458" s="48"/>
      <c r="E1458" s="48">
        <v>41429</v>
      </c>
      <c r="F1458" s="49" t="s">
        <v>1141</v>
      </c>
      <c r="G1458" s="49" t="s">
        <v>837</v>
      </c>
      <c r="H1458" s="840" t="s">
        <v>1292</v>
      </c>
      <c r="I1458" s="254"/>
      <c r="J1458" s="254"/>
      <c r="K1458" s="701">
        <f t="shared" si="238"/>
        <v>0</v>
      </c>
      <c r="L1458" s="52" t="s">
        <v>167</v>
      </c>
      <c r="M1458" s="1100" t="s">
        <v>165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52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  <c r="AA1458" s="853"/>
    </row>
    <row r="1459" spans="1:27" s="810" customFormat="1" ht="15.75" customHeight="1">
      <c r="A1459" s="1097" t="str">
        <f>IF(B1459&lt;&gt;"",IF(AND(B1459&gt;=_TM1,B1459&lt;=_TM2,OR(TH!L1459="1111",TH!M1459="1111")),TH!D1459,""),"")</f>
        <v/>
      </c>
      <c r="B1459" s="700">
        <f t="shared" si="239"/>
        <v>6</v>
      </c>
      <c r="C1459" s="836">
        <f t="shared" si="237"/>
        <v>41429</v>
      </c>
      <c r="D1459" s="836"/>
      <c r="E1459" s="836">
        <v>41429</v>
      </c>
      <c r="F1459" s="1099" t="s">
        <v>838</v>
      </c>
      <c r="G1459" s="837" t="s">
        <v>839</v>
      </c>
      <c r="H1459" s="840" t="s">
        <v>1292</v>
      </c>
      <c r="I1459" s="254"/>
      <c r="J1459" s="254"/>
      <c r="K1459" s="701">
        <f t="shared" si="238"/>
        <v>0</v>
      </c>
      <c r="L1459" s="52" t="s">
        <v>167</v>
      </c>
      <c r="M1459" s="1100" t="s">
        <v>165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52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  <c r="AA1459" s="853"/>
    </row>
    <row r="1460" spans="1:27" s="810" customFormat="1" ht="15.75" customHeight="1">
      <c r="A1460" s="1097" t="str">
        <f>IF(B1460&lt;&gt;"",IF(AND(B1460&gt;=_TM1,B1460&lt;=_TM2,OR(TH!L1460="1111",TH!M1460="1111")),TH!D1460,""),"")</f>
        <v/>
      </c>
      <c r="B1460" s="700">
        <f t="shared" si="239"/>
        <v>6</v>
      </c>
      <c r="C1460" s="836">
        <f t="shared" si="237"/>
        <v>41430</v>
      </c>
      <c r="D1460" s="836"/>
      <c r="E1460" s="836">
        <v>41430</v>
      </c>
      <c r="F1460" s="1099" t="s">
        <v>840</v>
      </c>
      <c r="G1460" s="837" t="s">
        <v>841</v>
      </c>
      <c r="H1460" s="840" t="s">
        <v>1292</v>
      </c>
      <c r="I1460" s="254"/>
      <c r="J1460" s="254"/>
      <c r="K1460" s="701">
        <f t="shared" si="238"/>
        <v>0</v>
      </c>
      <c r="L1460" s="52" t="s">
        <v>167</v>
      </c>
      <c r="M1460" s="1100" t="s">
        <v>165</v>
      </c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52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  <c r="AA1460" s="853"/>
    </row>
    <row r="1461" spans="1:27" s="810" customFormat="1" ht="15.75" customHeight="1">
      <c r="A1461" s="1097" t="str">
        <f>IF(B1461&lt;&gt;"",IF(AND(B1461&gt;=_TM1,B1461&lt;=_TM2,OR(TH!L1461="1111",TH!M1461="1111")),TH!D1461,""),"")</f>
        <v/>
      </c>
      <c r="B1461" s="700">
        <f t="shared" si="239"/>
        <v>6</v>
      </c>
      <c r="C1461" s="836">
        <f t="shared" si="237"/>
        <v>41430</v>
      </c>
      <c r="D1461" s="836"/>
      <c r="E1461" s="836">
        <v>41430</v>
      </c>
      <c r="F1461" s="1099" t="s">
        <v>840</v>
      </c>
      <c r="G1461" s="837" t="s">
        <v>841</v>
      </c>
      <c r="H1461" s="840" t="s">
        <v>1292</v>
      </c>
      <c r="I1461" s="254"/>
      <c r="J1461" s="254"/>
      <c r="K1461" s="701">
        <f t="shared" si="238"/>
        <v>0</v>
      </c>
      <c r="L1461" s="52" t="s">
        <v>167</v>
      </c>
      <c r="M1461" s="1100" t="s">
        <v>165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52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  <c r="AA1461" s="853"/>
    </row>
    <row r="1462" spans="1:27" s="810" customFormat="1" ht="15.75" customHeight="1">
      <c r="A1462" s="1097" t="str">
        <f>IF(B1462&lt;&gt;"",IF(AND(B1462&gt;=_TM1,B1462&lt;=_TM2,OR(TH!L1462="1111",TH!M1462="1111")),TH!D1462,""),"")</f>
        <v/>
      </c>
      <c r="B1462" s="700">
        <f t="shared" si="239"/>
        <v>6</v>
      </c>
      <c r="C1462" s="836">
        <f t="shared" si="237"/>
        <v>41432</v>
      </c>
      <c r="D1462" s="836"/>
      <c r="E1462" s="836">
        <v>41432</v>
      </c>
      <c r="F1462" s="1099" t="s">
        <v>1130</v>
      </c>
      <c r="G1462" s="837" t="s">
        <v>842</v>
      </c>
      <c r="H1462" s="840" t="s">
        <v>1292</v>
      </c>
      <c r="I1462" s="254"/>
      <c r="J1462" s="254"/>
      <c r="K1462" s="701">
        <f t="shared" si="238"/>
        <v>0</v>
      </c>
      <c r="L1462" s="52" t="s">
        <v>167</v>
      </c>
      <c r="M1462" s="1100" t="s">
        <v>165</v>
      </c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52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  <c r="AA1462" s="853"/>
    </row>
    <row r="1463" spans="1:27" s="810" customFormat="1" ht="15.75" customHeight="1">
      <c r="A1463" s="1097" t="str">
        <f>IF(B1463&lt;&gt;"",IF(AND(B1463&gt;=_TM1,B1463&lt;=_TM2,OR(TH!L1463="1111",TH!M1463="1111")),TH!D1463,""),"")</f>
        <v/>
      </c>
      <c r="B1463" s="700">
        <f t="shared" si="239"/>
        <v>6</v>
      </c>
      <c r="C1463" s="836">
        <f t="shared" si="237"/>
        <v>41432</v>
      </c>
      <c r="D1463" s="836"/>
      <c r="E1463" s="836">
        <v>41432</v>
      </c>
      <c r="F1463" s="1099" t="s">
        <v>1133</v>
      </c>
      <c r="G1463" s="837" t="s">
        <v>842</v>
      </c>
      <c r="H1463" s="840" t="s">
        <v>1292</v>
      </c>
      <c r="I1463" s="254"/>
      <c r="J1463" s="254"/>
      <c r="K1463" s="701">
        <f t="shared" si="238"/>
        <v>0</v>
      </c>
      <c r="L1463" s="52" t="s">
        <v>167</v>
      </c>
      <c r="M1463" s="1100" t="s">
        <v>165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52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  <c r="AA1463" s="853"/>
    </row>
    <row r="1464" spans="1:27" s="810" customFormat="1" ht="15.75" customHeight="1">
      <c r="A1464" s="1097" t="str">
        <f>IF(B1464&lt;&gt;"",IF(AND(B1464&gt;=_TM1,B1464&lt;=_TM2,OR(TH!L1464="1111",TH!M1464="1111")),TH!D1464,""),"")</f>
        <v/>
      </c>
      <c r="B1464" s="700">
        <f t="shared" si="239"/>
        <v>6</v>
      </c>
      <c r="C1464" s="836">
        <f t="shared" si="237"/>
        <v>41432</v>
      </c>
      <c r="D1464" s="836"/>
      <c r="E1464" s="836">
        <v>41432</v>
      </c>
      <c r="F1464" s="1099" t="s">
        <v>843</v>
      </c>
      <c r="G1464" s="837" t="s">
        <v>842</v>
      </c>
      <c r="H1464" s="840" t="s">
        <v>1292</v>
      </c>
      <c r="I1464" s="254"/>
      <c r="J1464" s="254"/>
      <c r="K1464" s="701">
        <f t="shared" si="238"/>
        <v>0</v>
      </c>
      <c r="L1464" s="52" t="s">
        <v>167</v>
      </c>
      <c r="M1464" s="1100" t="s">
        <v>165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52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  <c r="AA1464" s="853"/>
    </row>
    <row r="1465" spans="1:27" s="810" customFormat="1" ht="15.75" customHeight="1">
      <c r="A1465" s="1097" t="str">
        <f>IF(B1465&lt;&gt;"",IF(AND(B1465&gt;=_TM1,B1465&lt;=_TM2,OR(TH!L1465="1111",TH!M1465="1111")),TH!D1465,""),"")</f>
        <v/>
      </c>
      <c r="B1465" s="700">
        <f t="shared" si="239"/>
        <v>6</v>
      </c>
      <c r="C1465" s="836">
        <f t="shared" si="237"/>
        <v>41432</v>
      </c>
      <c r="D1465" s="836"/>
      <c r="E1465" s="836">
        <v>41432</v>
      </c>
      <c r="F1465" s="1099" t="s">
        <v>844</v>
      </c>
      <c r="G1465" s="837" t="s">
        <v>842</v>
      </c>
      <c r="H1465" s="840" t="s">
        <v>1292</v>
      </c>
      <c r="I1465" s="254"/>
      <c r="J1465" s="254"/>
      <c r="K1465" s="701">
        <f t="shared" si="238"/>
        <v>0</v>
      </c>
      <c r="L1465" s="52" t="s">
        <v>167</v>
      </c>
      <c r="M1465" s="1100" t="s">
        <v>165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52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  <c r="AA1465" s="853"/>
    </row>
    <row r="1466" spans="1:27" s="810" customFormat="1" ht="15.75" customHeight="1">
      <c r="A1466" s="1097" t="str">
        <f>IF(B1466&lt;&gt;"",IF(AND(B1466&gt;=_TM1,B1466&lt;=_TM2,OR(TH!L1466="1111",TH!M1466="1111")),TH!D1466,""),"")</f>
        <v/>
      </c>
      <c r="B1466" s="700">
        <f t="shared" si="239"/>
        <v>6</v>
      </c>
      <c r="C1466" s="836">
        <f t="shared" si="237"/>
        <v>41432</v>
      </c>
      <c r="D1466" s="836"/>
      <c r="E1466" s="836">
        <v>41432</v>
      </c>
      <c r="F1466" s="1122" t="s">
        <v>1148</v>
      </c>
      <c r="G1466" s="837" t="s">
        <v>845</v>
      </c>
      <c r="H1466" s="840" t="s">
        <v>1292</v>
      </c>
      <c r="I1466" s="254"/>
      <c r="J1466" s="254"/>
      <c r="K1466" s="701">
        <f t="shared" si="238"/>
        <v>0</v>
      </c>
      <c r="L1466" s="52" t="s">
        <v>167</v>
      </c>
      <c r="M1466" s="1100" t="s">
        <v>165</v>
      </c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52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  <c r="AA1466" s="853"/>
    </row>
    <row r="1467" spans="1:27" s="810" customFormat="1" ht="15.75" customHeight="1">
      <c r="A1467" s="1097" t="str">
        <f>IF(B1467&lt;&gt;"",IF(AND(B1467&gt;=_TM1,B1467&lt;=_TM2,OR(TH!L1467="1111",TH!M1467="1111")),TH!D1467,""),"")</f>
        <v/>
      </c>
      <c r="B1467" s="700">
        <f t="shared" si="239"/>
        <v>6</v>
      </c>
      <c r="C1467" s="836">
        <f t="shared" si="237"/>
        <v>41432</v>
      </c>
      <c r="D1467" s="836"/>
      <c r="E1467" s="836">
        <v>41432</v>
      </c>
      <c r="F1467" s="1099" t="s">
        <v>810</v>
      </c>
      <c r="G1467" s="837" t="s">
        <v>845</v>
      </c>
      <c r="H1467" s="840" t="s">
        <v>1292</v>
      </c>
      <c r="I1467" s="254"/>
      <c r="J1467" s="254"/>
      <c r="K1467" s="701">
        <f t="shared" si="238"/>
        <v>0</v>
      </c>
      <c r="L1467" s="52" t="s">
        <v>167</v>
      </c>
      <c r="M1467" s="1100" t="s">
        <v>165</v>
      </c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52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  <c r="AA1467" s="853"/>
    </row>
    <row r="1468" spans="1:27" s="810" customFormat="1" ht="15.75" customHeight="1">
      <c r="A1468" s="1097" t="str">
        <f>IF(B1468&lt;&gt;"",IF(AND(B1468&gt;=_TM1,B1468&lt;=_TM2,OR(TH!L1468="1111",TH!M1468="1111")),TH!D1468,""),"")</f>
        <v/>
      </c>
      <c r="B1468" s="700">
        <f t="shared" si="239"/>
        <v>6</v>
      </c>
      <c r="C1468" s="836">
        <f t="shared" si="237"/>
        <v>41432</v>
      </c>
      <c r="D1468" s="48"/>
      <c r="E1468" s="48">
        <v>41432</v>
      </c>
      <c r="F1468" s="49" t="s">
        <v>846</v>
      </c>
      <c r="G1468" s="49" t="s">
        <v>845</v>
      </c>
      <c r="H1468" s="840" t="s">
        <v>1292</v>
      </c>
      <c r="I1468" s="254"/>
      <c r="J1468" s="254"/>
      <c r="K1468" s="701">
        <f t="shared" si="238"/>
        <v>0</v>
      </c>
      <c r="L1468" s="52" t="s">
        <v>167</v>
      </c>
      <c r="M1468" s="1100" t="s">
        <v>165</v>
      </c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52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  <c r="AA1468" s="853"/>
    </row>
    <row r="1469" spans="1:27" s="810" customFormat="1" ht="15.75" customHeight="1">
      <c r="A1469" s="1097" t="str">
        <f>IF(B1469&lt;&gt;"",IF(AND(B1469&gt;=_TM1,B1469&lt;=_TM2,OR(TH!L1469="1111",TH!M1469="1111")),TH!D1469,""),"")</f>
        <v/>
      </c>
      <c r="B1469" s="700">
        <f t="shared" si="239"/>
        <v>6</v>
      </c>
      <c r="C1469" s="836">
        <f t="shared" si="237"/>
        <v>41432</v>
      </c>
      <c r="D1469" s="48"/>
      <c r="E1469" s="48">
        <v>41432</v>
      </c>
      <c r="F1469" s="49" t="s">
        <v>1139</v>
      </c>
      <c r="G1469" s="49" t="s">
        <v>845</v>
      </c>
      <c r="H1469" s="840" t="s">
        <v>1292</v>
      </c>
      <c r="I1469" s="254"/>
      <c r="J1469" s="254"/>
      <c r="K1469" s="701">
        <f t="shared" si="238"/>
        <v>0</v>
      </c>
      <c r="L1469" s="52" t="s">
        <v>167</v>
      </c>
      <c r="M1469" s="1100" t="s">
        <v>165</v>
      </c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52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  <c r="AA1469" s="853"/>
    </row>
    <row r="1470" spans="1:27" s="810" customFormat="1" ht="15.75" customHeight="1">
      <c r="A1470" s="1097" t="str">
        <f>IF(B1470&lt;&gt;"",IF(AND(B1470&gt;=_TM1,B1470&lt;=_TM2,OR(TH!L1470="1111",TH!M1470="1111")),TH!D1470,""),"")</f>
        <v/>
      </c>
      <c r="B1470" s="700">
        <f t="shared" si="239"/>
        <v>6</v>
      </c>
      <c r="C1470" s="836">
        <f t="shared" si="237"/>
        <v>41435</v>
      </c>
      <c r="D1470" s="48"/>
      <c r="E1470" s="48">
        <v>41435</v>
      </c>
      <c r="F1470" s="49" t="s">
        <v>847</v>
      </c>
      <c r="G1470" s="49" t="s">
        <v>848</v>
      </c>
      <c r="H1470" s="840" t="s">
        <v>1292</v>
      </c>
      <c r="I1470" s="254"/>
      <c r="J1470" s="254"/>
      <c r="K1470" s="701">
        <f t="shared" si="238"/>
        <v>0</v>
      </c>
      <c r="L1470" s="52" t="s">
        <v>167</v>
      </c>
      <c r="M1470" s="1100" t="s">
        <v>165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52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  <c r="AA1470" s="853"/>
    </row>
    <row r="1471" spans="1:27" s="810" customFormat="1" ht="15.75" customHeight="1">
      <c r="A1471" s="1097" t="str">
        <f>IF(B1471&lt;&gt;"",IF(AND(B1471&gt;=_TM1,B1471&lt;=_TM2,OR(TH!L1471="1111",TH!M1471="1111")),TH!D1471,""),"")</f>
        <v/>
      </c>
      <c r="B1471" s="700">
        <f t="shared" si="239"/>
        <v>6</v>
      </c>
      <c r="C1471" s="836">
        <f t="shared" si="237"/>
        <v>41436</v>
      </c>
      <c r="D1471" s="48"/>
      <c r="E1471" s="48">
        <v>41436</v>
      </c>
      <c r="F1471" s="49" t="s">
        <v>1139</v>
      </c>
      <c r="G1471" s="49" t="s">
        <v>850</v>
      </c>
      <c r="H1471" s="840" t="s">
        <v>1292</v>
      </c>
      <c r="I1471" s="254"/>
      <c r="J1471" s="254"/>
      <c r="K1471" s="701">
        <f t="shared" si="238"/>
        <v>0</v>
      </c>
      <c r="L1471" s="52" t="s">
        <v>167</v>
      </c>
      <c r="M1471" s="1100" t="s">
        <v>165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52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  <c r="AA1471" s="853"/>
    </row>
    <row r="1472" spans="1:27" s="810" customFormat="1" ht="15.75" customHeight="1">
      <c r="A1472" s="1097" t="str">
        <f>IF(B1472&lt;&gt;"",IF(AND(B1472&gt;=_TM1,B1472&lt;=_TM2,OR(TH!L1472="1111",TH!M1472="1111")),TH!D1472,""),"")</f>
        <v/>
      </c>
      <c r="B1472" s="700">
        <f t="shared" si="239"/>
        <v>6</v>
      </c>
      <c r="C1472" s="836">
        <f t="shared" si="237"/>
        <v>41436</v>
      </c>
      <c r="D1472" s="48"/>
      <c r="E1472" s="48">
        <v>41436</v>
      </c>
      <c r="F1472" s="49" t="s">
        <v>851</v>
      </c>
      <c r="G1472" s="49" t="s">
        <v>852</v>
      </c>
      <c r="H1472" s="840" t="s">
        <v>1292</v>
      </c>
      <c r="I1472" s="254"/>
      <c r="J1472" s="254"/>
      <c r="K1472" s="701">
        <f t="shared" si="238"/>
        <v>0</v>
      </c>
      <c r="L1472" s="52" t="s">
        <v>167</v>
      </c>
      <c r="M1472" s="1100" t="s">
        <v>165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52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  <c r="AA1472" s="853"/>
    </row>
    <row r="1473" spans="1:27" s="810" customFormat="1" ht="15.75" customHeight="1">
      <c r="A1473" s="1097" t="str">
        <f>IF(B1473&lt;&gt;"",IF(AND(B1473&gt;=_TM1,B1473&lt;=_TM2,OR(TH!L1473="1111",TH!M1473="1111")),TH!D1473,""),"")</f>
        <v/>
      </c>
      <c r="B1473" s="700">
        <f t="shared" si="239"/>
        <v>6</v>
      </c>
      <c r="C1473" s="836">
        <f t="shared" si="237"/>
        <v>41443</v>
      </c>
      <c r="D1473" s="48"/>
      <c r="E1473" s="48">
        <v>41443</v>
      </c>
      <c r="F1473" s="49" t="s">
        <v>853</v>
      </c>
      <c r="G1473" s="49" t="s">
        <v>854</v>
      </c>
      <c r="H1473" s="840" t="s">
        <v>1292</v>
      </c>
      <c r="I1473" s="254"/>
      <c r="J1473" s="254"/>
      <c r="K1473" s="701">
        <f t="shared" si="238"/>
        <v>0</v>
      </c>
      <c r="L1473" s="52" t="s">
        <v>167</v>
      </c>
      <c r="M1473" s="1100" t="s">
        <v>165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52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/>
      </c>
      <c r="AA1473" s="853"/>
    </row>
    <row r="1474" spans="1:27" s="810" customFormat="1" ht="15.75" customHeight="1">
      <c r="A1474" s="1097" t="str">
        <f>IF(B1474&lt;&gt;"",IF(AND(B1474&gt;=_TM1,B1474&lt;=_TM2,OR(TH!L1474="1111",TH!M1474="1111")),TH!D1474,""),"")</f>
        <v/>
      </c>
      <c r="B1474" s="700">
        <f t="shared" si="239"/>
        <v>6</v>
      </c>
      <c r="C1474" s="836">
        <f t="shared" si="237"/>
        <v>41444</v>
      </c>
      <c r="D1474" s="48"/>
      <c r="E1474" s="48">
        <v>41444</v>
      </c>
      <c r="F1474" s="49" t="s">
        <v>744</v>
      </c>
      <c r="G1474" s="49" t="s">
        <v>855</v>
      </c>
      <c r="H1474" s="840" t="s">
        <v>1292</v>
      </c>
      <c r="I1474" s="254"/>
      <c r="J1474" s="254"/>
      <c r="K1474" s="701">
        <f t="shared" si="238"/>
        <v>0</v>
      </c>
      <c r="L1474" s="52" t="s">
        <v>167</v>
      </c>
      <c r="M1474" s="1100" t="s">
        <v>165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52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  <c r="AA1474" s="853"/>
    </row>
    <row r="1475" spans="1:27" s="810" customFormat="1" ht="15.75" customHeight="1">
      <c r="A1475" s="1097" t="str">
        <f>IF(B1475&lt;&gt;"",IF(AND(B1475&gt;=_TM1,B1475&lt;=_TM2,OR(TH!L1475="1111",TH!M1475="1111")),TH!D1475,""),"")</f>
        <v/>
      </c>
      <c r="B1475" s="700">
        <f t="shared" si="239"/>
        <v>6</v>
      </c>
      <c r="C1475" s="836">
        <f t="shared" si="237"/>
        <v>41445</v>
      </c>
      <c r="D1475" s="48"/>
      <c r="E1475" s="48">
        <v>41445</v>
      </c>
      <c r="F1475" s="1099" t="s">
        <v>817</v>
      </c>
      <c r="G1475" s="49" t="s">
        <v>856</v>
      </c>
      <c r="H1475" s="840" t="s">
        <v>1292</v>
      </c>
      <c r="I1475" s="254"/>
      <c r="J1475" s="254"/>
      <c r="K1475" s="701">
        <f t="shared" si="238"/>
        <v>0</v>
      </c>
      <c r="L1475" s="52" t="s">
        <v>167</v>
      </c>
      <c r="M1475" s="1100" t="s">
        <v>165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52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  <c r="AA1475" s="853"/>
    </row>
    <row r="1476" spans="1:27" s="810" customFormat="1" ht="15.75" customHeight="1">
      <c r="A1476" s="1097" t="str">
        <f>IF(B1476&lt;&gt;"",IF(AND(B1476&gt;=_TM1,B1476&lt;=_TM2,OR(TH!L1476="1111",TH!M1476="1111")),TH!D1476,""),"")</f>
        <v/>
      </c>
      <c r="B1476" s="700">
        <f t="shared" si="239"/>
        <v>6</v>
      </c>
      <c r="C1476" s="836">
        <f t="shared" si="237"/>
        <v>41445</v>
      </c>
      <c r="D1476" s="48"/>
      <c r="E1476" s="48">
        <v>41445</v>
      </c>
      <c r="F1476" s="49" t="s">
        <v>819</v>
      </c>
      <c r="G1476" s="49" t="s">
        <v>856</v>
      </c>
      <c r="H1476" s="840" t="s">
        <v>1292</v>
      </c>
      <c r="I1476" s="254"/>
      <c r="J1476" s="254"/>
      <c r="K1476" s="701">
        <f t="shared" si="238"/>
        <v>0</v>
      </c>
      <c r="L1476" s="52" t="s">
        <v>167</v>
      </c>
      <c r="M1476" s="1100" t="s">
        <v>165</v>
      </c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52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  <c r="AA1476" s="853"/>
    </row>
    <row r="1477" spans="1:27" s="810" customFormat="1" ht="15.75" customHeight="1">
      <c r="A1477" s="1097" t="str">
        <f>IF(B1477&lt;&gt;"",IF(AND(B1477&gt;=_TM1,B1477&lt;=_TM2,OR(TH!L1477="1111",TH!M1477="1111")),TH!D1477,""),"")</f>
        <v/>
      </c>
      <c r="B1477" s="700">
        <f t="shared" si="239"/>
        <v>6</v>
      </c>
      <c r="C1477" s="836">
        <f t="shared" si="237"/>
        <v>41445</v>
      </c>
      <c r="D1477" s="48"/>
      <c r="E1477" s="48">
        <v>41445</v>
      </c>
      <c r="F1477" s="49" t="s">
        <v>1131</v>
      </c>
      <c r="G1477" s="49" t="s">
        <v>857</v>
      </c>
      <c r="H1477" s="840" t="s">
        <v>1292</v>
      </c>
      <c r="I1477" s="254"/>
      <c r="J1477" s="254"/>
      <c r="K1477" s="701">
        <f t="shared" si="238"/>
        <v>0</v>
      </c>
      <c r="L1477" s="52" t="s">
        <v>167</v>
      </c>
      <c r="M1477" s="1100" t="s">
        <v>165</v>
      </c>
      <c r="N1477" s="52" t="str">
        <f>IF(AND('331-CT'!$E$7=TH!H1477,OR(L1477="331",M1477="331")),"331",IF(AND(OR(L1477="131",M1477="131"),H1477='131-CT'!$E$7),"131",""))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52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  <c r="AA1477" s="853"/>
    </row>
    <row r="1478" spans="1:27" s="810" customFormat="1" ht="15.75" customHeight="1">
      <c r="A1478" s="1097" t="str">
        <f>IF(B1478&lt;&gt;"",IF(AND(B1478&gt;=_TM1,B1478&lt;=_TM2,OR(TH!L1478="1111",TH!M1478="1111")),TH!D1478,""),"")</f>
        <v/>
      </c>
      <c r="B1478" s="700">
        <f t="shared" si="239"/>
        <v>6</v>
      </c>
      <c r="C1478" s="836">
        <f t="shared" si="237"/>
        <v>41445</v>
      </c>
      <c r="D1478" s="48"/>
      <c r="E1478" s="48">
        <v>41445</v>
      </c>
      <c r="F1478" s="49" t="s">
        <v>1130</v>
      </c>
      <c r="G1478" s="49" t="s">
        <v>857</v>
      </c>
      <c r="H1478" s="840" t="s">
        <v>1292</v>
      </c>
      <c r="I1478" s="254"/>
      <c r="J1478" s="254"/>
      <c r="K1478" s="701">
        <f t="shared" si="238"/>
        <v>0</v>
      </c>
      <c r="L1478" s="52" t="s">
        <v>167</v>
      </c>
      <c r="M1478" s="1100" t="s">
        <v>165</v>
      </c>
      <c r="N1478" s="52" t="str">
        <f>IF(AND('331-CT'!$E$7=TH!H1478,OR(L1478="331",M1478="331")),"331",IF(AND(OR(L1478="131",M1478="131"),H1478='131-CT'!$E$7),"131",""))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52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  <c r="AA1478" s="853"/>
    </row>
    <row r="1479" spans="1:27" s="810" customFormat="1" ht="15.75" customHeight="1">
      <c r="A1479" s="1097" t="str">
        <f>IF(B1479&lt;&gt;"",IF(AND(B1479&gt;=_TM1,B1479&lt;=_TM2,OR(TH!L1479="1111",TH!M1479="1111")),TH!D1479,""),"")</f>
        <v/>
      </c>
      <c r="B1479" s="700">
        <f t="shared" si="239"/>
        <v>6</v>
      </c>
      <c r="C1479" s="836">
        <f t="shared" ref="C1479:C1542" si="240">E1479</f>
        <v>41445</v>
      </c>
      <c r="D1479" s="48"/>
      <c r="E1479" s="48">
        <v>41445</v>
      </c>
      <c r="F1479" s="49" t="s">
        <v>831</v>
      </c>
      <c r="G1479" s="49" t="s">
        <v>858</v>
      </c>
      <c r="H1479" s="840" t="s">
        <v>1292</v>
      </c>
      <c r="I1479" s="254"/>
      <c r="J1479" s="254"/>
      <c r="K1479" s="701">
        <f t="shared" ref="K1479:K1542" si="241">ROUND(I1479*J1479,0)</f>
        <v>0</v>
      </c>
      <c r="L1479" s="52" t="s">
        <v>167</v>
      </c>
      <c r="M1479" s="1100" t="s">
        <v>165</v>
      </c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52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  <c r="AA1479" s="853"/>
    </row>
    <row r="1480" spans="1:27" s="810" customFormat="1" ht="15.75" customHeight="1">
      <c r="A1480" s="1097" t="str">
        <f>IF(B1480&lt;&gt;"",IF(AND(B1480&gt;=_TM1,B1480&lt;=_TM2,OR(TH!L1480="1111",TH!M1480="1111")),TH!D1480,""),"")</f>
        <v/>
      </c>
      <c r="B1480" s="700">
        <f t="shared" si="239"/>
        <v>6</v>
      </c>
      <c r="C1480" s="836">
        <f t="shared" si="240"/>
        <v>41445</v>
      </c>
      <c r="D1480" s="48"/>
      <c r="E1480" s="48">
        <v>41445</v>
      </c>
      <c r="F1480" s="49" t="s">
        <v>833</v>
      </c>
      <c r="G1480" s="49" t="s">
        <v>858</v>
      </c>
      <c r="H1480" s="840" t="s">
        <v>1292</v>
      </c>
      <c r="I1480" s="254"/>
      <c r="J1480" s="254"/>
      <c r="K1480" s="701">
        <f t="shared" si="241"/>
        <v>0</v>
      </c>
      <c r="L1480" s="52" t="s">
        <v>167</v>
      </c>
      <c r="M1480" s="1100" t="s">
        <v>165</v>
      </c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52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  <c r="AA1480" s="853"/>
    </row>
    <row r="1481" spans="1:27" s="810" customFormat="1" ht="15.75" customHeight="1">
      <c r="A1481" s="1097" t="str">
        <f>IF(B1481&lt;&gt;"",IF(AND(B1481&gt;=_TM1,B1481&lt;=_TM2,OR(TH!L1481="1111",TH!M1481="1111")),TH!D1481,""),"")</f>
        <v/>
      </c>
      <c r="B1481" s="700">
        <f t="shared" si="239"/>
        <v>6</v>
      </c>
      <c r="C1481" s="836">
        <f t="shared" si="240"/>
        <v>41445</v>
      </c>
      <c r="D1481" s="48"/>
      <c r="E1481" s="48">
        <v>41445</v>
      </c>
      <c r="F1481" s="49" t="s">
        <v>1140</v>
      </c>
      <c r="G1481" s="49" t="s">
        <v>858</v>
      </c>
      <c r="H1481" s="840" t="s">
        <v>1292</v>
      </c>
      <c r="I1481" s="254"/>
      <c r="J1481" s="254"/>
      <c r="K1481" s="701">
        <f t="shared" si="241"/>
        <v>0</v>
      </c>
      <c r="L1481" s="52" t="s">
        <v>167</v>
      </c>
      <c r="M1481" s="1100" t="s">
        <v>165</v>
      </c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52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  <c r="AA1481" s="853"/>
    </row>
    <row r="1482" spans="1:27" s="810" customFormat="1" ht="15.75" customHeight="1">
      <c r="A1482" s="1097" t="str">
        <f>IF(B1482&lt;&gt;"",IF(AND(B1482&gt;=_TM1,B1482&lt;=_TM2,OR(TH!L1482="1111",TH!M1482="1111")),TH!D1482,""),"")</f>
        <v/>
      </c>
      <c r="B1482" s="700">
        <f t="shared" si="239"/>
        <v>6</v>
      </c>
      <c r="C1482" s="836">
        <f t="shared" si="240"/>
        <v>41446</v>
      </c>
      <c r="D1482" s="48"/>
      <c r="E1482" s="48">
        <v>41446</v>
      </c>
      <c r="F1482" s="49" t="s">
        <v>1142</v>
      </c>
      <c r="G1482" s="49" t="s">
        <v>859</v>
      </c>
      <c r="H1482" s="840" t="s">
        <v>1292</v>
      </c>
      <c r="I1482" s="254"/>
      <c r="J1482" s="254"/>
      <c r="K1482" s="701">
        <f t="shared" si="241"/>
        <v>0</v>
      </c>
      <c r="L1482" s="52" t="s">
        <v>167</v>
      </c>
      <c r="M1482" s="1100" t="s">
        <v>165</v>
      </c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52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  <c r="AA1482" s="853"/>
    </row>
    <row r="1483" spans="1:27" s="810" customFormat="1" ht="15.75" customHeight="1">
      <c r="A1483" s="1097" t="str">
        <f>IF(B1483&lt;&gt;"",IF(AND(B1483&gt;=_TM1,B1483&lt;=_TM2,OR(TH!L1483="1111",TH!M1483="1111")),TH!D1483,""),"")</f>
        <v/>
      </c>
      <c r="B1483" s="700">
        <f t="shared" si="239"/>
        <v>6</v>
      </c>
      <c r="C1483" s="836">
        <f t="shared" si="240"/>
        <v>41451</v>
      </c>
      <c r="D1483" s="48"/>
      <c r="E1483" s="48">
        <v>41451</v>
      </c>
      <c r="F1483" s="1099" t="s">
        <v>838</v>
      </c>
      <c r="G1483" s="49" t="s">
        <v>860</v>
      </c>
      <c r="H1483" s="840" t="s">
        <v>1292</v>
      </c>
      <c r="I1483" s="254"/>
      <c r="J1483" s="254"/>
      <c r="K1483" s="701">
        <f t="shared" si="241"/>
        <v>0</v>
      </c>
      <c r="L1483" s="52" t="s">
        <v>167</v>
      </c>
      <c r="M1483" s="1100" t="s">
        <v>165</v>
      </c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52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  <c r="AA1483" s="853"/>
    </row>
    <row r="1484" spans="1:27" s="810" customFormat="1" ht="15.75" customHeight="1">
      <c r="A1484" s="1097" t="str">
        <f>IF(B1484&lt;&gt;"",IF(AND(B1484&gt;=_TM1,B1484&lt;=_TM2,OR(TH!L1484="1111",TH!M1484="1111")),TH!D1484,""),"")</f>
        <v/>
      </c>
      <c r="B1484" s="700">
        <f t="shared" si="239"/>
        <v>6</v>
      </c>
      <c r="C1484" s="836">
        <f t="shared" si="240"/>
        <v>41451</v>
      </c>
      <c r="D1484" s="1098"/>
      <c r="E1484" s="836">
        <v>41451</v>
      </c>
      <c r="F1484" s="1099" t="s">
        <v>861</v>
      </c>
      <c r="G1484" s="837" t="s">
        <v>862</v>
      </c>
      <c r="H1484" s="840" t="s">
        <v>1292</v>
      </c>
      <c r="I1484" s="254"/>
      <c r="J1484" s="254"/>
      <c r="K1484" s="701">
        <f t="shared" si="241"/>
        <v>0</v>
      </c>
      <c r="L1484" s="52" t="s">
        <v>167</v>
      </c>
      <c r="M1484" s="1100" t="s">
        <v>165</v>
      </c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52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  <c r="AA1484" s="853"/>
    </row>
    <row r="1485" spans="1:27" s="810" customFormat="1" ht="15.75" customHeight="1">
      <c r="A1485" s="1097" t="str">
        <f>IF(B1485&lt;&gt;"",IF(AND(B1485&gt;=_TM1,B1485&lt;=_TM2,OR(TH!L1485="1111",TH!M1485="1111")),TH!D1485,""),"")</f>
        <v/>
      </c>
      <c r="B1485" s="700">
        <f t="shared" si="239"/>
        <v>6</v>
      </c>
      <c r="C1485" s="836">
        <f t="shared" si="240"/>
        <v>41452</v>
      </c>
      <c r="D1485" s="1098"/>
      <c r="E1485" s="836">
        <v>41452</v>
      </c>
      <c r="F1485" s="1099" t="s">
        <v>1137</v>
      </c>
      <c r="G1485" s="837" t="s">
        <v>863</v>
      </c>
      <c r="H1485" s="840" t="s">
        <v>1292</v>
      </c>
      <c r="I1485" s="254"/>
      <c r="J1485" s="254"/>
      <c r="K1485" s="701">
        <f t="shared" si="241"/>
        <v>0</v>
      </c>
      <c r="L1485" s="52" t="s">
        <v>167</v>
      </c>
      <c r="M1485" s="1100" t="s">
        <v>165</v>
      </c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52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  <c r="AA1485" s="853"/>
    </row>
    <row r="1486" spans="1:27" s="843" customFormat="1" ht="15.75" customHeight="1">
      <c r="A1486" s="1106" t="str">
        <f>IF(B1486&lt;&gt;"",IF(AND(B1486&gt;=_TM1,B1486&lt;=_TM2,OR(TH!L1486="1111",TH!M1486="1111")),TH!D1486,""),"")</f>
        <v/>
      </c>
      <c r="B1486" s="841">
        <f t="shared" si="239"/>
        <v>7</v>
      </c>
      <c r="C1486" s="1107">
        <f t="shared" si="240"/>
        <v>41460</v>
      </c>
      <c r="D1486" s="1115"/>
      <c r="E1486" s="1107">
        <v>41460</v>
      </c>
      <c r="F1486" s="1129" t="s">
        <v>1165</v>
      </c>
      <c r="G1486" s="1130" t="s">
        <v>864</v>
      </c>
      <c r="H1486" s="1110" t="s">
        <v>1292</v>
      </c>
      <c r="I1486" s="1131"/>
      <c r="J1486" s="1118"/>
      <c r="K1486" s="838">
        <f t="shared" si="241"/>
        <v>0</v>
      </c>
      <c r="L1486" s="831" t="s">
        <v>167</v>
      </c>
      <c r="M1486" s="1113" t="s">
        <v>165</v>
      </c>
      <c r="N1486" s="831" t="str">
        <f>IF(AND('331-CT'!$E$7=TH!H1486,OR(L1486="331",M1486="331")),"331",IF(AND(OR(L1486="131",M1486="131"),H1486='131-CT'!$E$7),"131",""))</f>
        <v/>
      </c>
      <c r="O1486" s="831" t="str">
        <f>IF(AND($B1486&gt;='111'!$N$11,$B1486&lt;='111'!$O$11,OR($L1486=$O$7,$M1486=$O$7)),"x","")</f>
        <v/>
      </c>
      <c r="P1486" s="831" t="str">
        <f>IF(AND($L1486=$O$7,$B1486&lt;'111'!$N$11),"x","")</f>
        <v/>
      </c>
      <c r="Q1486" s="831" t="str">
        <f>IF(AND($M1486=$O$7,$B1486&lt;'111'!$N$11),"x","")</f>
        <v/>
      </c>
      <c r="R1486" s="831" t="str">
        <f>IF(ISERROR(FIND('112'!$M$9,G1486,1)),"",IF((AND(FIND('112'!$M$9,G1486,1)&gt;=1,$B1486&gt;='112'!$N$8,$B1486&lt;='112'!$O$8,OR($L1486='112'!$I$6,$M1486='112'!$I$6))),"x",""))</f>
        <v/>
      </c>
      <c r="S1486" s="831" t="str">
        <f>IF(ISERROR(FIND('112'!$M$9,G1486,1)),"",IF((AND(LEFT(G1486,2)=LEFT('112'!$M$9,2),B1486&lt;'112'!$N$8,$L1486='112'!$I$6)),"x",""))</f>
        <v/>
      </c>
      <c r="T1486" s="831" t="str">
        <f>IF(ISERROR(FIND('112'!$M$9,G1486,1)),"",IF((AND(RIGHT(G1486,2)=RIGHT('112'!$M$9,2),B1486&lt;'112'!$N$8,$M1486='112'!$I$6)),"x",""))</f>
        <v/>
      </c>
      <c r="U1486" s="831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831" t="str">
        <f>IF(OR(TH!L1486=TH!$V$7,M1486=TH!$V$7),"x","")</f>
        <v/>
      </c>
      <c r="W1486" s="831" t="str">
        <f>IF(AND(B1486&gt;='IN-NX'!$P$3,B1486&lt;='IN-NX'!$Q$3,'IN-NX'!$D$7=D1486,OR(LEFT(L1486,2)="15",AND(LEFT(M1486,2)&lt;&gt;"15",LEFT(M1486,2)&lt;&gt;"33"))),"x","")</f>
        <v/>
      </c>
      <c r="X1486" s="831" t="str">
        <f>IF(AND(OR(LEFT(TH!L1486,2)="15",LEFT(TH!M1486,2)="15"),'152-CT'!$J$8=TH!F1486),"x","")</f>
        <v/>
      </c>
      <c r="Y1486" s="831" t="str">
        <f>IF(AND(OR(LEFT(TH!L1486,2)="15",LEFT(TH!M1486,2)="15"),TK!$E$7=TH!F1486),"x","")</f>
        <v/>
      </c>
      <c r="Z1486" s="831" t="str">
        <f>IF(AND(B1486&lt;=NKC!$N$8,B1486&gt;=NKC!$M$8),"x","")</f>
        <v>x</v>
      </c>
      <c r="AA1486" s="1114"/>
    </row>
    <row r="1487" spans="1:27" s="810" customFormat="1" ht="15.75" customHeight="1">
      <c r="A1487" s="1097" t="str">
        <f>IF(B1487&lt;&gt;"",IF(AND(B1487&gt;=_TM1,B1487&lt;=_TM2,OR(TH!L1487="1111",TH!M1487="1111")),TH!D1487,""),"")</f>
        <v/>
      </c>
      <c r="B1487" s="700">
        <f t="shared" si="239"/>
        <v>7</v>
      </c>
      <c r="C1487" s="836">
        <f t="shared" si="240"/>
        <v>41460</v>
      </c>
      <c r="D1487" s="1098"/>
      <c r="E1487" s="836">
        <v>41460</v>
      </c>
      <c r="F1487" s="1099" t="s">
        <v>866</v>
      </c>
      <c r="G1487" s="1126" t="s">
        <v>864</v>
      </c>
      <c r="H1487" s="840" t="s">
        <v>1292</v>
      </c>
      <c r="I1487" s="1121"/>
      <c r="J1487" s="254"/>
      <c r="K1487" s="701">
        <f t="shared" si="241"/>
        <v>0</v>
      </c>
      <c r="L1487" s="52" t="s">
        <v>167</v>
      </c>
      <c r="M1487" s="1100" t="s">
        <v>165</v>
      </c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52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>x</v>
      </c>
      <c r="AA1487" s="853"/>
    </row>
    <row r="1488" spans="1:27" s="810" customFormat="1" ht="15.75" customHeight="1">
      <c r="A1488" s="1097" t="str">
        <f>IF(B1488&lt;&gt;"",IF(AND(B1488&gt;=_TM1,B1488&lt;=_TM2,OR(TH!L1488="1111",TH!M1488="1111")),TH!D1488,""),"")</f>
        <v/>
      </c>
      <c r="B1488" s="700">
        <f t="shared" si="239"/>
        <v>7</v>
      </c>
      <c r="C1488" s="836">
        <f t="shared" si="240"/>
        <v>41463</v>
      </c>
      <c r="D1488" s="48"/>
      <c r="E1488" s="854">
        <v>41463</v>
      </c>
      <c r="F1488" s="49" t="s">
        <v>867</v>
      </c>
      <c r="G1488" s="49" t="s">
        <v>868</v>
      </c>
      <c r="H1488" s="840" t="s">
        <v>1292</v>
      </c>
      <c r="I1488" s="254"/>
      <c r="J1488" s="254"/>
      <c r="K1488" s="701">
        <f t="shared" si="241"/>
        <v>0</v>
      </c>
      <c r="L1488" s="52" t="s">
        <v>167</v>
      </c>
      <c r="M1488" s="1100" t="s">
        <v>165</v>
      </c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52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>x</v>
      </c>
      <c r="AA1488" s="853"/>
    </row>
    <row r="1489" spans="1:27" s="810" customFormat="1" ht="15.75" customHeight="1">
      <c r="A1489" s="1097" t="str">
        <f>IF(B1489&lt;&gt;"",IF(AND(B1489&gt;=_TM1,B1489&lt;=_TM2,OR(TH!L1489="1111",TH!M1489="1111")),TH!D1489,""),"")</f>
        <v/>
      </c>
      <c r="B1489" s="700">
        <f t="shared" si="239"/>
        <v>7</v>
      </c>
      <c r="C1489" s="836">
        <f t="shared" si="240"/>
        <v>41463</v>
      </c>
      <c r="D1489" s="48"/>
      <c r="E1489" s="854">
        <v>41463</v>
      </c>
      <c r="F1489" s="1122" t="s">
        <v>869</v>
      </c>
      <c r="G1489" s="49" t="s">
        <v>868</v>
      </c>
      <c r="H1489" s="840" t="s">
        <v>1292</v>
      </c>
      <c r="I1489" s="254"/>
      <c r="J1489" s="254"/>
      <c r="K1489" s="701">
        <f t="shared" si="241"/>
        <v>0</v>
      </c>
      <c r="L1489" s="52" t="s">
        <v>167</v>
      </c>
      <c r="M1489" s="1100" t="s">
        <v>165</v>
      </c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52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>x</v>
      </c>
      <c r="AA1489" s="853"/>
    </row>
    <row r="1490" spans="1:27" s="810" customFormat="1" ht="15.75" customHeight="1">
      <c r="A1490" s="1097" t="str">
        <f>IF(B1490&lt;&gt;"",IF(AND(B1490&gt;=_TM1,B1490&lt;=_TM2,OR(TH!L1490="1111",TH!M1490="1111")),TH!D1490,""),"")</f>
        <v/>
      </c>
      <c r="B1490" s="700">
        <f t="shared" si="239"/>
        <v>7</v>
      </c>
      <c r="C1490" s="836">
        <f t="shared" si="240"/>
        <v>41463</v>
      </c>
      <c r="D1490" s="48"/>
      <c r="E1490" s="854">
        <v>41463</v>
      </c>
      <c r="F1490" s="1122" t="s">
        <v>723</v>
      </c>
      <c r="G1490" s="49" t="s">
        <v>870</v>
      </c>
      <c r="H1490" s="840" t="s">
        <v>1292</v>
      </c>
      <c r="I1490" s="254"/>
      <c r="J1490" s="254"/>
      <c r="K1490" s="701">
        <f t="shared" si="241"/>
        <v>0</v>
      </c>
      <c r="L1490" s="52" t="s">
        <v>167</v>
      </c>
      <c r="M1490" s="1100" t="s">
        <v>165</v>
      </c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52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>x</v>
      </c>
      <c r="AA1490" s="853"/>
    </row>
    <row r="1491" spans="1:27" s="810" customFormat="1" ht="15.75" customHeight="1">
      <c r="A1491" s="1097" t="str">
        <f>IF(B1491&lt;&gt;"",IF(AND(B1491&gt;=_TM1,B1491&lt;=_TM2,OR(TH!L1491="1111",TH!M1491="1111")),TH!D1491,""),"")</f>
        <v/>
      </c>
      <c r="B1491" s="700">
        <f t="shared" si="239"/>
        <v>7</v>
      </c>
      <c r="C1491" s="836">
        <f t="shared" si="240"/>
        <v>41463</v>
      </c>
      <c r="D1491" s="48"/>
      <c r="E1491" s="854">
        <v>41463</v>
      </c>
      <c r="F1491" s="1122" t="s">
        <v>725</v>
      </c>
      <c r="G1491" s="49" t="s">
        <v>870</v>
      </c>
      <c r="H1491" s="840" t="s">
        <v>1292</v>
      </c>
      <c r="I1491" s="254"/>
      <c r="J1491" s="254"/>
      <c r="K1491" s="701">
        <f t="shared" si="241"/>
        <v>0</v>
      </c>
      <c r="L1491" s="52" t="s">
        <v>167</v>
      </c>
      <c r="M1491" s="1100" t="s">
        <v>165</v>
      </c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52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>x</v>
      </c>
      <c r="AA1491" s="853"/>
    </row>
    <row r="1492" spans="1:27" s="810" customFormat="1" ht="15.75" customHeight="1">
      <c r="A1492" s="1097" t="str">
        <f>IF(B1492&lt;&gt;"",IF(AND(B1492&gt;=_TM1,B1492&lt;=_TM2,OR(TH!L1492="1111",TH!M1492="1111")),TH!D1492,""),"")</f>
        <v/>
      </c>
      <c r="B1492" s="700">
        <f t="shared" si="239"/>
        <v>7</v>
      </c>
      <c r="C1492" s="836">
        <f t="shared" si="240"/>
        <v>41463</v>
      </c>
      <c r="D1492" s="48"/>
      <c r="E1492" s="854">
        <v>41463</v>
      </c>
      <c r="F1492" s="1122" t="s">
        <v>871</v>
      </c>
      <c r="G1492" s="49" t="s">
        <v>870</v>
      </c>
      <c r="H1492" s="840" t="s">
        <v>1292</v>
      </c>
      <c r="I1492" s="1125"/>
      <c r="J1492" s="254"/>
      <c r="K1492" s="701">
        <f t="shared" si="241"/>
        <v>0</v>
      </c>
      <c r="L1492" s="52" t="s">
        <v>167</v>
      </c>
      <c r="M1492" s="1100" t="s">
        <v>165</v>
      </c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52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>x</v>
      </c>
      <c r="AA1492" s="853"/>
    </row>
    <row r="1493" spans="1:27" s="810" customFormat="1" ht="15.75" customHeight="1">
      <c r="A1493" s="1097" t="str">
        <f>IF(B1493&lt;&gt;"",IF(AND(B1493&gt;=_TM1,B1493&lt;=_TM2,OR(TH!L1493="1111",TH!M1493="1111")),TH!D1493,""),"")</f>
        <v/>
      </c>
      <c r="B1493" s="700">
        <f t="shared" si="239"/>
        <v>7</v>
      </c>
      <c r="C1493" s="836">
        <f t="shared" si="240"/>
        <v>41463</v>
      </c>
      <c r="D1493" s="48"/>
      <c r="E1493" s="854">
        <v>41463</v>
      </c>
      <c r="F1493" s="839" t="s">
        <v>872</v>
      </c>
      <c r="G1493" s="49" t="s">
        <v>870</v>
      </c>
      <c r="H1493" s="840" t="s">
        <v>1292</v>
      </c>
      <c r="I1493" s="254"/>
      <c r="J1493" s="254"/>
      <c r="K1493" s="701">
        <f t="shared" si="241"/>
        <v>0</v>
      </c>
      <c r="L1493" s="52" t="s">
        <v>167</v>
      </c>
      <c r="M1493" s="1100" t="s">
        <v>165</v>
      </c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52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>x</v>
      </c>
      <c r="AA1493" s="853"/>
    </row>
    <row r="1494" spans="1:27" s="810" customFormat="1" ht="15.75" customHeight="1">
      <c r="A1494" s="1097" t="str">
        <f>IF(B1494&lt;&gt;"",IF(AND(B1494&gt;=_TM1,B1494&lt;=_TM2,OR(TH!L1494="1111",TH!M1494="1111")),TH!D1494,""),"")</f>
        <v/>
      </c>
      <c r="B1494" s="700">
        <f t="shared" si="239"/>
        <v>7</v>
      </c>
      <c r="C1494" s="836">
        <f t="shared" si="240"/>
        <v>41475</v>
      </c>
      <c r="D1494" s="48"/>
      <c r="E1494" s="854">
        <v>41475</v>
      </c>
      <c r="F1494" s="839" t="s">
        <v>731</v>
      </c>
      <c r="G1494" s="49" t="s">
        <v>873</v>
      </c>
      <c r="H1494" s="840" t="s">
        <v>1292</v>
      </c>
      <c r="I1494" s="254"/>
      <c r="J1494" s="254"/>
      <c r="K1494" s="701">
        <f t="shared" si="241"/>
        <v>0</v>
      </c>
      <c r="L1494" s="52" t="s">
        <v>167</v>
      </c>
      <c r="M1494" s="1100" t="s">
        <v>165</v>
      </c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52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>x</v>
      </c>
      <c r="AA1494" s="853"/>
    </row>
    <row r="1495" spans="1:27" s="810" customFormat="1" ht="15.75" customHeight="1">
      <c r="A1495" s="1097" t="str">
        <f>IF(B1495&lt;&gt;"",IF(AND(B1495&gt;=_TM1,B1495&lt;=_TM2,OR(TH!L1495="1111",TH!M1495="1111")),TH!D1495,""),"")</f>
        <v/>
      </c>
      <c r="B1495" s="700">
        <f t="shared" si="239"/>
        <v>7</v>
      </c>
      <c r="C1495" s="836">
        <f t="shared" si="240"/>
        <v>41475</v>
      </c>
      <c r="D1495" s="1098"/>
      <c r="E1495" s="1098">
        <v>41475</v>
      </c>
      <c r="F1495" s="1122" t="s">
        <v>838</v>
      </c>
      <c r="G1495" s="1123" t="s">
        <v>874</v>
      </c>
      <c r="H1495" s="840" t="s">
        <v>1292</v>
      </c>
      <c r="I1495" s="254"/>
      <c r="J1495" s="254"/>
      <c r="K1495" s="701">
        <f t="shared" si="241"/>
        <v>0</v>
      </c>
      <c r="L1495" s="52" t="s">
        <v>167</v>
      </c>
      <c r="M1495" s="1100" t="s">
        <v>165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52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>x</v>
      </c>
      <c r="AA1495" s="853"/>
    </row>
    <row r="1496" spans="1:27" s="810" customFormat="1" ht="15.75" customHeight="1">
      <c r="A1496" s="1097" t="str">
        <f>IF(B1496&lt;&gt;"",IF(AND(B1496&gt;=_TM1,B1496&lt;=_TM2,OR(TH!L1496="1111",TH!M1496="1111")),TH!D1496,""),"")</f>
        <v/>
      </c>
      <c r="B1496" s="700">
        <f t="shared" si="239"/>
        <v>7</v>
      </c>
      <c r="C1496" s="836">
        <f t="shared" si="240"/>
        <v>41477</v>
      </c>
      <c r="D1496" s="836"/>
      <c r="E1496" s="836">
        <v>41477</v>
      </c>
      <c r="F1496" s="1099" t="s">
        <v>1156</v>
      </c>
      <c r="G1496" s="837" t="s">
        <v>875</v>
      </c>
      <c r="H1496" s="840" t="s">
        <v>1292</v>
      </c>
      <c r="I1496" s="254"/>
      <c r="J1496" s="254"/>
      <c r="K1496" s="701">
        <f t="shared" si="241"/>
        <v>0</v>
      </c>
      <c r="L1496" s="52" t="s">
        <v>167</v>
      </c>
      <c r="M1496" s="1100" t="s">
        <v>165</v>
      </c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52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>x</v>
      </c>
      <c r="AA1496" s="853"/>
    </row>
    <row r="1497" spans="1:27" s="810" customFormat="1" ht="15.75" customHeight="1">
      <c r="A1497" s="1097" t="str">
        <f>IF(B1497&lt;&gt;"",IF(AND(B1497&gt;=_TM1,B1497&lt;=_TM2,OR(TH!L1497="1111",TH!M1497="1111")),TH!D1497,""),"")</f>
        <v/>
      </c>
      <c r="B1497" s="700">
        <f t="shared" si="239"/>
        <v>7</v>
      </c>
      <c r="C1497" s="836">
        <f t="shared" si="240"/>
        <v>41477</v>
      </c>
      <c r="D1497" s="836"/>
      <c r="E1497" s="836">
        <v>41477</v>
      </c>
      <c r="F1497" s="1099" t="s">
        <v>876</v>
      </c>
      <c r="G1497" s="837" t="s">
        <v>875</v>
      </c>
      <c r="H1497" s="840" t="s">
        <v>1292</v>
      </c>
      <c r="I1497" s="254"/>
      <c r="J1497" s="254"/>
      <c r="K1497" s="701">
        <f t="shared" si="241"/>
        <v>0</v>
      </c>
      <c r="L1497" s="52" t="s">
        <v>167</v>
      </c>
      <c r="M1497" s="1100" t="s">
        <v>165</v>
      </c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52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>x</v>
      </c>
      <c r="AA1497" s="853"/>
    </row>
    <row r="1498" spans="1:27" s="810" customFormat="1" ht="15.75" customHeight="1">
      <c r="A1498" s="1097" t="str">
        <f>IF(B1498&lt;&gt;"",IF(AND(B1498&gt;=_TM1,B1498&lt;=_TM2,OR(TH!L1498="1111",TH!M1498="1111")),TH!D1498,""),"")</f>
        <v/>
      </c>
      <c r="B1498" s="700">
        <f t="shared" si="239"/>
        <v>7</v>
      </c>
      <c r="C1498" s="836">
        <f t="shared" si="240"/>
        <v>41477</v>
      </c>
      <c r="D1498" s="836"/>
      <c r="E1498" s="836">
        <v>41477</v>
      </c>
      <c r="F1498" s="1099" t="s">
        <v>877</v>
      </c>
      <c r="G1498" s="837" t="s">
        <v>878</v>
      </c>
      <c r="H1498" s="840" t="s">
        <v>1292</v>
      </c>
      <c r="I1498" s="1121"/>
      <c r="J1498" s="1121"/>
      <c r="K1498" s="701">
        <f t="shared" si="241"/>
        <v>0</v>
      </c>
      <c r="L1498" s="52" t="s">
        <v>167</v>
      </c>
      <c r="M1498" s="1100" t="s">
        <v>165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52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>x</v>
      </c>
      <c r="AA1498" s="853"/>
    </row>
    <row r="1499" spans="1:27" s="810" customFormat="1" ht="15.75" customHeight="1">
      <c r="A1499" s="1097" t="str">
        <f>IF(B1499&lt;&gt;"",IF(AND(B1499&gt;=_TM1,B1499&lt;=_TM2,OR(TH!L1499="1111",TH!M1499="1111")),TH!D1499,""),"")</f>
        <v/>
      </c>
      <c r="B1499" s="700">
        <f t="shared" si="239"/>
        <v>7</v>
      </c>
      <c r="C1499" s="836">
        <f t="shared" si="240"/>
        <v>41477</v>
      </c>
      <c r="D1499" s="48"/>
      <c r="E1499" s="48">
        <v>41477</v>
      </c>
      <c r="F1499" s="49" t="s">
        <v>880</v>
      </c>
      <c r="G1499" s="49" t="s">
        <v>878</v>
      </c>
      <c r="H1499" s="840" t="s">
        <v>1292</v>
      </c>
      <c r="I1499" s="254"/>
      <c r="J1499" s="254"/>
      <c r="K1499" s="701">
        <f t="shared" si="241"/>
        <v>0</v>
      </c>
      <c r="L1499" s="52" t="s">
        <v>167</v>
      </c>
      <c r="M1499" s="1100" t="s">
        <v>165</v>
      </c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52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>x</v>
      </c>
      <c r="AA1499" s="853"/>
    </row>
    <row r="1500" spans="1:27" s="810" customFormat="1" ht="15.75" customHeight="1">
      <c r="A1500" s="1097" t="str">
        <f>IF(B1500&lt;&gt;"",IF(AND(B1500&gt;=_TM1,B1500&lt;=_TM2,OR(TH!L1500="1111",TH!M1500="1111")),TH!D1500,""),"")</f>
        <v/>
      </c>
      <c r="B1500" s="700">
        <f t="shared" si="239"/>
        <v>7</v>
      </c>
      <c r="C1500" s="836">
        <f t="shared" si="240"/>
        <v>41477</v>
      </c>
      <c r="D1500" s="48"/>
      <c r="E1500" s="48">
        <v>41477</v>
      </c>
      <c r="F1500" s="49" t="s">
        <v>881</v>
      </c>
      <c r="G1500" s="49" t="s">
        <v>878</v>
      </c>
      <c r="H1500" s="840" t="s">
        <v>1292</v>
      </c>
      <c r="I1500" s="254"/>
      <c r="J1500" s="254"/>
      <c r="K1500" s="701">
        <f t="shared" si="241"/>
        <v>0</v>
      </c>
      <c r="L1500" s="52" t="s">
        <v>167</v>
      </c>
      <c r="M1500" s="1100" t="s">
        <v>165</v>
      </c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52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>x</v>
      </c>
      <c r="AA1500" s="853"/>
    </row>
    <row r="1501" spans="1:27" s="810" customFormat="1" ht="15.75" customHeight="1">
      <c r="A1501" s="1097" t="str">
        <f>IF(B1501&lt;&gt;"",IF(AND(B1501&gt;=_TM1,B1501&lt;=_TM2,OR(TH!L1501="1111",TH!M1501="1111")),TH!D1501,""),"")</f>
        <v/>
      </c>
      <c r="B1501" s="700">
        <f t="shared" si="239"/>
        <v>7</v>
      </c>
      <c r="C1501" s="836">
        <f t="shared" si="240"/>
        <v>41477</v>
      </c>
      <c r="D1501" s="836"/>
      <c r="E1501" s="836">
        <v>41477</v>
      </c>
      <c r="F1501" s="1099" t="s">
        <v>882</v>
      </c>
      <c r="G1501" s="837" t="s">
        <v>878</v>
      </c>
      <c r="H1501" s="840" t="s">
        <v>1292</v>
      </c>
      <c r="I1501" s="254"/>
      <c r="J1501" s="254"/>
      <c r="K1501" s="701">
        <f t="shared" si="241"/>
        <v>0</v>
      </c>
      <c r="L1501" s="52" t="s">
        <v>167</v>
      </c>
      <c r="M1501" s="1100" t="s">
        <v>165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52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>x</v>
      </c>
      <c r="AA1501" s="853"/>
    </row>
    <row r="1502" spans="1:27" s="810" customFormat="1" ht="15.75" customHeight="1">
      <c r="A1502" s="1097" t="str">
        <f>IF(B1502&lt;&gt;"",IF(AND(B1502&gt;=_TM1,B1502&lt;=_TM2,OR(TH!L1502="1111",TH!M1502="1111")),TH!D1502,""),"")</f>
        <v/>
      </c>
      <c r="B1502" s="700">
        <f t="shared" si="239"/>
        <v>7</v>
      </c>
      <c r="C1502" s="836">
        <f t="shared" si="240"/>
        <v>41477</v>
      </c>
      <c r="D1502" s="836"/>
      <c r="E1502" s="836">
        <v>41477</v>
      </c>
      <c r="F1502" s="1099" t="s">
        <v>883</v>
      </c>
      <c r="G1502" s="837" t="s">
        <v>878</v>
      </c>
      <c r="H1502" s="840" t="s">
        <v>1292</v>
      </c>
      <c r="I1502" s="254"/>
      <c r="J1502" s="254"/>
      <c r="K1502" s="701">
        <f t="shared" si="241"/>
        <v>0</v>
      </c>
      <c r="L1502" s="52" t="s">
        <v>167</v>
      </c>
      <c r="M1502" s="1100" t="s">
        <v>165</v>
      </c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52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>x</v>
      </c>
      <c r="AA1502" s="853"/>
    </row>
    <row r="1503" spans="1:27" s="810" customFormat="1" ht="15.75" customHeight="1">
      <c r="A1503" s="1097" t="str">
        <f>IF(B1503&lt;&gt;"",IF(AND(B1503&gt;=_TM1,B1503&lt;=_TM2,OR(TH!L1503="1111",TH!M1503="1111")),TH!D1503,""),"")</f>
        <v/>
      </c>
      <c r="B1503" s="700">
        <f t="shared" si="239"/>
        <v>7</v>
      </c>
      <c r="C1503" s="836">
        <f t="shared" si="240"/>
        <v>41477</v>
      </c>
      <c r="D1503" s="836"/>
      <c r="E1503" s="836">
        <v>41477</v>
      </c>
      <c r="F1503" s="1099" t="s">
        <v>884</v>
      </c>
      <c r="G1503" s="837" t="s">
        <v>878</v>
      </c>
      <c r="H1503" s="840" t="s">
        <v>1292</v>
      </c>
      <c r="I1503" s="254"/>
      <c r="J1503" s="254"/>
      <c r="K1503" s="701">
        <f t="shared" si="241"/>
        <v>0</v>
      </c>
      <c r="L1503" s="52" t="s">
        <v>167</v>
      </c>
      <c r="M1503" s="1100" t="s">
        <v>165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52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>x</v>
      </c>
      <c r="AA1503" s="853"/>
    </row>
    <row r="1504" spans="1:27" s="810" customFormat="1" ht="15.75" customHeight="1">
      <c r="A1504" s="1097" t="str">
        <f>IF(B1504&lt;&gt;"",IF(AND(B1504&gt;=_TM1,B1504&lt;=_TM2,OR(TH!L1504="1111",TH!M1504="1111")),TH!D1504,""),"")</f>
        <v/>
      </c>
      <c r="B1504" s="700">
        <f t="shared" si="239"/>
        <v>7</v>
      </c>
      <c r="C1504" s="836">
        <f t="shared" si="240"/>
        <v>41479</v>
      </c>
      <c r="D1504" s="836"/>
      <c r="E1504" s="836">
        <v>41479</v>
      </c>
      <c r="F1504" s="1099" t="s">
        <v>885</v>
      </c>
      <c r="G1504" s="837" t="s">
        <v>886</v>
      </c>
      <c r="H1504" s="840" t="s">
        <v>1292</v>
      </c>
      <c r="I1504" s="254"/>
      <c r="J1504" s="254"/>
      <c r="K1504" s="701">
        <f t="shared" si="241"/>
        <v>0</v>
      </c>
      <c r="L1504" s="52" t="s">
        <v>167</v>
      </c>
      <c r="M1504" s="1100" t="s">
        <v>165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52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>x</v>
      </c>
      <c r="AA1504" s="853"/>
    </row>
    <row r="1505" spans="1:27" s="810" customFormat="1" ht="15.75" customHeight="1">
      <c r="A1505" s="1097" t="str">
        <f>IF(B1505&lt;&gt;"",IF(AND(B1505&gt;=_TM1,B1505&lt;=_TM2,OR(TH!L1505="1111",TH!M1505="1111")),TH!D1505,""),"")</f>
        <v/>
      </c>
      <c r="B1505" s="700">
        <f t="shared" ref="B1505:B1568" si="242">IF(C1505&lt;&gt;"",MONTH(C1505),"")</f>
        <v>7</v>
      </c>
      <c r="C1505" s="836">
        <f t="shared" si="240"/>
        <v>41479</v>
      </c>
      <c r="D1505" s="836"/>
      <c r="E1505" s="836">
        <v>41479</v>
      </c>
      <c r="F1505" s="1099" t="s">
        <v>843</v>
      </c>
      <c r="G1505" s="837" t="s">
        <v>886</v>
      </c>
      <c r="H1505" s="840" t="s">
        <v>1292</v>
      </c>
      <c r="I1505" s="254"/>
      <c r="J1505" s="254"/>
      <c r="K1505" s="701">
        <f t="shared" si="241"/>
        <v>0</v>
      </c>
      <c r="L1505" s="52" t="s">
        <v>167</v>
      </c>
      <c r="M1505" s="1100" t="s">
        <v>165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52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>x</v>
      </c>
      <c r="AA1505" s="853"/>
    </row>
    <row r="1506" spans="1:27" s="810" customFormat="1" ht="15.75" customHeight="1">
      <c r="A1506" s="1097" t="str">
        <f>IF(B1506&lt;&gt;"",IF(AND(B1506&gt;=_TM1,B1506&lt;=_TM2,OR(TH!L1506="1111",TH!M1506="1111")),TH!D1506,""),"")</f>
        <v/>
      </c>
      <c r="B1506" s="700">
        <f t="shared" si="242"/>
        <v>7</v>
      </c>
      <c r="C1506" s="836">
        <f t="shared" si="240"/>
        <v>41479</v>
      </c>
      <c r="D1506" s="836"/>
      <c r="E1506" s="836">
        <v>41479</v>
      </c>
      <c r="F1506" s="1099" t="s">
        <v>844</v>
      </c>
      <c r="G1506" s="837" t="s">
        <v>886</v>
      </c>
      <c r="H1506" s="840" t="s">
        <v>1292</v>
      </c>
      <c r="I1506" s="254"/>
      <c r="J1506" s="254"/>
      <c r="K1506" s="701">
        <f t="shared" si="241"/>
        <v>0</v>
      </c>
      <c r="L1506" s="52" t="s">
        <v>167</v>
      </c>
      <c r="M1506" s="1100" t="s">
        <v>165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52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>x</v>
      </c>
      <c r="AA1506" s="853"/>
    </row>
    <row r="1507" spans="1:27" s="810" customFormat="1" ht="15.75" customHeight="1">
      <c r="A1507" s="1097" t="str">
        <f>IF(B1507&lt;&gt;"",IF(AND(B1507&gt;=_TM1,B1507&lt;=_TM2,OR(TH!L1507="1111",TH!M1507="1111")),TH!D1507,""),"")</f>
        <v/>
      </c>
      <c r="B1507" s="700">
        <f t="shared" si="242"/>
        <v>7</v>
      </c>
      <c r="C1507" s="836">
        <f t="shared" si="240"/>
        <v>41480</v>
      </c>
      <c r="D1507" s="836"/>
      <c r="E1507" s="836">
        <v>41480</v>
      </c>
      <c r="F1507" s="1099" t="s">
        <v>887</v>
      </c>
      <c r="G1507" s="837" t="s">
        <v>888</v>
      </c>
      <c r="H1507" s="840" t="s">
        <v>1292</v>
      </c>
      <c r="I1507" s="254"/>
      <c r="J1507" s="254"/>
      <c r="K1507" s="701">
        <f t="shared" si="241"/>
        <v>0</v>
      </c>
      <c r="L1507" s="52" t="s">
        <v>167</v>
      </c>
      <c r="M1507" s="1100" t="s">
        <v>165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52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>x</v>
      </c>
      <c r="AA1507" s="853"/>
    </row>
    <row r="1508" spans="1:27" s="810" customFormat="1" ht="15.75" customHeight="1">
      <c r="A1508" s="1097" t="str">
        <f>IF(B1508&lt;&gt;"",IF(AND(B1508&gt;=_TM1,B1508&lt;=_TM2,OR(TH!L1508="1111",TH!M1508="1111")),TH!D1508,""),"")</f>
        <v/>
      </c>
      <c r="B1508" s="700">
        <f t="shared" si="242"/>
        <v>7</v>
      </c>
      <c r="C1508" s="836">
        <f t="shared" si="240"/>
        <v>41480</v>
      </c>
      <c r="D1508" s="836"/>
      <c r="E1508" s="836">
        <v>41480</v>
      </c>
      <c r="F1508" s="1099" t="s">
        <v>1121</v>
      </c>
      <c r="G1508" s="837" t="s">
        <v>888</v>
      </c>
      <c r="H1508" s="840" t="s">
        <v>1292</v>
      </c>
      <c r="I1508" s="254"/>
      <c r="J1508" s="254"/>
      <c r="K1508" s="701">
        <f t="shared" si="241"/>
        <v>0</v>
      </c>
      <c r="L1508" s="52" t="s">
        <v>167</v>
      </c>
      <c r="M1508" s="1100" t="s">
        <v>165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52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>x</v>
      </c>
      <c r="AA1508" s="853"/>
    </row>
    <row r="1509" spans="1:27" s="810" customFormat="1" ht="15.75" customHeight="1">
      <c r="A1509" s="1097" t="str">
        <f>IF(B1509&lt;&gt;"",IF(AND(B1509&gt;=_TM1,B1509&lt;=_TM2,OR(TH!L1509="1111",TH!M1509="1111")),TH!D1509,""),"")</f>
        <v/>
      </c>
      <c r="B1509" s="700">
        <f t="shared" si="242"/>
        <v>7</v>
      </c>
      <c r="C1509" s="836">
        <f t="shared" si="240"/>
        <v>41480</v>
      </c>
      <c r="D1509" s="836"/>
      <c r="E1509" s="836">
        <v>41480</v>
      </c>
      <c r="F1509" s="1099" t="s">
        <v>1165</v>
      </c>
      <c r="G1509" s="837" t="s">
        <v>888</v>
      </c>
      <c r="H1509" s="840" t="s">
        <v>1292</v>
      </c>
      <c r="I1509" s="254"/>
      <c r="J1509" s="254"/>
      <c r="K1509" s="701">
        <f t="shared" si="241"/>
        <v>0</v>
      </c>
      <c r="L1509" s="52" t="s">
        <v>167</v>
      </c>
      <c r="M1509" s="1100" t="s">
        <v>165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52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>x</v>
      </c>
      <c r="AA1509" s="853"/>
    </row>
    <row r="1510" spans="1:27" s="810" customFormat="1" ht="15.75" customHeight="1">
      <c r="A1510" s="1097" t="str">
        <f>IF(B1510&lt;&gt;"",IF(AND(B1510&gt;=_TM1,B1510&lt;=_TM2,OR(TH!L1510="1111",TH!M1510="1111")),TH!D1510,""),"")</f>
        <v/>
      </c>
      <c r="B1510" s="700">
        <f t="shared" si="242"/>
        <v>7</v>
      </c>
      <c r="C1510" s="836">
        <f t="shared" si="240"/>
        <v>41480</v>
      </c>
      <c r="D1510" s="836"/>
      <c r="E1510" s="836">
        <v>41480</v>
      </c>
      <c r="F1510" s="1099" t="s">
        <v>889</v>
      </c>
      <c r="G1510" s="837" t="s">
        <v>888</v>
      </c>
      <c r="H1510" s="840" t="s">
        <v>1292</v>
      </c>
      <c r="I1510" s="254"/>
      <c r="J1510" s="254"/>
      <c r="K1510" s="701">
        <f t="shared" si="241"/>
        <v>0</v>
      </c>
      <c r="L1510" s="52" t="s">
        <v>167</v>
      </c>
      <c r="M1510" s="1100" t="s">
        <v>165</v>
      </c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52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>x</v>
      </c>
      <c r="AA1510" s="853"/>
    </row>
    <row r="1511" spans="1:27" s="810" customFormat="1" ht="15.75" customHeight="1">
      <c r="A1511" s="1097" t="str">
        <f>IF(B1511&lt;&gt;"",IF(AND(B1511&gt;=_TM1,B1511&lt;=_TM2,OR(TH!L1511="1111",TH!M1511="1111")),TH!D1511,""),"")</f>
        <v/>
      </c>
      <c r="B1511" s="700">
        <f t="shared" si="242"/>
        <v>7</v>
      </c>
      <c r="C1511" s="836">
        <f t="shared" si="240"/>
        <v>41481</v>
      </c>
      <c r="D1511" s="836"/>
      <c r="E1511" s="836">
        <v>41481</v>
      </c>
      <c r="F1511" s="1099" t="s">
        <v>1137</v>
      </c>
      <c r="G1511" s="837" t="s">
        <v>890</v>
      </c>
      <c r="H1511" s="840" t="s">
        <v>1292</v>
      </c>
      <c r="I1511" s="1121"/>
      <c r="J1511" s="1121"/>
      <c r="K1511" s="701">
        <f t="shared" si="241"/>
        <v>0</v>
      </c>
      <c r="L1511" s="52" t="s">
        <v>167</v>
      </c>
      <c r="M1511" s="1100" t="s">
        <v>165</v>
      </c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52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>x</v>
      </c>
      <c r="AA1511" s="853"/>
    </row>
    <row r="1512" spans="1:27" s="810" customFormat="1" ht="15.75" customHeight="1">
      <c r="A1512" s="1097" t="str">
        <f>IF(B1512&lt;&gt;"",IF(AND(B1512&gt;=_TM1,B1512&lt;=_TM2,OR(TH!L1512="1111",TH!M1512="1111")),TH!D1512,""),"")</f>
        <v/>
      </c>
      <c r="B1512" s="700">
        <f t="shared" si="242"/>
        <v>7</v>
      </c>
      <c r="C1512" s="836">
        <f t="shared" si="240"/>
        <v>41484</v>
      </c>
      <c r="D1512" s="836"/>
      <c r="E1512" s="836">
        <v>41484</v>
      </c>
      <c r="F1512" s="1099" t="s">
        <v>838</v>
      </c>
      <c r="G1512" s="837" t="s">
        <v>891</v>
      </c>
      <c r="H1512" s="840" t="s">
        <v>1292</v>
      </c>
      <c r="I1512" s="254"/>
      <c r="J1512" s="254"/>
      <c r="K1512" s="701">
        <f t="shared" si="241"/>
        <v>0</v>
      </c>
      <c r="L1512" s="52" t="s">
        <v>167</v>
      </c>
      <c r="M1512" s="1100" t="s">
        <v>165</v>
      </c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52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>x</v>
      </c>
      <c r="AA1512" s="853"/>
    </row>
    <row r="1513" spans="1:27" s="810" customFormat="1" ht="15.75" customHeight="1">
      <c r="A1513" s="1097" t="str">
        <f>IF(B1513&lt;&gt;"",IF(AND(B1513&gt;=_TM1,B1513&lt;=_TM2,OR(TH!L1513="1111",TH!M1513="1111")),TH!D1513,""),"")</f>
        <v/>
      </c>
      <c r="B1513" s="700">
        <f t="shared" si="242"/>
        <v>8</v>
      </c>
      <c r="C1513" s="836">
        <f t="shared" si="240"/>
        <v>41487</v>
      </c>
      <c r="D1513" s="836"/>
      <c r="E1513" s="836">
        <v>41487</v>
      </c>
      <c r="F1513" s="1099" t="s">
        <v>1145</v>
      </c>
      <c r="G1513" s="837" t="s">
        <v>892</v>
      </c>
      <c r="H1513" s="840" t="s">
        <v>1292</v>
      </c>
      <c r="I1513" s="254"/>
      <c r="J1513" s="254"/>
      <c r="K1513" s="701">
        <f t="shared" si="241"/>
        <v>0</v>
      </c>
      <c r="L1513" s="52" t="s">
        <v>167</v>
      </c>
      <c r="M1513" s="1100" t="s">
        <v>165</v>
      </c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52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>x</v>
      </c>
      <c r="AA1513" s="853"/>
    </row>
    <row r="1514" spans="1:27" s="810" customFormat="1" ht="15.75" customHeight="1">
      <c r="A1514" s="1097" t="str">
        <f>IF(B1514&lt;&gt;"",IF(AND(B1514&gt;=_TM1,B1514&lt;=_TM2,OR(TH!L1514="1111",TH!M1514="1111")),TH!D1514,""),"")</f>
        <v/>
      </c>
      <c r="B1514" s="700">
        <f t="shared" si="242"/>
        <v>8</v>
      </c>
      <c r="C1514" s="836">
        <f t="shared" si="240"/>
        <v>41487</v>
      </c>
      <c r="D1514" s="836"/>
      <c r="E1514" s="836">
        <v>41487</v>
      </c>
      <c r="F1514" s="1099" t="s">
        <v>867</v>
      </c>
      <c r="G1514" s="837" t="s">
        <v>893</v>
      </c>
      <c r="H1514" s="840" t="s">
        <v>1292</v>
      </c>
      <c r="I1514" s="1121"/>
      <c r="J1514" s="1121"/>
      <c r="K1514" s="701">
        <f t="shared" si="241"/>
        <v>0</v>
      </c>
      <c r="L1514" s="52" t="s">
        <v>167</v>
      </c>
      <c r="M1514" s="1100" t="s">
        <v>165</v>
      </c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52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>x</v>
      </c>
      <c r="AA1514" s="853"/>
    </row>
    <row r="1515" spans="1:27" s="810" customFormat="1" ht="15.75" customHeight="1">
      <c r="A1515" s="1097" t="str">
        <f>IF(B1515&lt;&gt;"",IF(AND(B1515&gt;=_TM1,B1515&lt;=_TM2,OR(TH!L1515="1111",TH!M1515="1111")),TH!D1515,""),"")</f>
        <v/>
      </c>
      <c r="B1515" s="700">
        <f t="shared" si="242"/>
        <v>8</v>
      </c>
      <c r="C1515" s="836">
        <f t="shared" si="240"/>
        <v>41488</v>
      </c>
      <c r="D1515" s="836"/>
      <c r="E1515" s="836">
        <v>41488</v>
      </c>
      <c r="F1515" s="1099" t="s">
        <v>887</v>
      </c>
      <c r="G1515" s="837" t="s">
        <v>894</v>
      </c>
      <c r="H1515" s="840" t="s">
        <v>1292</v>
      </c>
      <c r="I1515" s="254"/>
      <c r="J1515" s="254"/>
      <c r="K1515" s="701">
        <f t="shared" si="241"/>
        <v>0</v>
      </c>
      <c r="L1515" s="52" t="s">
        <v>167</v>
      </c>
      <c r="M1515" s="1100" t="s">
        <v>165</v>
      </c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52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>x</v>
      </c>
      <c r="AA1515" s="853"/>
    </row>
    <row r="1516" spans="1:27" s="810" customFormat="1" ht="15.75" customHeight="1">
      <c r="A1516" s="1097" t="str">
        <f>IF(B1516&lt;&gt;"",IF(AND(B1516&gt;=_TM1,B1516&lt;=_TM2,OR(TH!L1516="1111",TH!M1516="1111")),TH!D1516,""),"")</f>
        <v/>
      </c>
      <c r="B1516" s="700">
        <f t="shared" si="242"/>
        <v>8</v>
      </c>
      <c r="C1516" s="836">
        <f t="shared" si="240"/>
        <v>41488</v>
      </c>
      <c r="D1516" s="836"/>
      <c r="E1516" s="836">
        <v>41488</v>
      </c>
      <c r="F1516" s="1099" t="s">
        <v>1149</v>
      </c>
      <c r="G1516" s="837" t="s">
        <v>895</v>
      </c>
      <c r="H1516" s="840" t="s">
        <v>1292</v>
      </c>
      <c r="I1516" s="254"/>
      <c r="J1516" s="254"/>
      <c r="K1516" s="701">
        <f t="shared" si="241"/>
        <v>0</v>
      </c>
      <c r="L1516" s="52" t="s">
        <v>167</v>
      </c>
      <c r="M1516" s="1100" t="s">
        <v>165</v>
      </c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52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>x</v>
      </c>
      <c r="AA1516" s="853"/>
    </row>
    <row r="1517" spans="1:27" s="810" customFormat="1" ht="15.75" customHeight="1">
      <c r="A1517" s="1097" t="str">
        <f>IF(B1517&lt;&gt;"",IF(AND(B1517&gt;=_TM1,B1517&lt;=_TM2,OR(TH!L1517="1111",TH!M1517="1111")),TH!D1517,""),"")</f>
        <v/>
      </c>
      <c r="B1517" s="700">
        <f t="shared" si="242"/>
        <v>8</v>
      </c>
      <c r="C1517" s="836">
        <f t="shared" si="240"/>
        <v>41489</v>
      </c>
      <c r="D1517" s="836"/>
      <c r="E1517" s="836">
        <v>41489</v>
      </c>
      <c r="F1517" s="1099" t="s">
        <v>1149</v>
      </c>
      <c r="G1517" s="837" t="s">
        <v>897</v>
      </c>
      <c r="H1517" s="840" t="s">
        <v>1292</v>
      </c>
      <c r="I1517" s="254"/>
      <c r="J1517" s="254"/>
      <c r="K1517" s="701">
        <f t="shared" si="241"/>
        <v>0</v>
      </c>
      <c r="L1517" s="52" t="s">
        <v>167</v>
      </c>
      <c r="M1517" s="1100" t="s">
        <v>165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52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>x</v>
      </c>
      <c r="AA1517" s="853"/>
    </row>
    <row r="1518" spans="1:27" s="810" customFormat="1" ht="15.75" customHeight="1">
      <c r="A1518" s="1097" t="str">
        <f>IF(B1518&lt;&gt;"",IF(AND(B1518&gt;=_TM1,B1518&lt;=_TM2,OR(TH!L1518="1111",TH!M1518="1111")),TH!D1518,""),"")</f>
        <v/>
      </c>
      <c r="B1518" s="700">
        <f t="shared" si="242"/>
        <v>8</v>
      </c>
      <c r="C1518" s="836">
        <f t="shared" si="240"/>
        <v>41492</v>
      </c>
      <c r="D1518" s="48"/>
      <c r="E1518" s="48">
        <v>41492</v>
      </c>
      <c r="F1518" s="49" t="s">
        <v>1149</v>
      </c>
      <c r="G1518" s="49" t="s">
        <v>898</v>
      </c>
      <c r="H1518" s="840" t="s">
        <v>1292</v>
      </c>
      <c r="I1518" s="254"/>
      <c r="J1518" s="254"/>
      <c r="K1518" s="701">
        <f t="shared" si="241"/>
        <v>0</v>
      </c>
      <c r="L1518" s="52" t="s">
        <v>167</v>
      </c>
      <c r="M1518" s="1100" t="s">
        <v>165</v>
      </c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52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>x</v>
      </c>
      <c r="AA1518" s="853"/>
    </row>
    <row r="1519" spans="1:27" s="810" customFormat="1" ht="15.75" customHeight="1">
      <c r="A1519" s="1097" t="str">
        <f>IF(B1519&lt;&gt;"",IF(AND(B1519&gt;=_TM1,B1519&lt;=_TM2,OR(TH!L1519="1111",TH!M1519="1111")),TH!D1519,""),"")</f>
        <v/>
      </c>
      <c r="B1519" s="700">
        <f t="shared" si="242"/>
        <v>8</v>
      </c>
      <c r="C1519" s="836">
        <f t="shared" si="240"/>
        <v>41492</v>
      </c>
      <c r="D1519" s="48"/>
      <c r="E1519" s="48">
        <v>41492</v>
      </c>
      <c r="F1519" s="49" t="s">
        <v>899</v>
      </c>
      <c r="G1519" s="49" t="s">
        <v>900</v>
      </c>
      <c r="H1519" s="840" t="s">
        <v>1292</v>
      </c>
      <c r="I1519" s="254"/>
      <c r="J1519" s="254"/>
      <c r="K1519" s="701">
        <f t="shared" si="241"/>
        <v>0</v>
      </c>
      <c r="L1519" s="52" t="s">
        <v>167</v>
      </c>
      <c r="M1519" s="1100" t="s">
        <v>165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52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>x</v>
      </c>
      <c r="AA1519" s="853"/>
    </row>
    <row r="1520" spans="1:27" s="810" customFormat="1" ht="15.75" customHeight="1">
      <c r="A1520" s="1097" t="str">
        <f>IF(B1520&lt;&gt;"",IF(AND(B1520&gt;=_TM1,B1520&lt;=_TM2,OR(TH!L1520="1111",TH!M1520="1111")),TH!D1520,""),"")</f>
        <v/>
      </c>
      <c r="B1520" s="700">
        <f t="shared" si="242"/>
        <v>8</v>
      </c>
      <c r="C1520" s="836">
        <f t="shared" si="240"/>
        <v>41492</v>
      </c>
      <c r="D1520" s="48"/>
      <c r="E1520" s="48">
        <v>41492</v>
      </c>
      <c r="F1520" s="49" t="s">
        <v>1138</v>
      </c>
      <c r="G1520" s="49" t="s">
        <v>900</v>
      </c>
      <c r="H1520" s="840" t="s">
        <v>1292</v>
      </c>
      <c r="I1520" s="254"/>
      <c r="J1520" s="254"/>
      <c r="K1520" s="701">
        <f t="shared" si="241"/>
        <v>0</v>
      </c>
      <c r="L1520" s="52" t="s">
        <v>167</v>
      </c>
      <c r="M1520" s="1100" t="s">
        <v>165</v>
      </c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52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>x</v>
      </c>
      <c r="AA1520" s="853"/>
    </row>
    <row r="1521" spans="1:27" s="810" customFormat="1" ht="15.75" customHeight="1">
      <c r="A1521" s="1097" t="str">
        <f>IF(B1521&lt;&gt;"",IF(AND(B1521&gt;=_TM1,B1521&lt;=_TM2,OR(TH!L1521="1111",TH!M1521="1111")),TH!D1521,""),"")</f>
        <v/>
      </c>
      <c r="B1521" s="700">
        <f t="shared" si="242"/>
        <v>8</v>
      </c>
      <c r="C1521" s="836">
        <f t="shared" si="240"/>
        <v>41492</v>
      </c>
      <c r="D1521" s="48"/>
      <c r="E1521" s="48">
        <v>41492</v>
      </c>
      <c r="F1521" s="49" t="s">
        <v>725</v>
      </c>
      <c r="G1521" s="49" t="s">
        <v>901</v>
      </c>
      <c r="H1521" s="840" t="s">
        <v>1292</v>
      </c>
      <c r="I1521" s="254"/>
      <c r="J1521" s="254"/>
      <c r="K1521" s="701">
        <f t="shared" si="241"/>
        <v>0</v>
      </c>
      <c r="L1521" s="52" t="s">
        <v>167</v>
      </c>
      <c r="M1521" s="1100" t="s">
        <v>165</v>
      </c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52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>x</v>
      </c>
      <c r="AA1521" s="853"/>
    </row>
    <row r="1522" spans="1:27" s="810" customFormat="1" ht="15.75" customHeight="1">
      <c r="A1522" s="1097" t="str">
        <f>IF(B1522&lt;&gt;"",IF(AND(B1522&gt;=_TM1,B1522&lt;=_TM2,OR(TH!L1522="1111",TH!M1522="1111")),TH!D1522,""),"")</f>
        <v/>
      </c>
      <c r="B1522" s="700">
        <f t="shared" si="242"/>
        <v>8</v>
      </c>
      <c r="C1522" s="836">
        <f t="shared" si="240"/>
        <v>41492</v>
      </c>
      <c r="D1522" s="48"/>
      <c r="E1522" s="48">
        <v>41492</v>
      </c>
      <c r="F1522" s="49" t="s">
        <v>871</v>
      </c>
      <c r="G1522" s="49" t="s">
        <v>901</v>
      </c>
      <c r="H1522" s="840" t="s">
        <v>1292</v>
      </c>
      <c r="I1522" s="254"/>
      <c r="J1522" s="254"/>
      <c r="K1522" s="701">
        <f t="shared" si="241"/>
        <v>0</v>
      </c>
      <c r="L1522" s="52" t="s">
        <v>167</v>
      </c>
      <c r="M1522" s="1100" t="s">
        <v>165</v>
      </c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52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>x</v>
      </c>
      <c r="AA1522" s="853"/>
    </row>
    <row r="1523" spans="1:27" s="810" customFormat="1" ht="15.75" customHeight="1">
      <c r="A1523" s="1097" t="str">
        <f>IF(B1523&lt;&gt;"",IF(AND(B1523&gt;=_TM1,B1523&lt;=_TM2,OR(TH!L1523="1111",TH!M1523="1111")),TH!D1523,""),"")</f>
        <v/>
      </c>
      <c r="B1523" s="700">
        <f t="shared" si="242"/>
        <v>8</v>
      </c>
      <c r="C1523" s="836">
        <f t="shared" si="240"/>
        <v>41495</v>
      </c>
      <c r="D1523" s="48"/>
      <c r="E1523" s="48">
        <v>41495</v>
      </c>
      <c r="F1523" s="49" t="s">
        <v>838</v>
      </c>
      <c r="G1523" s="49" t="s">
        <v>902</v>
      </c>
      <c r="H1523" s="840" t="s">
        <v>1292</v>
      </c>
      <c r="I1523" s="254"/>
      <c r="J1523" s="254"/>
      <c r="K1523" s="701">
        <f t="shared" si="241"/>
        <v>0</v>
      </c>
      <c r="L1523" s="52" t="s">
        <v>167</v>
      </c>
      <c r="M1523" s="1100" t="s">
        <v>165</v>
      </c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52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>x</v>
      </c>
      <c r="AA1523" s="853"/>
    </row>
    <row r="1524" spans="1:27" s="810" customFormat="1" ht="15.75" customHeight="1">
      <c r="A1524" s="1097" t="str">
        <f>IF(B1524&lt;&gt;"",IF(AND(B1524&gt;=_TM1,B1524&lt;=_TM2,OR(TH!L1524="1111",TH!M1524="1111")),TH!D1524,""),"")</f>
        <v/>
      </c>
      <c r="B1524" s="700">
        <f t="shared" si="242"/>
        <v>8</v>
      </c>
      <c r="C1524" s="836">
        <f t="shared" si="240"/>
        <v>41495</v>
      </c>
      <c r="D1524" s="48"/>
      <c r="E1524" s="48">
        <v>41495</v>
      </c>
      <c r="F1524" s="49" t="s">
        <v>1149</v>
      </c>
      <c r="G1524" s="49" t="s">
        <v>903</v>
      </c>
      <c r="H1524" s="840" t="s">
        <v>1292</v>
      </c>
      <c r="I1524" s="254"/>
      <c r="J1524" s="254"/>
      <c r="K1524" s="701">
        <f t="shared" si="241"/>
        <v>0</v>
      </c>
      <c r="L1524" s="52" t="s">
        <v>167</v>
      </c>
      <c r="M1524" s="1100" t="s">
        <v>165</v>
      </c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52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>x</v>
      </c>
      <c r="AA1524" s="853"/>
    </row>
    <row r="1525" spans="1:27" s="810" customFormat="1" ht="15.75" customHeight="1">
      <c r="A1525" s="1097" t="str">
        <f>IF(B1525&lt;&gt;"",IF(AND(B1525&gt;=_TM1,B1525&lt;=_TM2,OR(TH!L1525="1111",TH!M1525="1111")),TH!D1525,""),"")</f>
        <v/>
      </c>
      <c r="B1525" s="700">
        <f t="shared" si="242"/>
        <v>8</v>
      </c>
      <c r="C1525" s="836">
        <f t="shared" si="240"/>
        <v>41496</v>
      </c>
      <c r="D1525" s="48"/>
      <c r="E1525" s="48">
        <v>41496</v>
      </c>
      <c r="F1525" s="49" t="s">
        <v>1137</v>
      </c>
      <c r="G1525" s="49" t="s">
        <v>904</v>
      </c>
      <c r="H1525" s="840" t="s">
        <v>1292</v>
      </c>
      <c r="I1525" s="254"/>
      <c r="J1525" s="254"/>
      <c r="K1525" s="701">
        <f t="shared" si="241"/>
        <v>0</v>
      </c>
      <c r="L1525" s="52" t="s">
        <v>167</v>
      </c>
      <c r="M1525" s="1100" t="s">
        <v>165</v>
      </c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52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>x</v>
      </c>
      <c r="AA1525" s="853"/>
    </row>
    <row r="1526" spans="1:27" s="810" customFormat="1" ht="15.75" customHeight="1">
      <c r="A1526" s="1097" t="str">
        <f>IF(B1526&lt;&gt;"",IF(AND(B1526&gt;=_TM1,B1526&lt;=_TM2,OR(TH!L1526="1111",TH!M1526="1111")),TH!D1526,""),"")</f>
        <v/>
      </c>
      <c r="B1526" s="700">
        <f t="shared" si="242"/>
        <v>8</v>
      </c>
      <c r="C1526" s="836">
        <f t="shared" si="240"/>
        <v>41496</v>
      </c>
      <c r="D1526" s="48"/>
      <c r="E1526" s="48">
        <v>41496</v>
      </c>
      <c r="F1526" s="49" t="s">
        <v>905</v>
      </c>
      <c r="G1526" s="49" t="s">
        <v>906</v>
      </c>
      <c r="H1526" s="840" t="s">
        <v>1292</v>
      </c>
      <c r="I1526" s="254"/>
      <c r="J1526" s="254"/>
      <c r="K1526" s="701">
        <f t="shared" si="241"/>
        <v>0</v>
      </c>
      <c r="L1526" s="52" t="s">
        <v>167</v>
      </c>
      <c r="M1526" s="1100" t="s">
        <v>165</v>
      </c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52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>x</v>
      </c>
      <c r="AA1526" s="853"/>
    </row>
    <row r="1527" spans="1:27" s="810" customFormat="1" ht="15.75" customHeight="1">
      <c r="A1527" s="1097" t="str">
        <f>IF(B1527&lt;&gt;"",IF(AND(B1527&gt;=_TM1,B1527&lt;=_TM2,OR(TH!L1527="1111",TH!M1527="1111")),TH!D1527,""),"")</f>
        <v/>
      </c>
      <c r="B1527" s="700">
        <f t="shared" si="242"/>
        <v>8</v>
      </c>
      <c r="C1527" s="836">
        <f t="shared" si="240"/>
        <v>41496</v>
      </c>
      <c r="D1527" s="48"/>
      <c r="E1527" s="48">
        <v>41496</v>
      </c>
      <c r="F1527" s="49" t="s">
        <v>905</v>
      </c>
      <c r="G1527" s="49" t="s">
        <v>906</v>
      </c>
      <c r="H1527" s="840" t="s">
        <v>1292</v>
      </c>
      <c r="I1527" s="254"/>
      <c r="J1527" s="254"/>
      <c r="K1527" s="701">
        <f t="shared" si="241"/>
        <v>0</v>
      </c>
      <c r="L1527" s="52" t="s">
        <v>167</v>
      </c>
      <c r="M1527" s="1100" t="s">
        <v>165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52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>x</v>
      </c>
      <c r="AA1527" s="853"/>
    </row>
    <row r="1528" spans="1:27" s="810" customFormat="1" ht="15.75" customHeight="1">
      <c r="A1528" s="1097" t="str">
        <f>IF(B1528&lt;&gt;"",IF(AND(B1528&gt;=_TM1,B1528&lt;=_TM2,OR(TH!L1528="1111",TH!M1528="1111")),TH!D1528,""),"")</f>
        <v/>
      </c>
      <c r="B1528" s="700">
        <f t="shared" si="242"/>
        <v>8</v>
      </c>
      <c r="C1528" s="836">
        <f t="shared" si="240"/>
        <v>41498</v>
      </c>
      <c r="D1528" s="48"/>
      <c r="E1528" s="48">
        <v>41498</v>
      </c>
      <c r="F1528" s="49" t="s">
        <v>731</v>
      </c>
      <c r="G1528" s="49" t="s">
        <v>908</v>
      </c>
      <c r="H1528" s="840" t="s">
        <v>1292</v>
      </c>
      <c r="I1528" s="254"/>
      <c r="J1528" s="254"/>
      <c r="K1528" s="701">
        <f t="shared" si="241"/>
        <v>0</v>
      </c>
      <c r="L1528" s="52" t="s">
        <v>167</v>
      </c>
      <c r="M1528" s="1100" t="s">
        <v>165</v>
      </c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52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>x</v>
      </c>
      <c r="AA1528" s="853"/>
    </row>
    <row r="1529" spans="1:27" s="810" customFormat="1" ht="15.75" customHeight="1">
      <c r="A1529" s="1097" t="str">
        <f>IF(B1529&lt;&gt;"",IF(AND(B1529&gt;=_TM1,B1529&lt;=_TM2,OR(TH!L1529="1111",TH!M1529="1111")),TH!D1529,""),"")</f>
        <v/>
      </c>
      <c r="B1529" s="700">
        <f t="shared" si="242"/>
        <v>8</v>
      </c>
      <c r="C1529" s="836">
        <f t="shared" si="240"/>
        <v>41499</v>
      </c>
      <c r="D1529" s="48"/>
      <c r="E1529" s="48">
        <v>41499</v>
      </c>
      <c r="F1529" s="49" t="s">
        <v>814</v>
      </c>
      <c r="G1529" s="49" t="s">
        <v>909</v>
      </c>
      <c r="H1529" s="840" t="s">
        <v>1292</v>
      </c>
      <c r="I1529" s="254"/>
      <c r="J1529" s="254"/>
      <c r="K1529" s="701">
        <f t="shared" si="241"/>
        <v>0</v>
      </c>
      <c r="L1529" s="52" t="s">
        <v>167</v>
      </c>
      <c r="M1529" s="1100" t="s">
        <v>165</v>
      </c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52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>x</v>
      </c>
      <c r="AA1529" s="853"/>
    </row>
    <row r="1530" spans="1:27" s="810" customFormat="1" ht="15.75" customHeight="1">
      <c r="A1530" s="1097" t="str">
        <f>IF(B1530&lt;&gt;"",IF(AND(B1530&gt;=_TM1,B1530&lt;=_TM2,OR(TH!L1530="1111",TH!M1530="1111")),TH!D1530,""),"")</f>
        <v/>
      </c>
      <c r="B1530" s="700">
        <f t="shared" si="242"/>
        <v>8</v>
      </c>
      <c r="C1530" s="836">
        <f t="shared" si="240"/>
        <v>41499</v>
      </c>
      <c r="D1530" s="48"/>
      <c r="E1530" s="48">
        <v>41499</v>
      </c>
      <c r="F1530" s="49" t="s">
        <v>1134</v>
      </c>
      <c r="G1530" s="49" t="s">
        <v>909</v>
      </c>
      <c r="H1530" s="840" t="s">
        <v>1292</v>
      </c>
      <c r="I1530" s="254"/>
      <c r="J1530" s="254"/>
      <c r="K1530" s="701">
        <f t="shared" si="241"/>
        <v>0</v>
      </c>
      <c r="L1530" s="52" t="s">
        <v>167</v>
      </c>
      <c r="M1530" s="1100" t="s">
        <v>165</v>
      </c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52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>x</v>
      </c>
      <c r="AA1530" s="853"/>
    </row>
    <row r="1531" spans="1:27" s="810" customFormat="1" ht="15.75" customHeight="1">
      <c r="A1531" s="1097" t="str">
        <f>IF(B1531&lt;&gt;"",IF(AND(B1531&gt;=_TM1,B1531&lt;=_TM2,OR(TH!L1531="1111",TH!M1531="1111")),TH!D1531,""),"")</f>
        <v/>
      </c>
      <c r="B1531" s="700">
        <f t="shared" si="242"/>
        <v>8</v>
      </c>
      <c r="C1531" s="836">
        <f t="shared" si="240"/>
        <v>41499</v>
      </c>
      <c r="D1531" s="48"/>
      <c r="E1531" s="48">
        <v>41499</v>
      </c>
      <c r="F1531" s="49" t="s">
        <v>885</v>
      </c>
      <c r="G1531" s="49" t="s">
        <v>909</v>
      </c>
      <c r="H1531" s="840" t="s">
        <v>1292</v>
      </c>
      <c r="I1531" s="254"/>
      <c r="J1531" s="254"/>
      <c r="K1531" s="701">
        <f t="shared" si="241"/>
        <v>0</v>
      </c>
      <c r="L1531" s="52" t="s">
        <v>167</v>
      </c>
      <c r="M1531" s="1100" t="s">
        <v>165</v>
      </c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52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>x</v>
      </c>
      <c r="AA1531" s="853"/>
    </row>
    <row r="1532" spans="1:27" s="810" customFormat="1" ht="15.75" customHeight="1">
      <c r="A1532" s="1097" t="str">
        <f>IF(B1532&lt;&gt;"",IF(AND(B1532&gt;=_TM1,B1532&lt;=_TM2,OR(TH!L1532="1111",TH!M1532="1111")),TH!D1532,""),"")</f>
        <v/>
      </c>
      <c r="B1532" s="700">
        <f t="shared" si="242"/>
        <v>8</v>
      </c>
      <c r="C1532" s="836">
        <f t="shared" si="240"/>
        <v>41500</v>
      </c>
      <c r="D1532" s="48"/>
      <c r="E1532" s="48">
        <v>41500</v>
      </c>
      <c r="F1532" s="49" t="s">
        <v>910</v>
      </c>
      <c r="G1532" s="49" t="s">
        <v>911</v>
      </c>
      <c r="H1532" s="840" t="s">
        <v>1292</v>
      </c>
      <c r="I1532" s="254"/>
      <c r="J1532" s="254"/>
      <c r="K1532" s="701">
        <f t="shared" si="241"/>
        <v>0</v>
      </c>
      <c r="L1532" s="52" t="s">
        <v>167</v>
      </c>
      <c r="M1532" s="1100" t="s">
        <v>165</v>
      </c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52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>x</v>
      </c>
      <c r="AA1532" s="853"/>
    </row>
    <row r="1533" spans="1:27" s="810" customFormat="1" ht="15.75" customHeight="1">
      <c r="A1533" s="1097" t="str">
        <f>IF(B1533&lt;&gt;"",IF(AND(B1533&gt;=_TM1,B1533&lt;=_TM2,OR(TH!L1533="1111",TH!M1533="1111")),TH!D1533,""),"")</f>
        <v/>
      </c>
      <c r="B1533" s="700">
        <f t="shared" si="242"/>
        <v>8</v>
      </c>
      <c r="C1533" s="836">
        <f t="shared" si="240"/>
        <v>41502</v>
      </c>
      <c r="D1533" s="48"/>
      <c r="E1533" s="48">
        <v>41502</v>
      </c>
      <c r="F1533" s="49" t="s">
        <v>1133</v>
      </c>
      <c r="G1533" s="49" t="s">
        <v>912</v>
      </c>
      <c r="H1533" s="840" t="s">
        <v>1292</v>
      </c>
      <c r="I1533" s="254"/>
      <c r="J1533" s="254"/>
      <c r="K1533" s="701">
        <f t="shared" si="241"/>
        <v>0</v>
      </c>
      <c r="L1533" s="52" t="s">
        <v>167</v>
      </c>
      <c r="M1533" s="1100" t="s">
        <v>165</v>
      </c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52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>x</v>
      </c>
      <c r="AA1533" s="853"/>
    </row>
    <row r="1534" spans="1:27" s="810" customFormat="1" ht="15.75" customHeight="1">
      <c r="A1534" s="1097" t="str">
        <f>IF(B1534&lt;&gt;"",IF(AND(B1534&gt;=_TM1,B1534&lt;=_TM2,OR(TH!L1534="1111",TH!M1534="1111")),TH!D1534,""),"")</f>
        <v/>
      </c>
      <c r="B1534" s="700">
        <f t="shared" si="242"/>
        <v>8</v>
      </c>
      <c r="C1534" s="836">
        <f t="shared" si="240"/>
        <v>41502</v>
      </c>
      <c r="D1534" s="48"/>
      <c r="E1534" s="48">
        <v>41502</v>
      </c>
      <c r="F1534" s="49" t="s">
        <v>744</v>
      </c>
      <c r="G1534" s="49" t="s">
        <v>913</v>
      </c>
      <c r="H1534" s="840" t="s">
        <v>1292</v>
      </c>
      <c r="I1534" s="254"/>
      <c r="J1534" s="254"/>
      <c r="K1534" s="701">
        <f t="shared" si="241"/>
        <v>0</v>
      </c>
      <c r="L1534" s="52" t="s">
        <v>167</v>
      </c>
      <c r="M1534" s="1100" t="s">
        <v>165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52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>x</v>
      </c>
      <c r="AA1534" s="853"/>
    </row>
    <row r="1535" spans="1:27" s="810" customFormat="1" ht="15.75" customHeight="1">
      <c r="A1535" s="1097" t="str">
        <f>IF(B1535&lt;&gt;"",IF(AND(B1535&gt;=_TM1,B1535&lt;=_TM2,OR(TH!L1535="1111",TH!M1535="1111")),TH!D1535,""),"")</f>
        <v/>
      </c>
      <c r="B1535" s="700">
        <f t="shared" si="242"/>
        <v>8</v>
      </c>
      <c r="C1535" s="836">
        <f t="shared" si="240"/>
        <v>41505</v>
      </c>
      <c r="D1535" s="48"/>
      <c r="E1535" s="48">
        <v>41505</v>
      </c>
      <c r="F1535" s="49" t="s">
        <v>867</v>
      </c>
      <c r="G1535" s="49" t="s">
        <v>914</v>
      </c>
      <c r="H1535" s="840" t="s">
        <v>1292</v>
      </c>
      <c r="I1535" s="254"/>
      <c r="J1535" s="254"/>
      <c r="K1535" s="701">
        <f t="shared" si="241"/>
        <v>0</v>
      </c>
      <c r="L1535" s="52" t="s">
        <v>167</v>
      </c>
      <c r="M1535" s="1100" t="s">
        <v>165</v>
      </c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52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>x</v>
      </c>
      <c r="AA1535" s="853"/>
    </row>
    <row r="1536" spans="1:27" s="810" customFormat="1" ht="15.75" customHeight="1">
      <c r="A1536" s="1097" t="str">
        <f>IF(B1536&lt;&gt;"",IF(AND(B1536&gt;=_TM1,B1536&lt;=_TM2,OR(TH!L1536="1111",TH!M1536="1111")),TH!D1536,""),"")</f>
        <v/>
      </c>
      <c r="B1536" s="700">
        <f t="shared" si="242"/>
        <v>8</v>
      </c>
      <c r="C1536" s="836">
        <f t="shared" si="240"/>
        <v>41506</v>
      </c>
      <c r="D1536" s="48"/>
      <c r="E1536" s="48">
        <v>41506</v>
      </c>
      <c r="F1536" s="49" t="s">
        <v>1154</v>
      </c>
      <c r="G1536" s="49" t="s">
        <v>915</v>
      </c>
      <c r="H1536" s="840" t="s">
        <v>1292</v>
      </c>
      <c r="I1536" s="254"/>
      <c r="J1536" s="254"/>
      <c r="K1536" s="701">
        <f t="shared" si="241"/>
        <v>0</v>
      </c>
      <c r="L1536" s="52" t="s">
        <v>167</v>
      </c>
      <c r="M1536" s="1100" t="s">
        <v>165</v>
      </c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52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>x</v>
      </c>
      <c r="AA1536" s="853"/>
    </row>
    <row r="1537" spans="1:27" s="810" customFormat="1" ht="15.75" customHeight="1">
      <c r="A1537" s="1097" t="str">
        <f>IF(B1537&lt;&gt;"",IF(AND(B1537&gt;=_TM1,B1537&lt;=_TM2,OR(TH!L1537="1111",TH!M1537="1111")),TH!D1537,""),"")</f>
        <v/>
      </c>
      <c r="B1537" s="700">
        <f t="shared" si="242"/>
        <v>8</v>
      </c>
      <c r="C1537" s="836">
        <f t="shared" si="240"/>
        <v>41506</v>
      </c>
      <c r="D1537" s="48"/>
      <c r="E1537" s="48">
        <v>41506</v>
      </c>
      <c r="F1537" s="49" t="s">
        <v>1149</v>
      </c>
      <c r="G1537" s="49" t="s">
        <v>917</v>
      </c>
      <c r="H1537" s="840" t="s">
        <v>1292</v>
      </c>
      <c r="I1537" s="254"/>
      <c r="J1537" s="254"/>
      <c r="K1537" s="701">
        <f t="shared" si="241"/>
        <v>0</v>
      </c>
      <c r="L1537" s="52" t="s">
        <v>167</v>
      </c>
      <c r="M1537" s="1100" t="s">
        <v>165</v>
      </c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52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>x</v>
      </c>
      <c r="AA1537" s="853"/>
    </row>
    <row r="1538" spans="1:27" s="810" customFormat="1" ht="15.75" customHeight="1">
      <c r="A1538" s="1097" t="str">
        <f>IF(B1538&lt;&gt;"",IF(AND(B1538&gt;=_TM1,B1538&lt;=_TM2,OR(TH!L1538="1111",TH!M1538="1111")),TH!D1538,""),"")</f>
        <v/>
      </c>
      <c r="B1538" s="700">
        <f t="shared" si="242"/>
        <v>8</v>
      </c>
      <c r="C1538" s="836">
        <f t="shared" si="240"/>
        <v>41506</v>
      </c>
      <c r="D1538" s="48"/>
      <c r="E1538" s="48">
        <v>41506</v>
      </c>
      <c r="F1538" s="49" t="s">
        <v>1149</v>
      </c>
      <c r="G1538" s="49" t="s">
        <v>918</v>
      </c>
      <c r="H1538" s="840" t="s">
        <v>1292</v>
      </c>
      <c r="I1538" s="254"/>
      <c r="J1538" s="254"/>
      <c r="K1538" s="701">
        <f t="shared" si="241"/>
        <v>0</v>
      </c>
      <c r="L1538" s="52" t="s">
        <v>167</v>
      </c>
      <c r="M1538" s="1100" t="s">
        <v>165</v>
      </c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52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>x</v>
      </c>
      <c r="AA1538" s="853"/>
    </row>
    <row r="1539" spans="1:27" s="810" customFormat="1" ht="15.75" customHeight="1">
      <c r="A1539" s="1097" t="str">
        <f>IF(B1539&lt;&gt;"",IF(AND(B1539&gt;=_TM1,B1539&lt;=_TM2,OR(TH!L1539="1111",TH!M1539="1111")),TH!D1539,""),"")</f>
        <v/>
      </c>
      <c r="B1539" s="700">
        <f t="shared" si="242"/>
        <v>8</v>
      </c>
      <c r="C1539" s="836">
        <f t="shared" si="240"/>
        <v>41507</v>
      </c>
      <c r="D1539" s="48"/>
      <c r="E1539" s="48">
        <v>41507</v>
      </c>
      <c r="F1539" s="49" t="s">
        <v>760</v>
      </c>
      <c r="G1539" s="49" t="s">
        <v>919</v>
      </c>
      <c r="H1539" s="840" t="s">
        <v>1292</v>
      </c>
      <c r="I1539" s="254"/>
      <c r="J1539" s="254"/>
      <c r="K1539" s="701">
        <f t="shared" si="241"/>
        <v>0</v>
      </c>
      <c r="L1539" s="52" t="s">
        <v>167</v>
      </c>
      <c r="M1539" s="1100" t="s">
        <v>165</v>
      </c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52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>x</v>
      </c>
      <c r="AA1539" s="853"/>
    </row>
    <row r="1540" spans="1:27" s="810" customFormat="1" ht="15.75" customHeight="1">
      <c r="A1540" s="1097" t="str">
        <f>IF(B1540&lt;&gt;"",IF(AND(B1540&gt;=_TM1,B1540&lt;=_TM2,OR(TH!L1540="1111",TH!M1540="1111")),TH!D1540,""),"")</f>
        <v/>
      </c>
      <c r="B1540" s="700">
        <f t="shared" si="242"/>
        <v>8</v>
      </c>
      <c r="C1540" s="836">
        <f t="shared" si="240"/>
        <v>41511</v>
      </c>
      <c r="D1540" s="48"/>
      <c r="E1540" s="48">
        <v>41511</v>
      </c>
      <c r="F1540" s="49" t="s">
        <v>920</v>
      </c>
      <c r="G1540" s="49" t="s">
        <v>921</v>
      </c>
      <c r="H1540" s="840" t="s">
        <v>1292</v>
      </c>
      <c r="I1540" s="254"/>
      <c r="J1540" s="254"/>
      <c r="K1540" s="701">
        <f t="shared" si="241"/>
        <v>0</v>
      </c>
      <c r="L1540" s="52" t="s">
        <v>167</v>
      </c>
      <c r="M1540" s="1100" t="s">
        <v>165</v>
      </c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52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>x</v>
      </c>
      <c r="AA1540" s="853"/>
    </row>
    <row r="1541" spans="1:27" s="810" customFormat="1" ht="15.75" customHeight="1">
      <c r="A1541" s="1097" t="str">
        <f>IF(B1541&lt;&gt;"",IF(AND(B1541&gt;=_TM1,B1541&lt;=_TM2,OR(TH!L1541="1111",TH!M1541="1111")),TH!D1541,""),"")</f>
        <v/>
      </c>
      <c r="B1541" s="700">
        <f t="shared" si="242"/>
        <v>8</v>
      </c>
      <c r="C1541" s="836">
        <f t="shared" si="240"/>
        <v>41511</v>
      </c>
      <c r="D1541" s="48"/>
      <c r="E1541" s="48">
        <v>41511</v>
      </c>
      <c r="F1541" s="49" t="s">
        <v>1162</v>
      </c>
      <c r="G1541" s="49" t="s">
        <v>921</v>
      </c>
      <c r="H1541" s="840" t="s">
        <v>1292</v>
      </c>
      <c r="I1541" s="254"/>
      <c r="J1541" s="254"/>
      <c r="K1541" s="701">
        <f t="shared" si="241"/>
        <v>0</v>
      </c>
      <c r="L1541" s="52" t="s">
        <v>167</v>
      </c>
      <c r="M1541" s="1100" t="s">
        <v>165</v>
      </c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52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>x</v>
      </c>
      <c r="AA1541" s="853"/>
    </row>
    <row r="1542" spans="1:27" s="810" customFormat="1" ht="15.75" customHeight="1">
      <c r="A1542" s="1097" t="str">
        <f>IF(B1542&lt;&gt;"",IF(AND(B1542&gt;=_TM1,B1542&lt;=_TM2,OR(TH!L1542="1111",TH!M1542="1111")),TH!D1542,""),"")</f>
        <v/>
      </c>
      <c r="B1542" s="700">
        <f t="shared" si="242"/>
        <v>8</v>
      </c>
      <c r="C1542" s="836">
        <f t="shared" si="240"/>
        <v>41511</v>
      </c>
      <c r="D1542" s="48"/>
      <c r="E1542" s="48">
        <v>41511</v>
      </c>
      <c r="F1542" s="49" t="s">
        <v>922</v>
      </c>
      <c r="G1542" s="49" t="s">
        <v>921</v>
      </c>
      <c r="H1542" s="840" t="s">
        <v>1292</v>
      </c>
      <c r="I1542" s="254"/>
      <c r="J1542" s="254"/>
      <c r="K1542" s="701">
        <f t="shared" si="241"/>
        <v>0</v>
      </c>
      <c r="L1542" s="52" t="s">
        <v>167</v>
      </c>
      <c r="M1542" s="1100" t="s">
        <v>165</v>
      </c>
      <c r="N1542" s="52" t="str">
        <f>IF(AND('331-CT'!$E$7=TH!H1542,OR(L1542="331",M1542="331")),"331",IF(AND(OR(L1542="131",M1542="131"),H1542='131-CT'!$E$7),"131",""))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52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>x</v>
      </c>
      <c r="AA1542" s="853"/>
    </row>
    <row r="1543" spans="1:27" s="810" customFormat="1" ht="15.75" customHeight="1">
      <c r="A1543" s="1097" t="str">
        <f>IF(B1543&lt;&gt;"",IF(AND(B1543&gt;=_TM1,B1543&lt;=_TM2,OR(TH!L1543="1111",TH!M1543="1111")),TH!D1543,""),"")</f>
        <v/>
      </c>
      <c r="B1543" s="700">
        <f t="shared" si="242"/>
        <v>8</v>
      </c>
      <c r="C1543" s="836">
        <f t="shared" ref="C1543:C1606" si="243">E1543</f>
        <v>41511</v>
      </c>
      <c r="D1543" s="48"/>
      <c r="E1543" s="48">
        <v>41511</v>
      </c>
      <c r="F1543" s="49" t="s">
        <v>920</v>
      </c>
      <c r="G1543" s="49" t="s">
        <v>921</v>
      </c>
      <c r="H1543" s="840" t="s">
        <v>1292</v>
      </c>
      <c r="I1543" s="254"/>
      <c r="J1543" s="254"/>
      <c r="K1543" s="701">
        <f t="shared" ref="K1543:K1606" si="244">ROUND(I1543*J1543,0)</f>
        <v>0</v>
      </c>
      <c r="L1543" s="52" t="s">
        <v>167</v>
      </c>
      <c r="M1543" s="1100" t="s">
        <v>165</v>
      </c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52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>x</v>
      </c>
      <c r="AA1543" s="853"/>
    </row>
    <row r="1544" spans="1:27" s="810" customFormat="1" ht="15.75" customHeight="1">
      <c r="A1544" s="1097" t="str">
        <f>IF(B1544&lt;&gt;"",IF(AND(B1544&gt;=_TM1,B1544&lt;=_TM2,OR(TH!L1544="1111",TH!M1544="1111")),TH!D1544,""),"")</f>
        <v/>
      </c>
      <c r="B1544" s="700">
        <f t="shared" si="242"/>
        <v>8</v>
      </c>
      <c r="C1544" s="836">
        <f t="shared" si="243"/>
        <v>41512</v>
      </c>
      <c r="D1544" s="48"/>
      <c r="E1544" s="48">
        <v>41512</v>
      </c>
      <c r="F1544" s="49" t="s">
        <v>1151</v>
      </c>
      <c r="G1544" s="49" t="s">
        <v>923</v>
      </c>
      <c r="H1544" s="840" t="s">
        <v>1292</v>
      </c>
      <c r="I1544" s="254"/>
      <c r="J1544" s="254"/>
      <c r="K1544" s="701">
        <f t="shared" si="244"/>
        <v>0</v>
      </c>
      <c r="L1544" s="52" t="s">
        <v>167</v>
      </c>
      <c r="M1544" s="1100" t="s">
        <v>165</v>
      </c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52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>x</v>
      </c>
      <c r="AA1544" s="853"/>
    </row>
    <row r="1545" spans="1:27" s="810" customFormat="1" ht="15.75" customHeight="1">
      <c r="A1545" s="1097" t="str">
        <f>IF(B1545&lt;&gt;"",IF(AND(B1545&gt;=_TM1,B1545&lt;=_TM2,OR(TH!L1545="1111",TH!M1545="1111")),TH!D1545,""),"")</f>
        <v/>
      </c>
      <c r="B1545" s="700">
        <f t="shared" si="242"/>
        <v>8</v>
      </c>
      <c r="C1545" s="836">
        <f t="shared" si="243"/>
        <v>41512</v>
      </c>
      <c r="D1545" s="48"/>
      <c r="E1545" s="48">
        <v>41512</v>
      </c>
      <c r="F1545" s="49" t="s">
        <v>1151</v>
      </c>
      <c r="G1545" s="49" t="s">
        <v>923</v>
      </c>
      <c r="H1545" s="840" t="s">
        <v>1292</v>
      </c>
      <c r="I1545" s="254"/>
      <c r="J1545" s="254"/>
      <c r="K1545" s="701">
        <f t="shared" si="244"/>
        <v>0</v>
      </c>
      <c r="L1545" s="52" t="s">
        <v>167</v>
      </c>
      <c r="M1545" s="1100" t="s">
        <v>165</v>
      </c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52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>x</v>
      </c>
      <c r="AA1545" s="853"/>
    </row>
    <row r="1546" spans="1:27" s="810" customFormat="1" ht="15.75" customHeight="1">
      <c r="A1546" s="1097" t="str">
        <f>IF(B1546&lt;&gt;"",IF(AND(B1546&gt;=_TM1,B1546&lt;=_TM2,OR(TH!L1546="1111",TH!M1546="1111")),TH!D1546,""),"")</f>
        <v/>
      </c>
      <c r="B1546" s="700">
        <f t="shared" si="242"/>
        <v>8</v>
      </c>
      <c r="C1546" s="836">
        <f t="shared" si="243"/>
        <v>41512</v>
      </c>
      <c r="D1546" s="48"/>
      <c r="E1546" s="48">
        <v>41512</v>
      </c>
      <c r="F1546" s="49" t="s">
        <v>1142</v>
      </c>
      <c r="G1546" s="49" t="s">
        <v>1116</v>
      </c>
      <c r="H1546" s="840" t="s">
        <v>1292</v>
      </c>
      <c r="I1546" s="254"/>
      <c r="J1546" s="254"/>
      <c r="K1546" s="701">
        <f t="shared" si="244"/>
        <v>0</v>
      </c>
      <c r="L1546" s="52" t="s">
        <v>167</v>
      </c>
      <c r="M1546" s="1100" t="s">
        <v>165</v>
      </c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52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>x</v>
      </c>
      <c r="AA1546" s="853"/>
    </row>
    <row r="1547" spans="1:27" s="810" customFormat="1" ht="15.75" customHeight="1">
      <c r="A1547" s="1097" t="str">
        <f>IF(B1547&lt;&gt;"",IF(AND(B1547&gt;=_TM1,B1547&lt;=_TM2,OR(TH!L1547="1111",TH!M1547="1111")),TH!D1547,""),"")</f>
        <v/>
      </c>
      <c r="B1547" s="700">
        <f t="shared" si="242"/>
        <v>8</v>
      </c>
      <c r="C1547" s="836">
        <f t="shared" si="243"/>
        <v>41512</v>
      </c>
      <c r="D1547" s="48"/>
      <c r="E1547" s="48">
        <v>41512</v>
      </c>
      <c r="F1547" s="49" t="s">
        <v>1146</v>
      </c>
      <c r="G1547" s="49" t="s">
        <v>1116</v>
      </c>
      <c r="H1547" s="840" t="s">
        <v>1292</v>
      </c>
      <c r="I1547" s="254"/>
      <c r="J1547" s="254"/>
      <c r="K1547" s="701">
        <f t="shared" si="244"/>
        <v>0</v>
      </c>
      <c r="L1547" s="52" t="s">
        <v>167</v>
      </c>
      <c r="M1547" s="1100" t="s">
        <v>165</v>
      </c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52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>x</v>
      </c>
      <c r="AA1547" s="853"/>
    </row>
    <row r="1548" spans="1:27" s="810" customFormat="1" ht="15.75" customHeight="1">
      <c r="A1548" s="1097" t="str">
        <f>IF(B1548&lt;&gt;"",IF(AND(B1548&gt;=_TM1,B1548&lt;=_TM2,OR(TH!L1548="1111",TH!M1548="1111")),TH!D1548,""),"")</f>
        <v/>
      </c>
      <c r="B1548" s="700">
        <f t="shared" si="242"/>
        <v>8</v>
      </c>
      <c r="C1548" s="836">
        <f t="shared" si="243"/>
        <v>41516</v>
      </c>
      <c r="D1548" s="836"/>
      <c r="E1548" s="836">
        <v>41516</v>
      </c>
      <c r="F1548" s="1099" t="s">
        <v>1010</v>
      </c>
      <c r="G1548" s="837" t="s">
        <v>1117</v>
      </c>
      <c r="H1548" s="840" t="s">
        <v>1292</v>
      </c>
      <c r="I1548" s="254"/>
      <c r="J1548" s="254"/>
      <c r="K1548" s="701">
        <f t="shared" si="244"/>
        <v>0</v>
      </c>
      <c r="L1548" s="52" t="s">
        <v>167</v>
      </c>
      <c r="M1548" s="1100" t="s">
        <v>165</v>
      </c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52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>x</v>
      </c>
      <c r="AA1548" s="853"/>
    </row>
    <row r="1549" spans="1:27" s="810" customFormat="1" ht="15.75" customHeight="1">
      <c r="A1549" s="1097" t="str">
        <f>IF(B1549&lt;&gt;"",IF(AND(B1549&gt;=_TM1,B1549&lt;=_TM2,OR(TH!L1549="1111",TH!M1549="1111")),TH!D1549,""),"")</f>
        <v/>
      </c>
      <c r="B1549" s="700">
        <f t="shared" si="242"/>
        <v>8</v>
      </c>
      <c r="C1549" s="836">
        <f t="shared" si="243"/>
        <v>41516</v>
      </c>
      <c r="D1549" s="836"/>
      <c r="E1549" s="836">
        <v>41516</v>
      </c>
      <c r="F1549" s="1099" t="s">
        <v>1009</v>
      </c>
      <c r="G1549" s="837" t="s">
        <v>1117</v>
      </c>
      <c r="H1549" s="840" t="s">
        <v>1292</v>
      </c>
      <c r="I1549" s="254"/>
      <c r="J1549" s="254"/>
      <c r="K1549" s="701">
        <f t="shared" si="244"/>
        <v>0</v>
      </c>
      <c r="L1549" s="52" t="s">
        <v>167</v>
      </c>
      <c r="M1549" s="1100" t="s">
        <v>165</v>
      </c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52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>x</v>
      </c>
      <c r="AA1549" s="853"/>
    </row>
    <row r="1550" spans="1:27" s="810" customFormat="1" ht="15.75" customHeight="1">
      <c r="A1550" s="1097" t="str">
        <f>IF(B1550&lt;&gt;"",IF(AND(B1550&gt;=_TM1,B1550&lt;=_TM2,OR(TH!L1550="1111",TH!M1550="1111")),TH!D1550,""),"")</f>
        <v/>
      </c>
      <c r="B1550" s="700">
        <f t="shared" si="242"/>
        <v>8</v>
      </c>
      <c r="C1550" s="836">
        <f t="shared" si="243"/>
        <v>41516</v>
      </c>
      <c r="D1550" s="836"/>
      <c r="E1550" s="836">
        <v>41516</v>
      </c>
      <c r="F1550" s="1099" t="s">
        <v>1006</v>
      </c>
      <c r="G1550" s="837" t="s">
        <v>1117</v>
      </c>
      <c r="H1550" s="840" t="s">
        <v>1292</v>
      </c>
      <c r="I1550" s="254"/>
      <c r="J1550" s="254"/>
      <c r="K1550" s="701">
        <f t="shared" si="244"/>
        <v>0</v>
      </c>
      <c r="L1550" s="52" t="s">
        <v>167</v>
      </c>
      <c r="M1550" s="1100" t="s">
        <v>165</v>
      </c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52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>x</v>
      </c>
      <c r="AA1550" s="853"/>
    </row>
    <row r="1551" spans="1:27" s="810" customFormat="1" ht="15.75" customHeight="1">
      <c r="A1551" s="1097" t="str">
        <f>IF(B1551&lt;&gt;"",IF(AND(B1551&gt;=_TM1,B1551&lt;=_TM2,OR(TH!L1551="1111",TH!M1551="1111")),TH!D1551,""),"")</f>
        <v/>
      </c>
      <c r="B1551" s="700">
        <f t="shared" si="242"/>
        <v>8</v>
      </c>
      <c r="C1551" s="836">
        <f t="shared" si="243"/>
        <v>41512</v>
      </c>
      <c r="D1551" s="836"/>
      <c r="E1551" s="836">
        <v>41512</v>
      </c>
      <c r="F1551" s="1099" t="s">
        <v>940</v>
      </c>
      <c r="G1551" s="837" t="s">
        <v>1118</v>
      </c>
      <c r="H1551" s="840" t="s">
        <v>1292</v>
      </c>
      <c r="I1551" s="254"/>
      <c r="J1551" s="254"/>
      <c r="K1551" s="701">
        <f t="shared" si="244"/>
        <v>0</v>
      </c>
      <c r="L1551" s="52" t="s">
        <v>167</v>
      </c>
      <c r="M1551" s="1100" t="s">
        <v>165</v>
      </c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52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>x</v>
      </c>
      <c r="AA1551" s="853"/>
    </row>
    <row r="1552" spans="1:27" s="810" customFormat="1" ht="15.75" customHeight="1">
      <c r="A1552" s="1097" t="str">
        <f>IF(B1552&lt;&gt;"",IF(AND(B1552&gt;=_TM1,B1552&lt;=_TM2,OR(TH!L1552="1111",TH!M1552="1111")),TH!D1552,""),"")</f>
        <v/>
      </c>
      <c r="B1552" s="700">
        <f t="shared" si="242"/>
        <v>8</v>
      </c>
      <c r="C1552" s="836">
        <f t="shared" si="243"/>
        <v>41512</v>
      </c>
      <c r="D1552" s="836"/>
      <c r="E1552" s="836">
        <v>41512</v>
      </c>
      <c r="F1552" s="1099" t="s">
        <v>942</v>
      </c>
      <c r="G1552" s="837" t="s">
        <v>1118</v>
      </c>
      <c r="H1552" s="840" t="s">
        <v>1292</v>
      </c>
      <c r="I1552" s="1121"/>
      <c r="J1552" s="1121"/>
      <c r="K1552" s="701">
        <f t="shared" si="244"/>
        <v>0</v>
      </c>
      <c r="L1552" s="52" t="s">
        <v>167</v>
      </c>
      <c r="M1552" s="1100" t="s">
        <v>165</v>
      </c>
      <c r="N1552" s="52" t="str">
        <f>IF(AND('331-CT'!$E$7=TH!H1552,OR(L1552="331",M1552="331")),"331",IF(AND(OR(L1552="131",M1552="131"),H1552='131-CT'!$E$7),"131",""))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52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>x</v>
      </c>
      <c r="AA1552" s="853"/>
    </row>
    <row r="1553" spans="1:27" s="810" customFormat="1" ht="15.75" customHeight="1">
      <c r="A1553" s="1097" t="str">
        <f>IF(B1553&lt;&gt;"",IF(AND(B1553&gt;=_TM1,B1553&lt;=_TM2,OR(TH!L1553="1111",TH!M1553="1111")),TH!D1553,""),"")</f>
        <v/>
      </c>
      <c r="B1553" s="700">
        <f t="shared" si="242"/>
        <v>9</v>
      </c>
      <c r="C1553" s="836">
        <f t="shared" si="243"/>
        <v>41522</v>
      </c>
      <c r="D1553" s="836"/>
      <c r="E1553" s="836">
        <v>41522</v>
      </c>
      <c r="F1553" s="1099" t="s">
        <v>1150</v>
      </c>
      <c r="G1553" s="837" t="s">
        <v>1119</v>
      </c>
      <c r="H1553" s="840" t="s">
        <v>1292</v>
      </c>
      <c r="I1553" s="1121"/>
      <c r="J1553" s="1121"/>
      <c r="K1553" s="701">
        <f t="shared" si="244"/>
        <v>0</v>
      </c>
      <c r="L1553" s="52" t="s">
        <v>167</v>
      </c>
      <c r="M1553" s="1100" t="s">
        <v>165</v>
      </c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52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>x</v>
      </c>
      <c r="AA1553" s="853"/>
    </row>
    <row r="1554" spans="1:27" s="810" customFormat="1" ht="15.75" customHeight="1">
      <c r="A1554" s="1097" t="str">
        <f>IF(B1554&lt;&gt;"",IF(AND(B1554&gt;=_TM1,B1554&lt;=_TM2,OR(TH!L1554="1111",TH!M1554="1111")),TH!D1554,""),"")</f>
        <v/>
      </c>
      <c r="B1554" s="700">
        <f t="shared" si="242"/>
        <v>9</v>
      </c>
      <c r="C1554" s="836">
        <f t="shared" si="243"/>
        <v>41523</v>
      </c>
      <c r="D1554" s="836"/>
      <c r="E1554" s="836">
        <v>41523</v>
      </c>
      <c r="F1554" s="1099" t="s">
        <v>1121</v>
      </c>
      <c r="G1554" s="837" t="s">
        <v>1120</v>
      </c>
      <c r="H1554" s="840" t="s">
        <v>1292</v>
      </c>
      <c r="I1554" s="254"/>
      <c r="J1554" s="254"/>
      <c r="K1554" s="701">
        <f t="shared" si="244"/>
        <v>0</v>
      </c>
      <c r="L1554" s="52" t="s">
        <v>167</v>
      </c>
      <c r="M1554" s="1100" t="s">
        <v>165</v>
      </c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52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>x</v>
      </c>
      <c r="AA1554" s="853"/>
    </row>
    <row r="1555" spans="1:27" s="810" customFormat="1" ht="15.75" customHeight="1">
      <c r="A1555" s="1097" t="str">
        <f>IF(B1555&lt;&gt;"",IF(AND(B1555&gt;=_TM1,B1555&lt;=_TM2,OR(TH!L1555="1111",TH!M1555="1111")),TH!D1555,""),"")</f>
        <v/>
      </c>
      <c r="B1555" s="700">
        <f t="shared" si="242"/>
        <v>9</v>
      </c>
      <c r="C1555" s="836">
        <f t="shared" si="243"/>
        <v>41523</v>
      </c>
      <c r="D1555" s="836"/>
      <c r="E1555" s="836">
        <v>41523</v>
      </c>
      <c r="F1555" s="1099" t="s">
        <v>1122</v>
      </c>
      <c r="G1555" s="837" t="s">
        <v>1120</v>
      </c>
      <c r="H1555" s="840" t="s">
        <v>1292</v>
      </c>
      <c r="I1555" s="254"/>
      <c r="J1555" s="254"/>
      <c r="K1555" s="701">
        <f t="shared" si="244"/>
        <v>0</v>
      </c>
      <c r="L1555" s="52" t="s">
        <v>167</v>
      </c>
      <c r="M1555" s="1100" t="s">
        <v>165</v>
      </c>
      <c r="N1555" s="52" t="str">
        <f>IF(AND('331-CT'!$E$7=TH!H1555,OR(L1555="331",M1555="331")),"331",IF(AND(OR(L1555="131",M1555="131"),H1555='131-CT'!$E$7),"131",""))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52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>x</v>
      </c>
      <c r="AA1555" s="853"/>
    </row>
    <row r="1556" spans="1:27" s="810" customFormat="1" ht="15.75" customHeight="1">
      <c r="A1556" s="1097" t="str">
        <f>IF(B1556&lt;&gt;"",IF(AND(B1556&gt;=_TM1,B1556&lt;=_TM2,OR(TH!L1556="1111",TH!M1556="1111")),TH!D1556,""),"")</f>
        <v/>
      </c>
      <c r="B1556" s="700">
        <f t="shared" si="242"/>
        <v>9</v>
      </c>
      <c r="C1556" s="836">
        <f t="shared" si="243"/>
        <v>41526</v>
      </c>
      <c r="D1556" s="48"/>
      <c r="E1556" s="48">
        <v>41526</v>
      </c>
      <c r="F1556" s="49" t="s">
        <v>1137</v>
      </c>
      <c r="G1556" s="49" t="s">
        <v>1123</v>
      </c>
      <c r="H1556" s="840" t="s">
        <v>1292</v>
      </c>
      <c r="I1556" s="254"/>
      <c r="J1556" s="254"/>
      <c r="K1556" s="701">
        <f t="shared" si="244"/>
        <v>0</v>
      </c>
      <c r="L1556" s="52" t="s">
        <v>167</v>
      </c>
      <c r="M1556" s="1100" t="s">
        <v>165</v>
      </c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52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>x</v>
      </c>
      <c r="AA1556" s="853"/>
    </row>
    <row r="1557" spans="1:27" s="810" customFormat="1" ht="15.75" customHeight="1">
      <c r="A1557" s="1097" t="str">
        <f>IF(B1557&lt;&gt;"",IF(AND(B1557&gt;=_TM1,B1557&lt;=_TM2,OR(TH!L1557="1111",TH!M1557="1111")),TH!D1557,""),"")</f>
        <v/>
      </c>
      <c r="B1557" s="700">
        <f t="shared" si="242"/>
        <v>9</v>
      </c>
      <c r="C1557" s="836">
        <f t="shared" si="243"/>
        <v>41526</v>
      </c>
      <c r="D1557" s="48"/>
      <c r="E1557" s="48">
        <v>41526</v>
      </c>
      <c r="F1557" s="49" t="s">
        <v>867</v>
      </c>
      <c r="G1557" s="49" t="s">
        <v>1124</v>
      </c>
      <c r="H1557" s="840" t="s">
        <v>1292</v>
      </c>
      <c r="I1557" s="254"/>
      <c r="J1557" s="254"/>
      <c r="K1557" s="701">
        <f t="shared" si="244"/>
        <v>0</v>
      </c>
      <c r="L1557" s="52" t="s">
        <v>167</v>
      </c>
      <c r="M1557" s="1100" t="s">
        <v>165</v>
      </c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52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>x</v>
      </c>
      <c r="AA1557" s="853"/>
    </row>
    <row r="1558" spans="1:27" s="810" customFormat="1" ht="15.75" customHeight="1">
      <c r="A1558" s="1097" t="str">
        <f>IF(B1558&lt;&gt;"",IF(AND(B1558&gt;=_TM1,B1558&lt;=_TM2,OR(TH!L1558="1111",TH!M1558="1111")),TH!D1558,""),"")</f>
        <v/>
      </c>
      <c r="B1558" s="700">
        <f t="shared" si="242"/>
        <v>9</v>
      </c>
      <c r="C1558" s="836">
        <f t="shared" si="243"/>
        <v>41526</v>
      </c>
      <c r="D1558" s="48"/>
      <c r="E1558" s="48">
        <v>41526</v>
      </c>
      <c r="F1558" s="49" t="s">
        <v>940</v>
      </c>
      <c r="G1558" s="49" t="s">
        <v>1125</v>
      </c>
      <c r="H1558" s="840" t="s">
        <v>1292</v>
      </c>
      <c r="I1558" s="254"/>
      <c r="J1558" s="254"/>
      <c r="K1558" s="701">
        <f t="shared" si="244"/>
        <v>0</v>
      </c>
      <c r="L1558" s="52" t="s">
        <v>167</v>
      </c>
      <c r="M1558" s="1100" t="s">
        <v>165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52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>x</v>
      </c>
      <c r="AA1558" s="853"/>
    </row>
    <row r="1559" spans="1:27" s="810" customFormat="1" ht="15.75" customHeight="1">
      <c r="A1559" s="1097" t="str">
        <f>IF(B1559&lt;&gt;"",IF(AND(B1559&gt;=_TM1,B1559&lt;=_TM2,OR(TH!L1559="1111",TH!M1559="1111")),TH!D1559,""),"")</f>
        <v/>
      </c>
      <c r="B1559" s="700">
        <f t="shared" si="242"/>
        <v>9</v>
      </c>
      <c r="C1559" s="836">
        <f t="shared" si="243"/>
        <v>41526</v>
      </c>
      <c r="D1559" s="48"/>
      <c r="E1559" s="48">
        <v>41526</v>
      </c>
      <c r="F1559" s="49" t="s">
        <v>942</v>
      </c>
      <c r="G1559" s="49" t="s">
        <v>1125</v>
      </c>
      <c r="H1559" s="840" t="s">
        <v>1292</v>
      </c>
      <c r="I1559" s="254"/>
      <c r="J1559" s="254"/>
      <c r="K1559" s="701">
        <f t="shared" si="244"/>
        <v>0</v>
      </c>
      <c r="L1559" s="52" t="s">
        <v>167</v>
      </c>
      <c r="M1559" s="1100" t="s">
        <v>165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52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>x</v>
      </c>
      <c r="AA1559" s="853"/>
    </row>
    <row r="1560" spans="1:27" s="810" customFormat="1" ht="15.75" customHeight="1">
      <c r="A1560" s="1097" t="str">
        <f>IF(B1560&lt;&gt;"",IF(AND(B1560&gt;=_TM1,B1560&lt;=_TM2,OR(TH!L1560="1111",TH!M1560="1111")),TH!D1560,""),"")</f>
        <v/>
      </c>
      <c r="B1560" s="700">
        <f t="shared" si="242"/>
        <v>9</v>
      </c>
      <c r="C1560" s="836">
        <f t="shared" si="243"/>
        <v>41526</v>
      </c>
      <c r="D1560" s="48"/>
      <c r="E1560" s="48">
        <v>41526</v>
      </c>
      <c r="F1560" s="49" t="s">
        <v>1150</v>
      </c>
      <c r="G1560" s="49" t="s">
        <v>924</v>
      </c>
      <c r="H1560" s="840" t="s">
        <v>1292</v>
      </c>
      <c r="I1560" s="254"/>
      <c r="J1560" s="254"/>
      <c r="K1560" s="701">
        <f t="shared" si="244"/>
        <v>0</v>
      </c>
      <c r="L1560" s="52" t="s">
        <v>167</v>
      </c>
      <c r="M1560" s="1100" t="s">
        <v>165</v>
      </c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52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>x</v>
      </c>
      <c r="AA1560" s="853"/>
    </row>
    <row r="1561" spans="1:27" s="810" customFormat="1" ht="15.75" customHeight="1">
      <c r="A1561" s="1097" t="str">
        <f>IF(B1561&lt;&gt;"",IF(AND(B1561&gt;=_TM1,B1561&lt;=_TM2,OR(TH!L1561="1111",TH!M1561="1111")),TH!D1561,""),"")</f>
        <v/>
      </c>
      <c r="B1561" s="700">
        <f t="shared" si="242"/>
        <v>9</v>
      </c>
      <c r="C1561" s="836">
        <f t="shared" si="243"/>
        <v>41528</v>
      </c>
      <c r="D1561" s="48"/>
      <c r="E1561" s="48">
        <v>41528</v>
      </c>
      <c r="F1561" s="49" t="s">
        <v>925</v>
      </c>
      <c r="G1561" s="49" t="s">
        <v>926</v>
      </c>
      <c r="H1561" s="840" t="s">
        <v>1292</v>
      </c>
      <c r="I1561" s="254"/>
      <c r="J1561" s="254"/>
      <c r="K1561" s="701">
        <f t="shared" si="244"/>
        <v>0</v>
      </c>
      <c r="L1561" s="52" t="s">
        <v>167</v>
      </c>
      <c r="M1561" s="1100" t="s">
        <v>165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52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>x</v>
      </c>
      <c r="AA1561" s="853"/>
    </row>
    <row r="1562" spans="1:27" s="810" customFormat="1" ht="15.75" customHeight="1">
      <c r="A1562" s="1097" t="str">
        <f>IF(B1562&lt;&gt;"",IF(AND(B1562&gt;=_TM1,B1562&lt;=_TM2,OR(TH!L1562="1111",TH!M1562="1111")),TH!D1562,""),"")</f>
        <v/>
      </c>
      <c r="B1562" s="700">
        <f t="shared" si="242"/>
        <v>9</v>
      </c>
      <c r="C1562" s="836">
        <f t="shared" si="243"/>
        <v>41528</v>
      </c>
      <c r="D1562" s="48"/>
      <c r="E1562" s="48">
        <v>41528</v>
      </c>
      <c r="F1562" s="49" t="s">
        <v>928</v>
      </c>
      <c r="G1562" s="49" t="s">
        <v>926</v>
      </c>
      <c r="H1562" s="840" t="s">
        <v>1292</v>
      </c>
      <c r="I1562" s="254"/>
      <c r="J1562" s="254"/>
      <c r="K1562" s="701">
        <f t="shared" si="244"/>
        <v>0</v>
      </c>
      <c r="L1562" s="52" t="s">
        <v>167</v>
      </c>
      <c r="M1562" s="1100" t="s">
        <v>165</v>
      </c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52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>x</v>
      </c>
      <c r="AA1562" s="853"/>
    </row>
    <row r="1563" spans="1:27" s="810" customFormat="1" ht="15.75" customHeight="1">
      <c r="A1563" s="1097" t="str">
        <f>IF(B1563&lt;&gt;"",IF(AND(B1563&gt;=_TM1,B1563&lt;=_TM2,OR(TH!L1563="1111",TH!M1563="1111")),TH!D1563,""),"")</f>
        <v/>
      </c>
      <c r="B1563" s="700">
        <f t="shared" si="242"/>
        <v>9</v>
      </c>
      <c r="C1563" s="836">
        <f t="shared" si="243"/>
        <v>41533</v>
      </c>
      <c r="D1563" s="48"/>
      <c r="E1563" s="48">
        <v>41533</v>
      </c>
      <c r="F1563" s="49" t="s">
        <v>838</v>
      </c>
      <c r="G1563" s="49" t="s">
        <v>929</v>
      </c>
      <c r="H1563" s="840" t="s">
        <v>1292</v>
      </c>
      <c r="I1563" s="254"/>
      <c r="J1563" s="254"/>
      <c r="K1563" s="701">
        <f t="shared" si="244"/>
        <v>0</v>
      </c>
      <c r="L1563" s="52" t="s">
        <v>167</v>
      </c>
      <c r="M1563" s="1100" t="s">
        <v>165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52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>x</v>
      </c>
      <c r="AA1563" s="853"/>
    </row>
    <row r="1564" spans="1:27" s="810" customFormat="1" ht="15.75" customHeight="1">
      <c r="A1564" s="1097" t="str">
        <f>IF(B1564&lt;&gt;"",IF(AND(B1564&gt;=_TM1,B1564&lt;=_TM2,OR(TH!L1564="1111",TH!M1564="1111")),TH!D1564,""),"")</f>
        <v/>
      </c>
      <c r="B1564" s="700">
        <f t="shared" si="242"/>
        <v>9</v>
      </c>
      <c r="C1564" s="836">
        <f t="shared" si="243"/>
        <v>41535</v>
      </c>
      <c r="D1564" s="48"/>
      <c r="E1564" s="48">
        <v>41535</v>
      </c>
      <c r="F1564" s="49" t="s">
        <v>867</v>
      </c>
      <c r="G1564" s="49" t="s">
        <v>930</v>
      </c>
      <c r="H1564" s="840" t="s">
        <v>1292</v>
      </c>
      <c r="I1564" s="254"/>
      <c r="J1564" s="254"/>
      <c r="K1564" s="701">
        <f t="shared" si="244"/>
        <v>0</v>
      </c>
      <c r="L1564" s="52" t="s">
        <v>167</v>
      </c>
      <c r="M1564" s="1100" t="s">
        <v>165</v>
      </c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52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>x</v>
      </c>
      <c r="AA1564" s="853"/>
    </row>
    <row r="1565" spans="1:27" s="810" customFormat="1" ht="15.75" customHeight="1">
      <c r="A1565" s="1097" t="str">
        <f>IF(B1565&lt;&gt;"",IF(AND(B1565&gt;=_TM1,B1565&lt;=_TM2,OR(TH!L1565="1111",TH!M1565="1111")),TH!D1565,""),"")</f>
        <v/>
      </c>
      <c r="B1565" s="700">
        <f t="shared" si="242"/>
        <v>9</v>
      </c>
      <c r="C1565" s="836">
        <f t="shared" si="243"/>
        <v>41536</v>
      </c>
      <c r="D1565" s="48"/>
      <c r="E1565" s="48">
        <v>41536</v>
      </c>
      <c r="F1565" s="49" t="s">
        <v>931</v>
      </c>
      <c r="G1565" s="49" t="s">
        <v>932</v>
      </c>
      <c r="H1565" s="840" t="s">
        <v>1292</v>
      </c>
      <c r="I1565" s="254"/>
      <c r="J1565" s="254"/>
      <c r="K1565" s="701">
        <f t="shared" si="244"/>
        <v>0</v>
      </c>
      <c r="L1565" s="52" t="s">
        <v>167</v>
      </c>
      <c r="M1565" s="1100" t="s">
        <v>165</v>
      </c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52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>x</v>
      </c>
      <c r="AA1565" s="853"/>
    </row>
    <row r="1566" spans="1:27" s="810" customFormat="1" ht="15.75" customHeight="1">
      <c r="A1566" s="1097" t="str">
        <f>IF(B1566&lt;&gt;"",IF(AND(B1566&gt;=_TM1,B1566&lt;=_TM2,OR(TH!L1566="1111",TH!M1566="1111")),TH!D1566,""),"")</f>
        <v/>
      </c>
      <c r="B1566" s="700">
        <f t="shared" si="242"/>
        <v>9</v>
      </c>
      <c r="C1566" s="836">
        <f t="shared" si="243"/>
        <v>41537</v>
      </c>
      <c r="D1566" s="48"/>
      <c r="E1566" s="48">
        <v>41537</v>
      </c>
      <c r="F1566" s="49" t="s">
        <v>887</v>
      </c>
      <c r="G1566" s="49" t="s">
        <v>933</v>
      </c>
      <c r="H1566" s="840" t="s">
        <v>1292</v>
      </c>
      <c r="I1566" s="254"/>
      <c r="J1566" s="254"/>
      <c r="K1566" s="701">
        <f t="shared" si="244"/>
        <v>0</v>
      </c>
      <c r="L1566" s="52" t="s">
        <v>167</v>
      </c>
      <c r="M1566" s="1100" t="s">
        <v>165</v>
      </c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52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>x</v>
      </c>
      <c r="AA1566" s="853"/>
    </row>
    <row r="1567" spans="1:27" s="810" customFormat="1" ht="15.75" customHeight="1">
      <c r="A1567" s="1097" t="str">
        <f>IF(B1567&lt;&gt;"",IF(AND(B1567&gt;=_TM1,B1567&lt;=_TM2,OR(TH!L1567="1111",TH!M1567="1111")),TH!D1567,""),"")</f>
        <v/>
      </c>
      <c r="B1567" s="700">
        <f t="shared" si="242"/>
        <v>9</v>
      </c>
      <c r="C1567" s="836">
        <f t="shared" si="243"/>
        <v>41538</v>
      </c>
      <c r="D1567" s="48"/>
      <c r="E1567" s="48">
        <v>41538</v>
      </c>
      <c r="F1567" s="49" t="s">
        <v>744</v>
      </c>
      <c r="G1567" s="49" t="s">
        <v>934</v>
      </c>
      <c r="H1567" s="840" t="s">
        <v>1292</v>
      </c>
      <c r="I1567" s="254"/>
      <c r="J1567" s="254"/>
      <c r="K1567" s="701">
        <f t="shared" si="244"/>
        <v>0</v>
      </c>
      <c r="L1567" s="52" t="s">
        <v>167</v>
      </c>
      <c r="M1567" s="1100" t="s">
        <v>165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52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>x</v>
      </c>
      <c r="AA1567" s="853"/>
    </row>
    <row r="1568" spans="1:27" s="810" customFormat="1" ht="15.75" customHeight="1">
      <c r="A1568" s="1097" t="str">
        <f>IF(B1568&lt;&gt;"",IF(AND(B1568&gt;=_TM1,B1568&lt;=_TM2,OR(TH!L1568="1111",TH!M1568="1111")),TH!D1568,""),"")</f>
        <v/>
      </c>
      <c r="B1568" s="700">
        <f t="shared" si="242"/>
        <v>9</v>
      </c>
      <c r="C1568" s="836">
        <f t="shared" si="243"/>
        <v>41540</v>
      </c>
      <c r="D1568" s="48"/>
      <c r="E1568" s="48">
        <v>41540</v>
      </c>
      <c r="F1568" s="49" t="s">
        <v>885</v>
      </c>
      <c r="G1568" s="49" t="s">
        <v>1126</v>
      </c>
      <c r="H1568" s="840" t="s">
        <v>1292</v>
      </c>
      <c r="I1568" s="254"/>
      <c r="J1568" s="254"/>
      <c r="K1568" s="701">
        <f t="shared" si="244"/>
        <v>0</v>
      </c>
      <c r="L1568" s="52" t="s">
        <v>167</v>
      </c>
      <c r="M1568" s="1100" t="s">
        <v>165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52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>x</v>
      </c>
      <c r="AA1568" s="853"/>
    </row>
    <row r="1569" spans="1:27" s="810" customFormat="1" ht="15.75" customHeight="1">
      <c r="A1569" s="1097" t="str">
        <f>IF(B1569&lt;&gt;"",IF(AND(B1569&gt;=_TM1,B1569&lt;=_TM2,OR(TH!L1569="1111",TH!M1569="1111")),TH!D1569,""),"")</f>
        <v/>
      </c>
      <c r="B1569" s="700">
        <f t="shared" ref="B1569:B1632" si="245">IF(C1569&lt;&gt;"",MONTH(C1569),"")</f>
        <v>9</v>
      </c>
      <c r="C1569" s="836">
        <f t="shared" si="243"/>
        <v>41540</v>
      </c>
      <c r="D1569" s="48"/>
      <c r="E1569" s="48">
        <v>41540</v>
      </c>
      <c r="F1569" s="49" t="s">
        <v>1134</v>
      </c>
      <c r="G1569" s="49" t="s">
        <v>1126</v>
      </c>
      <c r="H1569" s="840" t="s">
        <v>1292</v>
      </c>
      <c r="I1569" s="254"/>
      <c r="J1569" s="254"/>
      <c r="K1569" s="701">
        <f t="shared" si="244"/>
        <v>0</v>
      </c>
      <c r="L1569" s="52" t="s">
        <v>167</v>
      </c>
      <c r="M1569" s="1100" t="s">
        <v>165</v>
      </c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52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>x</v>
      </c>
      <c r="AA1569" s="853"/>
    </row>
    <row r="1570" spans="1:27" s="810" customFormat="1" ht="15.75" customHeight="1">
      <c r="A1570" s="1097" t="str">
        <f>IF(B1570&lt;&gt;"",IF(AND(B1570&gt;=_TM1,B1570&lt;=_TM2,OR(TH!L1570="1111",TH!M1570="1111")),TH!D1570,""),"")</f>
        <v/>
      </c>
      <c r="B1570" s="700">
        <f t="shared" si="245"/>
        <v>9</v>
      </c>
      <c r="C1570" s="836">
        <f t="shared" si="243"/>
        <v>41540</v>
      </c>
      <c r="D1570" s="1098"/>
      <c r="E1570" s="836">
        <v>41540</v>
      </c>
      <c r="F1570" s="1122" t="s">
        <v>1132</v>
      </c>
      <c r="G1570" s="1123" t="s">
        <v>1126</v>
      </c>
      <c r="H1570" s="840" t="s">
        <v>1292</v>
      </c>
      <c r="I1570" s="254"/>
      <c r="J1570" s="254"/>
      <c r="K1570" s="701">
        <f t="shared" si="244"/>
        <v>0</v>
      </c>
      <c r="L1570" s="52" t="s">
        <v>167</v>
      </c>
      <c r="M1570" s="1100" t="s">
        <v>165</v>
      </c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52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>x</v>
      </c>
      <c r="AA1570" s="853"/>
    </row>
    <row r="1571" spans="1:27" s="810" customFormat="1" ht="15.75" customHeight="1">
      <c r="A1571" s="1097" t="str">
        <f>IF(B1571&lt;&gt;"",IF(AND(B1571&gt;=_TM1,B1571&lt;=_TM2,OR(TH!L1571="1111",TH!M1571="1111")),TH!D1571,""),"")</f>
        <v/>
      </c>
      <c r="B1571" s="700">
        <f t="shared" si="245"/>
        <v>9</v>
      </c>
      <c r="C1571" s="836">
        <f t="shared" si="243"/>
        <v>41540</v>
      </c>
      <c r="D1571" s="1098"/>
      <c r="E1571" s="836">
        <v>41540</v>
      </c>
      <c r="F1571" s="1122" t="s">
        <v>1135</v>
      </c>
      <c r="G1571" s="1123" t="s">
        <v>1126</v>
      </c>
      <c r="H1571" s="840" t="s">
        <v>1292</v>
      </c>
      <c r="I1571" s="254"/>
      <c r="J1571" s="254"/>
      <c r="K1571" s="701">
        <f t="shared" si="244"/>
        <v>0</v>
      </c>
      <c r="L1571" s="52" t="s">
        <v>167</v>
      </c>
      <c r="M1571" s="1100" t="s">
        <v>165</v>
      </c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52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>x</v>
      </c>
      <c r="AA1571" s="853"/>
    </row>
    <row r="1572" spans="1:27" s="810" customFormat="1" ht="15.75" customHeight="1">
      <c r="A1572" s="1097" t="str">
        <f>IF(B1572&lt;&gt;"",IF(AND(B1572&gt;=_TM1,B1572&lt;=_TM2,OR(TH!L1572="1111",TH!M1572="1111")),TH!D1572,""),"")</f>
        <v/>
      </c>
      <c r="B1572" s="700">
        <f t="shared" si="245"/>
        <v>9</v>
      </c>
      <c r="C1572" s="836">
        <f t="shared" si="243"/>
        <v>41540</v>
      </c>
      <c r="D1572" s="1098"/>
      <c r="E1572" s="836">
        <v>41540</v>
      </c>
      <c r="F1572" s="1122" t="s">
        <v>817</v>
      </c>
      <c r="G1572" s="1123" t="s">
        <v>935</v>
      </c>
      <c r="H1572" s="840" t="s">
        <v>1292</v>
      </c>
      <c r="I1572" s="254"/>
      <c r="J1572" s="254"/>
      <c r="K1572" s="701">
        <f t="shared" si="244"/>
        <v>0</v>
      </c>
      <c r="L1572" s="52" t="s">
        <v>167</v>
      </c>
      <c r="M1572" s="1100" t="s">
        <v>165</v>
      </c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52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>x</v>
      </c>
      <c r="AA1572" s="853"/>
    </row>
    <row r="1573" spans="1:27" s="810" customFormat="1" ht="15.75" customHeight="1">
      <c r="A1573" s="1097" t="str">
        <f>IF(B1573&lt;&gt;"",IF(AND(B1573&gt;=_TM1,B1573&lt;=_TM2,OR(TH!L1573="1111",TH!M1573="1111")),TH!D1573,""),"")</f>
        <v/>
      </c>
      <c r="B1573" s="700">
        <f t="shared" si="245"/>
        <v>9</v>
      </c>
      <c r="C1573" s="836">
        <f t="shared" si="243"/>
        <v>41540</v>
      </c>
      <c r="D1573" s="48"/>
      <c r="E1573" s="854">
        <v>41540</v>
      </c>
      <c r="F1573" s="1122" t="s">
        <v>889</v>
      </c>
      <c r="G1573" s="49" t="s">
        <v>936</v>
      </c>
      <c r="H1573" s="840" t="s">
        <v>1292</v>
      </c>
      <c r="I1573" s="254"/>
      <c r="J1573" s="254"/>
      <c r="K1573" s="701">
        <f t="shared" si="244"/>
        <v>0</v>
      </c>
      <c r="L1573" s="52" t="s">
        <v>167</v>
      </c>
      <c r="M1573" s="1100" t="s">
        <v>165</v>
      </c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52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>x</v>
      </c>
      <c r="AA1573" s="853"/>
    </row>
    <row r="1574" spans="1:27" s="810" customFormat="1" ht="15.75" customHeight="1">
      <c r="A1574" s="1097" t="str">
        <f>IF(B1574&lt;&gt;"",IF(AND(B1574&gt;=_TM1,B1574&lt;=_TM2,OR(TH!L1574="1111",TH!M1574="1111")),TH!D1574,""),"")</f>
        <v/>
      </c>
      <c r="B1574" s="700">
        <f t="shared" si="245"/>
        <v>9</v>
      </c>
      <c r="C1574" s="836">
        <f t="shared" si="243"/>
        <v>41542</v>
      </c>
      <c r="D1574" s="48"/>
      <c r="E1574" s="854">
        <v>41542</v>
      </c>
      <c r="F1574" s="49" t="s">
        <v>1150</v>
      </c>
      <c r="G1574" s="49" t="s">
        <v>937</v>
      </c>
      <c r="H1574" s="840" t="s">
        <v>1292</v>
      </c>
      <c r="I1574" s="1125"/>
      <c r="J1574" s="254"/>
      <c r="K1574" s="701">
        <f t="shared" si="244"/>
        <v>0</v>
      </c>
      <c r="L1574" s="52" t="s">
        <v>167</v>
      </c>
      <c r="M1574" s="1100" t="s">
        <v>165</v>
      </c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52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>x</v>
      </c>
      <c r="AA1574" s="853"/>
    </row>
    <row r="1575" spans="1:27" s="810" customFormat="1" ht="15.75" customHeight="1">
      <c r="A1575" s="1097" t="str">
        <f>IF(B1575&lt;&gt;"",IF(AND(B1575&gt;=_TM1,B1575&lt;=_TM2,OR(TH!L1575="1111",TH!M1575="1111")),TH!D1575,""),"")</f>
        <v/>
      </c>
      <c r="B1575" s="700">
        <f t="shared" si="245"/>
        <v>9</v>
      </c>
      <c r="C1575" s="836">
        <f t="shared" si="243"/>
        <v>41543</v>
      </c>
      <c r="D1575" s="48"/>
      <c r="E1575" s="854">
        <v>41543</v>
      </c>
      <c r="F1575" s="1122" t="s">
        <v>1153</v>
      </c>
      <c r="G1575" s="49" t="s">
        <v>938</v>
      </c>
      <c r="H1575" s="840" t="s">
        <v>1292</v>
      </c>
      <c r="I1575" s="254"/>
      <c r="J1575" s="254"/>
      <c r="K1575" s="701">
        <f t="shared" si="244"/>
        <v>0</v>
      </c>
      <c r="L1575" s="52" t="s">
        <v>167</v>
      </c>
      <c r="M1575" s="1100" t="s">
        <v>165</v>
      </c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52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>x</v>
      </c>
      <c r="AA1575" s="853"/>
    </row>
    <row r="1576" spans="1:27" s="810" customFormat="1" ht="15.75" customHeight="1">
      <c r="A1576" s="1097" t="str">
        <f>IF(B1576&lt;&gt;"",IF(AND(B1576&gt;=_TM1,B1576&lt;=_TM2,OR(TH!L1576="1111",TH!M1576="1111")),TH!D1576,""),"")</f>
        <v/>
      </c>
      <c r="B1576" s="700">
        <f t="shared" si="245"/>
        <v>9</v>
      </c>
      <c r="C1576" s="836">
        <f t="shared" si="243"/>
        <v>41547</v>
      </c>
      <c r="D1576" s="48"/>
      <c r="E1576" s="854">
        <v>41547</v>
      </c>
      <c r="F1576" s="839" t="s">
        <v>838</v>
      </c>
      <c r="G1576" s="49" t="s">
        <v>939</v>
      </c>
      <c r="H1576" s="840" t="s">
        <v>1292</v>
      </c>
      <c r="I1576" s="254"/>
      <c r="J1576" s="254"/>
      <c r="K1576" s="701">
        <f t="shared" si="244"/>
        <v>0</v>
      </c>
      <c r="L1576" s="52" t="s">
        <v>167</v>
      </c>
      <c r="M1576" s="1100" t="s">
        <v>165</v>
      </c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52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>x</v>
      </c>
      <c r="AA1576" s="853"/>
    </row>
    <row r="1577" spans="1:27" s="810" customFormat="1" ht="15.75" customHeight="1">
      <c r="A1577" s="1097" t="str">
        <f>IF(B1577&lt;&gt;"",IF(AND(B1577&gt;=_TM1,B1577&lt;=_TM2,OR(TH!L1577="1111",TH!M1577="1111")),TH!D1577,""),"")</f>
        <v/>
      </c>
      <c r="B1577" s="700">
        <f t="shared" si="245"/>
        <v>9</v>
      </c>
      <c r="C1577" s="836">
        <f t="shared" si="243"/>
        <v>41547</v>
      </c>
      <c r="D1577" s="48"/>
      <c r="E1577" s="854">
        <v>41547</v>
      </c>
      <c r="F1577" s="49" t="s">
        <v>940</v>
      </c>
      <c r="G1577" s="49" t="s">
        <v>941</v>
      </c>
      <c r="H1577" s="840" t="s">
        <v>1292</v>
      </c>
      <c r="I1577" s="254"/>
      <c r="J1577" s="254"/>
      <c r="K1577" s="701">
        <f t="shared" si="244"/>
        <v>0</v>
      </c>
      <c r="L1577" s="52" t="s">
        <v>167</v>
      </c>
      <c r="M1577" s="1100" t="s">
        <v>165</v>
      </c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52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>x</v>
      </c>
      <c r="AA1577" s="853"/>
    </row>
    <row r="1578" spans="1:27" s="810" customFormat="1" ht="15.75" customHeight="1">
      <c r="A1578" s="1097" t="str">
        <f>IF(B1578&lt;&gt;"",IF(AND(B1578&gt;=_TM1,B1578&lt;=_TM2,OR(TH!L1578="1111",TH!M1578="1111")),TH!D1578,""),"")</f>
        <v/>
      </c>
      <c r="B1578" s="700">
        <f t="shared" si="245"/>
        <v>9</v>
      </c>
      <c r="C1578" s="836">
        <f t="shared" si="243"/>
        <v>41547</v>
      </c>
      <c r="D1578" s="48"/>
      <c r="E1578" s="854">
        <v>41547</v>
      </c>
      <c r="F1578" s="1122" t="s">
        <v>942</v>
      </c>
      <c r="G1578" s="49" t="s">
        <v>941</v>
      </c>
      <c r="H1578" s="840" t="s">
        <v>1292</v>
      </c>
      <c r="I1578" s="1125"/>
      <c r="J1578" s="254"/>
      <c r="K1578" s="701">
        <f t="shared" si="244"/>
        <v>0</v>
      </c>
      <c r="L1578" s="52" t="s">
        <v>167</v>
      </c>
      <c r="M1578" s="1100" t="s">
        <v>165</v>
      </c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52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>x</v>
      </c>
      <c r="AA1578" s="853"/>
    </row>
    <row r="1579" spans="1:27" s="810" customFormat="1" ht="15.75" customHeight="1">
      <c r="A1579" s="1097" t="str">
        <f>IF(B1579&lt;&gt;"",IF(AND(B1579&gt;=_TM1,B1579&lt;=_TM2,OR(TH!L1579="1111",TH!M1579="1111")),TH!D1579,""),"")</f>
        <v/>
      </c>
      <c r="B1579" s="700">
        <f t="shared" si="245"/>
        <v>9</v>
      </c>
      <c r="C1579" s="836">
        <f t="shared" si="243"/>
        <v>41547</v>
      </c>
      <c r="D1579" s="48"/>
      <c r="E1579" s="854">
        <v>41547</v>
      </c>
      <c r="F1579" s="49" t="s">
        <v>943</v>
      </c>
      <c r="G1579" s="49" t="s">
        <v>944</v>
      </c>
      <c r="H1579" s="840" t="s">
        <v>1292</v>
      </c>
      <c r="I1579" s="1125"/>
      <c r="J1579" s="254"/>
      <c r="K1579" s="701">
        <f t="shared" si="244"/>
        <v>0</v>
      </c>
      <c r="L1579" s="52" t="s">
        <v>167</v>
      </c>
      <c r="M1579" s="1100" t="s">
        <v>165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52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>x</v>
      </c>
      <c r="AA1579" s="853"/>
    </row>
    <row r="1580" spans="1:27" s="810" customFormat="1" ht="15.75" customHeight="1">
      <c r="A1580" s="1097" t="str">
        <f>IF(B1580&lt;&gt;"",IF(AND(B1580&gt;=_TM1,B1580&lt;=_TM2,OR(TH!L1580="1111",TH!M1580="1111")),TH!D1580,""),"")</f>
        <v/>
      </c>
      <c r="B1580" s="700">
        <f t="shared" si="245"/>
        <v>9</v>
      </c>
      <c r="C1580" s="836">
        <f t="shared" si="243"/>
        <v>41547</v>
      </c>
      <c r="D1580" s="48"/>
      <c r="E1580" s="854">
        <v>41547</v>
      </c>
      <c r="F1580" s="1122" t="s">
        <v>945</v>
      </c>
      <c r="G1580" s="49" t="s">
        <v>944</v>
      </c>
      <c r="H1580" s="840" t="s">
        <v>1292</v>
      </c>
      <c r="I1580" s="254"/>
      <c r="J1580" s="254"/>
      <c r="K1580" s="701">
        <f t="shared" si="244"/>
        <v>0</v>
      </c>
      <c r="L1580" s="52" t="s">
        <v>167</v>
      </c>
      <c r="M1580" s="1100" t="s">
        <v>165</v>
      </c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52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>x</v>
      </c>
      <c r="AA1580" s="853"/>
    </row>
    <row r="1581" spans="1:27" s="810" customFormat="1" ht="15.75" customHeight="1">
      <c r="A1581" s="1097" t="str">
        <f>IF(B1581&lt;&gt;"",IF(AND(B1581&gt;=_TM1,B1581&lt;=_TM2,OR(TH!L1581="1111",TH!M1581="1111")),TH!D1581,""),"")</f>
        <v/>
      </c>
      <c r="B1581" s="700">
        <f t="shared" si="245"/>
        <v>9</v>
      </c>
      <c r="C1581" s="836">
        <f t="shared" si="243"/>
        <v>41547</v>
      </c>
      <c r="D1581" s="48"/>
      <c r="E1581" s="854">
        <v>41547</v>
      </c>
      <c r="F1581" s="1122" t="s">
        <v>945</v>
      </c>
      <c r="G1581" s="49" t="s">
        <v>944</v>
      </c>
      <c r="H1581" s="840" t="s">
        <v>1292</v>
      </c>
      <c r="I1581" s="254"/>
      <c r="J1581" s="254"/>
      <c r="K1581" s="701">
        <f t="shared" si="244"/>
        <v>0</v>
      </c>
      <c r="L1581" s="52" t="s">
        <v>167</v>
      </c>
      <c r="M1581" s="1100" t="s">
        <v>165</v>
      </c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52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>x</v>
      </c>
      <c r="AA1581" s="853"/>
    </row>
    <row r="1582" spans="1:27" s="810" customFormat="1" ht="15.75" customHeight="1">
      <c r="A1582" s="1097" t="str">
        <f>IF(B1582&lt;&gt;"",IF(AND(B1582&gt;=_TM1,B1582&lt;=_TM2,OR(TH!L1582="1111",TH!M1582="1111")),TH!D1582,""),"")</f>
        <v/>
      </c>
      <c r="B1582" s="700">
        <f t="shared" si="245"/>
        <v>9</v>
      </c>
      <c r="C1582" s="836">
        <f t="shared" si="243"/>
        <v>41547</v>
      </c>
      <c r="D1582" s="1098"/>
      <c r="E1582" s="1098">
        <v>41547</v>
      </c>
      <c r="F1582" s="1122" t="s">
        <v>946</v>
      </c>
      <c r="G1582" s="1123" t="s">
        <v>944</v>
      </c>
      <c r="H1582" s="840" t="s">
        <v>1292</v>
      </c>
      <c r="I1582" s="254"/>
      <c r="J1582" s="254"/>
      <c r="K1582" s="701">
        <f t="shared" si="244"/>
        <v>0</v>
      </c>
      <c r="L1582" s="52" t="s">
        <v>167</v>
      </c>
      <c r="M1582" s="1100" t="s">
        <v>165</v>
      </c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52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>x</v>
      </c>
      <c r="AA1582" s="853"/>
    </row>
    <row r="1583" spans="1:27" s="810" customFormat="1" ht="15.75" customHeight="1">
      <c r="A1583" s="1097" t="str">
        <f>IF(B1583&lt;&gt;"",IF(AND(B1583&gt;=_TM1,B1583&lt;=_TM2,OR(TH!L1583="1111",TH!M1583="1111")),TH!D1583,""),"")</f>
        <v/>
      </c>
      <c r="B1583" s="700">
        <f t="shared" si="245"/>
        <v>9</v>
      </c>
      <c r="C1583" s="836">
        <f t="shared" si="243"/>
        <v>41547</v>
      </c>
      <c r="D1583" s="48"/>
      <c r="E1583" s="854">
        <v>41547</v>
      </c>
      <c r="F1583" s="49" t="s">
        <v>1137</v>
      </c>
      <c r="G1583" s="49" t="s">
        <v>947</v>
      </c>
      <c r="H1583" s="840" t="s">
        <v>1292</v>
      </c>
      <c r="I1583" s="254"/>
      <c r="J1583" s="254"/>
      <c r="K1583" s="701">
        <f t="shared" si="244"/>
        <v>0</v>
      </c>
      <c r="L1583" s="52" t="s">
        <v>167</v>
      </c>
      <c r="M1583" s="1100" t="s">
        <v>165</v>
      </c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52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>x</v>
      </c>
      <c r="AA1583" s="853"/>
    </row>
    <row r="1584" spans="1:27" s="843" customFormat="1" ht="15.75" customHeight="1">
      <c r="A1584" s="1106" t="str">
        <f>IF(B1584&lt;&gt;"",IF(AND(B1584&gt;=_TM1,B1584&lt;=_TM2,OR(TH!L1584="1111",TH!M1584="1111")),TH!D1584,""),"")</f>
        <v/>
      </c>
      <c r="B1584" s="841">
        <f t="shared" si="245"/>
        <v>10</v>
      </c>
      <c r="C1584" s="1107">
        <f t="shared" si="243"/>
        <v>41548</v>
      </c>
      <c r="D1584" s="1108"/>
      <c r="E1584" s="1127">
        <v>41548</v>
      </c>
      <c r="F1584" s="1119" t="s">
        <v>940</v>
      </c>
      <c r="G1584" s="1109" t="s">
        <v>948</v>
      </c>
      <c r="H1584" s="1110" t="s">
        <v>1292</v>
      </c>
      <c r="I1584" s="1118"/>
      <c r="J1584" s="1118"/>
      <c r="K1584" s="838">
        <f t="shared" si="244"/>
        <v>0</v>
      </c>
      <c r="L1584" s="831" t="s">
        <v>167</v>
      </c>
      <c r="M1584" s="1113" t="s">
        <v>165</v>
      </c>
      <c r="N1584" s="831" t="str">
        <f>IF(AND('331-CT'!$E$7=TH!H1584,OR(L1584="331",M1584="331")),"331",IF(AND(OR(L1584="131",M1584="131"),H1584='131-CT'!$E$7),"131",""))</f>
        <v/>
      </c>
      <c r="O1584" s="831" t="str">
        <f>IF(AND($B1584&gt;='111'!$N$11,$B1584&lt;='111'!$O$11,OR($L1584=$O$7,$M1584=$O$7)),"x","")</f>
        <v/>
      </c>
      <c r="P1584" s="831" t="str">
        <f>IF(AND($L1584=$O$7,$B1584&lt;'111'!$N$11),"x","")</f>
        <v/>
      </c>
      <c r="Q1584" s="831" t="str">
        <f>IF(AND($M1584=$O$7,$B1584&lt;'111'!$N$11),"x","")</f>
        <v/>
      </c>
      <c r="R1584" s="831" t="str">
        <f>IF(ISERROR(FIND('112'!$M$9,G1584,1)),"",IF((AND(FIND('112'!$M$9,G1584,1)&gt;=1,$B1584&gt;='112'!$N$8,$B1584&lt;='112'!$O$8,OR($L1584='112'!$I$6,$M1584='112'!$I$6))),"x",""))</f>
        <v/>
      </c>
      <c r="S1584" s="831" t="str">
        <f>IF(ISERROR(FIND('112'!$M$9,G1584,1)),"",IF((AND(LEFT(G1584,2)=LEFT('112'!$M$9,2),B1584&lt;'112'!$N$8,$L1584='112'!$I$6)),"x",""))</f>
        <v/>
      </c>
      <c r="T1584" s="831" t="str">
        <f>IF(ISERROR(FIND('112'!$M$9,G1584,1)),"",IF((AND(RIGHT(G1584,2)=RIGHT('112'!$M$9,2),B1584&lt;'112'!$N$8,$M1584='112'!$I$6)),"x",""))</f>
        <v/>
      </c>
      <c r="U1584" s="831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831" t="str">
        <f>IF(OR(TH!L1584=TH!$V$7,M1584=TH!$V$7),"x","")</f>
        <v/>
      </c>
      <c r="W1584" s="831" t="str">
        <f>IF(AND(B1584&gt;='IN-NX'!$P$3,B1584&lt;='IN-NX'!$Q$3,'IN-NX'!$D$7=D1584,OR(LEFT(L1584,2)="15",AND(LEFT(M1584,2)&lt;&gt;"15",LEFT(M1584,2)&lt;&gt;"33"))),"x","")</f>
        <v/>
      </c>
      <c r="X1584" s="831" t="str">
        <f>IF(AND(OR(LEFT(TH!L1584,2)="15",LEFT(TH!M1584,2)="15"),'152-CT'!$J$8=TH!F1584),"x","")</f>
        <v/>
      </c>
      <c r="Y1584" s="831" t="str">
        <f>IF(AND(OR(LEFT(TH!L1584,2)="15",LEFT(TH!M1584,2)="15"),TK!$E$7=TH!F1584),"x","")</f>
        <v/>
      </c>
      <c r="Z1584" s="831" t="str">
        <f>IF(AND(B1584&lt;=NKC!$N$8,B1584&gt;=NKC!$M$8),"x","")</f>
        <v/>
      </c>
      <c r="AA1584" s="1114"/>
    </row>
    <row r="1585" spans="1:27" s="810" customFormat="1" ht="15.75" customHeight="1">
      <c r="A1585" s="1097" t="str">
        <f>IF(B1585&lt;&gt;"",IF(AND(B1585&gt;=_TM1,B1585&lt;=_TM2,OR(TH!L1585="1111",TH!M1585="1111")),TH!D1585,""),"")</f>
        <v/>
      </c>
      <c r="B1585" s="700">
        <f t="shared" si="245"/>
        <v>10</v>
      </c>
      <c r="C1585" s="836">
        <f t="shared" si="243"/>
        <v>41548</v>
      </c>
      <c r="D1585" s="48"/>
      <c r="E1585" s="854">
        <v>41548</v>
      </c>
      <c r="F1585" s="1122" t="s">
        <v>942</v>
      </c>
      <c r="G1585" s="49" t="s">
        <v>948</v>
      </c>
      <c r="H1585" s="840" t="s">
        <v>1292</v>
      </c>
      <c r="I1585" s="254"/>
      <c r="J1585" s="254"/>
      <c r="K1585" s="701">
        <f t="shared" si="244"/>
        <v>0</v>
      </c>
      <c r="L1585" s="52" t="s">
        <v>167</v>
      </c>
      <c r="M1585" s="1100" t="s">
        <v>165</v>
      </c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52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  <c r="AA1585" s="853"/>
    </row>
    <row r="1586" spans="1:27" s="810" customFormat="1" ht="15.75" customHeight="1">
      <c r="A1586" s="1097" t="str">
        <f>IF(B1586&lt;&gt;"",IF(AND(B1586&gt;=_TM1,B1586&lt;=_TM2,OR(TH!L1586="1111",TH!M1586="1111")),TH!D1586,""),"")</f>
        <v/>
      </c>
      <c r="B1586" s="700">
        <f t="shared" si="245"/>
        <v>10</v>
      </c>
      <c r="C1586" s="836">
        <f t="shared" si="243"/>
        <v>41548</v>
      </c>
      <c r="D1586" s="48"/>
      <c r="E1586" s="854">
        <v>41548</v>
      </c>
      <c r="F1586" s="1122" t="s">
        <v>1156</v>
      </c>
      <c r="G1586" s="49" t="s">
        <v>949</v>
      </c>
      <c r="H1586" s="840" t="s">
        <v>1292</v>
      </c>
      <c r="I1586" s="1125"/>
      <c r="J1586" s="254"/>
      <c r="K1586" s="701">
        <f t="shared" si="244"/>
        <v>0</v>
      </c>
      <c r="L1586" s="52" t="s">
        <v>167</v>
      </c>
      <c r="M1586" s="1100" t="s">
        <v>165</v>
      </c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52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  <c r="AA1586" s="853"/>
    </row>
    <row r="1587" spans="1:27" s="810" customFormat="1" ht="15.75" customHeight="1">
      <c r="A1587" s="1097" t="str">
        <f>IF(B1587&lt;&gt;"",IF(AND(B1587&gt;=_TM1,B1587&lt;=_TM2,OR(TH!L1587="1111",TH!M1587="1111")),TH!D1587,""),"")</f>
        <v/>
      </c>
      <c r="B1587" s="700">
        <f t="shared" si="245"/>
        <v>10</v>
      </c>
      <c r="C1587" s="836">
        <f t="shared" si="243"/>
        <v>41548</v>
      </c>
      <c r="D1587" s="48"/>
      <c r="E1587" s="854">
        <v>41548</v>
      </c>
      <c r="F1587" s="1122" t="s">
        <v>876</v>
      </c>
      <c r="G1587" s="49" t="s">
        <v>949</v>
      </c>
      <c r="H1587" s="840" t="s">
        <v>1292</v>
      </c>
      <c r="I1587" s="254"/>
      <c r="J1587" s="254"/>
      <c r="K1587" s="701">
        <f t="shared" si="244"/>
        <v>0</v>
      </c>
      <c r="L1587" s="52" t="s">
        <v>167</v>
      </c>
      <c r="M1587" s="1100" t="s">
        <v>165</v>
      </c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52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  <c r="AA1587" s="853"/>
    </row>
    <row r="1588" spans="1:27" s="810" customFormat="1" ht="15.75" customHeight="1">
      <c r="A1588" s="1097" t="str">
        <f>IF(B1588&lt;&gt;"",IF(AND(B1588&gt;=_TM1,B1588&lt;=_TM2,OR(TH!L1588="1111",TH!M1588="1111")),TH!D1588,""),"")</f>
        <v/>
      </c>
      <c r="B1588" s="700">
        <f t="shared" si="245"/>
        <v>10</v>
      </c>
      <c r="C1588" s="836">
        <f t="shared" si="243"/>
        <v>41548</v>
      </c>
      <c r="D1588" s="48"/>
      <c r="E1588" s="854">
        <v>41548</v>
      </c>
      <c r="F1588" s="1122" t="s">
        <v>847</v>
      </c>
      <c r="G1588" s="49" t="s">
        <v>950</v>
      </c>
      <c r="H1588" s="840" t="s">
        <v>1292</v>
      </c>
      <c r="I1588" s="254"/>
      <c r="J1588" s="254"/>
      <c r="K1588" s="701">
        <f t="shared" si="244"/>
        <v>0</v>
      </c>
      <c r="L1588" s="52" t="s">
        <v>167</v>
      </c>
      <c r="M1588" s="1100" t="s">
        <v>165</v>
      </c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52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  <c r="AA1588" s="853"/>
    </row>
    <row r="1589" spans="1:27" s="810" customFormat="1" ht="15.75" customHeight="1">
      <c r="A1589" s="1097" t="str">
        <f>IF(B1589&lt;&gt;"",IF(AND(B1589&gt;=_TM1,B1589&lt;=_TM2,OR(TH!L1589="1111",TH!M1589="1111")),TH!D1589,""),"")</f>
        <v/>
      </c>
      <c r="B1589" s="700">
        <f t="shared" si="245"/>
        <v>10</v>
      </c>
      <c r="C1589" s="836">
        <f t="shared" si="243"/>
        <v>41549</v>
      </c>
      <c r="D1589" s="48"/>
      <c r="E1589" s="854">
        <v>41549</v>
      </c>
      <c r="F1589" s="1122" t="s">
        <v>1153</v>
      </c>
      <c r="G1589" s="49" t="s">
        <v>951</v>
      </c>
      <c r="H1589" s="840" t="s">
        <v>1292</v>
      </c>
      <c r="I1589" s="254"/>
      <c r="J1589" s="254"/>
      <c r="K1589" s="701">
        <f t="shared" si="244"/>
        <v>0</v>
      </c>
      <c r="L1589" s="52" t="s">
        <v>167</v>
      </c>
      <c r="M1589" s="1100" t="s">
        <v>165</v>
      </c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52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  <c r="AA1589" s="853"/>
    </row>
    <row r="1590" spans="1:27" s="810" customFormat="1" ht="15.75" customHeight="1">
      <c r="A1590" s="1097" t="str">
        <f>IF(B1590&lt;&gt;"",IF(AND(B1590&gt;=_TM1,B1590&lt;=_TM2,OR(TH!L1590="1111",TH!M1590="1111")),TH!D1590,""),"")</f>
        <v/>
      </c>
      <c r="B1590" s="700">
        <f t="shared" si="245"/>
        <v>10</v>
      </c>
      <c r="C1590" s="836">
        <f t="shared" si="243"/>
        <v>41550</v>
      </c>
      <c r="D1590" s="48"/>
      <c r="E1590" s="854">
        <v>41550</v>
      </c>
      <c r="F1590" s="1122" t="s">
        <v>946</v>
      </c>
      <c r="G1590" s="49" t="s">
        <v>953</v>
      </c>
      <c r="H1590" s="840" t="s">
        <v>1292</v>
      </c>
      <c r="I1590" s="254"/>
      <c r="J1590" s="254"/>
      <c r="K1590" s="701">
        <f t="shared" si="244"/>
        <v>0</v>
      </c>
      <c r="L1590" s="52" t="s">
        <v>167</v>
      </c>
      <c r="M1590" s="1100" t="s">
        <v>165</v>
      </c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52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  <c r="AA1590" s="853"/>
    </row>
    <row r="1591" spans="1:27" s="810" customFormat="1" ht="15.75" customHeight="1">
      <c r="A1591" s="1097" t="str">
        <f>IF(B1591&lt;&gt;"",IF(AND(B1591&gt;=_TM1,B1591&lt;=_TM2,OR(TH!L1591="1111",TH!M1591="1111")),TH!D1591,""),"")</f>
        <v/>
      </c>
      <c r="B1591" s="700">
        <f t="shared" si="245"/>
        <v>10</v>
      </c>
      <c r="C1591" s="836">
        <f t="shared" si="243"/>
        <v>41550</v>
      </c>
      <c r="D1591" s="48"/>
      <c r="E1591" s="854">
        <v>41550</v>
      </c>
      <c r="F1591" s="1122" t="s">
        <v>954</v>
      </c>
      <c r="G1591" s="49" t="s">
        <v>953</v>
      </c>
      <c r="H1591" s="840" t="s">
        <v>1292</v>
      </c>
      <c r="I1591" s="254"/>
      <c r="J1591" s="254"/>
      <c r="K1591" s="701">
        <f t="shared" si="244"/>
        <v>0</v>
      </c>
      <c r="L1591" s="52" t="s">
        <v>167</v>
      </c>
      <c r="M1591" s="1100" t="s">
        <v>165</v>
      </c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52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  <c r="AA1591" s="853"/>
    </row>
    <row r="1592" spans="1:27" s="810" customFormat="1" ht="15.75" customHeight="1">
      <c r="A1592" s="1097" t="str">
        <f>IF(B1592&lt;&gt;"",IF(AND(B1592&gt;=_TM1,B1592&lt;=_TM2,OR(TH!L1592="1111",TH!M1592="1111")),TH!D1592,""),"")</f>
        <v/>
      </c>
      <c r="B1592" s="700">
        <f t="shared" si="245"/>
        <v>10</v>
      </c>
      <c r="C1592" s="836">
        <f t="shared" si="243"/>
        <v>41552</v>
      </c>
      <c r="D1592" s="48"/>
      <c r="E1592" s="854">
        <v>41552</v>
      </c>
      <c r="F1592" s="1122" t="s">
        <v>1153</v>
      </c>
      <c r="G1592" s="49" t="s">
        <v>955</v>
      </c>
      <c r="H1592" s="840" t="s">
        <v>1292</v>
      </c>
      <c r="I1592" s="254"/>
      <c r="J1592" s="254"/>
      <c r="K1592" s="701">
        <f t="shared" si="244"/>
        <v>0</v>
      </c>
      <c r="L1592" s="52" t="s">
        <v>167</v>
      </c>
      <c r="M1592" s="1100" t="s">
        <v>165</v>
      </c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52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  <c r="AA1592" s="853"/>
    </row>
    <row r="1593" spans="1:27" s="810" customFormat="1" ht="15.75" customHeight="1">
      <c r="A1593" s="1097" t="str">
        <f>IF(B1593&lt;&gt;"",IF(AND(B1593&gt;=_TM1,B1593&lt;=_TM2,OR(TH!L1593="1111",TH!M1593="1111")),TH!D1593,""),"")</f>
        <v/>
      </c>
      <c r="B1593" s="700">
        <f t="shared" si="245"/>
        <v>10</v>
      </c>
      <c r="C1593" s="836">
        <f t="shared" si="243"/>
        <v>41552</v>
      </c>
      <c r="D1593" s="48"/>
      <c r="E1593" s="854">
        <v>41552</v>
      </c>
      <c r="F1593" s="1122" t="s">
        <v>1150</v>
      </c>
      <c r="G1593" s="49" t="s">
        <v>955</v>
      </c>
      <c r="H1593" s="840" t="s">
        <v>1292</v>
      </c>
      <c r="I1593" s="254"/>
      <c r="J1593" s="254"/>
      <c r="K1593" s="701">
        <f t="shared" si="244"/>
        <v>0</v>
      </c>
      <c r="L1593" s="52" t="s">
        <v>167</v>
      </c>
      <c r="M1593" s="1100" t="s">
        <v>165</v>
      </c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52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  <c r="AA1593" s="853"/>
    </row>
    <row r="1594" spans="1:27" s="810" customFormat="1" ht="15.75" customHeight="1">
      <c r="A1594" s="1097" t="str">
        <f>IF(B1594&lt;&gt;"",IF(AND(B1594&gt;=_TM1,B1594&lt;=_TM2,OR(TH!L1594="1111",TH!M1594="1111")),TH!D1594,""),"")</f>
        <v/>
      </c>
      <c r="B1594" s="700">
        <f t="shared" si="245"/>
        <v>10</v>
      </c>
      <c r="C1594" s="836">
        <f t="shared" si="243"/>
        <v>41552</v>
      </c>
      <c r="D1594" s="1098"/>
      <c r="E1594" s="1098">
        <v>41552</v>
      </c>
      <c r="F1594" s="1122" t="s">
        <v>1137</v>
      </c>
      <c r="G1594" s="1123" t="s">
        <v>956</v>
      </c>
      <c r="H1594" s="840" t="s">
        <v>1292</v>
      </c>
      <c r="I1594" s="254"/>
      <c r="J1594" s="254"/>
      <c r="K1594" s="701">
        <f t="shared" si="244"/>
        <v>0</v>
      </c>
      <c r="L1594" s="52" t="s">
        <v>167</v>
      </c>
      <c r="M1594" s="1100" t="s">
        <v>165</v>
      </c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52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  <c r="AA1594" s="853"/>
    </row>
    <row r="1595" spans="1:27" s="810" customFormat="1" ht="15.75" customHeight="1">
      <c r="A1595" s="1097" t="str">
        <f>IF(B1595&lt;&gt;"",IF(AND(B1595&gt;=_TM1,B1595&lt;=_TM2,OR(TH!L1595="1111",TH!M1595="1111")),TH!D1595,""),"")</f>
        <v/>
      </c>
      <c r="B1595" s="700">
        <f t="shared" si="245"/>
        <v>10</v>
      </c>
      <c r="C1595" s="836">
        <f t="shared" si="243"/>
        <v>41555</v>
      </c>
      <c r="D1595" s="1098"/>
      <c r="E1595" s="836">
        <v>41555</v>
      </c>
      <c r="F1595" s="1099" t="s">
        <v>867</v>
      </c>
      <c r="G1595" s="837" t="s">
        <v>957</v>
      </c>
      <c r="H1595" s="840" t="s">
        <v>1292</v>
      </c>
      <c r="I1595" s="254"/>
      <c r="J1595" s="254"/>
      <c r="K1595" s="701">
        <f t="shared" si="244"/>
        <v>0</v>
      </c>
      <c r="L1595" s="52" t="s">
        <v>167</v>
      </c>
      <c r="M1595" s="1100" t="s">
        <v>165</v>
      </c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52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  <c r="AA1595" s="853"/>
    </row>
    <row r="1596" spans="1:27" s="810" customFormat="1" ht="15.75" customHeight="1">
      <c r="A1596" s="1097" t="str">
        <f>IF(B1596&lt;&gt;"",IF(AND(B1596&gt;=_TM1,B1596&lt;=_TM2,OR(TH!L1596="1111",TH!M1596="1111")),TH!D1596,""),"")</f>
        <v/>
      </c>
      <c r="B1596" s="700">
        <f t="shared" si="245"/>
        <v>10</v>
      </c>
      <c r="C1596" s="836">
        <f t="shared" si="243"/>
        <v>41557</v>
      </c>
      <c r="D1596" s="1098"/>
      <c r="E1596" s="836">
        <v>41557</v>
      </c>
      <c r="F1596" s="1099" t="s">
        <v>1131</v>
      </c>
      <c r="G1596" s="837" t="s">
        <v>958</v>
      </c>
      <c r="H1596" s="840" t="s">
        <v>1292</v>
      </c>
      <c r="I1596" s="254"/>
      <c r="J1596" s="254"/>
      <c r="K1596" s="701">
        <f t="shared" si="244"/>
        <v>0</v>
      </c>
      <c r="L1596" s="52" t="s">
        <v>167</v>
      </c>
      <c r="M1596" s="1100" t="s">
        <v>165</v>
      </c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52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  <c r="AA1596" s="853"/>
    </row>
    <row r="1597" spans="1:27" s="810" customFormat="1" ht="15.75" customHeight="1">
      <c r="A1597" s="1097" t="str">
        <f>IF(B1597&lt;&gt;"",IF(AND(B1597&gt;=_TM1,B1597&lt;=_TM2,OR(TH!L1597="1111",TH!M1597="1111")),TH!D1597,""),"")</f>
        <v/>
      </c>
      <c r="B1597" s="700">
        <f t="shared" si="245"/>
        <v>10</v>
      </c>
      <c r="C1597" s="836">
        <f t="shared" si="243"/>
        <v>41563</v>
      </c>
      <c r="D1597" s="836"/>
      <c r="E1597" s="836">
        <v>41563</v>
      </c>
      <c r="F1597" s="1099" t="s">
        <v>838</v>
      </c>
      <c r="G1597" s="837" t="s">
        <v>959</v>
      </c>
      <c r="H1597" s="840" t="s">
        <v>1292</v>
      </c>
      <c r="I1597" s="254"/>
      <c r="J1597" s="254"/>
      <c r="K1597" s="701">
        <f t="shared" si="244"/>
        <v>0</v>
      </c>
      <c r="L1597" s="52" t="s">
        <v>167</v>
      </c>
      <c r="M1597" s="1100" t="s">
        <v>165</v>
      </c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52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  <c r="AA1597" s="853"/>
    </row>
    <row r="1598" spans="1:27" s="810" customFormat="1" ht="15.75" customHeight="1">
      <c r="A1598" s="1097" t="str">
        <f>IF(B1598&lt;&gt;"",IF(AND(B1598&gt;=_TM1,B1598&lt;=_TM2,OR(TH!L1598="1111",TH!M1598="1111")),TH!D1598,""),"")</f>
        <v/>
      </c>
      <c r="B1598" s="700">
        <f t="shared" si="245"/>
        <v>10</v>
      </c>
      <c r="C1598" s="836">
        <f t="shared" si="243"/>
        <v>41563</v>
      </c>
      <c r="D1598" s="836"/>
      <c r="E1598" s="836">
        <v>41563</v>
      </c>
      <c r="F1598" s="1099" t="s">
        <v>1160</v>
      </c>
      <c r="G1598" s="837" t="s">
        <v>960</v>
      </c>
      <c r="H1598" s="840" t="s">
        <v>1292</v>
      </c>
      <c r="I1598" s="254"/>
      <c r="J1598" s="254"/>
      <c r="K1598" s="701">
        <f t="shared" si="244"/>
        <v>0</v>
      </c>
      <c r="L1598" s="52" t="s">
        <v>167</v>
      </c>
      <c r="M1598" s="1100" t="s">
        <v>165</v>
      </c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52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  <c r="AA1598" s="853"/>
    </row>
    <row r="1599" spans="1:27" s="810" customFormat="1" ht="15.75" customHeight="1">
      <c r="A1599" s="1097" t="str">
        <f>IF(B1599&lt;&gt;"",IF(AND(B1599&gt;=_TM1,B1599&lt;=_TM2,OR(TH!L1599="1111",TH!M1599="1111")),TH!D1599,""),"")</f>
        <v/>
      </c>
      <c r="B1599" s="700">
        <f t="shared" si="245"/>
        <v>10</v>
      </c>
      <c r="C1599" s="836">
        <f t="shared" si="243"/>
        <v>41563</v>
      </c>
      <c r="D1599" s="836"/>
      <c r="E1599" s="836">
        <v>41563</v>
      </c>
      <c r="F1599" s="1099" t="s">
        <v>1150</v>
      </c>
      <c r="G1599" s="837" t="s">
        <v>961</v>
      </c>
      <c r="H1599" s="840" t="s">
        <v>1292</v>
      </c>
      <c r="I1599" s="254"/>
      <c r="J1599" s="254"/>
      <c r="K1599" s="701">
        <f t="shared" si="244"/>
        <v>0</v>
      </c>
      <c r="L1599" s="52" t="s">
        <v>167</v>
      </c>
      <c r="M1599" s="1100" t="s">
        <v>165</v>
      </c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52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  <c r="AA1599" s="853"/>
    </row>
    <row r="1600" spans="1:27" s="810" customFormat="1" ht="15.75" customHeight="1">
      <c r="A1600" s="1097" t="str">
        <f>IF(B1600&lt;&gt;"",IF(AND(B1600&gt;=_TM1,B1600&lt;=_TM2,OR(TH!L1600="1111",TH!M1600="1111")),TH!D1600,""),"")</f>
        <v/>
      </c>
      <c r="B1600" s="700">
        <f t="shared" si="245"/>
        <v>10</v>
      </c>
      <c r="C1600" s="836">
        <f t="shared" si="243"/>
        <v>41565</v>
      </c>
      <c r="D1600" s="48"/>
      <c r="E1600" s="48">
        <v>41565</v>
      </c>
      <c r="F1600" s="49" t="s">
        <v>940</v>
      </c>
      <c r="G1600" s="49" t="s">
        <v>962</v>
      </c>
      <c r="H1600" s="840" t="s">
        <v>1292</v>
      </c>
      <c r="I1600" s="254"/>
      <c r="J1600" s="254"/>
      <c r="K1600" s="701">
        <f t="shared" si="244"/>
        <v>0</v>
      </c>
      <c r="L1600" s="52" t="s">
        <v>167</v>
      </c>
      <c r="M1600" s="1100" t="s">
        <v>165</v>
      </c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52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  <c r="AA1600" s="853"/>
    </row>
    <row r="1601" spans="1:27" s="810" customFormat="1" ht="15.75" customHeight="1">
      <c r="A1601" s="1097" t="str">
        <f>IF(B1601&lt;&gt;"",IF(AND(B1601&gt;=_TM1,B1601&lt;=_TM2,OR(TH!L1601="1111",TH!M1601="1111")),TH!D1601,""),"")</f>
        <v/>
      </c>
      <c r="B1601" s="700">
        <f t="shared" si="245"/>
        <v>10</v>
      </c>
      <c r="C1601" s="836">
        <f t="shared" si="243"/>
        <v>41566</v>
      </c>
      <c r="D1601" s="48"/>
      <c r="E1601" s="48">
        <v>41566</v>
      </c>
      <c r="F1601" s="49" t="s">
        <v>1142</v>
      </c>
      <c r="G1601" s="49" t="s">
        <v>963</v>
      </c>
      <c r="H1601" s="840" t="s">
        <v>1292</v>
      </c>
      <c r="I1601" s="254"/>
      <c r="J1601" s="254"/>
      <c r="K1601" s="701">
        <f t="shared" si="244"/>
        <v>0</v>
      </c>
      <c r="L1601" s="52" t="s">
        <v>167</v>
      </c>
      <c r="M1601" s="1100" t="s">
        <v>165</v>
      </c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52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  <c r="AA1601" s="853"/>
    </row>
    <row r="1602" spans="1:27" s="810" customFormat="1" ht="15.75" customHeight="1">
      <c r="A1602" s="1097" t="str">
        <f>IF(B1602&lt;&gt;"",IF(AND(B1602&gt;=_TM1,B1602&lt;=_TM2,OR(TH!L1602="1111",TH!M1602="1111")),TH!D1602,""),"")</f>
        <v/>
      </c>
      <c r="B1602" s="700">
        <f t="shared" si="245"/>
        <v>10</v>
      </c>
      <c r="C1602" s="836">
        <f t="shared" si="243"/>
        <v>41566</v>
      </c>
      <c r="D1602" s="1098"/>
      <c r="E1602" s="1098">
        <v>41566</v>
      </c>
      <c r="F1602" s="1122" t="s">
        <v>964</v>
      </c>
      <c r="G1602" s="1123" t="s">
        <v>963</v>
      </c>
      <c r="H1602" s="840" t="s">
        <v>1292</v>
      </c>
      <c r="I1602" s="254"/>
      <c r="J1602" s="254"/>
      <c r="K1602" s="701">
        <f t="shared" si="244"/>
        <v>0</v>
      </c>
      <c r="L1602" s="52" t="s">
        <v>167</v>
      </c>
      <c r="M1602" s="1100" t="s">
        <v>165</v>
      </c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52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  <c r="AA1602" s="853"/>
    </row>
    <row r="1603" spans="1:27" s="810" customFormat="1" ht="15.75" customHeight="1">
      <c r="A1603" s="1097" t="str">
        <f>IF(B1603&lt;&gt;"",IF(AND(B1603&gt;=_TM1,B1603&lt;=_TM2,OR(TH!L1603="1111",TH!M1603="1111")),TH!D1603,""),"")</f>
        <v/>
      </c>
      <c r="B1603" s="700">
        <f t="shared" si="245"/>
        <v>10</v>
      </c>
      <c r="C1603" s="836">
        <f t="shared" si="243"/>
        <v>41568</v>
      </c>
      <c r="D1603" s="1098"/>
      <c r="E1603" s="1098">
        <v>41568</v>
      </c>
      <c r="F1603" s="1122" t="s">
        <v>731</v>
      </c>
      <c r="G1603" s="1123" t="s">
        <v>965</v>
      </c>
      <c r="H1603" s="840" t="s">
        <v>1292</v>
      </c>
      <c r="I1603" s="254"/>
      <c r="J1603" s="254"/>
      <c r="K1603" s="701">
        <f t="shared" si="244"/>
        <v>0</v>
      </c>
      <c r="L1603" s="52" t="s">
        <v>167</v>
      </c>
      <c r="M1603" s="1100" t="s">
        <v>165</v>
      </c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52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  <c r="AA1603" s="853"/>
    </row>
    <row r="1604" spans="1:27" s="810" customFormat="1" ht="15.75" customHeight="1">
      <c r="A1604" s="1097" t="str">
        <f>IF(B1604&lt;&gt;"",IF(AND(B1604&gt;=_TM1,B1604&lt;=_TM2,OR(TH!L1604="1111",TH!M1604="1111")),TH!D1604,""),"")</f>
        <v/>
      </c>
      <c r="B1604" s="700">
        <f t="shared" si="245"/>
        <v>10</v>
      </c>
      <c r="C1604" s="836">
        <f t="shared" si="243"/>
        <v>41568</v>
      </c>
      <c r="D1604" s="1098"/>
      <c r="E1604" s="1098">
        <v>41568</v>
      </c>
      <c r="F1604" s="1122" t="s">
        <v>966</v>
      </c>
      <c r="G1604" s="1123" t="s">
        <v>967</v>
      </c>
      <c r="H1604" s="840" t="s">
        <v>1292</v>
      </c>
      <c r="I1604" s="254"/>
      <c r="J1604" s="254"/>
      <c r="K1604" s="701">
        <f t="shared" si="244"/>
        <v>0</v>
      </c>
      <c r="L1604" s="52" t="s">
        <v>167</v>
      </c>
      <c r="M1604" s="1100" t="s">
        <v>165</v>
      </c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52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  <c r="AA1604" s="853"/>
    </row>
    <row r="1605" spans="1:27" s="810" customFormat="1" ht="15.75" customHeight="1">
      <c r="A1605" s="1097" t="str">
        <f>IF(B1605&lt;&gt;"",IF(AND(B1605&gt;=_TM1,B1605&lt;=_TM2,OR(TH!L1605="1111",TH!M1605="1111")),TH!D1605,""),"")</f>
        <v/>
      </c>
      <c r="B1605" s="700">
        <f t="shared" si="245"/>
        <v>10</v>
      </c>
      <c r="C1605" s="836">
        <f t="shared" si="243"/>
        <v>41568</v>
      </c>
      <c r="D1605" s="1098"/>
      <c r="E1605" s="1098">
        <v>41568</v>
      </c>
      <c r="F1605" s="1122" t="s">
        <v>968</v>
      </c>
      <c r="G1605" s="1123" t="s">
        <v>967</v>
      </c>
      <c r="H1605" s="840" t="s">
        <v>1292</v>
      </c>
      <c r="I1605" s="254"/>
      <c r="J1605" s="254"/>
      <c r="K1605" s="701">
        <f t="shared" si="244"/>
        <v>0</v>
      </c>
      <c r="L1605" s="52" t="s">
        <v>167</v>
      </c>
      <c r="M1605" s="1100" t="s">
        <v>165</v>
      </c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52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  <c r="AA1605" s="853"/>
    </row>
    <row r="1606" spans="1:27" s="810" customFormat="1" ht="15.75" customHeight="1">
      <c r="A1606" s="1097" t="str">
        <f>IF(B1606&lt;&gt;"",IF(AND(B1606&gt;=_TM1,B1606&lt;=_TM2,OR(TH!L1606="1111",TH!M1606="1111")),TH!D1606,""),"")</f>
        <v/>
      </c>
      <c r="B1606" s="700">
        <f t="shared" si="245"/>
        <v>10</v>
      </c>
      <c r="C1606" s="836">
        <f t="shared" si="243"/>
        <v>41568</v>
      </c>
      <c r="D1606" s="1098"/>
      <c r="E1606" s="1098">
        <v>41568</v>
      </c>
      <c r="F1606" s="1122" t="s">
        <v>1164</v>
      </c>
      <c r="G1606" s="1123" t="s">
        <v>967</v>
      </c>
      <c r="H1606" s="840" t="s">
        <v>1292</v>
      </c>
      <c r="I1606" s="254"/>
      <c r="J1606" s="254"/>
      <c r="K1606" s="701">
        <f t="shared" si="244"/>
        <v>0</v>
      </c>
      <c r="L1606" s="52" t="s">
        <v>167</v>
      </c>
      <c r="M1606" s="1100" t="s">
        <v>165</v>
      </c>
      <c r="N1606" s="52" t="str">
        <f>IF(AND('331-CT'!$E$7=TH!H1606,OR(L1606="331",M1606="331")),"331",IF(AND(OR(L1606="131",M1606="131"),H1606='131-CT'!$E$7),"131",""))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52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  <c r="AA1606" s="853"/>
    </row>
    <row r="1607" spans="1:27" s="810" customFormat="1" ht="15.75" customHeight="1">
      <c r="A1607" s="1097" t="str">
        <f>IF(B1607&lt;&gt;"",IF(AND(B1607&gt;=_TM1,B1607&lt;=_TM2,OR(TH!L1607="1111",TH!M1607="1111")),TH!D1607,""),"")</f>
        <v/>
      </c>
      <c r="B1607" s="700">
        <f t="shared" si="245"/>
        <v>10</v>
      </c>
      <c r="C1607" s="836">
        <f t="shared" ref="C1607:C1670" si="246">E1607</f>
        <v>41568</v>
      </c>
      <c r="D1607" s="1098"/>
      <c r="E1607" s="1098">
        <v>41568</v>
      </c>
      <c r="F1607" s="1122" t="s">
        <v>1161</v>
      </c>
      <c r="G1607" s="1123" t="s">
        <v>967</v>
      </c>
      <c r="H1607" s="840" t="s">
        <v>1292</v>
      </c>
      <c r="I1607" s="254"/>
      <c r="J1607" s="254"/>
      <c r="K1607" s="701">
        <f t="shared" ref="K1607:K1622" si="247">ROUND(I1607*J1607,0)</f>
        <v>0</v>
      </c>
      <c r="L1607" s="52" t="s">
        <v>167</v>
      </c>
      <c r="M1607" s="1100" t="s">
        <v>165</v>
      </c>
      <c r="N1607" s="52" t="str">
        <f>IF(AND('331-CT'!$E$7=TH!H1607,OR(L1607="331",M1607="331")),"331",IF(AND(OR(L1607="131",M1607="131"),H1607='131-CT'!$E$7),"131",""))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52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  <c r="AA1607" s="853"/>
    </row>
    <row r="1608" spans="1:27" s="810" customFormat="1" ht="15.75" customHeight="1">
      <c r="A1608" s="1097" t="str">
        <f>IF(B1608&lt;&gt;"",IF(AND(B1608&gt;=_TM1,B1608&lt;=_TM2,OR(TH!L1608="1111",TH!M1608="1111")),TH!D1608,""),"")</f>
        <v/>
      </c>
      <c r="B1608" s="700">
        <f t="shared" si="245"/>
        <v>10</v>
      </c>
      <c r="C1608" s="836">
        <f t="shared" si="246"/>
        <v>41568</v>
      </c>
      <c r="D1608" s="1098"/>
      <c r="E1608" s="1098">
        <v>41568</v>
      </c>
      <c r="F1608" s="1122" t="s">
        <v>969</v>
      </c>
      <c r="G1608" s="1123" t="s">
        <v>967</v>
      </c>
      <c r="H1608" s="840" t="s">
        <v>1292</v>
      </c>
      <c r="I1608" s="254"/>
      <c r="J1608" s="254"/>
      <c r="K1608" s="701">
        <f t="shared" si="247"/>
        <v>0</v>
      </c>
      <c r="L1608" s="52" t="s">
        <v>167</v>
      </c>
      <c r="M1608" s="1100" t="s">
        <v>165</v>
      </c>
      <c r="N1608" s="52" t="str">
        <f>IF(AND('331-CT'!$E$7=TH!H1608,OR(L1608="331",M1608="331")),"331",IF(AND(OR(L1608="131",M1608="131"),H1608='131-CT'!$E$7),"131",""))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52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  <c r="AA1608" s="853"/>
    </row>
    <row r="1609" spans="1:27" s="810" customFormat="1" ht="15.75" customHeight="1">
      <c r="A1609" s="1097" t="str">
        <f>IF(B1609&lt;&gt;"",IF(AND(B1609&gt;=_TM1,B1609&lt;=_TM2,OR(TH!L1609="1111",TH!M1609="1111")),TH!D1609,""),"")</f>
        <v/>
      </c>
      <c r="B1609" s="700">
        <f t="shared" si="245"/>
        <v>10</v>
      </c>
      <c r="C1609" s="836">
        <f t="shared" si="246"/>
        <v>41568</v>
      </c>
      <c r="D1609" s="1098"/>
      <c r="E1609" s="836">
        <v>41568</v>
      </c>
      <c r="F1609" s="1099" t="s">
        <v>970</v>
      </c>
      <c r="G1609" s="837" t="s">
        <v>967</v>
      </c>
      <c r="H1609" s="840" t="s">
        <v>1292</v>
      </c>
      <c r="I1609" s="254"/>
      <c r="J1609" s="254"/>
      <c r="K1609" s="701">
        <f t="shared" si="247"/>
        <v>0</v>
      </c>
      <c r="L1609" s="52" t="s">
        <v>167</v>
      </c>
      <c r="M1609" s="1100" t="s">
        <v>165</v>
      </c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52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  <c r="AA1609" s="853"/>
    </row>
    <row r="1610" spans="1:27" s="810" customFormat="1" ht="15.75" customHeight="1">
      <c r="A1610" s="1097" t="str">
        <f>IF(B1610&lt;&gt;"",IF(AND(B1610&gt;=_TM1,B1610&lt;=_TM2,OR(TH!L1610="1111",TH!M1610="1111")),TH!D1610,""),"")</f>
        <v/>
      </c>
      <c r="B1610" s="700">
        <f t="shared" si="245"/>
        <v>10</v>
      </c>
      <c r="C1610" s="836">
        <f t="shared" si="246"/>
        <v>41568</v>
      </c>
      <c r="D1610" s="1098"/>
      <c r="E1610" s="836">
        <v>41568</v>
      </c>
      <c r="F1610" s="1099" t="s">
        <v>971</v>
      </c>
      <c r="G1610" s="837" t="s">
        <v>972</v>
      </c>
      <c r="H1610" s="840" t="s">
        <v>1292</v>
      </c>
      <c r="I1610" s="254"/>
      <c r="J1610" s="254"/>
      <c r="K1610" s="701">
        <f t="shared" si="247"/>
        <v>0</v>
      </c>
      <c r="L1610" s="52" t="s">
        <v>167</v>
      </c>
      <c r="M1610" s="1100" t="s">
        <v>165</v>
      </c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52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  <c r="AA1610" s="853"/>
    </row>
    <row r="1611" spans="1:27" s="810" customFormat="1" ht="15.75" customHeight="1">
      <c r="A1611" s="1097" t="str">
        <f>IF(B1611&lt;&gt;"",IF(AND(B1611&gt;=_TM1,B1611&lt;=_TM2,OR(TH!L1611="1111",TH!M1611="1111")),TH!D1611,""),"")</f>
        <v/>
      </c>
      <c r="B1611" s="700">
        <f t="shared" si="245"/>
        <v>10</v>
      </c>
      <c r="C1611" s="836">
        <f t="shared" si="246"/>
        <v>41568</v>
      </c>
      <c r="D1611" s="48"/>
      <c r="E1611" s="854">
        <v>41568</v>
      </c>
      <c r="F1611" s="1122" t="s">
        <v>973</v>
      </c>
      <c r="G1611" s="49" t="s">
        <v>972</v>
      </c>
      <c r="H1611" s="840" t="s">
        <v>1292</v>
      </c>
      <c r="I1611" s="254"/>
      <c r="J1611" s="254"/>
      <c r="K1611" s="701">
        <f t="shared" si="247"/>
        <v>0</v>
      </c>
      <c r="L1611" s="52" t="s">
        <v>167</v>
      </c>
      <c r="M1611" s="1100" t="s">
        <v>165</v>
      </c>
      <c r="N1611" s="52" t="str">
        <f>IF(AND('331-CT'!$E$7=TH!H1611,OR(L1611="331",M1611="331")),"331",IF(AND(OR(L1611="131",M1611="131"),H1611='131-CT'!$E$7),"131",""))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52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  <c r="AA1611" s="853"/>
    </row>
    <row r="1612" spans="1:27" s="810" customFormat="1" ht="15.75" customHeight="1">
      <c r="A1612" s="1097" t="str">
        <f>IF(B1612&lt;&gt;"",IF(AND(B1612&gt;=_TM1,B1612&lt;=_TM2,OR(TH!L1612="1111",TH!M1612="1111")),TH!D1612,""),"")</f>
        <v/>
      </c>
      <c r="B1612" s="700">
        <f t="shared" si="245"/>
        <v>10</v>
      </c>
      <c r="C1612" s="836">
        <f t="shared" si="246"/>
        <v>41568</v>
      </c>
      <c r="D1612" s="48"/>
      <c r="E1612" s="854">
        <v>41568</v>
      </c>
      <c r="F1612" s="839" t="s">
        <v>974</v>
      </c>
      <c r="G1612" s="49" t="s">
        <v>972</v>
      </c>
      <c r="H1612" s="840" t="s">
        <v>1292</v>
      </c>
      <c r="I1612" s="254"/>
      <c r="J1612" s="254"/>
      <c r="K1612" s="701">
        <f t="shared" si="247"/>
        <v>0</v>
      </c>
      <c r="L1612" s="52" t="s">
        <v>167</v>
      </c>
      <c r="M1612" s="1100" t="s">
        <v>165</v>
      </c>
      <c r="N1612" s="52" t="str">
        <f>IF(AND('331-CT'!$E$7=TH!H1612,OR(L1612="331",M1612="331")),"331",IF(AND(OR(L1612="131",M1612="131"),H1612='131-CT'!$E$7),"131",""))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52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  <c r="AA1612" s="853"/>
    </row>
    <row r="1613" spans="1:27" s="810" customFormat="1" ht="15.75" customHeight="1">
      <c r="A1613" s="1097" t="str">
        <f>IF(B1613&lt;&gt;"",IF(AND(B1613&gt;=_TM1,B1613&lt;=_TM2,OR(TH!L1613="1111",TH!M1613="1111")),TH!D1613,""),"")</f>
        <v/>
      </c>
      <c r="B1613" s="700">
        <f t="shared" si="245"/>
        <v>10</v>
      </c>
      <c r="C1613" s="836">
        <f t="shared" si="246"/>
        <v>41568</v>
      </c>
      <c r="D1613" s="48"/>
      <c r="E1613" s="854">
        <v>41568</v>
      </c>
      <c r="F1613" s="1122" t="s">
        <v>975</v>
      </c>
      <c r="G1613" s="49" t="s">
        <v>972</v>
      </c>
      <c r="H1613" s="840" t="s">
        <v>1292</v>
      </c>
      <c r="I1613" s="1125"/>
      <c r="J1613" s="254"/>
      <c r="K1613" s="701">
        <f t="shared" si="247"/>
        <v>0</v>
      </c>
      <c r="L1613" s="52" t="s">
        <v>167</v>
      </c>
      <c r="M1613" s="1100" t="s">
        <v>165</v>
      </c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52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  <c r="AA1613" s="853"/>
    </row>
    <row r="1614" spans="1:27" s="810" customFormat="1" ht="15.75" customHeight="1">
      <c r="A1614" s="1097" t="str">
        <f>IF(B1614&lt;&gt;"",IF(AND(B1614&gt;=_TM1,B1614&lt;=_TM2,OR(TH!L1614="1111",TH!M1614="1111")),TH!D1614,""),"")</f>
        <v/>
      </c>
      <c r="B1614" s="700">
        <f t="shared" si="245"/>
        <v>10</v>
      </c>
      <c r="C1614" s="836">
        <f t="shared" si="246"/>
        <v>41568</v>
      </c>
      <c r="D1614" s="48"/>
      <c r="E1614" s="854">
        <v>41568</v>
      </c>
      <c r="F1614" s="49" t="s">
        <v>976</v>
      </c>
      <c r="G1614" s="49" t="s">
        <v>972</v>
      </c>
      <c r="H1614" s="840" t="s">
        <v>1292</v>
      </c>
      <c r="I1614" s="254"/>
      <c r="J1614" s="254"/>
      <c r="K1614" s="701">
        <f t="shared" si="247"/>
        <v>0</v>
      </c>
      <c r="L1614" s="52" t="s">
        <v>167</v>
      </c>
      <c r="M1614" s="1100" t="s">
        <v>165</v>
      </c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52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  <c r="AA1614" s="853"/>
    </row>
    <row r="1615" spans="1:27" s="810" customFormat="1" ht="15.75" customHeight="1">
      <c r="A1615" s="1097" t="str">
        <f>IF(B1615&lt;&gt;"",IF(AND(B1615&gt;=_TM1,B1615&lt;=_TM2,OR(TH!L1615="1111",TH!M1615="1111")),TH!D1615,""),"")</f>
        <v/>
      </c>
      <c r="B1615" s="700">
        <f t="shared" si="245"/>
        <v>10</v>
      </c>
      <c r="C1615" s="836">
        <f t="shared" si="246"/>
        <v>41568</v>
      </c>
      <c r="D1615" s="48"/>
      <c r="E1615" s="854">
        <v>41568</v>
      </c>
      <c r="F1615" s="1122" t="s">
        <v>977</v>
      </c>
      <c r="G1615" s="49" t="s">
        <v>972</v>
      </c>
      <c r="H1615" s="840" t="s">
        <v>1292</v>
      </c>
      <c r="I1615" s="254"/>
      <c r="J1615" s="254"/>
      <c r="K1615" s="701">
        <f t="shared" si="247"/>
        <v>0</v>
      </c>
      <c r="L1615" s="52" t="s">
        <v>167</v>
      </c>
      <c r="M1615" s="1100" t="s">
        <v>165</v>
      </c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52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  <c r="AA1615" s="853"/>
    </row>
    <row r="1616" spans="1:27" s="810" customFormat="1" ht="15.75" customHeight="1">
      <c r="A1616" s="1097" t="str">
        <f>IF(B1616&lt;&gt;"",IF(AND(B1616&gt;=_TM1,B1616&lt;=_TM2,OR(TH!L1616="1111",TH!M1616="1111")),TH!D1616,""),"")</f>
        <v/>
      </c>
      <c r="B1616" s="700">
        <f t="shared" si="245"/>
        <v>10</v>
      </c>
      <c r="C1616" s="836">
        <f t="shared" si="246"/>
        <v>41568</v>
      </c>
      <c r="D1616" s="48"/>
      <c r="E1616" s="854">
        <v>41568</v>
      </c>
      <c r="F1616" s="1122" t="s">
        <v>978</v>
      </c>
      <c r="G1616" s="49" t="s">
        <v>972</v>
      </c>
      <c r="H1616" s="840" t="s">
        <v>1292</v>
      </c>
      <c r="I1616" s="1125"/>
      <c r="J1616" s="254"/>
      <c r="K1616" s="701">
        <f t="shared" si="247"/>
        <v>0</v>
      </c>
      <c r="L1616" s="52" t="s">
        <v>167</v>
      </c>
      <c r="M1616" s="1100" t="s">
        <v>165</v>
      </c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52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  <c r="AA1616" s="853"/>
    </row>
    <row r="1617" spans="1:27" s="810" customFormat="1" ht="15.75" customHeight="1">
      <c r="A1617" s="1097" t="str">
        <f>IF(B1617&lt;&gt;"",IF(AND(B1617&gt;=_TM1,B1617&lt;=_TM2,OR(TH!L1617="1111",TH!M1617="1111")),TH!D1617,""),"")</f>
        <v/>
      </c>
      <c r="B1617" s="700">
        <f t="shared" si="245"/>
        <v>10</v>
      </c>
      <c r="C1617" s="836">
        <f t="shared" si="246"/>
        <v>41568</v>
      </c>
      <c r="D1617" s="48"/>
      <c r="E1617" s="854">
        <v>41568</v>
      </c>
      <c r="F1617" s="1122" t="s">
        <v>979</v>
      </c>
      <c r="G1617" s="49" t="s">
        <v>972</v>
      </c>
      <c r="H1617" s="840" t="s">
        <v>1292</v>
      </c>
      <c r="I1617" s="1125"/>
      <c r="J1617" s="254"/>
      <c r="K1617" s="701">
        <f t="shared" si="247"/>
        <v>0</v>
      </c>
      <c r="L1617" s="52" t="s">
        <v>167</v>
      </c>
      <c r="M1617" s="1100" t="s">
        <v>165</v>
      </c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52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  <c r="AA1617" s="853"/>
    </row>
    <row r="1618" spans="1:27" s="810" customFormat="1" ht="15.75" customHeight="1">
      <c r="A1618" s="1097" t="str">
        <f>IF(B1618&lt;&gt;"",IF(AND(B1618&gt;=_TM1,B1618&lt;=_TM2,OR(TH!L1618="1111",TH!M1618="1111")),TH!D1618,""),"")</f>
        <v/>
      </c>
      <c r="B1618" s="700">
        <f t="shared" si="245"/>
        <v>10</v>
      </c>
      <c r="C1618" s="836">
        <f t="shared" si="246"/>
        <v>41568</v>
      </c>
      <c r="D1618" s="48"/>
      <c r="E1618" s="854">
        <v>41568</v>
      </c>
      <c r="F1618" s="1122" t="s">
        <v>980</v>
      </c>
      <c r="G1618" s="49" t="s">
        <v>981</v>
      </c>
      <c r="H1618" s="840" t="s">
        <v>1292</v>
      </c>
      <c r="I1618" s="1125"/>
      <c r="J1618" s="254"/>
      <c r="K1618" s="701">
        <f t="shared" si="247"/>
        <v>0</v>
      </c>
      <c r="L1618" s="52" t="s">
        <v>167</v>
      </c>
      <c r="M1618" s="1100" t="s">
        <v>165</v>
      </c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52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  <c r="AA1618" s="853"/>
    </row>
    <row r="1619" spans="1:27" s="810" customFormat="1" ht="15.75" customHeight="1">
      <c r="A1619" s="1097" t="str">
        <f>IF(B1619&lt;&gt;"",IF(AND(B1619&gt;=_TM1,B1619&lt;=_TM2,OR(TH!L1619="1111",TH!M1619="1111")),TH!D1619,""),"")</f>
        <v/>
      </c>
      <c r="B1619" s="700">
        <f t="shared" si="245"/>
        <v>10</v>
      </c>
      <c r="C1619" s="836">
        <f t="shared" si="246"/>
        <v>41568</v>
      </c>
      <c r="D1619" s="836"/>
      <c r="E1619" s="836">
        <v>41568</v>
      </c>
      <c r="F1619" s="1099" t="s">
        <v>982</v>
      </c>
      <c r="G1619" s="837" t="s">
        <v>983</v>
      </c>
      <c r="H1619" s="840" t="s">
        <v>1292</v>
      </c>
      <c r="I1619" s="254"/>
      <c r="J1619" s="254"/>
      <c r="K1619" s="701">
        <f t="shared" si="247"/>
        <v>0</v>
      </c>
      <c r="L1619" s="52" t="s">
        <v>167</v>
      </c>
      <c r="M1619" s="1100" t="s">
        <v>165</v>
      </c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52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  <c r="AA1619" s="853"/>
    </row>
    <row r="1620" spans="1:27" s="810" customFormat="1" ht="15.75" customHeight="1">
      <c r="A1620" s="1097" t="str">
        <f>IF(B1620&lt;&gt;"",IF(AND(B1620&gt;=_TM1,B1620&lt;=_TM2,OR(TH!L1620="1111",TH!M1620="1111")),TH!D1620,""),"")</f>
        <v/>
      </c>
      <c r="B1620" s="700">
        <f t="shared" si="245"/>
        <v>10</v>
      </c>
      <c r="C1620" s="836">
        <f t="shared" si="246"/>
        <v>41568</v>
      </c>
      <c r="D1620" s="836"/>
      <c r="E1620" s="836">
        <v>41568</v>
      </c>
      <c r="F1620" s="1099" t="s">
        <v>984</v>
      </c>
      <c r="G1620" s="837" t="s">
        <v>985</v>
      </c>
      <c r="H1620" s="840" t="s">
        <v>1292</v>
      </c>
      <c r="I1620" s="254"/>
      <c r="J1620" s="254"/>
      <c r="K1620" s="701">
        <f t="shared" si="247"/>
        <v>0</v>
      </c>
      <c r="L1620" s="52" t="s">
        <v>167</v>
      </c>
      <c r="M1620" s="1100" t="s">
        <v>165</v>
      </c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52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  <c r="AA1620" s="853"/>
    </row>
    <row r="1621" spans="1:27" s="810" customFormat="1" ht="15.75" customHeight="1">
      <c r="A1621" s="1097" t="str">
        <f>IF(B1621&lt;&gt;"",IF(AND(B1621&gt;=_TM1,B1621&lt;=_TM2,OR(TH!L1621="1111",TH!M1621="1111")),TH!D1621,""),"")</f>
        <v/>
      </c>
      <c r="B1621" s="700">
        <f t="shared" si="245"/>
        <v>10</v>
      </c>
      <c r="C1621" s="836">
        <f t="shared" si="246"/>
        <v>41568</v>
      </c>
      <c r="D1621" s="836"/>
      <c r="E1621" s="836">
        <v>41568</v>
      </c>
      <c r="F1621" s="1099" t="s">
        <v>1158</v>
      </c>
      <c r="G1621" s="837" t="s">
        <v>986</v>
      </c>
      <c r="H1621" s="840" t="s">
        <v>1292</v>
      </c>
      <c r="I1621" s="254"/>
      <c r="J1621" s="254"/>
      <c r="K1621" s="701">
        <f t="shared" si="247"/>
        <v>0</v>
      </c>
      <c r="L1621" s="52" t="s">
        <v>167</v>
      </c>
      <c r="M1621" s="1100" t="s">
        <v>165</v>
      </c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52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  <c r="AA1621" s="853"/>
    </row>
    <row r="1622" spans="1:27" s="810" customFormat="1" ht="15.75" customHeight="1">
      <c r="A1622" s="1097" t="str">
        <f>IF(B1622&lt;&gt;"",IF(AND(B1622&gt;=_TM1,B1622&lt;=_TM2,OR(TH!L1622="1111",TH!M1622="1111")),TH!D1622,""),"")</f>
        <v/>
      </c>
      <c r="B1622" s="700">
        <f t="shared" si="245"/>
        <v>10</v>
      </c>
      <c r="C1622" s="836">
        <f t="shared" si="246"/>
        <v>41568</v>
      </c>
      <c r="D1622" s="836"/>
      <c r="E1622" s="836">
        <v>41568</v>
      </c>
      <c r="F1622" s="1099" t="s">
        <v>1159</v>
      </c>
      <c r="G1622" s="837" t="s">
        <v>644</v>
      </c>
      <c r="H1622" s="840" t="s">
        <v>1292</v>
      </c>
      <c r="I1622" s="254"/>
      <c r="J1622" s="254"/>
      <c r="K1622" s="701">
        <f t="shared" si="247"/>
        <v>0</v>
      </c>
      <c r="L1622" s="52" t="s">
        <v>167</v>
      </c>
      <c r="M1622" s="1100" t="s">
        <v>165</v>
      </c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52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  <c r="AA1622" s="853"/>
    </row>
    <row r="1623" spans="1:27" s="810" customFormat="1" ht="15.75" customHeight="1">
      <c r="A1623" s="1097" t="str">
        <f>IF(B1623&lt;&gt;"",IF(AND(B1623&gt;=_TM1,B1623&lt;=_TM2,OR(TH!L1623="1111",TH!M1623="1111")),TH!D1623,""),"")</f>
        <v/>
      </c>
      <c r="B1623" s="700">
        <f t="shared" si="245"/>
        <v>10</v>
      </c>
      <c r="C1623" s="836">
        <f t="shared" si="246"/>
        <v>41568</v>
      </c>
      <c r="D1623" s="836"/>
      <c r="E1623" s="836">
        <v>41568</v>
      </c>
      <c r="F1623" s="1099" t="s">
        <v>987</v>
      </c>
      <c r="G1623" s="837" t="s">
        <v>988</v>
      </c>
      <c r="H1623" s="840" t="s">
        <v>1292</v>
      </c>
      <c r="I1623" s="254"/>
      <c r="J1623" s="254"/>
      <c r="K1623" s="701">
        <f t="shared" ref="K1623:K1686" si="248">ROUND(I1623*J1623,0)</f>
        <v>0</v>
      </c>
      <c r="L1623" s="52" t="s">
        <v>167</v>
      </c>
      <c r="M1623" s="1100" t="s">
        <v>165</v>
      </c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52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  <c r="AA1623" s="853"/>
    </row>
    <row r="1624" spans="1:27" s="810" customFormat="1" ht="15.75" customHeight="1">
      <c r="A1624" s="1097" t="str">
        <f>IF(B1624&lt;&gt;"",IF(AND(B1624&gt;=_TM1,B1624&lt;=_TM2,OR(TH!L1624="1111",TH!M1624="1111")),TH!D1624,""),"")</f>
        <v/>
      </c>
      <c r="B1624" s="700">
        <f t="shared" si="245"/>
        <v>10</v>
      </c>
      <c r="C1624" s="836">
        <f t="shared" si="246"/>
        <v>41568</v>
      </c>
      <c r="D1624" s="836"/>
      <c r="E1624" s="836">
        <v>41568</v>
      </c>
      <c r="F1624" s="1099" t="s">
        <v>989</v>
      </c>
      <c r="G1624" s="837" t="s">
        <v>990</v>
      </c>
      <c r="H1624" s="840" t="s">
        <v>1292</v>
      </c>
      <c r="I1624" s="254"/>
      <c r="J1624" s="254"/>
      <c r="K1624" s="701">
        <f t="shared" si="248"/>
        <v>0</v>
      </c>
      <c r="L1624" s="52" t="s">
        <v>167</v>
      </c>
      <c r="M1624" s="1100" t="s">
        <v>165</v>
      </c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52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  <c r="AA1624" s="853"/>
    </row>
    <row r="1625" spans="1:27" s="810" customFormat="1" ht="15.75" customHeight="1">
      <c r="A1625" s="1097" t="str">
        <f>IF(B1625&lt;&gt;"",IF(AND(B1625&gt;=_TM1,B1625&lt;=_TM2,OR(TH!L1625="1111",TH!M1625="1111")),TH!D1625,""),"")</f>
        <v/>
      </c>
      <c r="B1625" s="700">
        <f t="shared" si="245"/>
        <v>10</v>
      </c>
      <c r="C1625" s="836">
        <f t="shared" si="246"/>
        <v>41568</v>
      </c>
      <c r="D1625" s="836"/>
      <c r="E1625" s="836">
        <v>41568</v>
      </c>
      <c r="F1625" s="1099" t="s">
        <v>991</v>
      </c>
      <c r="G1625" s="837" t="s">
        <v>992</v>
      </c>
      <c r="H1625" s="840" t="s">
        <v>1292</v>
      </c>
      <c r="I1625" s="254"/>
      <c r="J1625" s="254"/>
      <c r="K1625" s="701">
        <f t="shared" si="248"/>
        <v>0</v>
      </c>
      <c r="L1625" s="52" t="s">
        <v>167</v>
      </c>
      <c r="M1625" s="1100" t="s">
        <v>165</v>
      </c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52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  <c r="AA1625" s="853"/>
    </row>
    <row r="1626" spans="1:27" s="810" customFormat="1" ht="15.75" customHeight="1">
      <c r="A1626" s="1097" t="str">
        <f>IF(B1626&lt;&gt;"",IF(AND(B1626&gt;=_TM1,B1626&lt;=_TM2,OR(TH!L1626="1111",TH!M1626="1111")),TH!D1626,""),"")</f>
        <v/>
      </c>
      <c r="B1626" s="700">
        <f t="shared" si="245"/>
        <v>10</v>
      </c>
      <c r="C1626" s="836">
        <f t="shared" si="246"/>
        <v>41568</v>
      </c>
      <c r="D1626" s="836"/>
      <c r="E1626" s="836">
        <v>41568</v>
      </c>
      <c r="F1626" s="1099" t="s">
        <v>1155</v>
      </c>
      <c r="G1626" s="837" t="s">
        <v>983</v>
      </c>
      <c r="H1626" s="840" t="s">
        <v>1292</v>
      </c>
      <c r="I1626" s="254"/>
      <c r="J1626" s="254"/>
      <c r="K1626" s="701">
        <f t="shared" si="248"/>
        <v>0</v>
      </c>
      <c r="L1626" s="52" t="s">
        <v>167</v>
      </c>
      <c r="M1626" s="1100" t="s">
        <v>165</v>
      </c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52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  <c r="AA1626" s="853"/>
    </row>
    <row r="1627" spans="1:27" s="810" customFormat="1" ht="15.75" customHeight="1">
      <c r="A1627" s="1097" t="str">
        <f>IF(B1627&lt;&gt;"",IF(AND(B1627&gt;=_TM1,B1627&lt;=_TM2,OR(TH!L1627="1111",TH!M1627="1111")),TH!D1627,""),"")</f>
        <v/>
      </c>
      <c r="B1627" s="700">
        <f t="shared" si="245"/>
        <v>10</v>
      </c>
      <c r="C1627" s="836">
        <f t="shared" si="246"/>
        <v>41568</v>
      </c>
      <c r="D1627" s="836"/>
      <c r="E1627" s="836">
        <v>41568</v>
      </c>
      <c r="F1627" s="1099" t="s">
        <v>993</v>
      </c>
      <c r="G1627" s="837" t="s">
        <v>988</v>
      </c>
      <c r="H1627" s="840" t="s">
        <v>1292</v>
      </c>
      <c r="I1627" s="254"/>
      <c r="J1627" s="254"/>
      <c r="K1627" s="701">
        <f t="shared" si="248"/>
        <v>0</v>
      </c>
      <c r="L1627" s="52" t="s">
        <v>167</v>
      </c>
      <c r="M1627" s="1100" t="s">
        <v>165</v>
      </c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52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  <c r="AA1627" s="853"/>
    </row>
    <row r="1628" spans="1:27" s="810" customFormat="1" ht="15.75" customHeight="1">
      <c r="A1628" s="1097" t="str">
        <f>IF(B1628&lt;&gt;"",IF(AND(B1628&gt;=_TM1,B1628&lt;=_TM2,OR(TH!L1628="1111",TH!M1628="1111")),TH!D1628,""),"")</f>
        <v/>
      </c>
      <c r="B1628" s="700">
        <f t="shared" si="245"/>
        <v>10</v>
      </c>
      <c r="C1628" s="836">
        <f t="shared" si="246"/>
        <v>41568</v>
      </c>
      <c r="D1628" s="48"/>
      <c r="E1628" s="48">
        <v>41568</v>
      </c>
      <c r="F1628" s="49" t="s">
        <v>994</v>
      </c>
      <c r="G1628" s="49" t="s">
        <v>988</v>
      </c>
      <c r="H1628" s="840" t="s">
        <v>1292</v>
      </c>
      <c r="I1628" s="254"/>
      <c r="J1628" s="254"/>
      <c r="K1628" s="701">
        <f t="shared" si="248"/>
        <v>0</v>
      </c>
      <c r="L1628" s="52" t="s">
        <v>167</v>
      </c>
      <c r="M1628" s="1100" t="s">
        <v>165</v>
      </c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52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  <c r="AA1628" s="853"/>
    </row>
    <row r="1629" spans="1:27" s="810" customFormat="1" ht="15.75" customHeight="1">
      <c r="A1629" s="1097" t="str">
        <f>IF(B1629&lt;&gt;"",IF(AND(B1629&gt;=_TM1,B1629&lt;=_TM2,OR(TH!L1629="1111",TH!M1629="1111")),TH!D1629,""),"")</f>
        <v/>
      </c>
      <c r="B1629" s="700">
        <f t="shared" si="245"/>
        <v>10</v>
      </c>
      <c r="C1629" s="836">
        <f t="shared" si="246"/>
        <v>41569</v>
      </c>
      <c r="D1629" s="48"/>
      <c r="E1629" s="48">
        <v>41569</v>
      </c>
      <c r="F1629" s="49" t="s">
        <v>1154</v>
      </c>
      <c r="G1629" s="49" t="s">
        <v>990</v>
      </c>
      <c r="H1629" s="840" t="s">
        <v>1292</v>
      </c>
      <c r="I1629" s="254"/>
      <c r="J1629" s="254"/>
      <c r="K1629" s="701">
        <f t="shared" si="248"/>
        <v>0</v>
      </c>
      <c r="L1629" s="52" t="s">
        <v>167</v>
      </c>
      <c r="M1629" s="1100" t="s">
        <v>165</v>
      </c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52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  <c r="AA1629" s="853"/>
    </row>
    <row r="1630" spans="1:27" s="810" customFormat="1" ht="15.75" customHeight="1">
      <c r="A1630" s="1097" t="str">
        <f>IF(B1630&lt;&gt;"",IF(AND(B1630&gt;=_TM1,B1630&lt;=_TM2,OR(TH!L1630="1111",TH!M1630="1111")),TH!D1630,""),"")</f>
        <v/>
      </c>
      <c r="B1630" s="700">
        <f t="shared" si="245"/>
        <v>10</v>
      </c>
      <c r="C1630" s="836">
        <f t="shared" si="246"/>
        <v>41571</v>
      </c>
      <c r="D1630" s="48"/>
      <c r="E1630" s="48">
        <v>41571</v>
      </c>
      <c r="F1630" s="1099" t="s">
        <v>1131</v>
      </c>
      <c r="G1630" s="49" t="s">
        <v>992</v>
      </c>
      <c r="H1630" s="840" t="s">
        <v>1292</v>
      </c>
      <c r="I1630" s="254"/>
      <c r="J1630" s="254"/>
      <c r="K1630" s="701">
        <f t="shared" si="248"/>
        <v>0</v>
      </c>
      <c r="L1630" s="52" t="s">
        <v>167</v>
      </c>
      <c r="M1630" s="1100" t="s">
        <v>165</v>
      </c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52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  <c r="AA1630" s="853"/>
    </row>
    <row r="1631" spans="1:27" s="810" customFormat="1" ht="15.75" customHeight="1">
      <c r="A1631" s="1097" t="str">
        <f>IF(B1631&lt;&gt;"",IF(AND(B1631&gt;=_TM1,B1631&lt;=_TM2,OR(TH!L1631="1111",TH!M1631="1111")),TH!D1631,""),"")</f>
        <v/>
      </c>
      <c r="B1631" s="700">
        <f t="shared" si="245"/>
        <v>10</v>
      </c>
      <c r="C1631" s="836">
        <f t="shared" si="246"/>
        <v>41571</v>
      </c>
      <c r="D1631" s="48"/>
      <c r="E1631" s="48">
        <v>41571</v>
      </c>
      <c r="F1631" s="49" t="s">
        <v>814</v>
      </c>
      <c r="G1631" s="49" t="s">
        <v>992</v>
      </c>
      <c r="H1631" s="840" t="s">
        <v>1292</v>
      </c>
      <c r="I1631" s="254"/>
      <c r="J1631" s="254"/>
      <c r="K1631" s="701">
        <f t="shared" si="248"/>
        <v>0</v>
      </c>
      <c r="L1631" s="52" t="s">
        <v>167</v>
      </c>
      <c r="M1631" s="1100" t="s">
        <v>165</v>
      </c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52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  <c r="AA1631" s="853"/>
    </row>
    <row r="1632" spans="1:27" s="810" customFormat="1" ht="15.75" customHeight="1">
      <c r="A1632" s="1097" t="str">
        <f>IF(B1632&lt;&gt;"",IF(AND(B1632&gt;=_TM1,B1632&lt;=_TM2,OR(TH!L1632="1111",TH!M1632="1111")),TH!D1632,""),"")</f>
        <v/>
      </c>
      <c r="B1632" s="700">
        <f t="shared" si="245"/>
        <v>10</v>
      </c>
      <c r="C1632" s="836">
        <f t="shared" si="246"/>
        <v>41571</v>
      </c>
      <c r="D1632" s="48"/>
      <c r="E1632" s="48">
        <v>41571</v>
      </c>
      <c r="F1632" s="1099" t="s">
        <v>1131</v>
      </c>
      <c r="G1632" s="49" t="s">
        <v>992</v>
      </c>
      <c r="H1632" s="840" t="s">
        <v>1292</v>
      </c>
      <c r="I1632" s="254"/>
      <c r="J1632" s="254"/>
      <c r="K1632" s="701">
        <f t="shared" si="248"/>
        <v>0</v>
      </c>
      <c r="L1632" s="52" t="s">
        <v>167</v>
      </c>
      <c r="M1632" s="1100" t="s">
        <v>165</v>
      </c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52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  <c r="AA1632" s="853"/>
    </row>
    <row r="1633" spans="1:27" s="810" customFormat="1" ht="15.75" customHeight="1">
      <c r="A1633" s="1097" t="str">
        <f>IF(B1633&lt;&gt;"",IF(AND(B1633&gt;=_TM1,B1633&lt;=_TM2,OR(TH!L1633="1111",TH!M1633="1111")),TH!D1633,""),"")</f>
        <v/>
      </c>
      <c r="B1633" s="700">
        <f t="shared" ref="B1633:B1696" si="249">IF(C1633&lt;&gt;"",MONTH(C1633),"")</f>
        <v>10</v>
      </c>
      <c r="C1633" s="836">
        <f t="shared" si="246"/>
        <v>41571</v>
      </c>
      <c r="D1633" s="48"/>
      <c r="E1633" s="48">
        <v>41571</v>
      </c>
      <c r="F1633" s="49" t="s">
        <v>940</v>
      </c>
      <c r="G1633" s="49" t="s">
        <v>995</v>
      </c>
      <c r="H1633" s="840" t="s">
        <v>1292</v>
      </c>
      <c r="I1633" s="254"/>
      <c r="J1633" s="254"/>
      <c r="K1633" s="701">
        <f t="shared" si="248"/>
        <v>0</v>
      </c>
      <c r="L1633" s="52" t="s">
        <v>167</v>
      </c>
      <c r="M1633" s="1100" t="s">
        <v>165</v>
      </c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52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  <c r="AA1633" s="853"/>
    </row>
    <row r="1634" spans="1:27" s="810" customFormat="1" ht="15.75" customHeight="1">
      <c r="A1634" s="1097" t="str">
        <f>IF(B1634&lt;&gt;"",IF(AND(B1634&gt;=_TM1,B1634&lt;=_TM2,OR(TH!L1634="1111",TH!M1634="1111")),TH!D1634,""),"")</f>
        <v/>
      </c>
      <c r="B1634" s="700">
        <f t="shared" si="249"/>
        <v>10</v>
      </c>
      <c r="C1634" s="836">
        <f t="shared" si="246"/>
        <v>41573</v>
      </c>
      <c r="D1634" s="48"/>
      <c r="E1634" s="48">
        <v>41573</v>
      </c>
      <c r="F1634" s="49" t="s">
        <v>1150</v>
      </c>
      <c r="G1634" s="49" t="s">
        <v>996</v>
      </c>
      <c r="H1634" s="840" t="s">
        <v>1292</v>
      </c>
      <c r="I1634" s="254"/>
      <c r="J1634" s="254"/>
      <c r="K1634" s="701">
        <f t="shared" si="248"/>
        <v>0</v>
      </c>
      <c r="L1634" s="52" t="s">
        <v>167</v>
      </c>
      <c r="M1634" s="1100" t="s">
        <v>165</v>
      </c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52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  <c r="AA1634" s="853"/>
    </row>
    <row r="1635" spans="1:27" s="810" customFormat="1" ht="15.75" customHeight="1">
      <c r="A1635" s="1097" t="str">
        <f>IF(B1635&lt;&gt;"",IF(AND(B1635&gt;=_TM1,B1635&lt;=_TM2,OR(TH!L1635="1111",TH!M1635="1111")),TH!D1635,""),"")</f>
        <v/>
      </c>
      <c r="B1635" s="700">
        <f t="shared" si="249"/>
        <v>10</v>
      </c>
      <c r="C1635" s="836">
        <f t="shared" si="246"/>
        <v>41573</v>
      </c>
      <c r="D1635" s="48"/>
      <c r="E1635" s="48">
        <v>41573</v>
      </c>
      <c r="F1635" s="49" t="s">
        <v>1149</v>
      </c>
      <c r="G1635" s="49" t="s">
        <v>996</v>
      </c>
      <c r="H1635" s="840" t="s">
        <v>1292</v>
      </c>
      <c r="I1635" s="254"/>
      <c r="J1635" s="254"/>
      <c r="K1635" s="701">
        <f t="shared" si="248"/>
        <v>0</v>
      </c>
      <c r="L1635" s="52" t="s">
        <v>167</v>
      </c>
      <c r="M1635" s="1100" t="s">
        <v>165</v>
      </c>
      <c r="N1635" s="52" t="str">
        <f>IF(AND('331-CT'!$E$7=TH!H1635,OR(L1635="331",M1635="331")),"331",IF(AND(OR(L1635="131",M1635="131"),H1635='131-CT'!$E$7),"131",""))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52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  <c r="AA1635" s="853"/>
    </row>
    <row r="1636" spans="1:27" s="810" customFormat="1" ht="15.75" customHeight="1">
      <c r="A1636" s="1097" t="str">
        <f>IF(B1636&lt;&gt;"",IF(AND(B1636&gt;=_TM1,B1636&lt;=_TM2,OR(TH!L1636="1111",TH!M1636="1111")),TH!D1636,""),"")</f>
        <v/>
      </c>
      <c r="B1636" s="700">
        <f t="shared" si="249"/>
        <v>10</v>
      </c>
      <c r="C1636" s="836">
        <f t="shared" si="246"/>
        <v>41577</v>
      </c>
      <c r="D1636" s="48"/>
      <c r="E1636" s="48">
        <v>41577</v>
      </c>
      <c r="F1636" s="49" t="s">
        <v>942</v>
      </c>
      <c r="G1636" s="49" t="s">
        <v>997</v>
      </c>
      <c r="H1636" s="840" t="s">
        <v>1292</v>
      </c>
      <c r="I1636" s="254"/>
      <c r="J1636" s="254"/>
      <c r="K1636" s="701">
        <f t="shared" si="248"/>
        <v>0</v>
      </c>
      <c r="L1636" s="52" t="s">
        <v>167</v>
      </c>
      <c r="M1636" s="1100" t="s">
        <v>165</v>
      </c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52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  <c r="AA1636" s="853"/>
    </row>
    <row r="1637" spans="1:27" s="810" customFormat="1" ht="15.75" customHeight="1">
      <c r="A1637" s="1097" t="str">
        <f>IF(B1637&lt;&gt;"",IF(AND(B1637&gt;=_TM1,B1637&lt;=_TM2,OR(TH!L1637="1111",TH!M1637="1111")),TH!D1637,""),"")</f>
        <v/>
      </c>
      <c r="B1637" s="700">
        <f t="shared" si="249"/>
        <v>10</v>
      </c>
      <c r="C1637" s="836">
        <f t="shared" si="246"/>
        <v>41578</v>
      </c>
      <c r="D1637" s="48"/>
      <c r="E1637" s="48">
        <v>41578</v>
      </c>
      <c r="F1637" s="49" t="s">
        <v>731</v>
      </c>
      <c r="G1637" s="49" t="s">
        <v>998</v>
      </c>
      <c r="H1637" s="840" t="s">
        <v>1292</v>
      </c>
      <c r="I1637" s="254"/>
      <c r="J1637" s="254"/>
      <c r="K1637" s="701">
        <f t="shared" si="248"/>
        <v>0</v>
      </c>
      <c r="L1637" s="52" t="s">
        <v>167</v>
      </c>
      <c r="M1637" s="1100" t="s">
        <v>165</v>
      </c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52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  <c r="AA1637" s="853"/>
    </row>
    <row r="1638" spans="1:27" s="810" customFormat="1" ht="15.75" customHeight="1">
      <c r="A1638" s="1097" t="str">
        <f>IF(B1638&lt;&gt;"",IF(AND(B1638&gt;=_TM1,B1638&lt;=_TM2,OR(TH!L1638="1111",TH!M1638="1111")),TH!D1638,""),"")</f>
        <v/>
      </c>
      <c r="B1638" s="700">
        <f t="shared" si="249"/>
        <v>10</v>
      </c>
      <c r="C1638" s="836">
        <f t="shared" si="246"/>
        <v>41578</v>
      </c>
      <c r="D1638" s="48"/>
      <c r="E1638" s="48">
        <v>41578</v>
      </c>
      <c r="F1638" s="1099" t="s">
        <v>838</v>
      </c>
      <c r="G1638" s="49" t="s">
        <v>999</v>
      </c>
      <c r="H1638" s="840" t="s">
        <v>1292</v>
      </c>
      <c r="I1638" s="254"/>
      <c r="J1638" s="254"/>
      <c r="K1638" s="701">
        <f t="shared" si="248"/>
        <v>0</v>
      </c>
      <c r="L1638" s="52" t="s">
        <v>167</v>
      </c>
      <c r="M1638" s="1100" t="s">
        <v>165</v>
      </c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52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  <c r="AA1638" s="853"/>
    </row>
    <row r="1639" spans="1:27" s="810" customFormat="1" ht="15.75" customHeight="1">
      <c r="A1639" s="1097" t="str">
        <f>IF(B1639&lt;&gt;"",IF(AND(B1639&gt;=_TM1,B1639&lt;=_TM2,OR(TH!L1639="1111",TH!M1639="1111")),TH!D1639,""),"")</f>
        <v/>
      </c>
      <c r="B1639" s="700">
        <f t="shared" si="249"/>
        <v>10</v>
      </c>
      <c r="C1639" s="836">
        <f t="shared" si="246"/>
        <v>41578</v>
      </c>
      <c r="D1639" s="48"/>
      <c r="E1639" s="48">
        <v>41578</v>
      </c>
      <c r="F1639" s="49" t="s">
        <v>885</v>
      </c>
      <c r="G1639" s="49" t="s">
        <v>1000</v>
      </c>
      <c r="H1639" s="840" t="s">
        <v>1292</v>
      </c>
      <c r="I1639" s="254"/>
      <c r="J1639" s="254"/>
      <c r="K1639" s="701">
        <f t="shared" si="248"/>
        <v>0</v>
      </c>
      <c r="L1639" s="52" t="s">
        <v>167</v>
      </c>
      <c r="M1639" s="1100" t="s">
        <v>165</v>
      </c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52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  <c r="AA1639" s="853"/>
    </row>
    <row r="1640" spans="1:27" s="810" customFormat="1" ht="15.75" customHeight="1">
      <c r="A1640" s="1097" t="str">
        <f>IF(B1640&lt;&gt;"",IF(AND(B1640&gt;=_TM1,B1640&lt;=_TM2,OR(TH!L1640="1111",TH!M1640="1111")),TH!D1640,""),"")</f>
        <v/>
      </c>
      <c r="B1640" s="700">
        <f t="shared" si="249"/>
        <v>10</v>
      </c>
      <c r="C1640" s="836">
        <f t="shared" si="246"/>
        <v>41578</v>
      </c>
      <c r="D1640" s="48"/>
      <c r="E1640" s="48">
        <v>41578</v>
      </c>
      <c r="F1640" s="1099" t="s">
        <v>808</v>
      </c>
      <c r="G1640" s="49" t="s">
        <v>1001</v>
      </c>
      <c r="H1640" s="840" t="s">
        <v>1292</v>
      </c>
      <c r="I1640" s="254"/>
      <c r="J1640" s="254"/>
      <c r="K1640" s="701">
        <f t="shared" si="248"/>
        <v>0</v>
      </c>
      <c r="L1640" s="52" t="s">
        <v>167</v>
      </c>
      <c r="M1640" s="1100" t="s">
        <v>165</v>
      </c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52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  <c r="AA1640" s="853"/>
    </row>
    <row r="1641" spans="1:27" s="810" customFormat="1" ht="15.75" customHeight="1">
      <c r="A1641" s="1097" t="str">
        <f>IF(B1641&lt;&gt;"",IF(AND(B1641&gt;=_TM1,B1641&lt;=_TM2,OR(TH!L1641="1111",TH!M1641="1111")),TH!D1641,""),"")</f>
        <v/>
      </c>
      <c r="B1641" s="700">
        <f t="shared" si="249"/>
        <v>11</v>
      </c>
      <c r="C1641" s="836">
        <f t="shared" si="246"/>
        <v>41582</v>
      </c>
      <c r="D1641" s="48"/>
      <c r="E1641" s="48">
        <v>41582</v>
      </c>
      <c r="F1641" s="49" t="s">
        <v>817</v>
      </c>
      <c r="G1641" s="49" t="s">
        <v>1002</v>
      </c>
      <c r="H1641" s="840" t="s">
        <v>1292</v>
      </c>
      <c r="I1641" s="254"/>
      <c r="J1641" s="254"/>
      <c r="K1641" s="701">
        <f t="shared" si="248"/>
        <v>0</v>
      </c>
      <c r="L1641" s="52" t="s">
        <v>167</v>
      </c>
      <c r="M1641" s="1100" t="s">
        <v>165</v>
      </c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52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  <c r="AA1641" s="853"/>
    </row>
    <row r="1642" spans="1:27" s="810" customFormat="1" ht="15.75" customHeight="1">
      <c r="A1642" s="1097" t="str">
        <f>IF(B1642&lt;&gt;"",IF(AND(B1642&gt;=_TM1,B1642&lt;=_TM2,OR(TH!L1642="1111",TH!M1642="1111")),TH!D1642,""),"")</f>
        <v/>
      </c>
      <c r="B1642" s="700">
        <f t="shared" si="249"/>
        <v>11</v>
      </c>
      <c r="C1642" s="836">
        <f t="shared" si="246"/>
        <v>41582</v>
      </c>
      <c r="D1642" s="48"/>
      <c r="E1642" s="48">
        <v>41582</v>
      </c>
      <c r="F1642" s="49" t="s">
        <v>819</v>
      </c>
      <c r="G1642" s="49" t="s">
        <v>1002</v>
      </c>
      <c r="H1642" s="840" t="s">
        <v>1292</v>
      </c>
      <c r="I1642" s="254"/>
      <c r="J1642" s="254"/>
      <c r="K1642" s="701">
        <f t="shared" si="248"/>
        <v>0</v>
      </c>
      <c r="L1642" s="52" t="s">
        <v>167</v>
      </c>
      <c r="M1642" s="1100" t="s">
        <v>165</v>
      </c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52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  <c r="AA1642" s="853"/>
    </row>
    <row r="1643" spans="1:27" s="810" customFormat="1" ht="15.75" customHeight="1">
      <c r="A1643" s="1097" t="str">
        <f>IF(B1643&lt;&gt;"",IF(AND(B1643&gt;=_TM1,B1643&lt;=_TM2,OR(TH!L1643="1111",TH!M1643="1111")),TH!D1643,""),"")</f>
        <v/>
      </c>
      <c r="B1643" s="700">
        <f t="shared" si="249"/>
        <v>11</v>
      </c>
      <c r="C1643" s="836">
        <f t="shared" si="246"/>
        <v>41583</v>
      </c>
      <c r="D1643" s="48"/>
      <c r="E1643" s="48">
        <v>41583</v>
      </c>
      <c r="F1643" s="49" t="s">
        <v>1003</v>
      </c>
      <c r="G1643" s="49" t="s">
        <v>1004</v>
      </c>
      <c r="H1643" s="840" t="s">
        <v>1292</v>
      </c>
      <c r="I1643" s="254"/>
      <c r="J1643" s="254"/>
      <c r="K1643" s="701">
        <f t="shared" si="248"/>
        <v>0</v>
      </c>
      <c r="L1643" s="52" t="s">
        <v>167</v>
      </c>
      <c r="M1643" s="1100" t="s">
        <v>165</v>
      </c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52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  <c r="AA1643" s="853"/>
    </row>
    <row r="1644" spans="1:27" s="810" customFormat="1" ht="15.75" customHeight="1">
      <c r="A1644" s="1097" t="str">
        <f>IF(B1644&lt;&gt;"",IF(AND(B1644&gt;=_TM1,B1644&lt;=_TM2,OR(TH!L1644="1111",TH!M1644="1111")),TH!D1644,""),"")</f>
        <v/>
      </c>
      <c r="B1644" s="700">
        <f t="shared" si="249"/>
        <v>11</v>
      </c>
      <c r="C1644" s="836">
        <f t="shared" si="246"/>
        <v>41584</v>
      </c>
      <c r="D1644" s="1098"/>
      <c r="E1644" s="836">
        <v>41584</v>
      </c>
      <c r="F1644" s="1099" t="s">
        <v>861</v>
      </c>
      <c r="G1644" s="837" t="s">
        <v>1005</v>
      </c>
      <c r="H1644" s="840" t="s">
        <v>1292</v>
      </c>
      <c r="I1644" s="254"/>
      <c r="J1644" s="254"/>
      <c r="K1644" s="701">
        <f t="shared" si="248"/>
        <v>0</v>
      </c>
      <c r="L1644" s="52" t="s">
        <v>167</v>
      </c>
      <c r="M1644" s="1100" t="s">
        <v>165</v>
      </c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52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  <c r="AA1644" s="853"/>
    </row>
    <row r="1645" spans="1:27" s="810" customFormat="1" ht="15.75" customHeight="1">
      <c r="A1645" s="1097" t="str">
        <f>IF(B1645&lt;&gt;"",IF(AND(B1645&gt;=_TM1,B1645&lt;=_TM2,OR(TH!L1645="1111",TH!M1645="1111")),TH!D1645,""),"")</f>
        <v/>
      </c>
      <c r="B1645" s="700">
        <f t="shared" si="249"/>
        <v>11</v>
      </c>
      <c r="C1645" s="836">
        <f t="shared" si="246"/>
        <v>41586</v>
      </c>
      <c r="D1645" s="1098"/>
      <c r="E1645" s="836">
        <v>41586</v>
      </c>
      <c r="F1645" s="1099" t="s">
        <v>1135</v>
      </c>
      <c r="G1645" s="837" t="s">
        <v>649</v>
      </c>
      <c r="H1645" s="840" t="s">
        <v>1292</v>
      </c>
      <c r="I1645" s="254"/>
      <c r="J1645" s="254"/>
      <c r="K1645" s="701">
        <f t="shared" si="248"/>
        <v>0</v>
      </c>
      <c r="L1645" s="52" t="s">
        <v>167</v>
      </c>
      <c r="M1645" s="1100" t="s">
        <v>165</v>
      </c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52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  <c r="AA1645" s="853"/>
    </row>
    <row r="1646" spans="1:27" s="810" customFormat="1" ht="15.75" customHeight="1">
      <c r="A1646" s="1097" t="str">
        <f>IF(B1646&lt;&gt;"",IF(AND(B1646&gt;=_TM1,B1646&lt;=_TM2,OR(TH!L1646="1111",TH!M1646="1111")),TH!D1646,""),"")</f>
        <v/>
      </c>
      <c r="B1646" s="700">
        <f t="shared" si="249"/>
        <v>11</v>
      </c>
      <c r="C1646" s="836">
        <f t="shared" si="246"/>
        <v>41586</v>
      </c>
      <c r="D1646" s="1098"/>
      <c r="E1646" s="836">
        <v>41586</v>
      </c>
      <c r="F1646" s="1099" t="s">
        <v>1136</v>
      </c>
      <c r="G1646" s="1126" t="s">
        <v>649</v>
      </c>
      <c r="H1646" s="840" t="s">
        <v>1292</v>
      </c>
      <c r="I1646" s="1121"/>
      <c r="J1646" s="254"/>
      <c r="K1646" s="701">
        <f t="shared" si="248"/>
        <v>0</v>
      </c>
      <c r="L1646" s="52" t="s">
        <v>167</v>
      </c>
      <c r="M1646" s="1100" t="s">
        <v>165</v>
      </c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52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  <c r="AA1646" s="853"/>
    </row>
    <row r="1647" spans="1:27" s="810" customFormat="1" ht="15.75" customHeight="1">
      <c r="A1647" s="1097" t="str">
        <f>IF(B1647&lt;&gt;"",IF(AND(B1647&gt;=_TM1,B1647&lt;=_TM2,OR(TH!L1647="1111",TH!M1647="1111")),TH!D1647,""),"")</f>
        <v/>
      </c>
      <c r="B1647" s="700">
        <f t="shared" si="249"/>
        <v>11</v>
      </c>
      <c r="C1647" s="836">
        <f t="shared" si="246"/>
        <v>41586</v>
      </c>
      <c r="D1647" s="1098"/>
      <c r="E1647" s="836">
        <v>41586</v>
      </c>
      <c r="F1647" s="1099" t="s">
        <v>1006</v>
      </c>
      <c r="G1647" s="1126" t="s">
        <v>1007</v>
      </c>
      <c r="H1647" s="840" t="s">
        <v>1292</v>
      </c>
      <c r="I1647" s="1121"/>
      <c r="J1647" s="254"/>
      <c r="K1647" s="701">
        <f t="shared" si="248"/>
        <v>0</v>
      </c>
      <c r="L1647" s="52" t="s">
        <v>167</v>
      </c>
      <c r="M1647" s="1100" t="s">
        <v>165</v>
      </c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52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  <c r="AA1647" s="853"/>
    </row>
    <row r="1648" spans="1:27" s="810" customFormat="1" ht="15.75" customHeight="1">
      <c r="A1648" s="1097" t="str">
        <f>IF(B1648&lt;&gt;"",IF(AND(B1648&gt;=_TM1,B1648&lt;=_TM2,OR(TH!L1648="1111",TH!M1648="1111")),TH!D1648,""),"")</f>
        <v/>
      </c>
      <c r="B1648" s="700">
        <f t="shared" si="249"/>
        <v>11</v>
      </c>
      <c r="C1648" s="836">
        <f t="shared" si="246"/>
        <v>41586</v>
      </c>
      <c r="D1648" s="48"/>
      <c r="E1648" s="854">
        <v>41586</v>
      </c>
      <c r="F1648" s="1122" t="s">
        <v>1009</v>
      </c>
      <c r="G1648" s="49" t="s">
        <v>1007</v>
      </c>
      <c r="H1648" s="840" t="s">
        <v>1292</v>
      </c>
      <c r="I1648" s="254"/>
      <c r="J1648" s="254"/>
      <c r="K1648" s="701">
        <f t="shared" si="248"/>
        <v>0</v>
      </c>
      <c r="L1648" s="52" t="s">
        <v>167</v>
      </c>
      <c r="M1648" s="1100" t="s">
        <v>165</v>
      </c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52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  <c r="AA1648" s="853"/>
    </row>
    <row r="1649" spans="1:27" s="810" customFormat="1" ht="15.75" customHeight="1">
      <c r="A1649" s="1097" t="str">
        <f>IF(B1649&lt;&gt;"",IF(AND(B1649&gt;=_TM1,B1649&lt;=_TM2,OR(TH!L1649="1111",TH!M1649="1111")),TH!D1649,""),"")</f>
        <v/>
      </c>
      <c r="B1649" s="700">
        <f t="shared" si="249"/>
        <v>11</v>
      </c>
      <c r="C1649" s="836">
        <f t="shared" si="246"/>
        <v>41586</v>
      </c>
      <c r="D1649" s="48"/>
      <c r="E1649" s="854">
        <v>41586</v>
      </c>
      <c r="F1649" s="49" t="s">
        <v>1010</v>
      </c>
      <c r="G1649" s="49" t="s">
        <v>1007</v>
      </c>
      <c r="H1649" s="840" t="s">
        <v>1292</v>
      </c>
      <c r="I1649" s="254"/>
      <c r="J1649" s="254"/>
      <c r="K1649" s="701">
        <f t="shared" si="248"/>
        <v>0</v>
      </c>
      <c r="L1649" s="52" t="s">
        <v>167</v>
      </c>
      <c r="M1649" s="1100" t="s">
        <v>165</v>
      </c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52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  <c r="AA1649" s="853"/>
    </row>
    <row r="1650" spans="1:27" s="810" customFormat="1" ht="15.75" customHeight="1">
      <c r="A1650" s="1097" t="str">
        <f>IF(B1650&lt;&gt;"",IF(AND(B1650&gt;=_TM1,B1650&lt;=_TM2,OR(TH!L1650="1111",TH!M1650="1111")),TH!D1650,""),"")</f>
        <v/>
      </c>
      <c r="B1650" s="700">
        <f t="shared" si="249"/>
        <v>11</v>
      </c>
      <c r="C1650" s="836">
        <f t="shared" si="246"/>
        <v>41591</v>
      </c>
      <c r="D1650" s="48"/>
      <c r="E1650" s="854">
        <v>41591</v>
      </c>
      <c r="F1650" s="1122" t="s">
        <v>838</v>
      </c>
      <c r="G1650" s="49" t="s">
        <v>1011</v>
      </c>
      <c r="H1650" s="840" t="s">
        <v>1292</v>
      </c>
      <c r="I1650" s="254"/>
      <c r="J1650" s="254"/>
      <c r="K1650" s="701">
        <f t="shared" si="248"/>
        <v>0</v>
      </c>
      <c r="L1650" s="52" t="s">
        <v>167</v>
      </c>
      <c r="M1650" s="1100" t="s">
        <v>165</v>
      </c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52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  <c r="AA1650" s="853"/>
    </row>
    <row r="1651" spans="1:27" s="810" customFormat="1" ht="15.75" customHeight="1">
      <c r="A1651" s="1097" t="str">
        <f>IF(B1651&lt;&gt;"",IF(AND(B1651&gt;=_TM1,B1651&lt;=_TM2,OR(TH!L1651="1111",TH!M1651="1111")),TH!D1651,""),"")</f>
        <v/>
      </c>
      <c r="B1651" s="700">
        <f t="shared" si="249"/>
        <v>11</v>
      </c>
      <c r="C1651" s="836">
        <f t="shared" si="246"/>
        <v>41592</v>
      </c>
      <c r="D1651" s="48"/>
      <c r="E1651" s="854">
        <v>41592</v>
      </c>
      <c r="F1651" s="839" t="s">
        <v>1129</v>
      </c>
      <c r="G1651" s="49" t="s">
        <v>1012</v>
      </c>
      <c r="H1651" s="840" t="s">
        <v>1292</v>
      </c>
      <c r="I1651" s="254"/>
      <c r="J1651" s="254"/>
      <c r="K1651" s="701">
        <f t="shared" si="248"/>
        <v>0</v>
      </c>
      <c r="L1651" s="52" t="s">
        <v>167</v>
      </c>
      <c r="M1651" s="1100" t="s">
        <v>165</v>
      </c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52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  <c r="AA1651" s="853"/>
    </row>
    <row r="1652" spans="1:27" s="810" customFormat="1" ht="15.75" customHeight="1">
      <c r="A1652" s="1097" t="str">
        <f>IF(B1652&lt;&gt;"",IF(AND(B1652&gt;=_TM1,B1652&lt;=_TM2,OR(TH!L1652="1111",TH!M1652="1111")),TH!D1652,""),"")</f>
        <v/>
      </c>
      <c r="B1652" s="700">
        <f t="shared" si="249"/>
        <v>11</v>
      </c>
      <c r="C1652" s="836">
        <f t="shared" si="246"/>
        <v>41592</v>
      </c>
      <c r="D1652" s="48"/>
      <c r="E1652" s="854">
        <v>41592</v>
      </c>
      <c r="F1652" s="839" t="s">
        <v>838</v>
      </c>
      <c r="G1652" s="49" t="s">
        <v>1013</v>
      </c>
      <c r="H1652" s="840" t="s">
        <v>1292</v>
      </c>
      <c r="I1652" s="254"/>
      <c r="J1652" s="254"/>
      <c r="K1652" s="701">
        <f t="shared" si="248"/>
        <v>0</v>
      </c>
      <c r="L1652" s="52" t="s">
        <v>167</v>
      </c>
      <c r="M1652" s="1100" t="s">
        <v>165</v>
      </c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52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  <c r="AA1652" s="853"/>
    </row>
    <row r="1653" spans="1:27" s="810" customFormat="1" ht="15.75" customHeight="1">
      <c r="A1653" s="1097" t="str">
        <f>IF(B1653&lt;&gt;"",IF(AND(B1653&gt;=_TM1,B1653&lt;=_TM2,OR(TH!L1653="1111",TH!M1653="1111")),TH!D1653,""),"")</f>
        <v/>
      </c>
      <c r="B1653" s="700">
        <f t="shared" si="249"/>
        <v>11</v>
      </c>
      <c r="C1653" s="836">
        <f t="shared" si="246"/>
        <v>41592</v>
      </c>
      <c r="D1653" s="48"/>
      <c r="E1653" s="854">
        <v>41592</v>
      </c>
      <c r="F1653" s="1122" t="s">
        <v>1150</v>
      </c>
      <c r="G1653" s="49" t="s">
        <v>1014</v>
      </c>
      <c r="H1653" s="840" t="s">
        <v>1292</v>
      </c>
      <c r="I1653" s="1125"/>
      <c r="J1653" s="254"/>
      <c r="K1653" s="701">
        <f t="shared" si="248"/>
        <v>0</v>
      </c>
      <c r="L1653" s="52" t="s">
        <v>167</v>
      </c>
      <c r="M1653" s="1100" t="s">
        <v>165</v>
      </c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52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  <c r="AA1653" s="853"/>
    </row>
    <row r="1654" spans="1:27" s="810" customFormat="1" ht="15.75" customHeight="1">
      <c r="A1654" s="1097" t="str">
        <f>IF(B1654&lt;&gt;"",IF(AND(B1654&gt;=_TM1,B1654&lt;=_TM2,OR(TH!L1654="1111",TH!M1654="1111")),TH!D1654,""),"")</f>
        <v/>
      </c>
      <c r="B1654" s="700">
        <f t="shared" si="249"/>
        <v>11</v>
      </c>
      <c r="C1654" s="836">
        <f t="shared" si="246"/>
        <v>41593</v>
      </c>
      <c r="D1654" s="48"/>
      <c r="E1654" s="854">
        <v>41593</v>
      </c>
      <c r="F1654" s="1122" t="s">
        <v>1162</v>
      </c>
      <c r="G1654" s="49" t="s">
        <v>1015</v>
      </c>
      <c r="H1654" s="840" t="s">
        <v>1292</v>
      </c>
      <c r="I1654" s="254"/>
      <c r="J1654" s="254"/>
      <c r="K1654" s="701">
        <f t="shared" si="248"/>
        <v>0</v>
      </c>
      <c r="L1654" s="52" t="s">
        <v>167</v>
      </c>
      <c r="M1654" s="1100" t="s">
        <v>165</v>
      </c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52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  <c r="AA1654" s="853"/>
    </row>
    <row r="1655" spans="1:27" s="810" customFormat="1" ht="15.75" customHeight="1">
      <c r="A1655" s="1097" t="str">
        <f>IF(B1655&lt;&gt;"",IF(AND(B1655&gt;=_TM1,B1655&lt;=_TM2,OR(TH!L1655="1111",TH!M1655="1111")),TH!D1655,""),"")</f>
        <v/>
      </c>
      <c r="B1655" s="700">
        <f t="shared" si="249"/>
        <v>11</v>
      </c>
      <c r="C1655" s="836">
        <f t="shared" si="246"/>
        <v>41594</v>
      </c>
      <c r="D1655" s="48"/>
      <c r="E1655" s="854">
        <v>41594</v>
      </c>
      <c r="F1655" s="1122" t="s">
        <v>838</v>
      </c>
      <c r="G1655" s="49" t="s">
        <v>1016</v>
      </c>
      <c r="H1655" s="840" t="s">
        <v>1292</v>
      </c>
      <c r="I1655" s="1125"/>
      <c r="J1655" s="254"/>
      <c r="K1655" s="701">
        <f t="shared" si="248"/>
        <v>0</v>
      </c>
      <c r="L1655" s="52" t="s">
        <v>167</v>
      </c>
      <c r="M1655" s="1100" t="s">
        <v>165</v>
      </c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52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  <c r="AA1655" s="853"/>
    </row>
    <row r="1656" spans="1:27" s="810" customFormat="1" ht="15.75" customHeight="1">
      <c r="A1656" s="1097" t="str">
        <f>IF(B1656&lt;&gt;"",IF(AND(B1656&gt;=_TM1,B1656&lt;=_TM2,OR(TH!L1656="1111",TH!M1656="1111")),TH!D1656,""),"")</f>
        <v/>
      </c>
      <c r="B1656" s="700">
        <f t="shared" si="249"/>
        <v>11</v>
      </c>
      <c r="C1656" s="836">
        <f t="shared" si="246"/>
        <v>41596</v>
      </c>
      <c r="D1656" s="1098"/>
      <c r="E1656" s="836">
        <v>41596</v>
      </c>
      <c r="F1656" s="1099" t="s">
        <v>876</v>
      </c>
      <c r="G1656" s="837" t="s">
        <v>1017</v>
      </c>
      <c r="H1656" s="840" t="s">
        <v>1292</v>
      </c>
      <c r="I1656" s="1121"/>
      <c r="J1656" s="1121"/>
      <c r="K1656" s="701">
        <f t="shared" si="248"/>
        <v>0</v>
      </c>
      <c r="L1656" s="52" t="s">
        <v>167</v>
      </c>
      <c r="M1656" s="1100" t="s">
        <v>165</v>
      </c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52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  <c r="AA1656" s="853"/>
    </row>
    <row r="1657" spans="1:27" s="810" customFormat="1" ht="15.75" customHeight="1">
      <c r="A1657" s="1097" t="str">
        <f>IF(B1657&lt;&gt;"",IF(AND(B1657&gt;=_TM1,B1657&lt;=_TM2,OR(TH!L1657="1111",TH!M1657="1111")),TH!D1657,""),"")</f>
        <v/>
      </c>
      <c r="B1657" s="700">
        <f t="shared" si="249"/>
        <v>11</v>
      </c>
      <c r="C1657" s="836">
        <f t="shared" si="246"/>
        <v>41597</v>
      </c>
      <c r="D1657" s="1098"/>
      <c r="E1657" s="836">
        <v>41597</v>
      </c>
      <c r="F1657" s="1099" t="s">
        <v>1018</v>
      </c>
      <c r="G1657" s="837" t="s">
        <v>1019</v>
      </c>
      <c r="H1657" s="840" t="s">
        <v>1292</v>
      </c>
      <c r="I1657" s="254"/>
      <c r="J1657" s="254"/>
      <c r="K1657" s="701">
        <f t="shared" si="248"/>
        <v>0</v>
      </c>
      <c r="L1657" s="52" t="s">
        <v>167</v>
      </c>
      <c r="M1657" s="1100" t="s">
        <v>165</v>
      </c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52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  <c r="AA1657" s="853"/>
    </row>
    <row r="1658" spans="1:27" s="810" customFormat="1" ht="15.75" customHeight="1">
      <c r="A1658" s="1097" t="str">
        <f>IF(B1658&lt;&gt;"",IF(AND(B1658&gt;=_TM1,B1658&lt;=_TM2,OR(TH!L1658="1111",TH!M1658="1111")),TH!D1658,""),"")</f>
        <v/>
      </c>
      <c r="B1658" s="700">
        <f t="shared" si="249"/>
        <v>11</v>
      </c>
      <c r="C1658" s="836">
        <f t="shared" si="246"/>
        <v>41597</v>
      </c>
      <c r="D1658" s="1098"/>
      <c r="E1658" s="836">
        <v>41597</v>
      </c>
      <c r="F1658" s="1122" t="s">
        <v>880</v>
      </c>
      <c r="G1658" s="837" t="s">
        <v>1019</v>
      </c>
      <c r="H1658" s="840" t="s">
        <v>1292</v>
      </c>
      <c r="I1658" s="254"/>
      <c r="J1658" s="254"/>
      <c r="K1658" s="701">
        <f t="shared" si="248"/>
        <v>0</v>
      </c>
      <c r="L1658" s="52" t="s">
        <v>167</v>
      </c>
      <c r="M1658" s="1100" t="s">
        <v>165</v>
      </c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52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  <c r="AA1658" s="853"/>
    </row>
    <row r="1659" spans="1:27" s="810" customFormat="1" ht="15.75" customHeight="1">
      <c r="A1659" s="1097" t="str">
        <f>IF(B1659&lt;&gt;"",IF(AND(B1659&gt;=_TM1,B1659&lt;=_TM2,OR(TH!L1659="1111",TH!M1659="1111")),TH!D1659,""),"")</f>
        <v/>
      </c>
      <c r="B1659" s="700">
        <f t="shared" si="249"/>
        <v>11</v>
      </c>
      <c r="C1659" s="836">
        <f t="shared" si="246"/>
        <v>41597</v>
      </c>
      <c r="D1659" s="1098"/>
      <c r="E1659" s="836">
        <v>41597</v>
      </c>
      <c r="F1659" s="1122" t="s">
        <v>1020</v>
      </c>
      <c r="G1659" s="837" t="s">
        <v>1019</v>
      </c>
      <c r="H1659" s="840" t="s">
        <v>1292</v>
      </c>
      <c r="I1659" s="254"/>
      <c r="J1659" s="254"/>
      <c r="K1659" s="701">
        <f t="shared" si="248"/>
        <v>0</v>
      </c>
      <c r="L1659" s="52" t="s">
        <v>167</v>
      </c>
      <c r="M1659" s="1100" t="s">
        <v>165</v>
      </c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52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  <c r="AA1659" s="853"/>
    </row>
    <row r="1660" spans="1:27" s="810" customFormat="1" ht="15.75" customHeight="1">
      <c r="A1660" s="1097" t="str">
        <f>IF(B1660&lt;&gt;"",IF(AND(B1660&gt;=_TM1,B1660&lt;=_TM2,OR(TH!L1660="1111",TH!M1660="1111")),TH!D1660,""),"")</f>
        <v/>
      </c>
      <c r="B1660" s="700">
        <f t="shared" si="249"/>
        <v>11</v>
      </c>
      <c r="C1660" s="836">
        <f t="shared" si="246"/>
        <v>41597</v>
      </c>
      <c r="D1660" s="836"/>
      <c r="E1660" s="836">
        <v>41597</v>
      </c>
      <c r="F1660" s="1099" t="s">
        <v>881</v>
      </c>
      <c r="G1660" s="837" t="s">
        <v>1019</v>
      </c>
      <c r="H1660" s="840" t="s">
        <v>1292</v>
      </c>
      <c r="I1660" s="254"/>
      <c r="J1660" s="254"/>
      <c r="K1660" s="701">
        <f t="shared" si="248"/>
        <v>0</v>
      </c>
      <c r="L1660" s="52" t="s">
        <v>167</v>
      </c>
      <c r="M1660" s="1100" t="s">
        <v>165</v>
      </c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52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  <c r="AA1660" s="853"/>
    </row>
    <row r="1661" spans="1:27" s="810" customFormat="1" ht="15.75" customHeight="1">
      <c r="A1661" s="1097" t="str">
        <f>IF(B1661&lt;&gt;"",IF(AND(B1661&gt;=_TM1,B1661&lt;=_TM2,OR(TH!L1661="1111",TH!M1661="1111")),TH!D1661,""),"")</f>
        <v/>
      </c>
      <c r="B1661" s="700">
        <f t="shared" si="249"/>
        <v>11</v>
      </c>
      <c r="C1661" s="836">
        <f t="shared" si="246"/>
        <v>41598</v>
      </c>
      <c r="D1661" s="836"/>
      <c r="E1661" s="836">
        <v>41598</v>
      </c>
      <c r="F1661" s="1099" t="s">
        <v>882</v>
      </c>
      <c r="G1661" s="837" t="s">
        <v>1021</v>
      </c>
      <c r="H1661" s="840" t="s">
        <v>1292</v>
      </c>
      <c r="I1661" s="254"/>
      <c r="J1661" s="254"/>
      <c r="K1661" s="701">
        <f t="shared" si="248"/>
        <v>0</v>
      </c>
      <c r="L1661" s="52" t="s">
        <v>167</v>
      </c>
      <c r="M1661" s="1100" t="s">
        <v>165</v>
      </c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52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/>
      </c>
      <c r="AA1661" s="853"/>
    </row>
    <row r="1662" spans="1:27" s="810" customFormat="1" ht="15.75" customHeight="1">
      <c r="A1662" s="1097" t="str">
        <f>IF(B1662&lt;&gt;"",IF(AND(B1662&gt;=_TM1,B1662&lt;=_TM2,OR(TH!L1662="1111",TH!M1662="1111")),TH!D1662,""),"")</f>
        <v/>
      </c>
      <c r="B1662" s="700">
        <f t="shared" si="249"/>
        <v>11</v>
      </c>
      <c r="C1662" s="836">
        <f t="shared" si="246"/>
        <v>41598</v>
      </c>
      <c r="D1662" s="836"/>
      <c r="E1662" s="836">
        <v>41598</v>
      </c>
      <c r="F1662" s="1099" t="s">
        <v>1022</v>
      </c>
      <c r="G1662" s="837" t="s">
        <v>1021</v>
      </c>
      <c r="H1662" s="840" t="s">
        <v>1292</v>
      </c>
      <c r="I1662" s="254"/>
      <c r="J1662" s="254"/>
      <c r="K1662" s="701">
        <f t="shared" si="248"/>
        <v>0</v>
      </c>
      <c r="L1662" s="52" t="s">
        <v>167</v>
      </c>
      <c r="M1662" s="1100" t="s">
        <v>165</v>
      </c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52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/>
      </c>
      <c r="AA1662" s="853"/>
    </row>
    <row r="1663" spans="1:27" s="810" customFormat="1" ht="15.75" customHeight="1">
      <c r="A1663" s="1097" t="str">
        <f>IF(B1663&lt;&gt;"",IF(AND(B1663&gt;=_TM1,B1663&lt;=_TM2,OR(TH!L1663="1111",TH!M1663="1111")),TH!D1663,""),"")</f>
        <v/>
      </c>
      <c r="B1663" s="700">
        <f t="shared" si="249"/>
        <v>11</v>
      </c>
      <c r="C1663" s="836">
        <f t="shared" si="246"/>
        <v>41598</v>
      </c>
      <c r="D1663" s="48"/>
      <c r="E1663" s="854">
        <v>41598</v>
      </c>
      <c r="F1663" s="49" t="s">
        <v>1023</v>
      </c>
      <c r="G1663" s="49" t="s">
        <v>1021</v>
      </c>
      <c r="H1663" s="840" t="s">
        <v>1292</v>
      </c>
      <c r="I1663" s="254"/>
      <c r="J1663" s="254"/>
      <c r="K1663" s="701">
        <f t="shared" si="248"/>
        <v>0</v>
      </c>
      <c r="L1663" s="52" t="s">
        <v>167</v>
      </c>
      <c r="M1663" s="1100" t="s">
        <v>165</v>
      </c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52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/>
      </c>
      <c r="AA1663" s="853"/>
    </row>
    <row r="1664" spans="1:27" s="810" customFormat="1" ht="15.75" customHeight="1">
      <c r="A1664" s="1097" t="str">
        <f>IF(B1664&lt;&gt;"",IF(AND(B1664&gt;=_TM1,B1664&lt;=_TM2,OR(TH!L1664="1111",TH!M1664="1111")),TH!D1664,""),"")</f>
        <v/>
      </c>
      <c r="B1664" s="700">
        <f t="shared" si="249"/>
        <v>11</v>
      </c>
      <c r="C1664" s="836">
        <f t="shared" si="246"/>
        <v>41603</v>
      </c>
      <c r="D1664" s="48"/>
      <c r="E1664" s="854">
        <v>41603</v>
      </c>
      <c r="F1664" s="1122" t="s">
        <v>723</v>
      </c>
      <c r="G1664" s="49" t="s">
        <v>1024</v>
      </c>
      <c r="H1664" s="840" t="s">
        <v>1292</v>
      </c>
      <c r="I1664" s="254"/>
      <c r="J1664" s="254"/>
      <c r="K1664" s="701">
        <f t="shared" si="248"/>
        <v>0</v>
      </c>
      <c r="L1664" s="52" t="s">
        <v>167</v>
      </c>
      <c r="M1664" s="1100" t="s">
        <v>165</v>
      </c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52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/>
      </c>
      <c r="AA1664" s="853"/>
    </row>
    <row r="1665" spans="1:27" s="810" customFormat="1" ht="15.75" customHeight="1">
      <c r="A1665" s="1097" t="str">
        <f>IF(B1665&lt;&gt;"",IF(AND(B1665&gt;=_TM1,B1665&lt;=_TM2,OR(TH!L1665="1111",TH!M1665="1111")),TH!D1665,""),"")</f>
        <v/>
      </c>
      <c r="B1665" s="700">
        <f t="shared" si="249"/>
        <v>11</v>
      </c>
      <c r="C1665" s="836">
        <f t="shared" si="246"/>
        <v>41604</v>
      </c>
      <c r="D1665" s="48"/>
      <c r="E1665" s="854">
        <v>41604</v>
      </c>
      <c r="F1665" s="49" t="s">
        <v>838</v>
      </c>
      <c r="G1665" s="49" t="s">
        <v>654</v>
      </c>
      <c r="H1665" s="840" t="s">
        <v>1292</v>
      </c>
      <c r="I1665" s="254"/>
      <c r="J1665" s="254"/>
      <c r="K1665" s="701">
        <f t="shared" si="248"/>
        <v>0</v>
      </c>
      <c r="L1665" s="52" t="s">
        <v>167</v>
      </c>
      <c r="M1665" s="1100" t="s">
        <v>165</v>
      </c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52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/>
      </c>
      <c r="AA1665" s="853"/>
    </row>
    <row r="1666" spans="1:27" s="810" customFormat="1" ht="15.75" customHeight="1">
      <c r="A1666" s="1097" t="str">
        <f>IF(B1666&lt;&gt;"",IF(AND(B1666&gt;=_TM1,B1666&lt;=_TM2,OR(TH!L1666="1111",TH!M1666="1111")),TH!D1666,""),"")</f>
        <v/>
      </c>
      <c r="B1666" s="700">
        <f t="shared" si="249"/>
        <v>11</v>
      </c>
      <c r="C1666" s="836">
        <f t="shared" si="246"/>
        <v>41604</v>
      </c>
      <c r="D1666" s="48"/>
      <c r="E1666" s="854">
        <v>41604</v>
      </c>
      <c r="F1666" s="49" t="s">
        <v>838</v>
      </c>
      <c r="G1666" s="49" t="s">
        <v>654</v>
      </c>
      <c r="H1666" s="840" t="s">
        <v>1292</v>
      </c>
      <c r="I1666" s="254"/>
      <c r="J1666" s="254"/>
      <c r="K1666" s="701">
        <f t="shared" si="248"/>
        <v>0</v>
      </c>
      <c r="L1666" s="52" t="s">
        <v>167</v>
      </c>
      <c r="M1666" s="1100" t="s">
        <v>165</v>
      </c>
      <c r="N1666" s="52" t="str">
        <f>IF(AND('331-CT'!$E$7=TH!H1666,OR(L1666="331",M1666="331")),"331",IF(AND(OR(L1666="131",M1666="131"),H1666='131-CT'!$E$7),"131",""))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52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/>
      </c>
      <c r="AA1666" s="853"/>
    </row>
    <row r="1667" spans="1:27" s="810" customFormat="1" ht="15.75" customHeight="1">
      <c r="A1667" s="1097" t="str">
        <f>IF(B1667&lt;&gt;"",IF(AND(B1667&gt;=_TM1,B1667&lt;=_TM2,OR(TH!L1667="1111",TH!M1667="1111")),TH!D1667,""),"")</f>
        <v/>
      </c>
      <c r="B1667" s="700">
        <f t="shared" si="249"/>
        <v>11</v>
      </c>
      <c r="C1667" s="836">
        <f t="shared" si="246"/>
        <v>41604</v>
      </c>
      <c r="D1667" s="48"/>
      <c r="E1667" s="854">
        <v>41604</v>
      </c>
      <c r="F1667" s="1122" t="s">
        <v>838</v>
      </c>
      <c r="G1667" s="49" t="s">
        <v>654</v>
      </c>
      <c r="H1667" s="840" t="s">
        <v>1292</v>
      </c>
      <c r="I1667" s="254"/>
      <c r="J1667" s="254"/>
      <c r="K1667" s="701">
        <f t="shared" si="248"/>
        <v>0</v>
      </c>
      <c r="L1667" s="52" t="s">
        <v>167</v>
      </c>
      <c r="M1667" s="1100" t="s">
        <v>165</v>
      </c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52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/>
      </c>
      <c r="AA1667" s="853"/>
    </row>
    <row r="1668" spans="1:27" s="810" customFormat="1" ht="15.75" customHeight="1">
      <c r="A1668" s="1097" t="str">
        <f>IF(B1668&lt;&gt;"",IF(AND(B1668&gt;=_TM1,B1668&lt;=_TM2,OR(TH!L1668="1111",TH!M1668="1111")),TH!D1668,""),"")</f>
        <v/>
      </c>
      <c r="B1668" s="700">
        <f t="shared" si="249"/>
        <v>11</v>
      </c>
      <c r="C1668" s="836">
        <f t="shared" si="246"/>
        <v>41606</v>
      </c>
      <c r="D1668" s="48"/>
      <c r="E1668" s="854">
        <v>41606</v>
      </c>
      <c r="F1668" s="49" t="s">
        <v>838</v>
      </c>
      <c r="G1668" s="49" t="s">
        <v>1026</v>
      </c>
      <c r="H1668" s="840" t="s">
        <v>1292</v>
      </c>
      <c r="I1668" s="254"/>
      <c r="J1668" s="254"/>
      <c r="K1668" s="701">
        <f t="shared" si="248"/>
        <v>0</v>
      </c>
      <c r="L1668" s="52" t="s">
        <v>167</v>
      </c>
      <c r="M1668" s="1100" t="s">
        <v>165</v>
      </c>
      <c r="N1668" s="52" t="str">
        <f>IF(AND('331-CT'!$E$7=TH!H1668,OR(L1668="331",M1668="331")),"331",IF(AND(OR(L1668="131",M1668="131"),H1668='131-CT'!$E$7),"131",""))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52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/>
      </c>
      <c r="AA1668" s="853"/>
    </row>
    <row r="1669" spans="1:27" s="810" customFormat="1" ht="15.75" customHeight="1">
      <c r="A1669" s="1097" t="str">
        <f>IF(B1669&lt;&gt;"",IF(AND(B1669&gt;=_TM1,B1669&lt;=_TM2,OR(TH!L1669="1111",TH!M1669="1111")),TH!D1669,""),"")</f>
        <v/>
      </c>
      <c r="B1669" s="700">
        <f t="shared" si="249"/>
        <v>11</v>
      </c>
      <c r="C1669" s="836">
        <f t="shared" si="246"/>
        <v>41606</v>
      </c>
      <c r="D1669" s="48"/>
      <c r="E1669" s="854">
        <v>41606</v>
      </c>
      <c r="F1669" s="1122" t="s">
        <v>741</v>
      </c>
      <c r="G1669" s="49" t="s">
        <v>1026</v>
      </c>
      <c r="H1669" s="840" t="s">
        <v>1292</v>
      </c>
      <c r="I1669" s="254"/>
      <c r="J1669" s="254"/>
      <c r="K1669" s="701">
        <f t="shared" si="248"/>
        <v>0</v>
      </c>
      <c r="L1669" s="52" t="s">
        <v>167</v>
      </c>
      <c r="M1669" s="1100" t="s">
        <v>165</v>
      </c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52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/>
      </c>
      <c r="AA1669" s="853"/>
    </row>
    <row r="1670" spans="1:27" s="810" customFormat="1" ht="15.75" customHeight="1">
      <c r="A1670" s="1097" t="str">
        <f>IF(B1670&lt;&gt;"",IF(AND(B1670&gt;=_TM1,B1670&lt;=_TM2,OR(TH!L1670="1111",TH!M1670="1111")),TH!D1670,""),"")</f>
        <v/>
      </c>
      <c r="B1670" s="700">
        <f t="shared" si="249"/>
        <v>11</v>
      </c>
      <c r="C1670" s="836">
        <f t="shared" si="246"/>
        <v>41606</v>
      </c>
      <c r="D1670" s="48"/>
      <c r="E1670" s="48">
        <v>41606</v>
      </c>
      <c r="F1670" s="49" t="s">
        <v>847</v>
      </c>
      <c r="G1670" s="49" t="s">
        <v>660</v>
      </c>
      <c r="H1670" s="840" t="s">
        <v>1292</v>
      </c>
      <c r="I1670" s="254"/>
      <c r="J1670" s="254"/>
      <c r="K1670" s="701">
        <f t="shared" si="248"/>
        <v>0</v>
      </c>
      <c r="L1670" s="52" t="s">
        <v>167</v>
      </c>
      <c r="M1670" s="1100" t="s">
        <v>165</v>
      </c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52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/>
      </c>
      <c r="AA1670" s="853"/>
    </row>
    <row r="1671" spans="1:27" s="810" customFormat="1" ht="15.75" customHeight="1">
      <c r="A1671" s="1097" t="str">
        <f>IF(B1671&lt;&gt;"",IF(AND(B1671&gt;=_TM1,B1671&lt;=_TM2,OR(TH!L1671="1111",TH!M1671="1111")),TH!D1671,""),"")</f>
        <v/>
      </c>
      <c r="B1671" s="700">
        <f t="shared" si="249"/>
        <v>11</v>
      </c>
      <c r="C1671" s="836">
        <f t="shared" ref="C1671:C1734" si="250">E1671</f>
        <v>41608</v>
      </c>
      <c r="D1671" s="48"/>
      <c r="E1671" s="48">
        <v>41608</v>
      </c>
      <c r="F1671" s="49" t="s">
        <v>1010</v>
      </c>
      <c r="G1671" s="49" t="s">
        <v>1027</v>
      </c>
      <c r="H1671" s="840" t="s">
        <v>1292</v>
      </c>
      <c r="I1671" s="254"/>
      <c r="J1671" s="254"/>
      <c r="K1671" s="701">
        <f t="shared" si="248"/>
        <v>0</v>
      </c>
      <c r="L1671" s="52" t="s">
        <v>167</v>
      </c>
      <c r="M1671" s="1100" t="s">
        <v>165</v>
      </c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52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/>
      </c>
      <c r="AA1671" s="853"/>
    </row>
    <row r="1672" spans="1:27" s="810" customFormat="1" ht="15.75" customHeight="1">
      <c r="A1672" s="1097" t="str">
        <f>IF(B1672&lt;&gt;"",IF(AND(B1672&gt;=_TM1,B1672&lt;=_TM2,OR(TH!L1672="1111",TH!M1672="1111")),TH!D1672,""),"")</f>
        <v/>
      </c>
      <c r="B1672" s="700">
        <f t="shared" si="249"/>
        <v>11</v>
      </c>
      <c r="C1672" s="836">
        <f t="shared" si="250"/>
        <v>41608</v>
      </c>
      <c r="D1672" s="1098"/>
      <c r="E1672" s="1098">
        <v>41608</v>
      </c>
      <c r="F1672" s="1122" t="s">
        <v>1009</v>
      </c>
      <c r="G1672" s="1123" t="s">
        <v>1027</v>
      </c>
      <c r="H1672" s="840" t="s">
        <v>1292</v>
      </c>
      <c r="I1672" s="254"/>
      <c r="J1672" s="254"/>
      <c r="K1672" s="701">
        <f t="shared" si="248"/>
        <v>0</v>
      </c>
      <c r="L1672" s="52" t="s">
        <v>167</v>
      </c>
      <c r="M1672" s="1100" t="s">
        <v>165</v>
      </c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52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/>
      </c>
      <c r="AA1672" s="853"/>
    </row>
    <row r="1673" spans="1:27" s="810" customFormat="1" ht="15.75" customHeight="1">
      <c r="A1673" s="1097" t="str">
        <f>IF(B1673&lt;&gt;"",IF(AND(B1673&gt;=_TM1,B1673&lt;=_TM2,OR(TH!L1673="1111",TH!M1673="1111")),TH!D1673,""),"")</f>
        <v/>
      </c>
      <c r="B1673" s="700">
        <f t="shared" si="249"/>
        <v>11</v>
      </c>
      <c r="C1673" s="836">
        <f t="shared" si="250"/>
        <v>41608</v>
      </c>
      <c r="D1673" s="836"/>
      <c r="E1673" s="836">
        <v>41608</v>
      </c>
      <c r="F1673" s="1099" t="s">
        <v>1006</v>
      </c>
      <c r="G1673" s="837" t="s">
        <v>1027</v>
      </c>
      <c r="H1673" s="840" t="s">
        <v>1292</v>
      </c>
      <c r="I1673" s="254"/>
      <c r="J1673" s="254"/>
      <c r="K1673" s="701">
        <f t="shared" si="248"/>
        <v>0</v>
      </c>
      <c r="L1673" s="52" t="s">
        <v>167</v>
      </c>
      <c r="M1673" s="1100" t="s">
        <v>165</v>
      </c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52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/>
      </c>
      <c r="AA1673" s="853"/>
    </row>
    <row r="1674" spans="1:27" s="810" customFormat="1" ht="15.75" customHeight="1">
      <c r="A1674" s="1097" t="str">
        <f>IF(B1674&lt;&gt;"",IF(AND(B1674&gt;=_TM1,B1674&lt;=_TM2,OR(TH!L1674="1111",TH!M1674="1111")),TH!D1674,""),"")</f>
        <v/>
      </c>
      <c r="B1674" s="700">
        <f t="shared" si="249"/>
        <v>11</v>
      </c>
      <c r="C1674" s="836">
        <f t="shared" si="250"/>
        <v>41608</v>
      </c>
      <c r="D1674" s="836"/>
      <c r="E1674" s="836">
        <v>41608</v>
      </c>
      <c r="F1674" s="1099" t="s">
        <v>1028</v>
      </c>
      <c r="G1674" s="837" t="s">
        <v>1029</v>
      </c>
      <c r="H1674" s="840" t="s">
        <v>1292</v>
      </c>
      <c r="I1674" s="254"/>
      <c r="J1674" s="254"/>
      <c r="K1674" s="701">
        <f t="shared" si="248"/>
        <v>0</v>
      </c>
      <c r="L1674" s="52" t="s">
        <v>167</v>
      </c>
      <c r="M1674" s="1100" t="s">
        <v>165</v>
      </c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52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/>
      </c>
      <c r="AA1674" s="853"/>
    </row>
    <row r="1675" spans="1:27" s="810" customFormat="1" ht="15.75" customHeight="1">
      <c r="A1675" s="1097" t="str">
        <f>IF(B1675&lt;&gt;"",IF(AND(B1675&gt;=_TM1,B1675&lt;=_TM2,OR(TH!L1675="1111",TH!M1675="1111")),TH!D1675,""),"")</f>
        <v/>
      </c>
      <c r="B1675" s="700">
        <f t="shared" si="249"/>
        <v>12</v>
      </c>
      <c r="C1675" s="836">
        <f t="shared" si="250"/>
        <v>41612</v>
      </c>
      <c r="D1675" s="836"/>
      <c r="E1675" s="836">
        <v>41612</v>
      </c>
      <c r="F1675" s="1099" t="s">
        <v>838</v>
      </c>
      <c r="G1675" s="837" t="s">
        <v>1030</v>
      </c>
      <c r="H1675" s="840" t="s">
        <v>1292</v>
      </c>
      <c r="I1675" s="254"/>
      <c r="J1675" s="254"/>
      <c r="K1675" s="701">
        <f t="shared" si="248"/>
        <v>0</v>
      </c>
      <c r="L1675" s="52" t="s">
        <v>167</v>
      </c>
      <c r="M1675" s="1100" t="s">
        <v>165</v>
      </c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52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/>
      </c>
      <c r="AA1675" s="853"/>
    </row>
    <row r="1676" spans="1:27" s="810" customFormat="1" ht="15.75" customHeight="1">
      <c r="A1676" s="1097" t="str">
        <f>IF(B1676&lt;&gt;"",IF(AND(B1676&gt;=_TM1,B1676&lt;=_TM2,OR(TH!L1676="1111",TH!M1676="1111")),TH!D1676,""),"")</f>
        <v/>
      </c>
      <c r="B1676" s="700">
        <f t="shared" si="249"/>
        <v>12</v>
      </c>
      <c r="C1676" s="836">
        <f t="shared" si="250"/>
        <v>41612</v>
      </c>
      <c r="D1676" s="836"/>
      <c r="E1676" s="836">
        <v>41612</v>
      </c>
      <c r="F1676" s="1099" t="s">
        <v>838</v>
      </c>
      <c r="G1676" s="837" t="s">
        <v>1030</v>
      </c>
      <c r="H1676" s="840" t="s">
        <v>1292</v>
      </c>
      <c r="I1676" s="254"/>
      <c r="J1676" s="254"/>
      <c r="K1676" s="701">
        <f t="shared" si="248"/>
        <v>0</v>
      </c>
      <c r="L1676" s="52" t="s">
        <v>167</v>
      </c>
      <c r="M1676" s="1100" t="s">
        <v>165</v>
      </c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52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/>
      </c>
      <c r="AA1676" s="853"/>
    </row>
    <row r="1677" spans="1:27" s="810" customFormat="1" ht="15.75" customHeight="1">
      <c r="A1677" s="1097" t="str">
        <f>IF(B1677&lt;&gt;"",IF(AND(B1677&gt;=_TM1,B1677&lt;=_TM2,OR(TH!L1677="1111",TH!M1677="1111")),TH!D1677,""),"")</f>
        <v/>
      </c>
      <c r="B1677" s="700">
        <f t="shared" si="249"/>
        <v>12</v>
      </c>
      <c r="C1677" s="836">
        <f t="shared" si="250"/>
        <v>41613</v>
      </c>
      <c r="D1677" s="836"/>
      <c r="E1677" s="836">
        <v>41613</v>
      </c>
      <c r="F1677" s="1099" t="s">
        <v>885</v>
      </c>
      <c r="G1677" s="837" t="s">
        <v>1031</v>
      </c>
      <c r="H1677" s="840" t="s">
        <v>1292</v>
      </c>
      <c r="I1677" s="254"/>
      <c r="J1677" s="254"/>
      <c r="K1677" s="701">
        <f t="shared" si="248"/>
        <v>0</v>
      </c>
      <c r="L1677" s="52" t="s">
        <v>167</v>
      </c>
      <c r="M1677" s="1100" t="s">
        <v>165</v>
      </c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52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/>
      </c>
      <c r="AA1677" s="853"/>
    </row>
    <row r="1678" spans="1:27" s="810" customFormat="1" ht="15.75" customHeight="1">
      <c r="A1678" s="1097" t="str">
        <f>IF(B1678&lt;&gt;"",IF(AND(B1678&gt;=_TM1,B1678&lt;=_TM2,OR(TH!L1678="1111",TH!M1678="1111")),TH!D1678,""),"")</f>
        <v/>
      </c>
      <c r="B1678" s="700">
        <f t="shared" si="249"/>
        <v>12</v>
      </c>
      <c r="C1678" s="836">
        <f t="shared" si="250"/>
        <v>41613</v>
      </c>
      <c r="D1678" s="836"/>
      <c r="E1678" s="836">
        <v>41613</v>
      </c>
      <c r="F1678" s="1099" t="s">
        <v>843</v>
      </c>
      <c r="G1678" s="837" t="s">
        <v>1031</v>
      </c>
      <c r="H1678" s="840" t="s">
        <v>1292</v>
      </c>
      <c r="I1678" s="254"/>
      <c r="J1678" s="254"/>
      <c r="K1678" s="701">
        <f t="shared" si="248"/>
        <v>0</v>
      </c>
      <c r="L1678" s="52" t="s">
        <v>167</v>
      </c>
      <c r="M1678" s="1100" t="s">
        <v>165</v>
      </c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52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/>
      </c>
      <c r="AA1678" s="853"/>
    </row>
    <row r="1679" spans="1:27" s="810" customFormat="1" ht="15.75" customHeight="1">
      <c r="A1679" s="1097" t="str">
        <f>IF(B1679&lt;&gt;"",IF(AND(B1679&gt;=_TM1,B1679&lt;=_TM2,OR(TH!L1679="1111",TH!M1679="1111")),TH!D1679,""),"")</f>
        <v/>
      </c>
      <c r="B1679" s="700">
        <f t="shared" si="249"/>
        <v>12</v>
      </c>
      <c r="C1679" s="836">
        <f t="shared" si="250"/>
        <v>41615</v>
      </c>
      <c r="D1679" s="836"/>
      <c r="E1679" s="836">
        <v>41615</v>
      </c>
      <c r="F1679" s="1099" t="s">
        <v>1150</v>
      </c>
      <c r="G1679" s="837" t="s">
        <v>662</v>
      </c>
      <c r="H1679" s="840" t="s">
        <v>1292</v>
      </c>
      <c r="I1679" s="254"/>
      <c r="J1679" s="254"/>
      <c r="K1679" s="701">
        <f t="shared" si="248"/>
        <v>0</v>
      </c>
      <c r="L1679" s="52" t="s">
        <v>167</v>
      </c>
      <c r="M1679" s="1100" t="s">
        <v>165</v>
      </c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52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/>
      </c>
      <c r="AA1679" s="853"/>
    </row>
    <row r="1680" spans="1:27" s="810" customFormat="1" ht="15.75" customHeight="1">
      <c r="A1680" s="1097" t="str">
        <f>IF(B1680&lt;&gt;"",IF(AND(B1680&gt;=_TM1,B1680&lt;=_TM2,OR(TH!L1680="1111",TH!M1680="1111")),TH!D1680,""),"")</f>
        <v/>
      </c>
      <c r="B1680" s="700">
        <f t="shared" si="249"/>
        <v>12</v>
      </c>
      <c r="C1680" s="836">
        <f t="shared" si="250"/>
        <v>41620</v>
      </c>
      <c r="D1680" s="836"/>
      <c r="E1680" s="836">
        <v>41620</v>
      </c>
      <c r="F1680" s="1099" t="s">
        <v>1142</v>
      </c>
      <c r="G1680" s="837" t="s">
        <v>1032</v>
      </c>
      <c r="H1680" s="840" t="s">
        <v>1292</v>
      </c>
      <c r="I1680" s="254"/>
      <c r="J1680" s="254"/>
      <c r="K1680" s="701">
        <f t="shared" si="248"/>
        <v>0</v>
      </c>
      <c r="L1680" s="52" t="s">
        <v>167</v>
      </c>
      <c r="M1680" s="1100" t="s">
        <v>165</v>
      </c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52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/>
      </c>
      <c r="AA1680" s="853"/>
    </row>
    <row r="1681" spans="1:27" s="810" customFormat="1" ht="15.75" customHeight="1">
      <c r="A1681" s="1097" t="str">
        <f>IF(B1681&lt;&gt;"",IF(AND(B1681&gt;=_TM1,B1681&lt;=_TM2,OR(TH!L1681="1111",TH!M1681="1111")),TH!D1681,""),"")</f>
        <v/>
      </c>
      <c r="B1681" s="700">
        <f t="shared" si="249"/>
        <v>12</v>
      </c>
      <c r="C1681" s="836">
        <f t="shared" si="250"/>
        <v>41622</v>
      </c>
      <c r="D1681" s="836"/>
      <c r="E1681" s="836">
        <v>41622</v>
      </c>
      <c r="F1681" s="1099" t="s">
        <v>1152</v>
      </c>
      <c r="G1681" s="837" t="s">
        <v>1033</v>
      </c>
      <c r="H1681" s="840" t="s">
        <v>1292</v>
      </c>
      <c r="I1681" s="254"/>
      <c r="J1681" s="254"/>
      <c r="K1681" s="701">
        <f t="shared" si="248"/>
        <v>0</v>
      </c>
      <c r="L1681" s="52" t="s">
        <v>167</v>
      </c>
      <c r="M1681" s="1100" t="s">
        <v>165</v>
      </c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52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/>
      </c>
      <c r="AA1681" s="853"/>
    </row>
    <row r="1682" spans="1:27" s="810" customFormat="1" ht="15.75" customHeight="1">
      <c r="A1682" s="1097" t="str">
        <f>IF(B1682&lt;&gt;"",IF(AND(B1682&gt;=_TM1,B1682&lt;=_TM2,OR(TH!L1682="1111",TH!M1682="1111")),TH!D1682,""),"")</f>
        <v/>
      </c>
      <c r="B1682" s="700">
        <f t="shared" si="249"/>
        <v>12</v>
      </c>
      <c r="C1682" s="836">
        <f t="shared" si="250"/>
        <v>41624</v>
      </c>
      <c r="D1682" s="836"/>
      <c r="E1682" s="836">
        <v>41624</v>
      </c>
      <c r="F1682" s="1099" t="s">
        <v>838</v>
      </c>
      <c r="G1682" s="837" t="s">
        <v>1034</v>
      </c>
      <c r="H1682" s="840" t="s">
        <v>1292</v>
      </c>
      <c r="I1682" s="254"/>
      <c r="J1682" s="254"/>
      <c r="K1682" s="701">
        <f t="shared" si="248"/>
        <v>0</v>
      </c>
      <c r="L1682" s="52" t="s">
        <v>167</v>
      </c>
      <c r="M1682" s="1100" t="s">
        <v>165</v>
      </c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52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/>
      </c>
      <c r="AA1682" s="853"/>
    </row>
    <row r="1683" spans="1:27" s="810" customFormat="1" ht="15.75" customHeight="1">
      <c r="A1683" s="1097" t="str">
        <f>IF(B1683&lt;&gt;"",IF(AND(B1683&gt;=_TM1,B1683&lt;=_TM2,OR(TH!L1683="1111",TH!M1683="1111")),TH!D1683,""),"")</f>
        <v/>
      </c>
      <c r="B1683" s="700">
        <f t="shared" si="249"/>
        <v>12</v>
      </c>
      <c r="C1683" s="836">
        <f t="shared" si="250"/>
        <v>41625</v>
      </c>
      <c r="D1683" s="836"/>
      <c r="E1683" s="836">
        <v>41625</v>
      </c>
      <c r="F1683" s="1099" t="s">
        <v>1152</v>
      </c>
      <c r="G1683" s="837" t="s">
        <v>1035</v>
      </c>
      <c r="H1683" s="840" t="s">
        <v>1292</v>
      </c>
      <c r="I1683" s="254"/>
      <c r="J1683" s="254"/>
      <c r="K1683" s="701">
        <f t="shared" si="248"/>
        <v>0</v>
      </c>
      <c r="L1683" s="52" t="s">
        <v>167</v>
      </c>
      <c r="M1683" s="1100" t="s">
        <v>165</v>
      </c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52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  <c r="AA1683" s="853"/>
    </row>
    <row r="1684" spans="1:27" s="810" customFormat="1" ht="15.75" customHeight="1">
      <c r="A1684" s="1097" t="str">
        <f>IF(B1684&lt;&gt;"",IF(AND(B1684&gt;=_TM1,B1684&lt;=_TM2,OR(TH!L1684="1111",TH!M1684="1111")),TH!D1684,""),"")</f>
        <v/>
      </c>
      <c r="B1684" s="700">
        <f t="shared" si="249"/>
        <v>12</v>
      </c>
      <c r="C1684" s="836">
        <f t="shared" si="250"/>
        <v>41626</v>
      </c>
      <c r="D1684" s="836"/>
      <c r="E1684" s="836">
        <v>41626</v>
      </c>
      <c r="F1684" s="1099" t="s">
        <v>838</v>
      </c>
      <c r="G1684" s="837" t="s">
        <v>1036</v>
      </c>
      <c r="H1684" s="840" t="s">
        <v>1292</v>
      </c>
      <c r="I1684" s="254"/>
      <c r="J1684" s="254"/>
      <c r="K1684" s="701">
        <f t="shared" si="248"/>
        <v>0</v>
      </c>
      <c r="L1684" s="52" t="s">
        <v>167</v>
      </c>
      <c r="M1684" s="1100" t="s">
        <v>165</v>
      </c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52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  <c r="AA1684" s="853"/>
    </row>
    <row r="1685" spans="1:27" s="810" customFormat="1" ht="15.75" customHeight="1">
      <c r="A1685" s="1097" t="str">
        <f>IF(B1685&lt;&gt;"",IF(AND(B1685&gt;=_TM1,B1685&lt;=_TM2,OR(TH!L1685="1111",TH!M1685="1111")),TH!D1685,""),"")</f>
        <v/>
      </c>
      <c r="B1685" s="700">
        <f t="shared" si="249"/>
        <v>12</v>
      </c>
      <c r="C1685" s="836">
        <f t="shared" si="250"/>
        <v>41628</v>
      </c>
      <c r="D1685" s="48"/>
      <c r="E1685" s="48">
        <v>41628</v>
      </c>
      <c r="F1685" s="49" t="s">
        <v>1131</v>
      </c>
      <c r="G1685" s="49" t="s">
        <v>1037</v>
      </c>
      <c r="H1685" s="840" t="s">
        <v>1292</v>
      </c>
      <c r="I1685" s="254"/>
      <c r="J1685" s="254"/>
      <c r="K1685" s="701">
        <f t="shared" si="248"/>
        <v>0</v>
      </c>
      <c r="L1685" s="52" t="s">
        <v>167</v>
      </c>
      <c r="M1685" s="1100" t="s">
        <v>165</v>
      </c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52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  <c r="AA1685" s="853"/>
    </row>
    <row r="1686" spans="1:27" s="810" customFormat="1" ht="15.75" customHeight="1">
      <c r="A1686" s="1097" t="str">
        <f>IF(B1686&lt;&gt;"",IF(AND(B1686&gt;=_TM1,B1686&lt;=_TM2,OR(TH!L1686="1111",TH!M1686="1111")),TH!D1686,""),"")</f>
        <v/>
      </c>
      <c r="B1686" s="700">
        <f t="shared" si="249"/>
        <v>12</v>
      </c>
      <c r="C1686" s="836">
        <f t="shared" si="250"/>
        <v>41628</v>
      </c>
      <c r="D1686" s="48"/>
      <c r="E1686" s="48">
        <v>41628</v>
      </c>
      <c r="F1686" s="49" t="s">
        <v>1132</v>
      </c>
      <c r="G1686" s="49" t="s">
        <v>1037</v>
      </c>
      <c r="H1686" s="840" t="s">
        <v>1292</v>
      </c>
      <c r="I1686" s="254"/>
      <c r="J1686" s="254"/>
      <c r="K1686" s="701">
        <f t="shared" si="248"/>
        <v>0</v>
      </c>
      <c r="L1686" s="52" t="s">
        <v>167</v>
      </c>
      <c r="M1686" s="1100" t="s">
        <v>165</v>
      </c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52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  <c r="AA1686" s="853"/>
    </row>
    <row r="1687" spans="1:27" s="810" customFormat="1" ht="15.75" customHeight="1">
      <c r="A1687" s="1097" t="str">
        <f>IF(B1687&lt;&gt;"",IF(AND(B1687&gt;=_TM1,B1687&lt;=_TM2,OR(TH!L1687="1111",TH!M1687="1111")),TH!D1687,""),"")</f>
        <v/>
      </c>
      <c r="B1687" s="700">
        <f t="shared" si="249"/>
        <v>12</v>
      </c>
      <c r="C1687" s="836">
        <f t="shared" si="250"/>
        <v>41628</v>
      </c>
      <c r="D1687" s="48"/>
      <c r="E1687" s="48">
        <v>41628</v>
      </c>
      <c r="F1687" s="49" t="s">
        <v>1133</v>
      </c>
      <c r="G1687" s="49" t="s">
        <v>1037</v>
      </c>
      <c r="H1687" s="840" t="s">
        <v>1292</v>
      </c>
      <c r="I1687" s="254"/>
      <c r="J1687" s="254"/>
      <c r="K1687" s="701">
        <f t="shared" ref="K1687:K1700" si="251">ROUND(I1687*J1687,0)</f>
        <v>0</v>
      </c>
      <c r="L1687" s="52" t="s">
        <v>167</v>
      </c>
      <c r="M1687" s="1100" t="s">
        <v>165</v>
      </c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52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  <c r="AA1687" s="853"/>
    </row>
    <row r="1688" spans="1:27" s="810" customFormat="1" ht="15.75" customHeight="1">
      <c r="A1688" s="1097" t="str">
        <f>IF(B1688&lt;&gt;"",IF(AND(B1688&gt;=_TM1,B1688&lt;=_TM2,OR(TH!L1688="1111",TH!M1688="1111")),TH!D1688,""),"")</f>
        <v/>
      </c>
      <c r="B1688" s="700">
        <f t="shared" si="249"/>
        <v>12</v>
      </c>
      <c r="C1688" s="836">
        <f t="shared" si="250"/>
        <v>41628</v>
      </c>
      <c r="D1688" s="48"/>
      <c r="E1688" s="48">
        <v>41628</v>
      </c>
      <c r="F1688" s="49" t="s">
        <v>1134</v>
      </c>
      <c r="G1688" s="49" t="s">
        <v>1037</v>
      </c>
      <c r="H1688" s="840" t="s">
        <v>1292</v>
      </c>
      <c r="I1688" s="254"/>
      <c r="J1688" s="254"/>
      <c r="K1688" s="701">
        <f t="shared" si="251"/>
        <v>0</v>
      </c>
      <c r="L1688" s="52" t="s">
        <v>167</v>
      </c>
      <c r="M1688" s="1100" t="s">
        <v>165</v>
      </c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52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  <c r="AA1688" s="853"/>
    </row>
    <row r="1689" spans="1:27" s="810" customFormat="1" ht="15.75" customHeight="1">
      <c r="A1689" s="1097" t="str">
        <f>IF(B1689&lt;&gt;"",IF(AND(B1689&gt;=_TM1,B1689&lt;=_TM2,OR(TH!L1689="1111",TH!M1689="1111")),TH!D1689,""),"")</f>
        <v/>
      </c>
      <c r="B1689" s="700">
        <f t="shared" si="249"/>
        <v>12</v>
      </c>
      <c r="C1689" s="836">
        <f t="shared" si="250"/>
        <v>41628</v>
      </c>
      <c r="D1689" s="48"/>
      <c r="E1689" s="48">
        <v>41628</v>
      </c>
      <c r="F1689" s="49" t="s">
        <v>1135</v>
      </c>
      <c r="G1689" s="49" t="s">
        <v>1037</v>
      </c>
      <c r="H1689" s="840" t="s">
        <v>1292</v>
      </c>
      <c r="I1689" s="254"/>
      <c r="J1689" s="254"/>
      <c r="K1689" s="701">
        <f t="shared" si="251"/>
        <v>0</v>
      </c>
      <c r="L1689" s="52" t="s">
        <v>167</v>
      </c>
      <c r="M1689" s="1100" t="s">
        <v>165</v>
      </c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52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  <c r="AA1689" s="853"/>
    </row>
    <row r="1690" spans="1:27" s="810" customFormat="1" ht="15.75" customHeight="1">
      <c r="A1690" s="1097" t="str">
        <f>IF(B1690&lt;&gt;"",IF(AND(B1690&gt;=_TM1,B1690&lt;=_TM2,OR(TH!L1690="1111",TH!M1690="1111")),TH!D1690,""),"")</f>
        <v/>
      </c>
      <c r="B1690" s="700">
        <f t="shared" si="249"/>
        <v>12</v>
      </c>
      <c r="C1690" s="836">
        <f t="shared" si="250"/>
        <v>41628</v>
      </c>
      <c r="D1690" s="48"/>
      <c r="E1690" s="48">
        <v>41628</v>
      </c>
      <c r="F1690" s="49" t="s">
        <v>885</v>
      </c>
      <c r="G1690" s="49" t="s">
        <v>1037</v>
      </c>
      <c r="H1690" s="840" t="s">
        <v>1292</v>
      </c>
      <c r="I1690" s="254"/>
      <c r="J1690" s="254"/>
      <c r="K1690" s="701">
        <f t="shared" si="251"/>
        <v>0</v>
      </c>
      <c r="L1690" s="52" t="s">
        <v>167</v>
      </c>
      <c r="M1690" s="1100" t="s">
        <v>165</v>
      </c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52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  <c r="AA1690" s="853"/>
    </row>
    <row r="1691" spans="1:27" s="810" customFormat="1" ht="15.75" customHeight="1">
      <c r="A1691" s="1097" t="str">
        <f>IF(B1691&lt;&gt;"",IF(AND(B1691&gt;=_TM1,B1691&lt;=_TM2,OR(TH!L1691="1111",TH!M1691="1111")),TH!D1691,""),"")</f>
        <v/>
      </c>
      <c r="B1691" s="700">
        <f t="shared" si="249"/>
        <v>12</v>
      </c>
      <c r="C1691" s="836">
        <f t="shared" si="250"/>
        <v>41628</v>
      </c>
      <c r="D1691" s="48"/>
      <c r="E1691" s="48">
        <v>41628</v>
      </c>
      <c r="F1691" s="49" t="s">
        <v>1038</v>
      </c>
      <c r="G1691" s="49" t="s">
        <v>1037</v>
      </c>
      <c r="H1691" s="840" t="s">
        <v>1292</v>
      </c>
      <c r="I1691" s="254"/>
      <c r="J1691" s="254"/>
      <c r="K1691" s="701">
        <f t="shared" si="251"/>
        <v>0</v>
      </c>
      <c r="L1691" s="52" t="s">
        <v>167</v>
      </c>
      <c r="M1691" s="1100" t="s">
        <v>165</v>
      </c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52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  <c r="AA1691" s="853"/>
    </row>
    <row r="1692" spans="1:27" s="810" customFormat="1" ht="15.75" customHeight="1">
      <c r="A1692" s="1097" t="str">
        <f>IF(B1692&lt;&gt;"",IF(AND(B1692&gt;=_TM1,B1692&lt;=_TM2,OR(TH!L1692="1111",TH!M1692="1111")),TH!D1692,""),"")</f>
        <v/>
      </c>
      <c r="B1692" s="700">
        <f t="shared" si="249"/>
        <v>12</v>
      </c>
      <c r="C1692" s="836">
        <f t="shared" si="250"/>
        <v>41628</v>
      </c>
      <c r="D1692" s="48"/>
      <c r="E1692" s="48">
        <v>41628</v>
      </c>
      <c r="F1692" s="49" t="s">
        <v>844</v>
      </c>
      <c r="G1692" s="49" t="s">
        <v>1037</v>
      </c>
      <c r="H1692" s="840" t="s">
        <v>1292</v>
      </c>
      <c r="I1692" s="254"/>
      <c r="J1692" s="254"/>
      <c r="K1692" s="701">
        <f t="shared" si="251"/>
        <v>0</v>
      </c>
      <c r="L1692" s="52" t="s">
        <v>167</v>
      </c>
      <c r="M1692" s="1100" t="s">
        <v>165</v>
      </c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52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  <c r="AA1692" s="853"/>
    </row>
    <row r="1693" spans="1:27" s="810" customFormat="1" ht="15.75" customHeight="1">
      <c r="A1693" s="1097" t="str">
        <f>IF(B1693&lt;&gt;"",IF(AND(B1693&gt;=_TM1,B1693&lt;=_TM2,OR(TH!L1693="1111",TH!M1693="1111")),TH!D1693,""),"")</f>
        <v/>
      </c>
      <c r="B1693" s="700">
        <f t="shared" si="249"/>
        <v>12</v>
      </c>
      <c r="C1693" s="836">
        <f t="shared" si="250"/>
        <v>41631</v>
      </c>
      <c r="D1693" s="48"/>
      <c r="E1693" s="48">
        <v>41631</v>
      </c>
      <c r="F1693" s="49" t="s">
        <v>1156</v>
      </c>
      <c r="G1693" s="49" t="s">
        <v>1039</v>
      </c>
      <c r="H1693" s="840" t="s">
        <v>1292</v>
      </c>
      <c r="I1693" s="254"/>
      <c r="J1693" s="254"/>
      <c r="K1693" s="701">
        <f t="shared" si="251"/>
        <v>0</v>
      </c>
      <c r="L1693" s="52" t="s">
        <v>167</v>
      </c>
      <c r="M1693" s="1100" t="s">
        <v>165</v>
      </c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52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  <c r="AA1693" s="853"/>
    </row>
    <row r="1694" spans="1:27" s="810" customFormat="1" ht="15.75" customHeight="1">
      <c r="A1694" s="1097" t="str">
        <f>IF(B1694&lt;&gt;"",IF(AND(B1694&gt;=_TM1,B1694&lt;=_TM2,OR(TH!L1694="1111",TH!M1694="1111")),TH!D1694,""),"")</f>
        <v/>
      </c>
      <c r="B1694" s="700">
        <f t="shared" si="249"/>
        <v>12</v>
      </c>
      <c r="C1694" s="836">
        <f t="shared" si="250"/>
        <v>41633</v>
      </c>
      <c r="D1694" s="48"/>
      <c r="E1694" s="48">
        <v>41633</v>
      </c>
      <c r="F1694" s="49" t="s">
        <v>731</v>
      </c>
      <c r="G1694" s="49" t="s">
        <v>1040</v>
      </c>
      <c r="H1694" s="840" t="s">
        <v>1292</v>
      </c>
      <c r="I1694" s="254"/>
      <c r="J1694" s="254"/>
      <c r="K1694" s="701">
        <f t="shared" si="251"/>
        <v>0</v>
      </c>
      <c r="L1694" s="52" t="s">
        <v>167</v>
      </c>
      <c r="M1694" s="1100" t="s">
        <v>165</v>
      </c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52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  <c r="AA1694" s="853"/>
    </row>
    <row r="1695" spans="1:27" s="810" customFormat="1" ht="15.75" customHeight="1">
      <c r="A1695" s="1097" t="str">
        <f>IF(B1695&lt;&gt;"",IF(AND(B1695&gt;=_TM1,B1695&lt;=_TM2,OR(TH!L1695="1111",TH!M1695="1111")),TH!D1695,""),"")</f>
        <v/>
      </c>
      <c r="B1695" s="700">
        <f t="shared" si="249"/>
        <v>12</v>
      </c>
      <c r="C1695" s="836">
        <f t="shared" si="250"/>
        <v>41635</v>
      </c>
      <c r="D1695" s="48"/>
      <c r="E1695" s="48">
        <v>41635</v>
      </c>
      <c r="F1695" s="49" t="s">
        <v>877</v>
      </c>
      <c r="G1695" s="49" t="s">
        <v>1041</v>
      </c>
      <c r="H1695" s="840" t="s">
        <v>1292</v>
      </c>
      <c r="I1695" s="254"/>
      <c r="J1695" s="254"/>
      <c r="K1695" s="701">
        <f t="shared" si="251"/>
        <v>0</v>
      </c>
      <c r="L1695" s="52" t="s">
        <v>167</v>
      </c>
      <c r="M1695" s="1100" t="s">
        <v>165</v>
      </c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52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  <c r="AA1695" s="853"/>
    </row>
    <row r="1696" spans="1:27" s="810" customFormat="1" ht="15.75" customHeight="1">
      <c r="A1696" s="1097" t="str">
        <f>IF(B1696&lt;&gt;"",IF(AND(B1696&gt;=_TM1,B1696&lt;=_TM2,OR(TH!L1696="1111",TH!M1696="1111")),TH!D1696,""),"")</f>
        <v/>
      </c>
      <c r="B1696" s="700">
        <f t="shared" si="249"/>
        <v>12</v>
      </c>
      <c r="C1696" s="836">
        <f t="shared" si="250"/>
        <v>41635</v>
      </c>
      <c r="D1696" s="48"/>
      <c r="E1696" s="48">
        <v>41635</v>
      </c>
      <c r="F1696" s="49" t="s">
        <v>880</v>
      </c>
      <c r="G1696" s="49" t="s">
        <v>1041</v>
      </c>
      <c r="H1696" s="840" t="s">
        <v>1292</v>
      </c>
      <c r="I1696" s="254"/>
      <c r="J1696" s="254"/>
      <c r="K1696" s="701">
        <f t="shared" si="251"/>
        <v>0</v>
      </c>
      <c r="L1696" s="52" t="s">
        <v>167</v>
      </c>
      <c r="M1696" s="1100" t="s">
        <v>165</v>
      </c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52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  <c r="AA1696" s="853"/>
    </row>
    <row r="1697" spans="1:27" s="810" customFormat="1" ht="15.75" customHeight="1">
      <c r="A1697" s="1097" t="str">
        <f>IF(B1697&lt;&gt;"",IF(AND(B1697&gt;=_TM1,B1697&lt;=_TM2,OR(TH!L1697="1111",TH!M1697="1111")),TH!D1697,""),"")</f>
        <v/>
      </c>
      <c r="B1697" s="700">
        <f t="shared" ref="B1697:B1760" si="252">IF(C1697&lt;&gt;"",MONTH(C1697),"")</f>
        <v>12</v>
      </c>
      <c r="C1697" s="836">
        <f t="shared" si="250"/>
        <v>41635</v>
      </c>
      <c r="D1697" s="48"/>
      <c r="E1697" s="48">
        <v>41635</v>
      </c>
      <c r="F1697" s="49" t="s">
        <v>1020</v>
      </c>
      <c r="G1697" s="49" t="s">
        <v>1041</v>
      </c>
      <c r="H1697" s="840" t="s">
        <v>1292</v>
      </c>
      <c r="I1697" s="254"/>
      <c r="J1697" s="254"/>
      <c r="K1697" s="701">
        <f t="shared" si="251"/>
        <v>0</v>
      </c>
      <c r="L1697" s="52" t="s">
        <v>167</v>
      </c>
      <c r="M1697" s="1100" t="s">
        <v>165</v>
      </c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52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  <c r="AA1697" s="853"/>
    </row>
    <row r="1698" spans="1:27" s="810" customFormat="1" ht="15.75" customHeight="1">
      <c r="A1698" s="1097" t="str">
        <f>IF(B1698&lt;&gt;"",IF(AND(B1698&gt;=_TM1,B1698&lt;=_TM2,OR(TH!L1698="1111",TH!M1698="1111")),TH!D1698,""),"")</f>
        <v/>
      </c>
      <c r="B1698" s="700">
        <f t="shared" si="252"/>
        <v>12</v>
      </c>
      <c r="C1698" s="836">
        <f t="shared" si="250"/>
        <v>41635</v>
      </c>
      <c r="D1698" s="48"/>
      <c r="E1698" s="48">
        <v>41635</v>
      </c>
      <c r="F1698" s="49" t="s">
        <v>1152</v>
      </c>
      <c r="G1698" s="49" t="s">
        <v>1042</v>
      </c>
      <c r="H1698" s="840" t="s">
        <v>1292</v>
      </c>
      <c r="I1698" s="254"/>
      <c r="J1698" s="254"/>
      <c r="K1698" s="701">
        <f t="shared" si="251"/>
        <v>0</v>
      </c>
      <c r="L1698" s="52" t="s">
        <v>167</v>
      </c>
      <c r="M1698" s="1100" t="s">
        <v>165</v>
      </c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52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  <c r="AA1698" s="853"/>
    </row>
    <row r="1699" spans="1:27" s="810" customFormat="1" ht="15.75" customHeight="1">
      <c r="A1699" s="1097" t="str">
        <f>IF(B1699&lt;&gt;"",IF(AND(B1699&gt;=_TM1,B1699&lt;=_TM2,OR(TH!L1699="1111",TH!M1699="1111")),TH!D1699,""),"")</f>
        <v/>
      </c>
      <c r="B1699" s="700">
        <f t="shared" si="252"/>
        <v>12</v>
      </c>
      <c r="C1699" s="836">
        <f t="shared" si="250"/>
        <v>41636</v>
      </c>
      <c r="D1699" s="48"/>
      <c r="E1699" s="48">
        <v>41636</v>
      </c>
      <c r="F1699" s="49" t="s">
        <v>1141</v>
      </c>
      <c r="G1699" s="49" t="s">
        <v>1043</v>
      </c>
      <c r="H1699" s="840" t="s">
        <v>1292</v>
      </c>
      <c r="I1699" s="254"/>
      <c r="J1699" s="254"/>
      <c r="K1699" s="701">
        <f t="shared" si="251"/>
        <v>0</v>
      </c>
      <c r="L1699" s="52" t="s">
        <v>167</v>
      </c>
      <c r="M1699" s="1100" t="s">
        <v>165</v>
      </c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52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  <c r="AA1699" s="853"/>
    </row>
    <row r="1700" spans="1:27" s="843" customFormat="1" ht="15.75" customHeight="1">
      <c r="A1700" s="1106" t="str">
        <f>IF(B1700&lt;&gt;"",IF(AND(B1700&gt;=_TM1,B1700&lt;=_TM2,OR(TH!L1700="1111",TH!M1700="1111")),TH!D1700,""),"")</f>
        <v/>
      </c>
      <c r="B1700" s="841">
        <f t="shared" si="252"/>
        <v>1</v>
      </c>
      <c r="C1700" s="1107">
        <f t="shared" si="250"/>
        <v>41276</v>
      </c>
      <c r="D1700" s="1108"/>
      <c r="E1700" s="1108">
        <v>41276</v>
      </c>
      <c r="F1700" s="1109" t="s">
        <v>723</v>
      </c>
      <c r="G1700" s="1109" t="s">
        <v>724</v>
      </c>
      <c r="H1700" s="1110" t="s">
        <v>1293</v>
      </c>
      <c r="I1700" s="1118"/>
      <c r="J1700" s="1118"/>
      <c r="K1700" s="838">
        <f t="shared" si="251"/>
        <v>0</v>
      </c>
      <c r="L1700" s="831" t="s">
        <v>173</v>
      </c>
      <c r="M1700" s="831" t="s">
        <v>167</v>
      </c>
      <c r="N1700" s="831" t="str">
        <f>IF(AND('331-CT'!$E$7=TH!H1700,OR(L1700="331",M1700="331")),"331",IF(AND(OR(L1700="131",M1700="131"),H1700='131-CT'!$E$7),"131",""))</f>
        <v/>
      </c>
      <c r="O1700" s="831" t="str">
        <f>IF(AND($B1700&gt;='111'!$N$11,$B1700&lt;='111'!$O$11,OR($L1700=$O$7,$M1700=$O$7)),"x","")</f>
        <v/>
      </c>
      <c r="P1700" s="831" t="str">
        <f>IF(AND($L1700=$O$7,$B1700&lt;'111'!$N$11),"x","")</f>
        <v/>
      </c>
      <c r="Q1700" s="831" t="str">
        <f>IF(AND($M1700=$O$7,$B1700&lt;'111'!$N$11),"x","")</f>
        <v/>
      </c>
      <c r="R1700" s="831" t="str">
        <f>IF(ISERROR(FIND('112'!$M$9,G1700,1)),"",IF((AND(FIND('112'!$M$9,G1700,1)&gt;=1,$B1700&gt;='112'!$N$8,$B1700&lt;='112'!$O$8,OR($L1700='112'!$I$6,$M1700='112'!$I$6))),"x",""))</f>
        <v/>
      </c>
      <c r="S1700" s="831" t="str">
        <f>IF(ISERROR(FIND('112'!$M$9,G1700,1)),"",IF((AND(LEFT(G1700,2)=LEFT('112'!$M$9,2),B1700&lt;'112'!$N$8,$L1700='112'!$I$6)),"x",""))</f>
        <v/>
      </c>
      <c r="T1700" s="831" t="str">
        <f>IF(ISERROR(FIND('112'!$M$9,G1700,1)),"",IF((AND(RIGHT(G1700,2)=RIGHT('112'!$M$9,2),B1700&lt;'112'!$N$8,$M1700='112'!$I$6)),"x",""))</f>
        <v/>
      </c>
      <c r="U1700" s="831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831" t="str">
        <f>IF(OR(TH!L1700=TH!$V$7,M1700=TH!$V$7),"x","")</f>
        <v/>
      </c>
      <c r="W1700" s="831" t="str">
        <f>IF(AND(B1700&gt;='IN-NX'!$P$3,B1700&lt;='IN-NX'!$Q$3,'IN-NX'!$D$7=D1700,OR(LEFT(L1700,2)="15",AND(LEFT(M1700,2)&lt;&gt;"15",LEFT(M1700,2)&lt;&gt;"33"))),"x","")</f>
        <v/>
      </c>
      <c r="X1700" s="831" t="str">
        <f>IF(AND(OR(LEFT(TH!L1700,2)="15",LEFT(TH!M1700,2)="15"),'152-CT'!$J$8=TH!F1700),"x","")</f>
        <v/>
      </c>
      <c r="Y1700" s="831" t="str">
        <f>IF(AND(OR(LEFT(TH!L1700,2)="15",LEFT(TH!M1700,2)="15"),TK!$E$7=TH!F1700),"x","")</f>
        <v/>
      </c>
      <c r="Z1700" s="831" t="str">
        <f>IF(AND(B1700&lt;=NKC!$N$8,B1700&gt;=NKC!$M$8),"x","")</f>
        <v/>
      </c>
      <c r="AA1700" s="1114"/>
    </row>
    <row r="1701" spans="1:27" s="211" customFormat="1" ht="15.75" customHeight="1">
      <c r="A1701" s="204" t="str">
        <f>IF(B1701&lt;&gt;"",IF(AND(B1701&gt;=_TM1,B1701&lt;=_TM2,OR(TH!L1701="1111",TH!M1701="1111")),TH!D1701,""),"")</f>
        <v/>
      </c>
      <c r="B1701" s="36">
        <f t="shared" si="252"/>
        <v>1</v>
      </c>
      <c r="C1701" s="191">
        <f t="shared" si="250"/>
        <v>41276</v>
      </c>
      <c r="D1701" s="37"/>
      <c r="E1701" s="191">
        <v>41276</v>
      </c>
      <c r="F1701" s="192" t="s">
        <v>725</v>
      </c>
      <c r="G1701" s="487" t="s">
        <v>724</v>
      </c>
      <c r="H1701" s="7" t="s">
        <v>1293</v>
      </c>
      <c r="I1701" s="256"/>
      <c r="J1701" s="256"/>
      <c r="K1701" s="602">
        <f t="shared" ref="K1701:K1764" si="253">ROUND(I1701*J1701,0)</f>
        <v>0</v>
      </c>
      <c r="L1701" s="39" t="s">
        <v>173</v>
      </c>
      <c r="M1701" s="39" t="s">
        <v>167</v>
      </c>
      <c r="N1701" s="39" t="str">
        <f>IF(AND('331-CT'!$E$7=TH!H1701,OR(L1701="331",M1701="331")),"331",IF(AND(OR(L1701="131",M1701="131"),H1701='131-CT'!$E$7),"131",""))</f>
        <v/>
      </c>
      <c r="O1701" s="39" t="str">
        <f>IF(AND($B1701&gt;='111'!$N$11,$B1701&lt;='111'!$O$11,OR($L1701=$O$7,$M1701=$O$7)),"x","")</f>
        <v/>
      </c>
      <c r="P1701" s="39" t="str">
        <f>IF(AND($L1701=$O$7,$B1701&lt;'111'!$N$11),"x","")</f>
        <v/>
      </c>
      <c r="Q1701" s="39" t="str">
        <f>IF(AND($M1701=$O$7,$B1701&lt;'111'!$N$11),"x","")</f>
        <v/>
      </c>
      <c r="R1701" s="39" t="str">
        <f>IF(ISERROR(FIND('112'!$M$9,G1701,1)),"",IF((AND(FIND('112'!$M$9,G1701,1)&gt;=1,$B1701&gt;='112'!$N$8,$B1701&lt;='112'!$O$8,OR($L1701='112'!$I$6,$M1701='112'!$I$6))),"x",""))</f>
        <v/>
      </c>
      <c r="S1701" s="39" t="str">
        <f>IF(ISERROR(FIND('112'!$M$9,G1701,1)),"",IF((AND(LEFT(G1701,2)=LEFT('112'!$M$9,2),B1701&lt;'112'!$N$8,$L1701='112'!$I$6)),"x",""))</f>
        <v/>
      </c>
      <c r="T1701" s="39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39" t="str">
        <f>IF(OR(TH!L1701=TH!$V$7,M1701=TH!$V$7),"x","")</f>
        <v/>
      </c>
      <c r="W1701" s="39" t="str">
        <f>IF(AND(B1701&gt;='IN-NX'!$P$3,B1701&lt;='IN-NX'!$Q$3,'IN-NX'!$D$7=D1701,OR(LEFT(L1701,2)="15",AND(LEFT(M1701,2)&lt;&gt;"15",LEFT(M1701,2)&lt;&gt;"33"))),"x","")</f>
        <v/>
      </c>
      <c r="X1701" s="39" t="str">
        <f>IF(AND(OR(LEFT(TH!L1701,2)="15",LEFT(TH!M1701,2)="15"),'152-CT'!$J$8=TH!F1701),"x","")</f>
        <v/>
      </c>
      <c r="Y1701" s="39" t="str">
        <f>IF(AND(OR(LEFT(TH!L1701,2)="15",LEFT(TH!M1701,2)="15"),TK!$E$7=TH!F1701),"x","")</f>
        <v/>
      </c>
      <c r="Z1701" s="39" t="str">
        <f>IF(AND(B1701&lt;=NKC!$N$8,B1701&gt;=NKC!$M$8),"x","")</f>
        <v/>
      </c>
      <c r="AA1701" s="886"/>
    </row>
    <row r="1702" spans="1:27" s="211" customFormat="1" ht="15.75" customHeight="1">
      <c r="A1702" s="204" t="str">
        <f>IF(B1702&lt;&gt;"",IF(AND(B1702&gt;=_TM1,B1702&lt;=_TM2,OR(TH!L1702="1111",TH!M1702="1111")),TH!D1702,""),"")</f>
        <v/>
      </c>
      <c r="B1702" s="36">
        <f t="shared" si="252"/>
        <v>1</v>
      </c>
      <c r="C1702" s="191">
        <f t="shared" si="250"/>
        <v>41282</v>
      </c>
      <c r="D1702" s="37"/>
      <c r="E1702" s="191">
        <v>41282</v>
      </c>
      <c r="F1702" s="192" t="s">
        <v>727</v>
      </c>
      <c r="G1702" s="487" t="s">
        <v>728</v>
      </c>
      <c r="H1702" s="7" t="s">
        <v>1293</v>
      </c>
      <c r="I1702" s="256"/>
      <c r="J1702" s="256"/>
      <c r="K1702" s="602">
        <f t="shared" si="253"/>
        <v>0</v>
      </c>
      <c r="L1702" s="39" t="s">
        <v>173</v>
      </c>
      <c r="M1702" s="39" t="s">
        <v>167</v>
      </c>
      <c r="N1702" s="39" t="str">
        <f>IF(AND('331-CT'!$E$7=TH!H1702,OR(L1702="331",M1702="331")),"331",IF(AND(OR(L1702="131",M1702="131"),H1702='131-CT'!$E$7),"131",""))</f>
        <v/>
      </c>
      <c r="O1702" s="39" t="str">
        <f>IF(AND($B1702&gt;='111'!$N$11,$B1702&lt;='111'!$O$11,OR($L1702=$O$7,$M1702=$O$7)),"x","")</f>
        <v/>
      </c>
      <c r="P1702" s="39" t="str">
        <f>IF(AND($L1702=$O$7,$B1702&lt;'111'!$N$11),"x","")</f>
        <v/>
      </c>
      <c r="Q1702" s="39" t="str">
        <f>IF(AND($M1702=$O$7,$B1702&lt;'111'!$N$11),"x","")</f>
        <v/>
      </c>
      <c r="R1702" s="39" t="str">
        <f>IF(ISERROR(FIND('112'!$M$9,G1702,1)),"",IF((AND(FIND('112'!$M$9,G1702,1)&gt;=1,$B1702&gt;='112'!$N$8,$B1702&lt;='112'!$O$8,OR($L1702='112'!$I$6,$M1702='112'!$I$6))),"x",""))</f>
        <v/>
      </c>
      <c r="S1702" s="39" t="str">
        <f>IF(ISERROR(FIND('112'!$M$9,G1702,1)),"",IF((AND(LEFT(G1702,2)=LEFT('112'!$M$9,2),B1702&lt;'112'!$N$8,$L1702='112'!$I$6)),"x",""))</f>
        <v/>
      </c>
      <c r="T1702" s="39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39" t="str">
        <f>IF(OR(TH!L1702=TH!$V$7,M1702=TH!$V$7),"x","")</f>
        <v/>
      </c>
      <c r="W1702" s="39" t="str">
        <f>IF(AND(B1702&gt;='IN-NX'!$P$3,B1702&lt;='IN-NX'!$Q$3,'IN-NX'!$D$7=D1702,OR(LEFT(L1702,2)="15",AND(LEFT(M1702,2)&lt;&gt;"15",LEFT(M1702,2)&lt;&gt;"33"))),"x","")</f>
        <v/>
      </c>
      <c r="X1702" s="39" t="str">
        <f>IF(AND(OR(LEFT(TH!L1702,2)="15",LEFT(TH!M1702,2)="15"),'152-CT'!$J$8=TH!F1702),"x","")</f>
        <v/>
      </c>
      <c r="Y1702" s="39" t="str">
        <f>IF(AND(OR(LEFT(TH!L1702,2)="15",LEFT(TH!M1702,2)="15"),TK!$E$7=TH!F1702),"x","")</f>
        <v/>
      </c>
      <c r="Z1702" s="39" t="str">
        <f>IF(AND(B1702&lt;=NKC!$N$8,B1702&gt;=NKC!$M$8),"x","")</f>
        <v/>
      </c>
      <c r="AA1702" s="886"/>
    </row>
    <row r="1703" spans="1:27" s="211" customFormat="1" ht="15.75" customHeight="1">
      <c r="A1703" s="204" t="str">
        <f>IF(B1703&lt;&gt;"",IF(AND(B1703&gt;=_TM1,B1703&lt;=_TM2,OR(TH!L1703="1111",TH!M1703="1111")),TH!D1703,""),"")</f>
        <v/>
      </c>
      <c r="B1703" s="36">
        <f t="shared" si="252"/>
        <v>1</v>
      </c>
      <c r="C1703" s="191">
        <f t="shared" si="250"/>
        <v>41282</v>
      </c>
      <c r="D1703" s="191"/>
      <c r="E1703" s="37">
        <v>41282</v>
      </c>
      <c r="F1703" s="40" t="s">
        <v>730</v>
      </c>
      <c r="G1703" s="40" t="s">
        <v>728</v>
      </c>
      <c r="H1703" s="7" t="s">
        <v>1293</v>
      </c>
      <c r="I1703" s="256"/>
      <c r="J1703" s="256"/>
      <c r="K1703" s="602">
        <f t="shared" si="253"/>
        <v>0</v>
      </c>
      <c r="L1703" s="39" t="s">
        <v>173</v>
      </c>
      <c r="M1703" s="39" t="s">
        <v>167</v>
      </c>
      <c r="N1703" s="39" t="str">
        <f>IF(AND('331-CT'!$E$7=TH!H1703,OR(L1703="331",M1703="331")),"331",IF(AND(OR(L1703="131",M1703="131"),H1703='131-CT'!$E$7),"131",""))</f>
        <v/>
      </c>
      <c r="O1703" s="39" t="str">
        <f>IF(AND($B1703&gt;='111'!$N$11,$B1703&lt;='111'!$O$11,OR($L1703=$O$7,$M1703=$O$7)),"x","")</f>
        <v/>
      </c>
      <c r="P1703" s="39" t="str">
        <f>IF(AND($L1703=$O$7,$B1703&lt;'111'!$N$11),"x","")</f>
        <v/>
      </c>
      <c r="Q1703" s="39" t="str">
        <f>IF(AND($M1703=$O$7,$B1703&lt;'111'!$N$11),"x","")</f>
        <v/>
      </c>
      <c r="R1703" s="39" t="str">
        <f>IF(ISERROR(FIND('112'!$M$9,G1703,1)),"",IF((AND(FIND('112'!$M$9,G1703,1)&gt;=1,$B1703&gt;='112'!$N$8,$B1703&lt;='112'!$O$8,OR($L1703='112'!$I$6,$M1703='112'!$I$6))),"x",""))</f>
        <v/>
      </c>
      <c r="S1703" s="39" t="str">
        <f>IF(ISERROR(FIND('112'!$M$9,G1703,1)),"",IF((AND(LEFT(G1703,2)=LEFT('112'!$M$9,2),B1703&lt;'112'!$N$8,$L1703='112'!$I$6)),"x",""))</f>
        <v/>
      </c>
      <c r="T1703" s="39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39" t="str">
        <f>IF(OR(TH!L1703=TH!$V$7,M1703=TH!$V$7),"x","")</f>
        <v/>
      </c>
      <c r="W1703" s="39" t="str">
        <f>IF(AND(B1703&gt;='IN-NX'!$P$3,B1703&lt;='IN-NX'!$Q$3,'IN-NX'!$D$7=D1703,OR(LEFT(L1703,2)="15",AND(LEFT(M1703,2)&lt;&gt;"15",LEFT(M1703,2)&lt;&gt;"33"))),"x","")</f>
        <v/>
      </c>
      <c r="X1703" s="39" t="str">
        <f>IF(AND(OR(LEFT(TH!L1703,2)="15",LEFT(TH!M1703,2)="15"),'152-CT'!$J$8=TH!F1703),"x","")</f>
        <v/>
      </c>
      <c r="Y1703" s="39" t="str">
        <f>IF(AND(OR(LEFT(TH!L1703,2)="15",LEFT(TH!M1703,2)="15"),TK!$E$7=TH!F1703),"x","")</f>
        <v/>
      </c>
      <c r="Z1703" s="39" t="str">
        <f>IF(AND(B1703&lt;=NKC!$N$8,B1703&gt;=NKC!$M$8),"x","")</f>
        <v/>
      </c>
      <c r="AA1703" s="886"/>
    </row>
    <row r="1704" spans="1:27" s="211" customFormat="1" ht="15.75" customHeight="1">
      <c r="A1704" s="204" t="str">
        <f>IF(B1704&lt;&gt;"",IF(AND(B1704&gt;=_TM1,B1704&lt;=_TM2,OR(TH!L1704="1111",TH!M1704="1111")),TH!D1704,""),"")</f>
        <v/>
      </c>
      <c r="B1704" s="36">
        <f t="shared" si="252"/>
        <v>1</v>
      </c>
      <c r="C1704" s="191">
        <f t="shared" si="250"/>
        <v>41284</v>
      </c>
      <c r="D1704" s="191"/>
      <c r="E1704" s="37">
        <v>41284</v>
      </c>
      <c r="F1704" s="40" t="s">
        <v>731</v>
      </c>
      <c r="G1704" s="40" t="s">
        <v>732</v>
      </c>
      <c r="H1704" s="7" t="s">
        <v>1293</v>
      </c>
      <c r="I1704" s="256"/>
      <c r="J1704" s="256"/>
      <c r="K1704" s="602">
        <f t="shared" si="253"/>
        <v>0</v>
      </c>
      <c r="L1704" s="39" t="s">
        <v>173</v>
      </c>
      <c r="M1704" s="39" t="s">
        <v>167</v>
      </c>
      <c r="N1704" s="39" t="str">
        <f>IF(AND('331-CT'!$E$7=TH!H1704,OR(L1704="331",M1704="331")),"331",IF(AND(OR(L1704="131",M1704="131"),H1704='131-CT'!$E$7),"131",""))</f>
        <v/>
      </c>
      <c r="O1704" s="39" t="str">
        <f>IF(AND($B1704&gt;='111'!$N$11,$B1704&lt;='111'!$O$11,OR($L1704=$O$7,$M1704=$O$7)),"x","")</f>
        <v/>
      </c>
      <c r="P1704" s="39" t="str">
        <f>IF(AND($L1704=$O$7,$B1704&lt;'111'!$N$11),"x","")</f>
        <v/>
      </c>
      <c r="Q1704" s="39" t="str">
        <f>IF(AND($M1704=$O$7,$B1704&lt;'111'!$N$11),"x","")</f>
        <v/>
      </c>
      <c r="R1704" s="39" t="str">
        <f>IF(ISERROR(FIND('112'!$M$9,G1704,1)),"",IF((AND(FIND('112'!$M$9,G1704,1)&gt;=1,$B1704&gt;='112'!$N$8,$B1704&lt;='112'!$O$8,OR($L1704='112'!$I$6,$M1704='112'!$I$6))),"x",""))</f>
        <v/>
      </c>
      <c r="S1704" s="39" t="str">
        <f>IF(ISERROR(FIND('112'!$M$9,G1704,1)),"",IF((AND(LEFT(G1704,2)=LEFT('112'!$M$9,2),B1704&lt;'112'!$N$8,$L1704='112'!$I$6)),"x",""))</f>
        <v/>
      </c>
      <c r="T1704" s="39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39" t="str">
        <f>IF(OR(TH!L1704=TH!$V$7,M1704=TH!$V$7),"x","")</f>
        <v/>
      </c>
      <c r="W1704" s="39" t="str">
        <f>IF(AND(B1704&gt;='IN-NX'!$P$3,B1704&lt;='IN-NX'!$Q$3,'IN-NX'!$D$7=D1704,OR(LEFT(L1704,2)="15",AND(LEFT(M1704,2)&lt;&gt;"15",LEFT(M1704,2)&lt;&gt;"33"))),"x","")</f>
        <v/>
      </c>
      <c r="X1704" s="39" t="str">
        <f>IF(AND(OR(LEFT(TH!L1704,2)="15",LEFT(TH!M1704,2)="15"),'152-CT'!$J$8=TH!F1704),"x","")</f>
        <v/>
      </c>
      <c r="Y1704" s="39" t="str">
        <f>IF(AND(OR(LEFT(TH!L1704,2)="15",LEFT(TH!M1704,2)="15"),TK!$E$7=TH!F1704),"x","")</f>
        <v/>
      </c>
      <c r="Z1704" s="39" t="str">
        <f>IF(AND(B1704&lt;=NKC!$N$8,B1704&gt;=NKC!$M$8),"x","")</f>
        <v/>
      </c>
      <c r="AA1704" s="886"/>
    </row>
    <row r="1705" spans="1:27" s="211" customFormat="1" ht="15.75" customHeight="1">
      <c r="A1705" s="204" t="str">
        <f>IF(B1705&lt;&gt;"",IF(AND(B1705&gt;=_TM1,B1705&lt;=_TM2,OR(TH!L1705="1111",TH!M1705="1111")),TH!D1705,""),"")</f>
        <v/>
      </c>
      <c r="B1705" s="36">
        <f t="shared" si="252"/>
        <v>1</v>
      </c>
      <c r="C1705" s="191">
        <f t="shared" si="250"/>
        <v>41285</v>
      </c>
      <c r="D1705" s="191"/>
      <c r="E1705" s="191">
        <v>41285</v>
      </c>
      <c r="F1705" s="189" t="s">
        <v>733</v>
      </c>
      <c r="G1705" s="604" t="s">
        <v>734</v>
      </c>
      <c r="H1705" s="7" t="s">
        <v>1293</v>
      </c>
      <c r="I1705" s="256"/>
      <c r="J1705" s="256"/>
      <c r="K1705" s="602">
        <f t="shared" si="253"/>
        <v>0</v>
      </c>
      <c r="L1705" s="39" t="s">
        <v>173</v>
      </c>
      <c r="M1705" s="39" t="s">
        <v>167</v>
      </c>
      <c r="N1705" s="39" t="str">
        <f>IF(AND('331-CT'!$E$7=TH!H1705,OR(L1705="331",M1705="331")),"331",IF(AND(OR(L1705="131",M1705="131"),H1705='131-CT'!$E$7),"131",""))</f>
        <v/>
      </c>
      <c r="O1705" s="39" t="str">
        <f>IF(AND($B1705&gt;='111'!$N$11,$B1705&lt;='111'!$O$11,OR($L1705=$O$7,$M1705=$O$7)),"x","")</f>
        <v/>
      </c>
      <c r="P1705" s="39" t="str">
        <f>IF(AND($L1705=$O$7,$B1705&lt;'111'!$N$11),"x","")</f>
        <v/>
      </c>
      <c r="Q1705" s="39" t="str">
        <f>IF(AND($M1705=$O$7,$B1705&lt;'111'!$N$11),"x","")</f>
        <v/>
      </c>
      <c r="R1705" s="39" t="str">
        <f>IF(ISERROR(FIND('112'!$M$9,G1705,1)),"",IF((AND(FIND('112'!$M$9,G1705,1)&gt;=1,$B1705&gt;='112'!$N$8,$B1705&lt;='112'!$O$8,OR($L1705='112'!$I$6,$M1705='112'!$I$6))),"x",""))</f>
        <v/>
      </c>
      <c r="S1705" s="39" t="str">
        <f>IF(ISERROR(FIND('112'!$M$9,G1705,1)),"",IF((AND(LEFT(G1705,2)=LEFT('112'!$M$9,2),B1705&lt;'112'!$N$8,$L1705='112'!$I$6)),"x",""))</f>
        <v/>
      </c>
      <c r="T1705" s="39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39" t="str">
        <f>IF(OR(TH!L1705=TH!$V$7,M1705=TH!$V$7),"x","")</f>
        <v/>
      </c>
      <c r="W1705" s="39" t="str">
        <f>IF(AND(B1705&gt;='IN-NX'!$P$3,B1705&lt;='IN-NX'!$Q$3,'IN-NX'!$D$7=D1705,OR(LEFT(L1705,2)="15",AND(LEFT(M1705,2)&lt;&gt;"15",LEFT(M1705,2)&lt;&gt;"33"))),"x","")</f>
        <v/>
      </c>
      <c r="X1705" s="39" t="str">
        <f>IF(AND(OR(LEFT(TH!L1705,2)="15",LEFT(TH!M1705,2)="15"),'152-CT'!$J$8=TH!F1705),"x","")</f>
        <v/>
      </c>
      <c r="Y1705" s="39" t="str">
        <f>IF(AND(OR(LEFT(TH!L1705,2)="15",LEFT(TH!M1705,2)="15"),TK!$E$7=TH!F1705),"x","")</f>
        <v/>
      </c>
      <c r="Z1705" s="39" t="str">
        <f>IF(AND(B1705&lt;=NKC!$N$8,B1705&gt;=NKC!$M$8),"x","")</f>
        <v/>
      </c>
      <c r="AA1705" s="886"/>
    </row>
    <row r="1706" spans="1:27" s="211" customFormat="1" ht="15.75" customHeight="1">
      <c r="A1706" s="204" t="str">
        <f>IF(B1706&lt;&gt;"",IF(AND(B1706&gt;=_TM1,B1706&lt;=_TM2,OR(TH!L1706="1111",TH!M1706="1111")),TH!D1706,""),"")</f>
        <v/>
      </c>
      <c r="B1706" s="36">
        <f t="shared" si="252"/>
        <v>1</v>
      </c>
      <c r="C1706" s="191">
        <f t="shared" si="250"/>
        <v>41285</v>
      </c>
      <c r="D1706" s="191"/>
      <c r="E1706" s="191">
        <v>41285</v>
      </c>
      <c r="F1706" s="192" t="s">
        <v>735</v>
      </c>
      <c r="G1706" s="487" t="s">
        <v>734</v>
      </c>
      <c r="H1706" s="7" t="s">
        <v>1293</v>
      </c>
      <c r="I1706" s="256"/>
      <c r="J1706" s="256"/>
      <c r="K1706" s="602">
        <f t="shared" si="253"/>
        <v>0</v>
      </c>
      <c r="L1706" s="39" t="s">
        <v>173</v>
      </c>
      <c r="M1706" s="39" t="s">
        <v>167</v>
      </c>
      <c r="N1706" s="39" t="str">
        <f>IF(AND('331-CT'!$E$7=TH!H1706,OR(L1706="331",M1706="331")),"331",IF(AND(OR(L1706="131",M1706="131"),H1706='131-CT'!$E$7),"131",""))</f>
        <v/>
      </c>
      <c r="O1706" s="39" t="str">
        <f>IF(AND($B1706&gt;='111'!$N$11,$B1706&lt;='111'!$O$11,OR($L1706=$O$7,$M1706=$O$7)),"x","")</f>
        <v/>
      </c>
      <c r="P1706" s="39" t="str">
        <f>IF(AND($L1706=$O$7,$B1706&lt;'111'!$N$11),"x","")</f>
        <v/>
      </c>
      <c r="Q1706" s="39" t="str">
        <f>IF(AND($M1706=$O$7,$B1706&lt;'111'!$N$11),"x","")</f>
        <v/>
      </c>
      <c r="R1706" s="39" t="str">
        <f>IF(ISERROR(FIND('112'!$M$9,G1706,1)),"",IF((AND(FIND('112'!$M$9,G1706,1)&gt;=1,$B1706&gt;='112'!$N$8,$B1706&lt;='112'!$O$8,OR($L1706='112'!$I$6,$M1706='112'!$I$6))),"x",""))</f>
        <v/>
      </c>
      <c r="S1706" s="39" t="str">
        <f>IF(ISERROR(FIND('112'!$M$9,G1706,1)),"",IF((AND(LEFT(G1706,2)=LEFT('112'!$M$9,2),B1706&lt;'112'!$N$8,$L1706='112'!$I$6)),"x",""))</f>
        <v/>
      </c>
      <c r="T1706" s="39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39" t="str">
        <f>IF(OR(TH!L1706=TH!$V$7,M1706=TH!$V$7),"x","")</f>
        <v/>
      </c>
      <c r="W1706" s="39" t="str">
        <f>IF(AND(B1706&gt;='IN-NX'!$P$3,B1706&lt;='IN-NX'!$Q$3,'IN-NX'!$D$7=D1706,OR(LEFT(L1706,2)="15",AND(LEFT(M1706,2)&lt;&gt;"15",LEFT(M1706,2)&lt;&gt;"33"))),"x","")</f>
        <v/>
      </c>
      <c r="X1706" s="39" t="str">
        <f>IF(AND(OR(LEFT(TH!L1706,2)="15",LEFT(TH!M1706,2)="15"),'152-CT'!$J$8=TH!F1706),"x","")</f>
        <v/>
      </c>
      <c r="Y1706" s="39" t="str">
        <f>IF(AND(OR(LEFT(TH!L1706,2)="15",LEFT(TH!M1706,2)="15"),TK!$E$7=TH!F1706),"x","")</f>
        <v/>
      </c>
      <c r="Z1706" s="39" t="str">
        <f>IF(AND(B1706&lt;=NKC!$N$8,B1706&gt;=NKC!$M$8),"x","")</f>
        <v/>
      </c>
      <c r="AA1706" s="886"/>
    </row>
    <row r="1707" spans="1:27" s="211" customFormat="1" ht="15.75" customHeight="1">
      <c r="A1707" s="204" t="str">
        <f>IF(B1707&lt;&gt;"",IF(AND(B1707&gt;=_TM1,B1707&lt;=_TM2,OR(TH!L1707="1111",TH!M1707="1111")),TH!D1707,""),"")</f>
        <v/>
      </c>
      <c r="B1707" s="36">
        <f t="shared" si="252"/>
        <v>1</v>
      </c>
      <c r="C1707" s="191">
        <f t="shared" si="250"/>
        <v>41285</v>
      </c>
      <c r="D1707" s="191"/>
      <c r="E1707" s="191">
        <v>41285</v>
      </c>
      <c r="F1707" s="192" t="s">
        <v>736</v>
      </c>
      <c r="G1707" s="487" t="s">
        <v>734</v>
      </c>
      <c r="H1707" s="7" t="s">
        <v>1293</v>
      </c>
      <c r="I1707" s="256"/>
      <c r="J1707" s="256"/>
      <c r="K1707" s="602">
        <f t="shared" si="253"/>
        <v>0</v>
      </c>
      <c r="L1707" s="39" t="s">
        <v>173</v>
      </c>
      <c r="M1707" s="39" t="s">
        <v>167</v>
      </c>
      <c r="N1707" s="39" t="str">
        <f>IF(AND('331-CT'!$E$7=TH!H1707,OR(L1707="331",M1707="331")),"331",IF(AND(OR(L1707="131",M1707="131"),H1707='131-CT'!$E$7),"131",""))</f>
        <v/>
      </c>
      <c r="O1707" s="39" t="str">
        <f>IF(AND($B1707&gt;='111'!$N$11,$B1707&lt;='111'!$O$11,OR($L1707=$O$7,$M1707=$O$7)),"x","")</f>
        <v/>
      </c>
      <c r="P1707" s="39" t="str">
        <f>IF(AND($L1707=$O$7,$B1707&lt;'111'!$N$11),"x","")</f>
        <v/>
      </c>
      <c r="Q1707" s="39" t="str">
        <f>IF(AND($M1707=$O$7,$B1707&lt;'111'!$N$11),"x","")</f>
        <v/>
      </c>
      <c r="R1707" s="39" t="str">
        <f>IF(ISERROR(FIND('112'!$M$9,G1707,1)),"",IF((AND(FIND('112'!$M$9,G1707,1)&gt;=1,$B1707&gt;='112'!$N$8,$B1707&lt;='112'!$O$8,OR($L1707='112'!$I$6,$M1707='112'!$I$6))),"x",""))</f>
        <v/>
      </c>
      <c r="S1707" s="39" t="str">
        <f>IF(ISERROR(FIND('112'!$M$9,G1707,1)),"",IF((AND(LEFT(G1707,2)=LEFT('112'!$M$9,2),B1707&lt;'112'!$N$8,$L1707='112'!$I$6)),"x",""))</f>
        <v/>
      </c>
      <c r="T1707" s="39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39" t="str">
        <f>IF(OR(TH!L1707=TH!$V$7,M1707=TH!$V$7),"x","")</f>
        <v/>
      </c>
      <c r="W1707" s="39" t="str">
        <f>IF(AND(B1707&gt;='IN-NX'!$P$3,B1707&lt;='IN-NX'!$Q$3,'IN-NX'!$D$7=D1707,OR(LEFT(L1707,2)="15",AND(LEFT(M1707,2)&lt;&gt;"15",LEFT(M1707,2)&lt;&gt;"33"))),"x","")</f>
        <v/>
      </c>
      <c r="X1707" s="39" t="str">
        <f>IF(AND(OR(LEFT(TH!L1707,2)="15",LEFT(TH!M1707,2)="15"),'152-CT'!$J$8=TH!F1707),"x","")</f>
        <v/>
      </c>
      <c r="Y1707" s="39" t="str">
        <f>IF(AND(OR(LEFT(TH!L1707,2)="15",LEFT(TH!M1707,2)="15"),TK!$E$7=TH!F1707),"x","")</f>
        <v/>
      </c>
      <c r="Z1707" s="39" t="str">
        <f>IF(AND(B1707&lt;=NKC!$N$8,B1707&gt;=NKC!$M$8),"x","")</f>
        <v/>
      </c>
      <c r="AA1707" s="886"/>
    </row>
    <row r="1708" spans="1:27" s="211" customFormat="1" ht="15.75" customHeight="1">
      <c r="A1708" s="204" t="str">
        <f>IF(B1708&lt;&gt;"",IF(AND(B1708&gt;=_TM1,B1708&lt;=_TM2,OR(TH!L1708="1111",TH!M1708="1111")),TH!D1708,""),"")</f>
        <v/>
      </c>
      <c r="B1708" s="36">
        <f t="shared" si="252"/>
        <v>1</v>
      </c>
      <c r="C1708" s="191">
        <f t="shared" si="250"/>
        <v>41285</v>
      </c>
      <c r="D1708" s="191"/>
      <c r="E1708" s="191">
        <v>41285</v>
      </c>
      <c r="F1708" s="189" t="s">
        <v>737</v>
      </c>
      <c r="G1708" s="604" t="s">
        <v>734</v>
      </c>
      <c r="H1708" s="7" t="s">
        <v>1293</v>
      </c>
      <c r="I1708" s="256"/>
      <c r="J1708" s="256"/>
      <c r="K1708" s="602">
        <f t="shared" si="253"/>
        <v>0</v>
      </c>
      <c r="L1708" s="39" t="s">
        <v>173</v>
      </c>
      <c r="M1708" s="39" t="s">
        <v>167</v>
      </c>
      <c r="N1708" s="39" t="str">
        <f>IF(AND('331-CT'!$E$7=TH!H1708,OR(L1708="331",M1708="331")),"331",IF(AND(OR(L1708="131",M1708="131"),H1708='131-CT'!$E$7),"131",""))</f>
        <v/>
      </c>
      <c r="O1708" s="39" t="str">
        <f>IF(AND($B1708&gt;='111'!$N$11,$B1708&lt;='111'!$O$11,OR($L1708=$O$7,$M1708=$O$7)),"x","")</f>
        <v/>
      </c>
      <c r="P1708" s="39" t="str">
        <f>IF(AND($L1708=$O$7,$B1708&lt;'111'!$N$11),"x","")</f>
        <v/>
      </c>
      <c r="Q1708" s="39" t="str">
        <f>IF(AND($M1708=$O$7,$B1708&lt;'111'!$N$11),"x","")</f>
        <v/>
      </c>
      <c r="R1708" s="39" t="str">
        <f>IF(ISERROR(FIND('112'!$M$9,G1708,1)),"",IF((AND(FIND('112'!$M$9,G1708,1)&gt;=1,$B1708&gt;='112'!$N$8,$B1708&lt;='112'!$O$8,OR($L1708='112'!$I$6,$M1708='112'!$I$6))),"x",""))</f>
        <v/>
      </c>
      <c r="S1708" s="39" t="str">
        <f>IF(ISERROR(FIND('112'!$M$9,G1708,1)),"",IF((AND(LEFT(G1708,2)=LEFT('112'!$M$9,2),B1708&lt;'112'!$N$8,$L1708='112'!$I$6)),"x",""))</f>
        <v/>
      </c>
      <c r="T1708" s="39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39" t="str">
        <f>IF(OR(TH!L1708=TH!$V$7,M1708=TH!$V$7),"x","")</f>
        <v/>
      </c>
      <c r="W1708" s="39" t="str">
        <f>IF(AND(B1708&gt;='IN-NX'!$P$3,B1708&lt;='IN-NX'!$Q$3,'IN-NX'!$D$7=D1708,OR(LEFT(L1708,2)="15",AND(LEFT(M1708,2)&lt;&gt;"15",LEFT(M1708,2)&lt;&gt;"33"))),"x","")</f>
        <v/>
      </c>
      <c r="X1708" s="39" t="str">
        <f>IF(AND(OR(LEFT(TH!L1708,2)="15",LEFT(TH!M1708,2)="15"),'152-CT'!$J$8=TH!F1708),"x","")</f>
        <v/>
      </c>
      <c r="Y1708" s="39" t="str">
        <f>IF(AND(OR(LEFT(TH!L1708,2)="15",LEFT(TH!M1708,2)="15"),TK!$E$7=TH!F1708),"x","")</f>
        <v/>
      </c>
      <c r="Z1708" s="39" t="str">
        <f>IF(AND(B1708&lt;=NKC!$N$8,B1708&gt;=NKC!$M$8),"x","")</f>
        <v/>
      </c>
      <c r="AA1708" s="886"/>
    </row>
    <row r="1709" spans="1:27" s="211" customFormat="1" ht="15.75" customHeight="1">
      <c r="A1709" s="204" t="str">
        <f>IF(B1709&lt;&gt;"",IF(AND(B1709&gt;=_TM1,B1709&lt;=_TM2,OR(TH!L1709="1111",TH!M1709="1111")),TH!D1709,""),"")</f>
        <v/>
      </c>
      <c r="B1709" s="36">
        <f t="shared" si="252"/>
        <v>1</v>
      </c>
      <c r="C1709" s="191">
        <f t="shared" si="250"/>
        <v>41285</v>
      </c>
      <c r="D1709" s="191"/>
      <c r="E1709" s="191">
        <v>41285</v>
      </c>
      <c r="F1709" s="189" t="s">
        <v>738</v>
      </c>
      <c r="G1709" s="604" t="s">
        <v>734</v>
      </c>
      <c r="H1709" s="7" t="s">
        <v>1293</v>
      </c>
      <c r="I1709" s="256"/>
      <c r="J1709" s="256"/>
      <c r="K1709" s="602">
        <f t="shared" si="253"/>
        <v>0</v>
      </c>
      <c r="L1709" s="39" t="s">
        <v>173</v>
      </c>
      <c r="M1709" s="39" t="s">
        <v>167</v>
      </c>
      <c r="N1709" s="39" t="str">
        <f>IF(AND('331-CT'!$E$7=TH!H1709,OR(L1709="331",M1709="331")),"331",IF(AND(OR(L1709="131",M1709="131"),H1709='131-CT'!$E$7),"131",""))</f>
        <v/>
      </c>
      <c r="O1709" s="39" t="str">
        <f>IF(AND($B1709&gt;='111'!$N$11,$B1709&lt;='111'!$O$11,OR($L1709=$O$7,$M1709=$O$7)),"x","")</f>
        <v/>
      </c>
      <c r="P1709" s="39" t="str">
        <f>IF(AND($L1709=$O$7,$B1709&lt;'111'!$N$11),"x","")</f>
        <v/>
      </c>
      <c r="Q1709" s="39" t="str">
        <f>IF(AND($M1709=$O$7,$B1709&lt;'111'!$N$11),"x","")</f>
        <v/>
      </c>
      <c r="R1709" s="39" t="str">
        <f>IF(ISERROR(FIND('112'!$M$9,G1709,1)),"",IF((AND(FIND('112'!$M$9,G1709,1)&gt;=1,$B1709&gt;='112'!$N$8,$B1709&lt;='112'!$O$8,OR($L1709='112'!$I$6,$M1709='112'!$I$6))),"x",""))</f>
        <v/>
      </c>
      <c r="S1709" s="39" t="str">
        <f>IF(ISERROR(FIND('112'!$M$9,G1709,1)),"",IF((AND(LEFT(G1709,2)=LEFT('112'!$M$9,2),B1709&lt;'112'!$N$8,$L1709='112'!$I$6)),"x",""))</f>
        <v/>
      </c>
      <c r="T1709" s="39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39" t="str">
        <f>IF(OR(TH!L1709=TH!$V$7,M1709=TH!$V$7),"x","")</f>
        <v/>
      </c>
      <c r="W1709" s="39" t="str">
        <f>IF(AND(B1709&gt;='IN-NX'!$P$3,B1709&lt;='IN-NX'!$Q$3,'IN-NX'!$D$7=D1709,OR(LEFT(L1709,2)="15",AND(LEFT(M1709,2)&lt;&gt;"15",LEFT(M1709,2)&lt;&gt;"33"))),"x","")</f>
        <v/>
      </c>
      <c r="X1709" s="39" t="str">
        <f>IF(AND(OR(LEFT(TH!L1709,2)="15",LEFT(TH!M1709,2)="15"),'152-CT'!$J$8=TH!F1709),"x","")</f>
        <v/>
      </c>
      <c r="Y1709" s="39" t="str">
        <f>IF(AND(OR(LEFT(TH!L1709,2)="15",LEFT(TH!M1709,2)="15"),TK!$E$7=TH!F1709),"x","")</f>
        <v/>
      </c>
      <c r="Z1709" s="39" t="str">
        <f>IF(AND(B1709&lt;=NKC!$N$8,B1709&gt;=NKC!$M$8),"x","")</f>
        <v/>
      </c>
      <c r="AA1709" s="886"/>
    </row>
    <row r="1710" spans="1:27" s="211" customFormat="1" ht="15.75" customHeight="1">
      <c r="A1710" s="204" t="str">
        <f>IF(B1710&lt;&gt;"",IF(AND(B1710&gt;=_TM1,B1710&lt;=_TM2,OR(TH!L1710="1111",TH!M1710="1111")),TH!D1710,""),"")</f>
        <v/>
      </c>
      <c r="B1710" s="36">
        <f t="shared" si="252"/>
        <v>1</v>
      </c>
      <c r="C1710" s="191">
        <f t="shared" si="250"/>
        <v>41285</v>
      </c>
      <c r="D1710" s="191"/>
      <c r="E1710" s="774">
        <v>41285</v>
      </c>
      <c r="F1710" s="40" t="s">
        <v>739</v>
      </c>
      <c r="G1710" s="40" t="s">
        <v>734</v>
      </c>
      <c r="H1710" s="7" t="s">
        <v>1293</v>
      </c>
      <c r="I1710" s="256"/>
      <c r="J1710" s="256"/>
      <c r="K1710" s="602">
        <f t="shared" si="253"/>
        <v>0</v>
      </c>
      <c r="L1710" s="39" t="s">
        <v>173</v>
      </c>
      <c r="M1710" s="39" t="s">
        <v>167</v>
      </c>
      <c r="N1710" s="39" t="str">
        <f>IF(AND('331-CT'!$E$7=TH!H1710,OR(L1710="331",M1710="331")),"331",IF(AND(OR(L1710="131",M1710="131"),H1710='131-CT'!$E$7),"131",""))</f>
        <v/>
      </c>
      <c r="O1710" s="39" t="str">
        <f>IF(AND($B1710&gt;='111'!$N$11,$B1710&lt;='111'!$O$11,OR($L1710=$O$7,$M1710=$O$7)),"x","")</f>
        <v/>
      </c>
      <c r="P1710" s="39" t="str">
        <f>IF(AND($L1710=$O$7,$B1710&lt;'111'!$N$11),"x","")</f>
        <v/>
      </c>
      <c r="Q1710" s="39" t="str">
        <f>IF(AND($M1710=$O$7,$B1710&lt;'111'!$N$11),"x","")</f>
        <v/>
      </c>
      <c r="R1710" s="39" t="str">
        <f>IF(ISERROR(FIND('112'!$M$9,G1710,1)),"",IF((AND(FIND('112'!$M$9,G1710,1)&gt;=1,$B1710&gt;='112'!$N$8,$B1710&lt;='112'!$O$8,OR($L1710='112'!$I$6,$M1710='112'!$I$6))),"x",""))</f>
        <v/>
      </c>
      <c r="S1710" s="39" t="str">
        <f>IF(ISERROR(FIND('112'!$M$9,G1710,1)),"",IF((AND(LEFT(G1710,2)=LEFT('112'!$M$9,2),B1710&lt;'112'!$N$8,$L1710='112'!$I$6)),"x",""))</f>
        <v/>
      </c>
      <c r="T1710" s="39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39" t="str">
        <f>IF(OR(TH!L1710=TH!$V$7,M1710=TH!$V$7),"x","")</f>
        <v/>
      </c>
      <c r="W1710" s="39" t="str">
        <f>IF(AND(B1710&gt;='IN-NX'!$P$3,B1710&lt;='IN-NX'!$Q$3,'IN-NX'!$D$7=D1710,OR(LEFT(L1710,2)="15",AND(LEFT(M1710,2)&lt;&gt;"15",LEFT(M1710,2)&lt;&gt;"33"))),"x","")</f>
        <v/>
      </c>
      <c r="X1710" s="39" t="str">
        <f>IF(AND(OR(LEFT(TH!L1710,2)="15",LEFT(TH!M1710,2)="15"),'152-CT'!$J$8=TH!F1710),"x","")</f>
        <v/>
      </c>
      <c r="Y1710" s="39" t="str">
        <f>IF(AND(OR(LEFT(TH!L1710,2)="15",LEFT(TH!M1710,2)="15"),TK!$E$7=TH!F1710),"x","")</f>
        <v/>
      </c>
      <c r="Z1710" s="39" t="str">
        <f>IF(AND(B1710&lt;=NKC!$N$8,B1710&gt;=NKC!$M$8),"x","")</f>
        <v/>
      </c>
      <c r="AA1710" s="886"/>
    </row>
    <row r="1711" spans="1:27" s="211" customFormat="1" ht="15.75" customHeight="1">
      <c r="A1711" s="204" t="str">
        <f>IF(B1711&lt;&gt;"",IF(AND(B1711&gt;=_TM1,B1711&lt;=_TM2,OR(TH!L1711="1111",TH!M1711="1111")),TH!D1711,""),"")</f>
        <v/>
      </c>
      <c r="B1711" s="36">
        <f t="shared" si="252"/>
        <v>1</v>
      </c>
      <c r="C1711" s="191">
        <f t="shared" si="250"/>
        <v>41285</v>
      </c>
      <c r="D1711" s="191"/>
      <c r="E1711" s="796">
        <v>41285</v>
      </c>
      <c r="F1711" s="192" t="s">
        <v>740</v>
      </c>
      <c r="G1711" s="487" t="s">
        <v>734</v>
      </c>
      <c r="H1711" s="7" t="s">
        <v>1293</v>
      </c>
      <c r="I1711" s="256"/>
      <c r="J1711" s="256"/>
      <c r="K1711" s="602">
        <f t="shared" si="253"/>
        <v>0</v>
      </c>
      <c r="L1711" s="39" t="s">
        <v>173</v>
      </c>
      <c r="M1711" s="39" t="s">
        <v>167</v>
      </c>
      <c r="N1711" s="39" t="str">
        <f>IF(AND('331-CT'!$E$7=TH!H1711,OR(L1711="331",M1711="331")),"331",IF(AND(OR(L1711="131",M1711="131"),H1711='131-CT'!$E$7),"131",""))</f>
        <v/>
      </c>
      <c r="O1711" s="39" t="str">
        <f>IF(AND($B1711&gt;='111'!$N$11,$B1711&lt;='111'!$O$11,OR($L1711=$O$7,$M1711=$O$7)),"x","")</f>
        <v/>
      </c>
      <c r="P1711" s="39" t="str">
        <f>IF(AND($L1711=$O$7,$B1711&lt;'111'!$N$11),"x","")</f>
        <v/>
      </c>
      <c r="Q1711" s="39" t="str">
        <f>IF(AND($M1711=$O$7,$B1711&lt;'111'!$N$11),"x","")</f>
        <v/>
      </c>
      <c r="R1711" s="39" t="str">
        <f>IF(ISERROR(FIND('112'!$M$9,G1711,1)),"",IF((AND(FIND('112'!$M$9,G1711,1)&gt;=1,$B1711&gt;='112'!$N$8,$B1711&lt;='112'!$O$8,OR($L1711='112'!$I$6,$M1711='112'!$I$6))),"x",""))</f>
        <v/>
      </c>
      <c r="S1711" s="39" t="str">
        <f>IF(ISERROR(FIND('112'!$M$9,G1711,1)),"",IF((AND(LEFT(G1711,2)=LEFT('112'!$M$9,2),B1711&lt;'112'!$N$8,$L1711='112'!$I$6)),"x",""))</f>
        <v/>
      </c>
      <c r="T1711" s="39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39" t="str">
        <f>IF(OR(TH!L1711=TH!$V$7,M1711=TH!$V$7),"x","")</f>
        <v/>
      </c>
      <c r="W1711" s="39" t="str">
        <f>IF(AND(B1711&gt;='IN-NX'!$P$3,B1711&lt;='IN-NX'!$Q$3,'IN-NX'!$D$7=D1711,OR(LEFT(L1711,2)="15",AND(LEFT(M1711,2)&lt;&gt;"15",LEFT(M1711,2)&lt;&gt;"33"))),"x","")</f>
        <v/>
      </c>
      <c r="X1711" s="39" t="str">
        <f>IF(AND(OR(LEFT(TH!L1711,2)="15",LEFT(TH!M1711,2)="15"),'152-CT'!$J$8=TH!F1711),"x","")</f>
        <v/>
      </c>
      <c r="Y1711" s="39" t="str">
        <f>IF(AND(OR(LEFT(TH!L1711,2)="15",LEFT(TH!M1711,2)="15"),TK!$E$7=TH!F1711),"x","")</f>
        <v/>
      </c>
      <c r="Z1711" s="39" t="str">
        <f>IF(AND(B1711&lt;=NKC!$N$8,B1711&gt;=NKC!$M$8),"x","")</f>
        <v/>
      </c>
      <c r="AA1711" s="886"/>
    </row>
    <row r="1712" spans="1:27" s="211" customFormat="1" ht="15.75" customHeight="1">
      <c r="A1712" s="204" t="str">
        <f>IF(B1712&lt;&gt;"",IF(AND(B1712&gt;=_TM1,B1712&lt;=_TM2,OR(TH!L1712="1111",TH!M1712="1111")),TH!D1712,""),"")</f>
        <v/>
      </c>
      <c r="B1712" s="36">
        <f t="shared" si="252"/>
        <v>1</v>
      </c>
      <c r="C1712" s="191">
        <f t="shared" si="250"/>
        <v>41288</v>
      </c>
      <c r="D1712" s="37"/>
      <c r="E1712" s="796">
        <v>41288</v>
      </c>
      <c r="F1712" s="192" t="s">
        <v>741</v>
      </c>
      <c r="G1712" s="487" t="s">
        <v>742</v>
      </c>
      <c r="H1712" s="7" t="s">
        <v>1293</v>
      </c>
      <c r="I1712" s="256"/>
      <c r="J1712" s="256"/>
      <c r="K1712" s="602">
        <f t="shared" si="253"/>
        <v>0</v>
      </c>
      <c r="L1712" s="39" t="s">
        <v>173</v>
      </c>
      <c r="M1712" s="39" t="s">
        <v>167</v>
      </c>
      <c r="N1712" s="39" t="str">
        <f>IF(AND('331-CT'!$E$7=TH!H1712,OR(L1712="331",M1712="331")),"331",IF(AND(OR(L1712="131",M1712="131"),H1712='131-CT'!$E$7),"131",""))</f>
        <v/>
      </c>
      <c r="O1712" s="39" t="str">
        <f>IF(AND($B1712&gt;='111'!$N$11,$B1712&lt;='111'!$O$11,OR($L1712=$O$7,$M1712=$O$7)),"x","")</f>
        <v/>
      </c>
      <c r="P1712" s="39" t="str">
        <f>IF(AND($L1712=$O$7,$B1712&lt;'111'!$N$11),"x","")</f>
        <v/>
      </c>
      <c r="Q1712" s="39" t="str">
        <f>IF(AND($M1712=$O$7,$B1712&lt;'111'!$N$11),"x","")</f>
        <v/>
      </c>
      <c r="R1712" s="39" t="str">
        <f>IF(ISERROR(FIND('112'!$M$9,G1712,1)),"",IF((AND(FIND('112'!$M$9,G1712,1)&gt;=1,$B1712&gt;='112'!$N$8,$B1712&lt;='112'!$O$8,OR($L1712='112'!$I$6,$M1712='112'!$I$6))),"x",""))</f>
        <v/>
      </c>
      <c r="S1712" s="39" t="str">
        <f>IF(ISERROR(FIND('112'!$M$9,G1712,1)),"",IF((AND(LEFT(G1712,2)=LEFT('112'!$M$9,2),B1712&lt;'112'!$N$8,$L1712='112'!$I$6)),"x",""))</f>
        <v/>
      </c>
      <c r="T1712" s="39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39" t="str">
        <f>IF(OR(TH!L1712=TH!$V$7,M1712=TH!$V$7),"x","")</f>
        <v/>
      </c>
      <c r="W1712" s="39" t="str">
        <f>IF(AND(B1712&gt;='IN-NX'!$P$3,B1712&lt;='IN-NX'!$Q$3,'IN-NX'!$D$7=D1712,OR(LEFT(L1712,2)="15",AND(LEFT(M1712,2)&lt;&gt;"15",LEFT(M1712,2)&lt;&gt;"33"))),"x","")</f>
        <v/>
      </c>
      <c r="X1712" s="39" t="str">
        <f>IF(AND(OR(LEFT(TH!L1712,2)="15",LEFT(TH!M1712,2)="15"),'152-CT'!$J$8=TH!F1712),"x","")</f>
        <v/>
      </c>
      <c r="Y1712" s="39" t="str">
        <f>IF(AND(OR(LEFT(TH!L1712,2)="15",LEFT(TH!M1712,2)="15"),TK!$E$7=TH!F1712),"x","")</f>
        <v/>
      </c>
      <c r="Z1712" s="39" t="str">
        <f>IF(AND(B1712&lt;=NKC!$N$8,B1712&gt;=NKC!$M$8),"x","")</f>
        <v/>
      </c>
      <c r="AA1712" s="886"/>
    </row>
    <row r="1713" spans="1:27" s="211" customFormat="1" ht="15.75" customHeight="1">
      <c r="A1713" s="204" t="str">
        <f>IF(B1713&lt;&gt;"",IF(AND(B1713&gt;=_TM1,B1713&lt;=_TM2,OR(TH!L1713="1111",TH!M1713="1111")),TH!D1713,""),"")</f>
        <v/>
      </c>
      <c r="B1713" s="36">
        <f t="shared" si="252"/>
        <v>1</v>
      </c>
      <c r="C1713" s="191">
        <f t="shared" si="250"/>
        <v>41290</v>
      </c>
      <c r="D1713" s="37"/>
      <c r="E1713" s="191">
        <v>41290</v>
      </c>
      <c r="F1713" s="297" t="s">
        <v>744</v>
      </c>
      <c r="G1713" s="487" t="s">
        <v>745</v>
      </c>
      <c r="H1713" s="7" t="s">
        <v>1293</v>
      </c>
      <c r="I1713" s="256"/>
      <c r="J1713" s="256"/>
      <c r="K1713" s="602">
        <f t="shared" si="253"/>
        <v>0</v>
      </c>
      <c r="L1713" s="39" t="s">
        <v>173</v>
      </c>
      <c r="M1713" s="39" t="s">
        <v>167</v>
      </c>
      <c r="N1713" s="39" t="str">
        <f>IF(AND('331-CT'!$E$7=TH!H1713,OR(L1713="331",M1713="331")),"331",IF(AND(OR(L1713="131",M1713="131"),H1713='131-CT'!$E$7),"131",""))</f>
        <v/>
      </c>
      <c r="O1713" s="39" t="str">
        <f>IF(AND($B1713&gt;='111'!$N$11,$B1713&lt;='111'!$O$11,OR($L1713=$O$7,$M1713=$O$7)),"x","")</f>
        <v/>
      </c>
      <c r="P1713" s="39" t="str">
        <f>IF(AND($L1713=$O$7,$B1713&lt;'111'!$N$11),"x","")</f>
        <v/>
      </c>
      <c r="Q1713" s="39" t="str">
        <f>IF(AND($M1713=$O$7,$B1713&lt;'111'!$N$11),"x","")</f>
        <v/>
      </c>
      <c r="R1713" s="39" t="str">
        <f>IF(ISERROR(FIND('112'!$M$9,G1713,1)),"",IF((AND(FIND('112'!$M$9,G1713,1)&gt;=1,$B1713&gt;='112'!$N$8,$B1713&lt;='112'!$O$8,OR($L1713='112'!$I$6,$M1713='112'!$I$6))),"x",""))</f>
        <v/>
      </c>
      <c r="S1713" s="39" t="str">
        <f>IF(ISERROR(FIND('112'!$M$9,G1713,1)),"",IF((AND(LEFT(G1713,2)=LEFT('112'!$M$9,2),B1713&lt;'112'!$N$8,$L1713='112'!$I$6)),"x",""))</f>
        <v/>
      </c>
      <c r="T1713" s="39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39" t="str">
        <f>IF(OR(TH!L1713=TH!$V$7,M1713=TH!$V$7),"x","")</f>
        <v/>
      </c>
      <c r="W1713" s="39" t="str">
        <f>IF(AND(B1713&gt;='IN-NX'!$P$3,B1713&lt;='IN-NX'!$Q$3,'IN-NX'!$D$7=D1713,OR(LEFT(L1713,2)="15",AND(LEFT(M1713,2)&lt;&gt;"15",LEFT(M1713,2)&lt;&gt;"33"))),"x","")</f>
        <v/>
      </c>
      <c r="X1713" s="39" t="str">
        <f>IF(AND(OR(LEFT(TH!L1713,2)="15",LEFT(TH!M1713,2)="15"),'152-CT'!$J$8=TH!F1713),"x","")</f>
        <v/>
      </c>
      <c r="Y1713" s="39" t="str">
        <f>IF(AND(OR(LEFT(TH!L1713,2)="15",LEFT(TH!M1713,2)="15"),TK!$E$7=TH!F1713),"x","")</f>
        <v/>
      </c>
      <c r="Z1713" s="39" t="str">
        <f>IF(AND(B1713&lt;=NKC!$N$8,B1713&gt;=NKC!$M$8),"x","")</f>
        <v/>
      </c>
      <c r="AA1713" s="886"/>
    </row>
    <row r="1714" spans="1:27" s="211" customFormat="1" ht="15.75" customHeight="1">
      <c r="A1714" s="204" t="str">
        <f>IF(B1714&lt;&gt;"",IF(AND(B1714&gt;=_TM1,B1714&lt;=_TM2,OR(TH!L1714="1111",TH!M1714="1111")),TH!D1714,""),"")</f>
        <v/>
      </c>
      <c r="B1714" s="36">
        <f t="shared" si="252"/>
        <v>1</v>
      </c>
      <c r="C1714" s="191">
        <f t="shared" si="250"/>
        <v>41292</v>
      </c>
      <c r="D1714" s="37"/>
      <c r="E1714" s="191">
        <v>41292</v>
      </c>
      <c r="F1714" s="297" t="s">
        <v>747</v>
      </c>
      <c r="G1714" s="487" t="s">
        <v>748</v>
      </c>
      <c r="H1714" s="7" t="s">
        <v>1293</v>
      </c>
      <c r="I1714" s="256"/>
      <c r="J1714" s="256"/>
      <c r="K1714" s="602">
        <f t="shared" si="253"/>
        <v>0</v>
      </c>
      <c r="L1714" s="39" t="s">
        <v>173</v>
      </c>
      <c r="M1714" s="39" t="s">
        <v>167</v>
      </c>
      <c r="N1714" s="39" t="str">
        <f>IF(AND('331-CT'!$E$7=TH!H1714,OR(L1714="331",M1714="331")),"331",IF(AND(OR(L1714="131",M1714="131"),H1714='131-CT'!$E$7),"131",""))</f>
        <v/>
      </c>
      <c r="O1714" s="39" t="str">
        <f>IF(AND($B1714&gt;='111'!$N$11,$B1714&lt;='111'!$O$11,OR($L1714=$O$7,$M1714=$O$7)),"x","")</f>
        <v/>
      </c>
      <c r="P1714" s="39" t="str">
        <f>IF(AND($L1714=$O$7,$B1714&lt;'111'!$N$11),"x","")</f>
        <v/>
      </c>
      <c r="Q1714" s="39" t="str">
        <f>IF(AND($M1714=$O$7,$B1714&lt;'111'!$N$11),"x","")</f>
        <v/>
      </c>
      <c r="R1714" s="39" t="str">
        <f>IF(ISERROR(FIND('112'!$M$9,G1714,1)),"",IF((AND(FIND('112'!$M$9,G1714,1)&gt;=1,$B1714&gt;='112'!$N$8,$B1714&lt;='112'!$O$8,OR($L1714='112'!$I$6,$M1714='112'!$I$6))),"x",""))</f>
        <v/>
      </c>
      <c r="S1714" s="39" t="str">
        <f>IF(ISERROR(FIND('112'!$M$9,G1714,1)),"",IF((AND(LEFT(G1714,2)=LEFT('112'!$M$9,2),B1714&lt;'112'!$N$8,$L1714='112'!$I$6)),"x",""))</f>
        <v/>
      </c>
      <c r="T1714" s="39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39" t="str">
        <f>IF(OR(TH!L1714=TH!$V$7,M1714=TH!$V$7),"x","")</f>
        <v/>
      </c>
      <c r="W1714" s="39" t="str">
        <f>IF(AND(B1714&gt;='IN-NX'!$P$3,B1714&lt;='IN-NX'!$Q$3,'IN-NX'!$D$7=D1714,OR(LEFT(L1714,2)="15",AND(LEFT(M1714,2)&lt;&gt;"15",LEFT(M1714,2)&lt;&gt;"33"))),"x","")</f>
        <v/>
      </c>
      <c r="X1714" s="39" t="str">
        <f>IF(AND(OR(LEFT(TH!L1714,2)="15",LEFT(TH!M1714,2)="15"),'152-CT'!$J$8=TH!F1714),"x","")</f>
        <v/>
      </c>
      <c r="Y1714" s="39" t="str">
        <f>IF(AND(OR(LEFT(TH!L1714,2)="15",LEFT(TH!M1714,2)="15"),TK!$E$7=TH!F1714),"x","")</f>
        <v/>
      </c>
      <c r="Z1714" s="39" t="str">
        <f>IF(AND(B1714&lt;=NKC!$N$8,B1714&gt;=NKC!$M$8),"x","")</f>
        <v/>
      </c>
      <c r="AA1714" s="886"/>
    </row>
    <row r="1715" spans="1:27" s="211" customFormat="1" ht="15.75" customHeight="1">
      <c r="A1715" s="204" t="str">
        <f>IF(B1715&lt;&gt;"",IF(AND(B1715&gt;=_TM1,B1715&lt;=_TM2,OR(TH!L1715="1111",TH!M1715="1111")),TH!D1715,""),"")</f>
        <v/>
      </c>
      <c r="B1715" s="36">
        <f t="shared" si="252"/>
        <v>1</v>
      </c>
      <c r="C1715" s="191">
        <f t="shared" si="250"/>
        <v>41292</v>
      </c>
      <c r="D1715" s="37"/>
      <c r="E1715" s="184">
        <v>41292</v>
      </c>
      <c r="F1715" s="189" t="s">
        <v>749</v>
      </c>
      <c r="G1715" s="604" t="s">
        <v>750</v>
      </c>
      <c r="H1715" s="7" t="s">
        <v>1293</v>
      </c>
      <c r="I1715" s="256"/>
      <c r="J1715" s="256"/>
      <c r="K1715" s="602">
        <f t="shared" si="253"/>
        <v>0</v>
      </c>
      <c r="L1715" s="39" t="s">
        <v>173</v>
      </c>
      <c r="M1715" s="39" t="s">
        <v>167</v>
      </c>
      <c r="N1715" s="39" t="str">
        <f>IF(AND('331-CT'!$E$7=TH!H1715,OR(L1715="331",M1715="331")),"331",IF(AND(OR(L1715="131",M1715="131"),H1715='131-CT'!$E$7),"131",""))</f>
        <v/>
      </c>
      <c r="O1715" s="39" t="str">
        <f>IF(AND($B1715&gt;='111'!$N$11,$B1715&lt;='111'!$O$11,OR($L1715=$O$7,$M1715=$O$7)),"x","")</f>
        <v/>
      </c>
      <c r="P1715" s="39" t="str">
        <f>IF(AND($L1715=$O$7,$B1715&lt;'111'!$N$11),"x","")</f>
        <v/>
      </c>
      <c r="Q1715" s="39" t="str">
        <f>IF(AND($M1715=$O$7,$B1715&lt;'111'!$N$11),"x","")</f>
        <v/>
      </c>
      <c r="R1715" s="39" t="str">
        <f>IF(ISERROR(FIND('112'!$M$9,G1715,1)),"",IF((AND(FIND('112'!$M$9,G1715,1)&gt;=1,$B1715&gt;='112'!$N$8,$B1715&lt;='112'!$O$8,OR($L1715='112'!$I$6,$M1715='112'!$I$6))),"x",""))</f>
        <v/>
      </c>
      <c r="S1715" s="39" t="str">
        <f>IF(ISERROR(FIND('112'!$M$9,G1715,1)),"",IF((AND(LEFT(G1715,2)=LEFT('112'!$M$9,2),B1715&lt;'112'!$N$8,$L1715='112'!$I$6)),"x",""))</f>
        <v/>
      </c>
      <c r="T1715" s="39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39" t="str">
        <f>IF(OR(TH!L1715=TH!$V$7,M1715=TH!$V$7),"x","")</f>
        <v/>
      </c>
      <c r="W1715" s="39" t="str">
        <f>IF(AND(B1715&gt;='IN-NX'!$P$3,B1715&lt;='IN-NX'!$Q$3,'IN-NX'!$D$7=D1715,OR(LEFT(L1715,2)="15",AND(LEFT(M1715,2)&lt;&gt;"15",LEFT(M1715,2)&lt;&gt;"33"))),"x","")</f>
        <v/>
      </c>
      <c r="X1715" s="39" t="str">
        <f>IF(AND(OR(LEFT(TH!L1715,2)="15",LEFT(TH!M1715,2)="15"),'152-CT'!$J$8=TH!F1715),"x","")</f>
        <v/>
      </c>
      <c r="Y1715" s="39" t="str">
        <f>IF(AND(OR(LEFT(TH!L1715,2)="15",LEFT(TH!M1715,2)="15"),TK!$E$7=TH!F1715),"x","")</f>
        <v/>
      </c>
      <c r="Z1715" s="39" t="str">
        <f>IF(AND(B1715&lt;=NKC!$N$8,B1715&gt;=NKC!$M$8),"x","")</f>
        <v/>
      </c>
      <c r="AA1715" s="886"/>
    </row>
    <row r="1716" spans="1:27" s="211" customFormat="1" ht="15.75" customHeight="1">
      <c r="A1716" s="204" t="str">
        <f>IF(B1716&lt;&gt;"",IF(AND(B1716&gt;=_TM1,B1716&lt;=_TM2,OR(TH!L1716="1111",TH!M1716="1111")),TH!D1716,""),"")</f>
        <v/>
      </c>
      <c r="B1716" s="36">
        <f t="shared" si="252"/>
        <v>1</v>
      </c>
      <c r="C1716" s="191">
        <f t="shared" si="250"/>
        <v>41292</v>
      </c>
      <c r="D1716" s="37"/>
      <c r="E1716" s="774">
        <v>41292</v>
      </c>
      <c r="F1716" s="189" t="s">
        <v>751</v>
      </c>
      <c r="G1716" s="40" t="s">
        <v>750</v>
      </c>
      <c r="H1716" s="7" t="s">
        <v>1293</v>
      </c>
      <c r="I1716" s="256"/>
      <c r="J1716" s="256"/>
      <c r="K1716" s="602">
        <f t="shared" si="253"/>
        <v>0</v>
      </c>
      <c r="L1716" s="39" t="s">
        <v>173</v>
      </c>
      <c r="M1716" s="39" t="s">
        <v>167</v>
      </c>
      <c r="N1716" s="39" t="str">
        <f>IF(AND('331-CT'!$E$7=TH!H1716,OR(L1716="331",M1716="331")),"331",IF(AND(OR(L1716="131",M1716="131"),H1716='131-CT'!$E$7),"131",""))</f>
        <v/>
      </c>
      <c r="O1716" s="39" t="str">
        <f>IF(AND($B1716&gt;='111'!$N$11,$B1716&lt;='111'!$O$11,OR($L1716=$O$7,$M1716=$O$7)),"x","")</f>
        <v/>
      </c>
      <c r="P1716" s="39" t="str">
        <f>IF(AND($L1716=$O$7,$B1716&lt;'111'!$N$11),"x","")</f>
        <v/>
      </c>
      <c r="Q1716" s="39" t="str">
        <f>IF(AND($M1716=$O$7,$B1716&lt;'111'!$N$11),"x","")</f>
        <v/>
      </c>
      <c r="R1716" s="39" t="str">
        <f>IF(ISERROR(FIND('112'!$M$9,G1716,1)),"",IF((AND(FIND('112'!$M$9,G1716,1)&gt;=1,$B1716&gt;='112'!$N$8,$B1716&lt;='112'!$O$8,OR($L1716='112'!$I$6,$M1716='112'!$I$6))),"x",""))</f>
        <v/>
      </c>
      <c r="S1716" s="39" t="str">
        <f>IF(ISERROR(FIND('112'!$M$9,G1716,1)),"",IF((AND(LEFT(G1716,2)=LEFT('112'!$M$9,2),B1716&lt;'112'!$N$8,$L1716='112'!$I$6)),"x",""))</f>
        <v/>
      </c>
      <c r="T1716" s="39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39" t="str">
        <f>IF(OR(TH!L1716=TH!$V$7,M1716=TH!$V$7),"x","")</f>
        <v/>
      </c>
      <c r="W1716" s="39" t="str">
        <f>IF(AND(B1716&gt;='IN-NX'!$P$3,B1716&lt;='IN-NX'!$Q$3,'IN-NX'!$D$7=D1716,OR(LEFT(L1716,2)="15",AND(LEFT(M1716,2)&lt;&gt;"15",LEFT(M1716,2)&lt;&gt;"33"))),"x","")</f>
        <v/>
      </c>
      <c r="X1716" s="39" t="str">
        <f>IF(AND(OR(LEFT(TH!L1716,2)="15",LEFT(TH!M1716,2)="15"),'152-CT'!$J$8=TH!F1716),"x","")</f>
        <v/>
      </c>
      <c r="Y1716" s="39" t="str">
        <f>IF(AND(OR(LEFT(TH!L1716,2)="15",LEFT(TH!M1716,2)="15"),TK!$E$7=TH!F1716),"x","")</f>
        <v/>
      </c>
      <c r="Z1716" s="39" t="str">
        <f>IF(AND(B1716&lt;=NKC!$N$8,B1716&gt;=NKC!$M$8),"x","")</f>
        <v/>
      </c>
      <c r="AA1716" s="886"/>
    </row>
    <row r="1717" spans="1:27" s="211" customFormat="1" ht="15.75" customHeight="1">
      <c r="A1717" s="204" t="str">
        <f>IF(B1717&lt;&gt;"",IF(AND(B1717&gt;=_TM1,B1717&lt;=_TM2,OR(TH!L1717="1111",TH!M1717="1111")),TH!D1717,""),"")</f>
        <v/>
      </c>
      <c r="B1717" s="36">
        <f t="shared" si="252"/>
        <v>1</v>
      </c>
      <c r="C1717" s="191">
        <f t="shared" si="250"/>
        <v>41293</v>
      </c>
      <c r="D1717" s="37"/>
      <c r="E1717" s="774">
        <v>41293</v>
      </c>
      <c r="F1717" s="40" t="s">
        <v>752</v>
      </c>
      <c r="G1717" s="40" t="s">
        <v>753</v>
      </c>
      <c r="H1717" s="7" t="s">
        <v>1293</v>
      </c>
      <c r="I1717" s="256"/>
      <c r="J1717" s="256"/>
      <c r="K1717" s="602">
        <f t="shared" si="253"/>
        <v>0</v>
      </c>
      <c r="L1717" s="39" t="s">
        <v>173</v>
      </c>
      <c r="M1717" s="39" t="s">
        <v>167</v>
      </c>
      <c r="N1717" s="39" t="str">
        <f>IF(AND('331-CT'!$E$7=TH!H1717,OR(L1717="331",M1717="331")),"331",IF(AND(OR(L1717="131",M1717="131"),H1717='131-CT'!$E$7),"131",""))</f>
        <v/>
      </c>
      <c r="O1717" s="39" t="str">
        <f>IF(AND($B1717&gt;='111'!$N$11,$B1717&lt;='111'!$O$11,OR($L1717=$O$7,$M1717=$O$7)),"x","")</f>
        <v/>
      </c>
      <c r="P1717" s="39" t="str">
        <f>IF(AND($L1717=$O$7,$B1717&lt;'111'!$N$11),"x","")</f>
        <v/>
      </c>
      <c r="Q1717" s="39" t="str">
        <f>IF(AND($M1717=$O$7,$B1717&lt;'111'!$N$11),"x","")</f>
        <v/>
      </c>
      <c r="R1717" s="39" t="str">
        <f>IF(ISERROR(FIND('112'!$M$9,G1717,1)),"",IF((AND(FIND('112'!$M$9,G1717,1)&gt;=1,$B1717&gt;='112'!$N$8,$B1717&lt;='112'!$O$8,OR($L1717='112'!$I$6,$M1717='112'!$I$6))),"x",""))</f>
        <v/>
      </c>
      <c r="S1717" s="39" t="str">
        <f>IF(ISERROR(FIND('112'!$M$9,G1717,1)),"",IF((AND(LEFT(G1717,2)=LEFT('112'!$M$9,2),B1717&lt;'112'!$N$8,$L1717='112'!$I$6)),"x",""))</f>
        <v/>
      </c>
      <c r="T1717" s="39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39" t="str">
        <f>IF(OR(TH!L1717=TH!$V$7,M1717=TH!$V$7),"x","")</f>
        <v/>
      </c>
      <c r="W1717" s="39" t="str">
        <f>IF(AND(B1717&gt;='IN-NX'!$P$3,B1717&lt;='IN-NX'!$Q$3,'IN-NX'!$D$7=D1717,OR(LEFT(L1717,2)="15",AND(LEFT(M1717,2)&lt;&gt;"15",LEFT(M1717,2)&lt;&gt;"33"))),"x","")</f>
        <v/>
      </c>
      <c r="X1717" s="39" t="str">
        <f>IF(AND(OR(LEFT(TH!L1717,2)="15",LEFT(TH!M1717,2)="15"),'152-CT'!$J$8=TH!F1717),"x","")</f>
        <v/>
      </c>
      <c r="Y1717" s="39" t="str">
        <f>IF(AND(OR(LEFT(TH!L1717,2)="15",LEFT(TH!M1717,2)="15"),TK!$E$7=TH!F1717),"x","")</f>
        <v/>
      </c>
      <c r="Z1717" s="39" t="str">
        <f>IF(AND(B1717&lt;=NKC!$N$8,B1717&gt;=NKC!$M$8),"x","")</f>
        <v/>
      </c>
      <c r="AA1717" s="886"/>
    </row>
    <row r="1718" spans="1:27" s="211" customFormat="1" ht="15.75" customHeight="1">
      <c r="A1718" s="204" t="str">
        <f>IF(B1718&lt;&gt;"",IF(AND(B1718&gt;=_TM1,B1718&lt;=_TM2,OR(TH!L1718="1111",TH!M1718="1111")),TH!D1718,""),"")</f>
        <v/>
      </c>
      <c r="B1718" s="36">
        <f t="shared" si="252"/>
        <v>1</v>
      </c>
      <c r="C1718" s="191">
        <f t="shared" si="250"/>
        <v>41293</v>
      </c>
      <c r="D1718" s="37"/>
      <c r="E1718" s="774">
        <v>41293</v>
      </c>
      <c r="F1718" s="189" t="s">
        <v>754</v>
      </c>
      <c r="G1718" s="40" t="s">
        <v>753</v>
      </c>
      <c r="H1718" s="7" t="s">
        <v>1293</v>
      </c>
      <c r="I1718" s="256"/>
      <c r="J1718" s="256"/>
      <c r="K1718" s="602">
        <f t="shared" si="253"/>
        <v>0</v>
      </c>
      <c r="L1718" s="39" t="s">
        <v>173</v>
      </c>
      <c r="M1718" s="39" t="s">
        <v>167</v>
      </c>
      <c r="N1718" s="39" t="str">
        <f>IF(AND('331-CT'!$E$7=TH!H1718,OR(L1718="331",M1718="331")),"331",IF(AND(OR(L1718="131",M1718="131"),H1718='131-CT'!$E$7),"131",""))</f>
        <v/>
      </c>
      <c r="O1718" s="39" t="str">
        <f>IF(AND($B1718&gt;='111'!$N$11,$B1718&lt;='111'!$O$11,OR($L1718=$O$7,$M1718=$O$7)),"x","")</f>
        <v/>
      </c>
      <c r="P1718" s="39" t="str">
        <f>IF(AND($L1718=$O$7,$B1718&lt;'111'!$N$11),"x","")</f>
        <v/>
      </c>
      <c r="Q1718" s="39" t="str">
        <f>IF(AND($M1718=$O$7,$B1718&lt;'111'!$N$11),"x","")</f>
        <v/>
      </c>
      <c r="R1718" s="39" t="str">
        <f>IF(ISERROR(FIND('112'!$M$9,G1718,1)),"",IF((AND(FIND('112'!$M$9,G1718,1)&gt;=1,$B1718&gt;='112'!$N$8,$B1718&lt;='112'!$O$8,OR($L1718='112'!$I$6,$M1718='112'!$I$6))),"x",""))</f>
        <v/>
      </c>
      <c r="S1718" s="39" t="str">
        <f>IF(ISERROR(FIND('112'!$M$9,G1718,1)),"",IF((AND(LEFT(G1718,2)=LEFT('112'!$M$9,2),B1718&lt;'112'!$N$8,$L1718='112'!$I$6)),"x",""))</f>
        <v/>
      </c>
      <c r="T1718" s="39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39" t="str">
        <f>IF(OR(TH!L1718=TH!$V$7,M1718=TH!$V$7),"x","")</f>
        <v/>
      </c>
      <c r="W1718" s="39" t="str">
        <f>IF(AND(B1718&gt;='IN-NX'!$P$3,B1718&lt;='IN-NX'!$Q$3,'IN-NX'!$D$7=D1718,OR(LEFT(L1718,2)="15",AND(LEFT(M1718,2)&lt;&gt;"15",LEFT(M1718,2)&lt;&gt;"33"))),"x","")</f>
        <v/>
      </c>
      <c r="X1718" s="39" t="str">
        <f>IF(AND(OR(LEFT(TH!L1718,2)="15",LEFT(TH!M1718,2)="15"),'152-CT'!$J$8=TH!F1718),"x","")</f>
        <v/>
      </c>
      <c r="Y1718" s="39" t="str">
        <f>IF(AND(OR(LEFT(TH!L1718,2)="15",LEFT(TH!M1718,2)="15"),TK!$E$7=TH!F1718),"x","")</f>
        <v/>
      </c>
      <c r="Z1718" s="39" t="str">
        <f>IF(AND(B1718&lt;=NKC!$N$8,B1718&gt;=NKC!$M$8),"x","")</f>
        <v/>
      </c>
      <c r="AA1718" s="886"/>
    </row>
    <row r="1719" spans="1:27" s="211" customFormat="1" ht="15.75" customHeight="1">
      <c r="A1719" s="204" t="str">
        <f>IF(B1719&lt;&gt;"",IF(AND(B1719&gt;=_TM1,B1719&lt;=_TM2,OR(TH!L1719="1111",TH!M1719="1111")),TH!D1719,""),"")</f>
        <v/>
      </c>
      <c r="B1719" s="36">
        <f t="shared" si="252"/>
        <v>1</v>
      </c>
      <c r="C1719" s="191">
        <f t="shared" si="250"/>
        <v>41293</v>
      </c>
      <c r="D1719" s="37"/>
      <c r="E1719" s="774">
        <v>41293</v>
      </c>
      <c r="F1719" s="40" t="s">
        <v>755</v>
      </c>
      <c r="G1719" s="40" t="s">
        <v>753</v>
      </c>
      <c r="H1719" s="7" t="s">
        <v>1293</v>
      </c>
      <c r="I1719" s="256"/>
      <c r="J1719" s="256"/>
      <c r="K1719" s="602">
        <f t="shared" si="253"/>
        <v>0</v>
      </c>
      <c r="L1719" s="39" t="s">
        <v>173</v>
      </c>
      <c r="M1719" s="39" t="s">
        <v>167</v>
      </c>
      <c r="N1719" s="39" t="str">
        <f>IF(AND('331-CT'!$E$7=TH!H1719,OR(L1719="331",M1719="331")),"331",IF(AND(OR(L1719="131",M1719="131"),H1719='131-CT'!$E$7),"131",""))</f>
        <v/>
      </c>
      <c r="O1719" s="39" t="str">
        <f>IF(AND($B1719&gt;='111'!$N$11,$B1719&lt;='111'!$O$11,OR($L1719=$O$7,$M1719=$O$7)),"x","")</f>
        <v/>
      </c>
      <c r="P1719" s="39" t="str">
        <f>IF(AND($L1719=$O$7,$B1719&lt;'111'!$N$11),"x","")</f>
        <v/>
      </c>
      <c r="Q1719" s="39" t="str">
        <f>IF(AND($M1719=$O$7,$B1719&lt;'111'!$N$11),"x","")</f>
        <v/>
      </c>
      <c r="R1719" s="39" t="str">
        <f>IF(ISERROR(FIND('112'!$M$9,G1719,1)),"",IF((AND(FIND('112'!$M$9,G1719,1)&gt;=1,$B1719&gt;='112'!$N$8,$B1719&lt;='112'!$O$8,OR($L1719='112'!$I$6,$M1719='112'!$I$6))),"x",""))</f>
        <v/>
      </c>
      <c r="S1719" s="39" t="str">
        <f>IF(ISERROR(FIND('112'!$M$9,G1719,1)),"",IF((AND(LEFT(G1719,2)=LEFT('112'!$M$9,2),B1719&lt;'112'!$N$8,$L1719='112'!$I$6)),"x",""))</f>
        <v/>
      </c>
      <c r="T1719" s="39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39" t="str">
        <f>IF(OR(TH!L1719=TH!$V$7,M1719=TH!$V$7),"x","")</f>
        <v/>
      </c>
      <c r="W1719" s="39" t="str">
        <f>IF(AND(B1719&gt;='IN-NX'!$P$3,B1719&lt;='IN-NX'!$Q$3,'IN-NX'!$D$7=D1719,OR(LEFT(L1719,2)="15",AND(LEFT(M1719,2)&lt;&gt;"15",LEFT(M1719,2)&lt;&gt;"33"))),"x","")</f>
        <v/>
      </c>
      <c r="X1719" s="39" t="str">
        <f>IF(AND(OR(LEFT(TH!L1719,2)="15",LEFT(TH!M1719,2)="15"),'152-CT'!$J$8=TH!F1719),"x","")</f>
        <v/>
      </c>
      <c r="Y1719" s="39" t="str">
        <f>IF(AND(OR(LEFT(TH!L1719,2)="15",LEFT(TH!M1719,2)="15"),TK!$E$7=TH!F1719),"x","")</f>
        <v/>
      </c>
      <c r="Z1719" s="39" t="str">
        <f>IF(AND(B1719&lt;=NKC!$N$8,B1719&gt;=NKC!$M$8),"x","")</f>
        <v/>
      </c>
      <c r="AA1719" s="886"/>
    </row>
    <row r="1720" spans="1:27" s="211" customFormat="1" ht="15.75" customHeight="1">
      <c r="A1720" s="204" t="str">
        <f>IF(B1720&lt;&gt;"",IF(AND(B1720&gt;=_TM1,B1720&lt;=_TM2,OR(TH!L1720="1111",TH!M1720="1111")),TH!D1720,""),"")</f>
        <v/>
      </c>
      <c r="B1720" s="36">
        <f t="shared" si="252"/>
        <v>1</v>
      </c>
      <c r="C1720" s="191">
        <f t="shared" si="250"/>
        <v>41293</v>
      </c>
      <c r="D1720" s="37"/>
      <c r="E1720" s="774">
        <v>41293</v>
      </c>
      <c r="F1720" s="189" t="s">
        <v>756</v>
      </c>
      <c r="G1720" s="40" t="s">
        <v>753</v>
      </c>
      <c r="H1720" s="7" t="s">
        <v>1293</v>
      </c>
      <c r="I1720" s="256"/>
      <c r="J1720" s="256"/>
      <c r="K1720" s="602">
        <f t="shared" si="253"/>
        <v>0</v>
      </c>
      <c r="L1720" s="39" t="s">
        <v>173</v>
      </c>
      <c r="M1720" s="39" t="s">
        <v>167</v>
      </c>
      <c r="N1720" s="39" t="str">
        <f>IF(AND('331-CT'!$E$7=TH!H1720,OR(L1720="331",M1720="331")),"331",IF(AND(OR(L1720="131",M1720="131"),H1720='131-CT'!$E$7),"131",""))</f>
        <v/>
      </c>
      <c r="O1720" s="39" t="str">
        <f>IF(AND($B1720&gt;='111'!$N$11,$B1720&lt;='111'!$O$11,OR($L1720=$O$7,$M1720=$O$7)),"x","")</f>
        <v/>
      </c>
      <c r="P1720" s="39" t="str">
        <f>IF(AND($L1720=$O$7,$B1720&lt;'111'!$N$11),"x","")</f>
        <v/>
      </c>
      <c r="Q1720" s="39" t="str">
        <f>IF(AND($M1720=$O$7,$B1720&lt;'111'!$N$11),"x","")</f>
        <v/>
      </c>
      <c r="R1720" s="39" t="str">
        <f>IF(ISERROR(FIND('112'!$M$9,G1720,1)),"",IF((AND(FIND('112'!$M$9,G1720,1)&gt;=1,$B1720&gt;='112'!$N$8,$B1720&lt;='112'!$O$8,OR($L1720='112'!$I$6,$M1720='112'!$I$6))),"x",""))</f>
        <v/>
      </c>
      <c r="S1720" s="39" t="str">
        <f>IF(ISERROR(FIND('112'!$M$9,G1720,1)),"",IF((AND(LEFT(G1720,2)=LEFT('112'!$M$9,2),B1720&lt;'112'!$N$8,$L1720='112'!$I$6)),"x",""))</f>
        <v/>
      </c>
      <c r="T1720" s="39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39" t="str">
        <f>IF(OR(TH!L1720=TH!$V$7,M1720=TH!$V$7),"x","")</f>
        <v/>
      </c>
      <c r="W1720" s="39" t="str">
        <f>IF(AND(B1720&gt;='IN-NX'!$P$3,B1720&lt;='IN-NX'!$Q$3,'IN-NX'!$D$7=D1720,OR(LEFT(L1720,2)="15",AND(LEFT(M1720,2)&lt;&gt;"15",LEFT(M1720,2)&lt;&gt;"33"))),"x","")</f>
        <v/>
      </c>
      <c r="X1720" s="39" t="str">
        <f>IF(AND(OR(LEFT(TH!L1720,2)="15",LEFT(TH!M1720,2)="15"),'152-CT'!$J$8=TH!F1720),"x","")</f>
        <v/>
      </c>
      <c r="Y1720" s="39" t="str">
        <f>IF(AND(OR(LEFT(TH!L1720,2)="15",LEFT(TH!M1720,2)="15"),TK!$E$7=TH!F1720),"x","")</f>
        <v/>
      </c>
      <c r="Z1720" s="39" t="str">
        <f>IF(AND(B1720&lt;=NKC!$N$8,B1720&gt;=NKC!$M$8),"x","")</f>
        <v/>
      </c>
      <c r="AA1720" s="886"/>
    </row>
    <row r="1721" spans="1:27" s="211" customFormat="1" ht="15.75" customHeight="1">
      <c r="A1721" s="204" t="str">
        <f>IF(B1721&lt;&gt;"",IF(AND(B1721&gt;=_TM1,B1721&lt;=_TM2,OR(TH!L1721="1111",TH!M1721="1111")),TH!D1721,""),"")</f>
        <v/>
      </c>
      <c r="B1721" s="36">
        <f t="shared" si="252"/>
        <v>1</v>
      </c>
      <c r="C1721" s="191">
        <f t="shared" si="250"/>
        <v>41297</v>
      </c>
      <c r="D1721" s="37"/>
      <c r="E1721" s="774">
        <v>41297</v>
      </c>
      <c r="F1721" s="189" t="s">
        <v>757</v>
      </c>
      <c r="G1721" s="40" t="s">
        <v>758</v>
      </c>
      <c r="H1721" s="7" t="s">
        <v>1293</v>
      </c>
      <c r="I1721" s="256"/>
      <c r="J1721" s="256"/>
      <c r="K1721" s="602">
        <f t="shared" si="253"/>
        <v>0</v>
      </c>
      <c r="L1721" s="39" t="s">
        <v>173</v>
      </c>
      <c r="M1721" s="39" t="s">
        <v>167</v>
      </c>
      <c r="N1721" s="39" t="str">
        <f>IF(AND('331-CT'!$E$7=TH!H1721,OR(L1721="331",M1721="331")),"331",IF(AND(OR(L1721="131",M1721="131"),H1721='131-CT'!$E$7),"131",""))</f>
        <v/>
      </c>
      <c r="O1721" s="39" t="str">
        <f>IF(AND($B1721&gt;='111'!$N$11,$B1721&lt;='111'!$O$11,OR($L1721=$O$7,$M1721=$O$7)),"x","")</f>
        <v/>
      </c>
      <c r="P1721" s="39" t="str">
        <f>IF(AND($L1721=$O$7,$B1721&lt;'111'!$N$11),"x","")</f>
        <v/>
      </c>
      <c r="Q1721" s="39" t="str">
        <f>IF(AND($M1721=$O$7,$B1721&lt;'111'!$N$11),"x","")</f>
        <v/>
      </c>
      <c r="R1721" s="39" t="str">
        <f>IF(ISERROR(FIND('112'!$M$9,G1721,1)),"",IF((AND(FIND('112'!$M$9,G1721,1)&gt;=1,$B1721&gt;='112'!$N$8,$B1721&lt;='112'!$O$8,OR($L1721='112'!$I$6,$M1721='112'!$I$6))),"x",""))</f>
        <v/>
      </c>
      <c r="S1721" s="39" t="str">
        <f>IF(ISERROR(FIND('112'!$M$9,G1721,1)),"",IF((AND(LEFT(G1721,2)=LEFT('112'!$M$9,2),B1721&lt;'112'!$N$8,$L1721='112'!$I$6)),"x",""))</f>
        <v/>
      </c>
      <c r="T1721" s="39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39" t="str">
        <f>IF(OR(TH!L1721=TH!$V$7,M1721=TH!$V$7),"x","")</f>
        <v/>
      </c>
      <c r="W1721" s="39" t="str">
        <f>IF(AND(B1721&gt;='IN-NX'!$P$3,B1721&lt;='IN-NX'!$Q$3,'IN-NX'!$D$7=D1721,OR(LEFT(L1721,2)="15",AND(LEFT(M1721,2)&lt;&gt;"15",LEFT(M1721,2)&lt;&gt;"33"))),"x","")</f>
        <v/>
      </c>
      <c r="X1721" s="39" t="str">
        <f>IF(AND(OR(LEFT(TH!L1721,2)="15",LEFT(TH!M1721,2)="15"),'152-CT'!$J$8=TH!F1721),"x","")</f>
        <v/>
      </c>
      <c r="Y1721" s="39" t="str">
        <f>IF(AND(OR(LEFT(TH!L1721,2)="15",LEFT(TH!M1721,2)="15"),TK!$E$7=TH!F1721),"x","")</f>
        <v/>
      </c>
      <c r="Z1721" s="39" t="str">
        <f>IF(AND(B1721&lt;=NKC!$N$8,B1721&gt;=NKC!$M$8),"x","")</f>
        <v/>
      </c>
      <c r="AA1721" s="886"/>
    </row>
    <row r="1722" spans="1:27" s="211" customFormat="1" ht="15.75" customHeight="1">
      <c r="A1722" s="204" t="str">
        <f>IF(B1722&lt;&gt;"",IF(AND(B1722&gt;=_TM1,B1722&lt;=_TM2,OR(TH!L1722="1111",TH!M1722="1111")),TH!D1722,""),"")</f>
        <v/>
      </c>
      <c r="B1722" s="36">
        <f t="shared" si="252"/>
        <v>1</v>
      </c>
      <c r="C1722" s="191">
        <f t="shared" si="250"/>
        <v>41303</v>
      </c>
      <c r="D1722" s="37"/>
      <c r="E1722" s="774">
        <v>41303</v>
      </c>
      <c r="F1722" s="189" t="s">
        <v>741</v>
      </c>
      <c r="G1722" s="40" t="s">
        <v>759</v>
      </c>
      <c r="H1722" s="7" t="s">
        <v>1293</v>
      </c>
      <c r="I1722" s="256"/>
      <c r="J1722" s="256"/>
      <c r="K1722" s="602">
        <f t="shared" si="253"/>
        <v>0</v>
      </c>
      <c r="L1722" s="39" t="s">
        <v>173</v>
      </c>
      <c r="M1722" s="39" t="s">
        <v>167</v>
      </c>
      <c r="N1722" s="39" t="str">
        <f>IF(AND('331-CT'!$E$7=TH!H1722,OR(L1722="331",M1722="331")),"331",IF(AND(OR(L1722="131",M1722="131"),H1722='131-CT'!$E$7),"131",""))</f>
        <v/>
      </c>
      <c r="O1722" s="39" t="str">
        <f>IF(AND($B1722&gt;='111'!$N$11,$B1722&lt;='111'!$O$11,OR($L1722=$O$7,$M1722=$O$7)),"x","")</f>
        <v/>
      </c>
      <c r="P1722" s="39" t="str">
        <f>IF(AND($L1722=$O$7,$B1722&lt;'111'!$N$11),"x","")</f>
        <v/>
      </c>
      <c r="Q1722" s="39" t="str">
        <f>IF(AND($M1722=$O$7,$B1722&lt;'111'!$N$11),"x","")</f>
        <v/>
      </c>
      <c r="R1722" s="39" t="str">
        <f>IF(ISERROR(FIND('112'!$M$9,G1722,1)),"",IF((AND(FIND('112'!$M$9,G1722,1)&gt;=1,$B1722&gt;='112'!$N$8,$B1722&lt;='112'!$O$8,OR($L1722='112'!$I$6,$M1722='112'!$I$6))),"x",""))</f>
        <v/>
      </c>
      <c r="S1722" s="39" t="str">
        <f>IF(ISERROR(FIND('112'!$M$9,G1722,1)),"",IF((AND(LEFT(G1722,2)=LEFT('112'!$M$9,2),B1722&lt;'112'!$N$8,$L1722='112'!$I$6)),"x",""))</f>
        <v/>
      </c>
      <c r="T1722" s="39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39" t="str">
        <f>IF(OR(TH!L1722=TH!$V$7,M1722=TH!$V$7),"x","")</f>
        <v/>
      </c>
      <c r="W1722" s="39" t="str">
        <f>IF(AND(B1722&gt;='IN-NX'!$P$3,B1722&lt;='IN-NX'!$Q$3,'IN-NX'!$D$7=D1722,OR(LEFT(L1722,2)="15",AND(LEFT(M1722,2)&lt;&gt;"15",LEFT(M1722,2)&lt;&gt;"33"))),"x","")</f>
        <v/>
      </c>
      <c r="X1722" s="39" t="str">
        <f>IF(AND(OR(LEFT(TH!L1722,2)="15",LEFT(TH!M1722,2)="15"),'152-CT'!$J$8=TH!F1722),"x","")</f>
        <v/>
      </c>
      <c r="Y1722" s="39" t="str">
        <f>IF(AND(OR(LEFT(TH!L1722,2)="15",LEFT(TH!M1722,2)="15"),TK!$E$7=TH!F1722),"x","")</f>
        <v/>
      </c>
      <c r="Z1722" s="39" t="str">
        <f>IF(AND(B1722&lt;=NKC!$N$8,B1722&gt;=NKC!$M$8),"x","")</f>
        <v/>
      </c>
      <c r="AA1722" s="886"/>
    </row>
    <row r="1723" spans="1:27" s="211" customFormat="1" ht="15.75" customHeight="1">
      <c r="A1723" s="204" t="str">
        <f>IF(B1723&lt;&gt;"",IF(AND(B1723&gt;=_TM1,B1723&lt;=_TM2,OR(TH!L1723="1111",TH!M1723="1111")),TH!D1723,""),"")</f>
        <v/>
      </c>
      <c r="B1723" s="36">
        <f t="shared" si="252"/>
        <v>1</v>
      </c>
      <c r="C1723" s="191">
        <f t="shared" si="250"/>
        <v>41303</v>
      </c>
      <c r="D1723" s="37"/>
      <c r="E1723" s="774">
        <v>41303</v>
      </c>
      <c r="F1723" s="189" t="s">
        <v>760</v>
      </c>
      <c r="G1723" s="40" t="s">
        <v>759</v>
      </c>
      <c r="H1723" s="7" t="s">
        <v>1293</v>
      </c>
      <c r="I1723" s="256"/>
      <c r="J1723" s="256"/>
      <c r="K1723" s="602">
        <f t="shared" si="253"/>
        <v>0</v>
      </c>
      <c r="L1723" s="39" t="s">
        <v>173</v>
      </c>
      <c r="M1723" s="39" t="s">
        <v>167</v>
      </c>
      <c r="N1723" s="39" t="str">
        <f>IF(AND('331-CT'!$E$7=TH!H1723,OR(L1723="331",M1723="331")),"331",IF(AND(OR(L1723="131",M1723="131"),H1723='131-CT'!$E$7),"131",""))</f>
        <v/>
      </c>
      <c r="O1723" s="39" t="str">
        <f>IF(AND($B1723&gt;='111'!$N$11,$B1723&lt;='111'!$O$11,OR($L1723=$O$7,$M1723=$O$7)),"x","")</f>
        <v/>
      </c>
      <c r="P1723" s="39" t="str">
        <f>IF(AND($L1723=$O$7,$B1723&lt;'111'!$N$11),"x","")</f>
        <v/>
      </c>
      <c r="Q1723" s="39" t="str">
        <f>IF(AND($M1723=$O$7,$B1723&lt;'111'!$N$11),"x","")</f>
        <v/>
      </c>
      <c r="R1723" s="39" t="str">
        <f>IF(ISERROR(FIND('112'!$M$9,G1723,1)),"",IF((AND(FIND('112'!$M$9,G1723,1)&gt;=1,$B1723&gt;='112'!$N$8,$B1723&lt;='112'!$O$8,OR($L1723='112'!$I$6,$M1723='112'!$I$6))),"x",""))</f>
        <v/>
      </c>
      <c r="S1723" s="39" t="str">
        <f>IF(ISERROR(FIND('112'!$M$9,G1723,1)),"",IF((AND(LEFT(G1723,2)=LEFT('112'!$M$9,2),B1723&lt;'112'!$N$8,$L1723='112'!$I$6)),"x",""))</f>
        <v/>
      </c>
      <c r="T1723" s="39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39" t="str">
        <f>IF(OR(TH!L1723=TH!$V$7,M1723=TH!$V$7),"x","")</f>
        <v/>
      </c>
      <c r="W1723" s="39" t="str">
        <f>IF(AND(B1723&gt;='IN-NX'!$P$3,B1723&lt;='IN-NX'!$Q$3,'IN-NX'!$D$7=D1723,OR(LEFT(L1723,2)="15",AND(LEFT(M1723,2)&lt;&gt;"15",LEFT(M1723,2)&lt;&gt;"33"))),"x","")</f>
        <v/>
      </c>
      <c r="X1723" s="39" t="str">
        <f>IF(AND(OR(LEFT(TH!L1723,2)="15",LEFT(TH!M1723,2)="15"),'152-CT'!$J$8=TH!F1723),"x","")</f>
        <v/>
      </c>
      <c r="Y1723" s="39" t="str">
        <f>IF(AND(OR(LEFT(TH!L1723,2)="15",LEFT(TH!M1723,2)="15"),TK!$E$7=TH!F1723),"x","")</f>
        <v/>
      </c>
      <c r="Z1723" s="39" t="str">
        <f>IF(AND(B1723&lt;=NKC!$N$8,B1723&gt;=NKC!$M$8),"x","")</f>
        <v/>
      </c>
      <c r="AA1723" s="886"/>
    </row>
    <row r="1724" spans="1:27" s="211" customFormat="1" ht="15.75" customHeight="1">
      <c r="A1724" s="204" t="str">
        <f>IF(B1724&lt;&gt;"",IF(AND(B1724&gt;=_TM1,B1724&lt;=_TM2,OR(TH!L1724="1111",TH!M1724="1111")),TH!D1724,""),"")</f>
        <v/>
      </c>
      <c r="B1724" s="36">
        <f t="shared" si="252"/>
        <v>1</v>
      </c>
      <c r="C1724" s="191">
        <f t="shared" si="250"/>
        <v>41303</v>
      </c>
      <c r="D1724" s="37"/>
      <c r="E1724" s="774">
        <v>41303</v>
      </c>
      <c r="F1724" s="189" t="s">
        <v>752</v>
      </c>
      <c r="G1724" s="40" t="s">
        <v>761</v>
      </c>
      <c r="H1724" s="7" t="s">
        <v>1293</v>
      </c>
      <c r="I1724" s="256"/>
      <c r="J1724" s="256"/>
      <c r="K1724" s="602">
        <f t="shared" si="253"/>
        <v>0</v>
      </c>
      <c r="L1724" s="39" t="s">
        <v>173</v>
      </c>
      <c r="M1724" s="39" t="s">
        <v>167</v>
      </c>
      <c r="N1724" s="39" t="str">
        <f>IF(AND('331-CT'!$E$7=TH!H1724,OR(L1724="331",M1724="331")),"331",IF(AND(OR(L1724="131",M1724="131"),H1724='131-CT'!$E$7),"131",""))</f>
        <v/>
      </c>
      <c r="O1724" s="39" t="str">
        <f>IF(AND($B1724&gt;='111'!$N$11,$B1724&lt;='111'!$O$11,OR($L1724=$O$7,$M1724=$O$7)),"x","")</f>
        <v/>
      </c>
      <c r="P1724" s="39" t="str">
        <f>IF(AND($L1724=$O$7,$B1724&lt;'111'!$N$11),"x","")</f>
        <v/>
      </c>
      <c r="Q1724" s="39" t="str">
        <f>IF(AND($M1724=$O$7,$B1724&lt;'111'!$N$11),"x","")</f>
        <v/>
      </c>
      <c r="R1724" s="39" t="str">
        <f>IF(ISERROR(FIND('112'!$M$9,G1724,1)),"",IF((AND(FIND('112'!$M$9,G1724,1)&gt;=1,$B1724&gt;='112'!$N$8,$B1724&lt;='112'!$O$8,OR($L1724='112'!$I$6,$M1724='112'!$I$6))),"x",""))</f>
        <v/>
      </c>
      <c r="S1724" s="39" t="str">
        <f>IF(ISERROR(FIND('112'!$M$9,G1724,1)),"",IF((AND(LEFT(G1724,2)=LEFT('112'!$M$9,2),B1724&lt;'112'!$N$8,$L1724='112'!$I$6)),"x",""))</f>
        <v/>
      </c>
      <c r="T1724" s="39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39" t="str">
        <f>IF(OR(TH!L1724=TH!$V$7,M1724=TH!$V$7),"x","")</f>
        <v/>
      </c>
      <c r="W1724" s="39" t="str">
        <f>IF(AND(B1724&gt;='IN-NX'!$P$3,B1724&lt;='IN-NX'!$Q$3,'IN-NX'!$D$7=D1724,OR(LEFT(L1724,2)="15",AND(LEFT(M1724,2)&lt;&gt;"15",LEFT(M1724,2)&lt;&gt;"33"))),"x","")</f>
        <v/>
      </c>
      <c r="X1724" s="39" t="str">
        <f>IF(AND(OR(LEFT(TH!L1724,2)="15",LEFT(TH!M1724,2)="15"),'152-CT'!$J$8=TH!F1724),"x","")</f>
        <v/>
      </c>
      <c r="Y1724" s="39" t="str">
        <f>IF(AND(OR(LEFT(TH!L1724,2)="15",LEFT(TH!M1724,2)="15"),TK!$E$7=TH!F1724),"x","")</f>
        <v/>
      </c>
      <c r="Z1724" s="39" t="str">
        <f>IF(AND(B1724&lt;=NKC!$N$8,B1724&gt;=NKC!$M$8),"x","")</f>
        <v/>
      </c>
      <c r="AA1724" s="886"/>
    </row>
    <row r="1725" spans="1:27" s="211" customFormat="1" ht="15.75" customHeight="1">
      <c r="A1725" s="204" t="str">
        <f>IF(B1725&lt;&gt;"",IF(AND(B1725&gt;=_TM1,B1725&lt;=_TM2,OR(TH!L1725="1111",TH!M1725="1111")),TH!D1725,""),"")</f>
        <v/>
      </c>
      <c r="B1725" s="36">
        <f t="shared" si="252"/>
        <v>1</v>
      </c>
      <c r="C1725" s="191">
        <f t="shared" si="250"/>
        <v>41303</v>
      </c>
      <c r="D1725" s="37"/>
      <c r="E1725" s="191">
        <v>41303</v>
      </c>
      <c r="F1725" s="192" t="s">
        <v>757</v>
      </c>
      <c r="G1725" s="487" t="s">
        <v>762</v>
      </c>
      <c r="H1725" s="7" t="s">
        <v>1293</v>
      </c>
      <c r="I1725" s="256"/>
      <c r="J1725" s="256"/>
      <c r="K1725" s="602">
        <f t="shared" si="253"/>
        <v>0</v>
      </c>
      <c r="L1725" s="39" t="s">
        <v>173</v>
      </c>
      <c r="M1725" s="39" t="s">
        <v>167</v>
      </c>
      <c r="N1725" s="39" t="str">
        <f>IF(AND('331-CT'!$E$7=TH!H1725,OR(L1725="331",M1725="331")),"331",IF(AND(OR(L1725="131",M1725="131"),H1725='131-CT'!$E$7),"131",""))</f>
        <v/>
      </c>
      <c r="O1725" s="39" t="str">
        <f>IF(AND($B1725&gt;='111'!$N$11,$B1725&lt;='111'!$O$11,OR($L1725=$O$7,$M1725=$O$7)),"x","")</f>
        <v/>
      </c>
      <c r="P1725" s="39" t="str">
        <f>IF(AND($L1725=$O$7,$B1725&lt;'111'!$N$11),"x","")</f>
        <v/>
      </c>
      <c r="Q1725" s="39" t="str">
        <f>IF(AND($M1725=$O$7,$B1725&lt;'111'!$N$11),"x","")</f>
        <v/>
      </c>
      <c r="R1725" s="39" t="str">
        <f>IF(ISERROR(FIND('112'!$M$9,G1725,1)),"",IF((AND(FIND('112'!$M$9,G1725,1)&gt;=1,$B1725&gt;='112'!$N$8,$B1725&lt;='112'!$O$8,OR($L1725='112'!$I$6,$M1725='112'!$I$6))),"x",""))</f>
        <v/>
      </c>
      <c r="S1725" s="39" t="str">
        <f>IF(ISERROR(FIND('112'!$M$9,G1725,1)),"",IF((AND(LEFT(G1725,2)=LEFT('112'!$M$9,2),B1725&lt;'112'!$N$8,$L1725='112'!$I$6)),"x",""))</f>
        <v/>
      </c>
      <c r="T1725" s="39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39" t="str">
        <f>IF(OR(TH!L1725=TH!$V$7,M1725=TH!$V$7),"x","")</f>
        <v/>
      </c>
      <c r="W1725" s="39" t="str">
        <f>IF(AND(B1725&gt;='IN-NX'!$P$3,B1725&lt;='IN-NX'!$Q$3,'IN-NX'!$D$7=D1725,OR(LEFT(L1725,2)="15",AND(LEFT(M1725,2)&lt;&gt;"15",LEFT(M1725,2)&lt;&gt;"33"))),"x","")</f>
        <v/>
      </c>
      <c r="X1725" s="39" t="str">
        <f>IF(AND(OR(LEFT(TH!L1725,2)="15",LEFT(TH!M1725,2)="15"),'152-CT'!$J$8=TH!F1725),"x","")</f>
        <v/>
      </c>
      <c r="Y1725" s="39" t="str">
        <f>IF(AND(OR(LEFT(TH!L1725,2)="15",LEFT(TH!M1725,2)="15"),TK!$E$7=TH!F1725),"x","")</f>
        <v/>
      </c>
      <c r="Z1725" s="39" t="str">
        <f>IF(AND(B1725&lt;=NKC!$N$8,B1725&gt;=NKC!$M$8),"x","")</f>
        <v/>
      </c>
      <c r="AA1725" s="886"/>
    </row>
    <row r="1726" spans="1:27" s="211" customFormat="1" ht="15.75" customHeight="1">
      <c r="A1726" s="204" t="str">
        <f>IF(B1726&lt;&gt;"",IF(AND(B1726&gt;=_TM1,B1726&lt;=_TM2,OR(TH!L1726="1111",TH!M1726="1111")),TH!D1726,""),"")</f>
        <v/>
      </c>
      <c r="B1726" s="36">
        <f t="shared" si="252"/>
        <v>1</v>
      </c>
      <c r="C1726" s="191">
        <f t="shared" si="250"/>
        <v>41305</v>
      </c>
      <c r="D1726" s="37"/>
      <c r="E1726" s="191">
        <v>41305</v>
      </c>
      <c r="F1726" s="192" t="s">
        <v>731</v>
      </c>
      <c r="G1726" s="487" t="s">
        <v>763</v>
      </c>
      <c r="H1726" s="7" t="s">
        <v>1293</v>
      </c>
      <c r="I1726" s="256"/>
      <c r="J1726" s="256"/>
      <c r="K1726" s="602">
        <f t="shared" si="253"/>
        <v>0</v>
      </c>
      <c r="L1726" s="39" t="s">
        <v>173</v>
      </c>
      <c r="M1726" s="39" t="s">
        <v>167</v>
      </c>
      <c r="N1726" s="39" t="str">
        <f>IF(AND('331-CT'!$E$7=TH!H1726,OR(L1726="331",M1726="331")),"331",IF(AND(OR(L1726="131",M1726="131"),H1726='131-CT'!$E$7),"131",""))</f>
        <v/>
      </c>
      <c r="O1726" s="39" t="str">
        <f>IF(AND($B1726&gt;='111'!$N$11,$B1726&lt;='111'!$O$11,OR($L1726=$O$7,$M1726=$O$7)),"x","")</f>
        <v/>
      </c>
      <c r="P1726" s="39" t="str">
        <f>IF(AND($L1726=$O$7,$B1726&lt;'111'!$N$11),"x","")</f>
        <v/>
      </c>
      <c r="Q1726" s="39" t="str">
        <f>IF(AND($M1726=$O$7,$B1726&lt;'111'!$N$11),"x","")</f>
        <v/>
      </c>
      <c r="R1726" s="39" t="str">
        <f>IF(ISERROR(FIND('112'!$M$9,G1726,1)),"",IF((AND(FIND('112'!$M$9,G1726,1)&gt;=1,$B1726&gt;='112'!$N$8,$B1726&lt;='112'!$O$8,OR($L1726='112'!$I$6,$M1726='112'!$I$6))),"x",""))</f>
        <v/>
      </c>
      <c r="S1726" s="39" t="str">
        <f>IF(ISERROR(FIND('112'!$M$9,G1726,1)),"",IF((AND(LEFT(G1726,2)=LEFT('112'!$M$9,2),B1726&lt;'112'!$N$8,$L1726='112'!$I$6)),"x",""))</f>
        <v/>
      </c>
      <c r="T1726" s="39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39" t="str">
        <f>IF(OR(TH!L1726=TH!$V$7,M1726=TH!$V$7),"x","")</f>
        <v/>
      </c>
      <c r="W1726" s="39" t="str">
        <f>IF(AND(B1726&gt;='IN-NX'!$P$3,B1726&lt;='IN-NX'!$Q$3,'IN-NX'!$D$7=D1726,OR(LEFT(L1726,2)="15",AND(LEFT(M1726,2)&lt;&gt;"15",LEFT(M1726,2)&lt;&gt;"33"))),"x","")</f>
        <v/>
      </c>
      <c r="X1726" s="39" t="str">
        <f>IF(AND(OR(LEFT(TH!L1726,2)="15",LEFT(TH!M1726,2)="15"),'152-CT'!$J$8=TH!F1726),"x","")</f>
        <v/>
      </c>
      <c r="Y1726" s="39" t="str">
        <f>IF(AND(OR(LEFT(TH!L1726,2)="15",LEFT(TH!M1726,2)="15"),TK!$E$7=TH!F1726),"x","")</f>
        <v/>
      </c>
      <c r="Z1726" s="39" t="str">
        <f>IF(AND(B1726&lt;=NKC!$N$8,B1726&gt;=NKC!$M$8),"x","")</f>
        <v/>
      </c>
      <c r="AA1726" s="886"/>
    </row>
    <row r="1727" spans="1:27" s="211" customFormat="1" ht="15.75" customHeight="1">
      <c r="A1727" s="204" t="str">
        <f>IF(B1727&lt;&gt;"",IF(AND(B1727&gt;=_TM1,B1727&lt;=_TM2,OR(TH!L1727="1111",TH!M1727="1111")),TH!D1727,""),"")</f>
        <v/>
      </c>
      <c r="B1727" s="36">
        <f t="shared" si="252"/>
        <v>1</v>
      </c>
      <c r="C1727" s="191">
        <f t="shared" si="250"/>
        <v>41305</v>
      </c>
      <c r="D1727" s="37"/>
      <c r="E1727" s="774">
        <v>41305</v>
      </c>
      <c r="F1727" s="40" t="s">
        <v>764</v>
      </c>
      <c r="G1727" s="40" t="s">
        <v>765</v>
      </c>
      <c r="H1727" s="7" t="s">
        <v>1293</v>
      </c>
      <c r="I1727" s="256"/>
      <c r="J1727" s="256"/>
      <c r="K1727" s="602">
        <f t="shared" si="253"/>
        <v>0</v>
      </c>
      <c r="L1727" s="39" t="s">
        <v>173</v>
      </c>
      <c r="M1727" s="39" t="s">
        <v>167</v>
      </c>
      <c r="N1727" s="39" t="str">
        <f>IF(AND('331-CT'!$E$7=TH!H1727,OR(L1727="331",M1727="331")),"331",IF(AND(OR(L1727="131",M1727="131"),H1727='131-CT'!$E$7),"131",""))</f>
        <v/>
      </c>
      <c r="O1727" s="39" t="str">
        <f>IF(AND($B1727&gt;='111'!$N$11,$B1727&lt;='111'!$O$11,OR($L1727=$O$7,$M1727=$O$7)),"x","")</f>
        <v/>
      </c>
      <c r="P1727" s="39" t="str">
        <f>IF(AND($L1727=$O$7,$B1727&lt;'111'!$N$11),"x","")</f>
        <v/>
      </c>
      <c r="Q1727" s="39" t="str">
        <f>IF(AND($M1727=$O$7,$B1727&lt;'111'!$N$11),"x","")</f>
        <v/>
      </c>
      <c r="R1727" s="39" t="str">
        <f>IF(ISERROR(FIND('112'!$M$9,G1727,1)),"",IF((AND(FIND('112'!$M$9,G1727,1)&gt;=1,$B1727&gt;='112'!$N$8,$B1727&lt;='112'!$O$8,OR($L1727='112'!$I$6,$M1727='112'!$I$6))),"x",""))</f>
        <v/>
      </c>
      <c r="S1727" s="39" t="str">
        <f>IF(ISERROR(FIND('112'!$M$9,G1727,1)),"",IF((AND(LEFT(G1727,2)=LEFT('112'!$M$9,2),B1727&lt;'112'!$N$8,$L1727='112'!$I$6)),"x",""))</f>
        <v/>
      </c>
      <c r="T1727" s="39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39" t="str">
        <f>IF(OR(TH!L1727=TH!$V$7,M1727=TH!$V$7),"x","")</f>
        <v/>
      </c>
      <c r="W1727" s="39" t="str">
        <f>IF(AND(B1727&gt;='IN-NX'!$P$3,B1727&lt;='IN-NX'!$Q$3,'IN-NX'!$D$7=D1727,OR(LEFT(L1727,2)="15",AND(LEFT(M1727,2)&lt;&gt;"15",LEFT(M1727,2)&lt;&gt;"33"))),"x","")</f>
        <v/>
      </c>
      <c r="X1727" s="39" t="str">
        <f>IF(AND(OR(LEFT(TH!L1727,2)="15",LEFT(TH!M1727,2)="15"),'152-CT'!$J$8=TH!F1727),"x","")</f>
        <v/>
      </c>
      <c r="Y1727" s="39" t="str">
        <f>IF(AND(OR(LEFT(TH!L1727,2)="15",LEFT(TH!M1727,2)="15"),TK!$E$7=TH!F1727),"x","")</f>
        <v/>
      </c>
      <c r="Z1727" s="39" t="str">
        <f>IF(AND(B1727&lt;=NKC!$N$8,B1727&gt;=NKC!$M$8),"x","")</f>
        <v/>
      </c>
      <c r="AA1727" s="886"/>
    </row>
    <row r="1728" spans="1:27" s="211" customFormat="1" ht="15.75" customHeight="1">
      <c r="A1728" s="204" t="str">
        <f>IF(B1728&lt;&gt;"",IF(AND(B1728&gt;=_TM1,B1728&lt;=_TM2,OR(TH!L1728="1111",TH!M1728="1111")),TH!D1728,""),"")</f>
        <v/>
      </c>
      <c r="B1728" s="36">
        <f t="shared" si="252"/>
        <v>2</v>
      </c>
      <c r="C1728" s="191">
        <f t="shared" si="250"/>
        <v>41328</v>
      </c>
      <c r="D1728" s="37"/>
      <c r="E1728" s="774">
        <v>41328</v>
      </c>
      <c r="F1728" s="189" t="s">
        <v>766</v>
      </c>
      <c r="G1728" s="40" t="s">
        <v>767</v>
      </c>
      <c r="H1728" s="7" t="s">
        <v>1293</v>
      </c>
      <c r="I1728" s="256"/>
      <c r="J1728" s="256"/>
      <c r="K1728" s="602">
        <f t="shared" si="253"/>
        <v>0</v>
      </c>
      <c r="L1728" s="39" t="s">
        <v>173</v>
      </c>
      <c r="M1728" s="39" t="s">
        <v>167</v>
      </c>
      <c r="N1728" s="39" t="str">
        <f>IF(AND('331-CT'!$E$7=TH!H1728,OR(L1728="331",M1728="331")),"331",IF(AND(OR(L1728="131",M1728="131"),H1728='131-CT'!$E$7),"131",""))</f>
        <v/>
      </c>
      <c r="O1728" s="39" t="str">
        <f>IF(AND($B1728&gt;='111'!$N$11,$B1728&lt;='111'!$O$11,OR($L1728=$O$7,$M1728=$O$7)),"x","")</f>
        <v/>
      </c>
      <c r="P1728" s="39" t="str">
        <f>IF(AND($L1728=$O$7,$B1728&lt;'111'!$N$11),"x","")</f>
        <v/>
      </c>
      <c r="Q1728" s="39" t="str">
        <f>IF(AND($M1728=$O$7,$B1728&lt;'111'!$N$11),"x","")</f>
        <v/>
      </c>
      <c r="R1728" s="39" t="str">
        <f>IF(ISERROR(FIND('112'!$M$9,G1728,1)),"",IF((AND(FIND('112'!$M$9,G1728,1)&gt;=1,$B1728&gt;='112'!$N$8,$B1728&lt;='112'!$O$8,OR($L1728='112'!$I$6,$M1728='112'!$I$6))),"x",""))</f>
        <v/>
      </c>
      <c r="S1728" s="39" t="str">
        <f>IF(ISERROR(FIND('112'!$M$9,G1728,1)),"",IF((AND(LEFT(G1728,2)=LEFT('112'!$M$9,2),B1728&lt;'112'!$N$8,$L1728='112'!$I$6)),"x",""))</f>
        <v/>
      </c>
      <c r="T1728" s="39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39" t="str">
        <f>IF(OR(TH!L1728=TH!$V$7,M1728=TH!$V$7),"x","")</f>
        <v/>
      </c>
      <c r="W1728" s="39" t="str">
        <f>IF(AND(B1728&gt;='IN-NX'!$P$3,B1728&lt;='IN-NX'!$Q$3,'IN-NX'!$D$7=D1728,OR(LEFT(L1728,2)="15",AND(LEFT(M1728,2)&lt;&gt;"15",LEFT(M1728,2)&lt;&gt;"33"))),"x","")</f>
        <v/>
      </c>
      <c r="X1728" s="39" t="str">
        <f>IF(AND(OR(LEFT(TH!L1728,2)="15",LEFT(TH!M1728,2)="15"),'152-CT'!$J$8=TH!F1728),"x","")</f>
        <v/>
      </c>
      <c r="Y1728" s="39" t="str">
        <f>IF(AND(OR(LEFT(TH!L1728,2)="15",LEFT(TH!M1728,2)="15"),TK!$E$7=TH!F1728),"x","")</f>
        <v/>
      </c>
      <c r="Z1728" s="39" t="str">
        <f>IF(AND(B1728&lt;=NKC!$N$8,B1728&gt;=NKC!$M$8),"x","")</f>
        <v/>
      </c>
      <c r="AA1728" s="886"/>
    </row>
    <row r="1729" spans="1:27" s="211" customFormat="1" ht="15.75" customHeight="1">
      <c r="A1729" s="204" t="str">
        <f>IF(B1729&lt;&gt;"",IF(AND(B1729&gt;=_TM1,B1729&lt;=_TM2,OR(TH!L1729="1111",TH!M1729="1111")),TH!D1729,""),"")</f>
        <v/>
      </c>
      <c r="B1729" s="36">
        <f t="shared" si="252"/>
        <v>3</v>
      </c>
      <c r="C1729" s="191">
        <f t="shared" si="250"/>
        <v>41337</v>
      </c>
      <c r="D1729" s="37"/>
      <c r="E1729" s="774">
        <v>41337</v>
      </c>
      <c r="F1729" s="189" t="s">
        <v>768</v>
      </c>
      <c r="G1729" s="40" t="s">
        <v>769</v>
      </c>
      <c r="H1729" s="7" t="s">
        <v>1293</v>
      </c>
      <c r="I1729" s="256"/>
      <c r="J1729" s="256"/>
      <c r="K1729" s="602">
        <f t="shared" si="253"/>
        <v>0</v>
      </c>
      <c r="L1729" s="39" t="s">
        <v>173</v>
      </c>
      <c r="M1729" s="39" t="s">
        <v>167</v>
      </c>
      <c r="N1729" s="39" t="str">
        <f>IF(AND('331-CT'!$E$7=TH!H1729,OR(L1729="331",M1729="331")),"331",IF(AND(OR(L1729="131",M1729="131"),H1729='131-CT'!$E$7),"131",""))</f>
        <v/>
      </c>
      <c r="O1729" s="39" t="str">
        <f>IF(AND($B1729&gt;='111'!$N$11,$B1729&lt;='111'!$O$11,OR($L1729=$O$7,$M1729=$O$7)),"x","")</f>
        <v/>
      </c>
      <c r="P1729" s="39" t="str">
        <f>IF(AND($L1729=$O$7,$B1729&lt;'111'!$N$11),"x","")</f>
        <v/>
      </c>
      <c r="Q1729" s="39" t="str">
        <f>IF(AND($M1729=$O$7,$B1729&lt;'111'!$N$11),"x","")</f>
        <v/>
      </c>
      <c r="R1729" s="39" t="str">
        <f>IF(ISERROR(FIND('112'!$M$9,G1729,1)),"",IF((AND(FIND('112'!$M$9,G1729,1)&gt;=1,$B1729&gt;='112'!$N$8,$B1729&lt;='112'!$O$8,OR($L1729='112'!$I$6,$M1729='112'!$I$6))),"x",""))</f>
        <v/>
      </c>
      <c r="S1729" s="39" t="str">
        <f>IF(ISERROR(FIND('112'!$M$9,G1729,1)),"",IF((AND(LEFT(G1729,2)=LEFT('112'!$M$9,2),B1729&lt;'112'!$N$8,$L1729='112'!$I$6)),"x",""))</f>
        <v/>
      </c>
      <c r="T1729" s="39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39" t="str">
        <f>IF(OR(TH!L1729=TH!$V$7,M1729=TH!$V$7),"x","")</f>
        <v/>
      </c>
      <c r="W1729" s="39" t="str">
        <f>IF(AND(B1729&gt;='IN-NX'!$P$3,B1729&lt;='IN-NX'!$Q$3,'IN-NX'!$D$7=D1729,OR(LEFT(L1729,2)="15",AND(LEFT(M1729,2)&lt;&gt;"15",LEFT(M1729,2)&lt;&gt;"33"))),"x","")</f>
        <v/>
      </c>
      <c r="X1729" s="39" t="str">
        <f>IF(AND(OR(LEFT(TH!L1729,2)="15",LEFT(TH!M1729,2)="15"),'152-CT'!$J$8=TH!F1729),"x","")</f>
        <v/>
      </c>
      <c r="Y1729" s="39" t="str">
        <f>IF(AND(OR(LEFT(TH!L1729,2)="15",LEFT(TH!M1729,2)="15"),TK!$E$7=TH!F1729),"x","")</f>
        <v/>
      </c>
      <c r="Z1729" s="39" t="str">
        <f>IF(AND(B1729&lt;=NKC!$N$8,B1729&gt;=NKC!$M$8),"x","")</f>
        <v/>
      </c>
      <c r="AA1729" s="886"/>
    </row>
    <row r="1730" spans="1:27" s="211" customFormat="1" ht="15.75" customHeight="1">
      <c r="A1730" s="204" t="str">
        <f>IF(B1730&lt;&gt;"",IF(AND(B1730&gt;=_TM1,B1730&lt;=_TM2,OR(TH!L1730="1111",TH!M1730="1111")),TH!D1730,""),"")</f>
        <v/>
      </c>
      <c r="B1730" s="36">
        <f t="shared" si="252"/>
        <v>3</v>
      </c>
      <c r="C1730" s="191">
        <f t="shared" si="250"/>
        <v>41337</v>
      </c>
      <c r="D1730" s="37"/>
      <c r="E1730" s="774">
        <v>41337</v>
      </c>
      <c r="F1730" s="189" t="s">
        <v>749</v>
      </c>
      <c r="G1730" s="40" t="s">
        <v>770</v>
      </c>
      <c r="H1730" s="7" t="s">
        <v>1293</v>
      </c>
      <c r="I1730" s="256"/>
      <c r="J1730" s="256"/>
      <c r="K1730" s="602">
        <f t="shared" si="253"/>
        <v>0</v>
      </c>
      <c r="L1730" s="39" t="s">
        <v>173</v>
      </c>
      <c r="M1730" s="39" t="s">
        <v>167</v>
      </c>
      <c r="N1730" s="39" t="str">
        <f>IF(AND('331-CT'!$E$7=TH!H1730,OR(L1730="331",M1730="331")),"331",IF(AND(OR(L1730="131",M1730="131"),H1730='131-CT'!$E$7),"131",""))</f>
        <v/>
      </c>
      <c r="O1730" s="39" t="str">
        <f>IF(AND($B1730&gt;='111'!$N$11,$B1730&lt;='111'!$O$11,OR($L1730=$O$7,$M1730=$O$7)),"x","")</f>
        <v/>
      </c>
      <c r="P1730" s="39" t="str">
        <f>IF(AND($L1730=$O$7,$B1730&lt;'111'!$N$11),"x","")</f>
        <v/>
      </c>
      <c r="Q1730" s="39" t="str">
        <f>IF(AND($M1730=$O$7,$B1730&lt;'111'!$N$11),"x","")</f>
        <v/>
      </c>
      <c r="R1730" s="39" t="str">
        <f>IF(ISERROR(FIND('112'!$M$9,G1730,1)),"",IF((AND(FIND('112'!$M$9,G1730,1)&gt;=1,$B1730&gt;='112'!$N$8,$B1730&lt;='112'!$O$8,OR($L1730='112'!$I$6,$M1730='112'!$I$6))),"x",""))</f>
        <v/>
      </c>
      <c r="S1730" s="39" t="str">
        <f>IF(ISERROR(FIND('112'!$M$9,G1730,1)),"",IF((AND(LEFT(G1730,2)=LEFT('112'!$M$9,2),B1730&lt;'112'!$N$8,$L1730='112'!$I$6)),"x",""))</f>
        <v/>
      </c>
      <c r="T1730" s="39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39" t="str">
        <f>IF(OR(TH!L1730=TH!$V$7,M1730=TH!$V$7),"x","")</f>
        <v/>
      </c>
      <c r="W1730" s="39" t="str">
        <f>IF(AND(B1730&gt;='IN-NX'!$P$3,B1730&lt;='IN-NX'!$Q$3,'IN-NX'!$D$7=D1730,OR(LEFT(L1730,2)="15",AND(LEFT(M1730,2)&lt;&gt;"15",LEFT(M1730,2)&lt;&gt;"33"))),"x","")</f>
        <v/>
      </c>
      <c r="X1730" s="39" t="str">
        <f>IF(AND(OR(LEFT(TH!L1730,2)="15",LEFT(TH!M1730,2)="15"),'152-CT'!$J$8=TH!F1730),"x","")</f>
        <v/>
      </c>
      <c r="Y1730" s="39" t="str">
        <f>IF(AND(OR(LEFT(TH!L1730,2)="15",LEFT(TH!M1730,2)="15"),TK!$E$7=TH!F1730),"x","")</f>
        <v/>
      </c>
      <c r="Z1730" s="39" t="str">
        <f>IF(AND(B1730&lt;=NKC!$N$8,B1730&gt;=NKC!$M$8),"x","")</f>
        <v/>
      </c>
      <c r="AA1730" s="886"/>
    </row>
    <row r="1731" spans="1:27" s="211" customFormat="1" ht="15.75" customHeight="1">
      <c r="A1731" s="204" t="str">
        <f>IF(B1731&lt;&gt;"",IF(AND(B1731&gt;=_TM1,B1731&lt;=_TM2,OR(TH!L1731="1111",TH!M1731="1111")),TH!D1731,""),"")</f>
        <v/>
      </c>
      <c r="B1731" s="36">
        <f t="shared" si="252"/>
        <v>3</v>
      </c>
      <c r="C1731" s="191">
        <f t="shared" si="250"/>
        <v>41337</v>
      </c>
      <c r="D1731" s="37"/>
      <c r="E1731" s="774">
        <v>41337</v>
      </c>
      <c r="F1731" s="189" t="s">
        <v>725</v>
      </c>
      <c r="G1731" s="40" t="s">
        <v>770</v>
      </c>
      <c r="H1731" s="7" t="s">
        <v>1293</v>
      </c>
      <c r="I1731" s="256"/>
      <c r="J1731" s="256"/>
      <c r="K1731" s="602">
        <f t="shared" si="253"/>
        <v>0</v>
      </c>
      <c r="L1731" s="39" t="s">
        <v>173</v>
      </c>
      <c r="M1731" s="39" t="s">
        <v>167</v>
      </c>
      <c r="N1731" s="39" t="str">
        <f>IF(AND('331-CT'!$E$7=TH!H1731,OR(L1731="331",M1731="331")),"331",IF(AND(OR(L1731="131",M1731="131"),H1731='131-CT'!$E$7),"131",""))</f>
        <v/>
      </c>
      <c r="O1731" s="39" t="str">
        <f>IF(AND($B1731&gt;='111'!$N$11,$B1731&lt;='111'!$O$11,OR($L1731=$O$7,$M1731=$O$7)),"x","")</f>
        <v/>
      </c>
      <c r="P1731" s="39" t="str">
        <f>IF(AND($L1731=$O$7,$B1731&lt;'111'!$N$11),"x","")</f>
        <v/>
      </c>
      <c r="Q1731" s="39" t="str">
        <f>IF(AND($M1731=$O$7,$B1731&lt;'111'!$N$11),"x","")</f>
        <v/>
      </c>
      <c r="R1731" s="39" t="str">
        <f>IF(ISERROR(FIND('112'!$M$9,G1731,1)),"",IF((AND(FIND('112'!$M$9,G1731,1)&gt;=1,$B1731&gt;='112'!$N$8,$B1731&lt;='112'!$O$8,OR($L1731='112'!$I$6,$M1731='112'!$I$6))),"x",""))</f>
        <v/>
      </c>
      <c r="S1731" s="39" t="str">
        <f>IF(ISERROR(FIND('112'!$M$9,G1731,1)),"",IF((AND(LEFT(G1731,2)=LEFT('112'!$M$9,2),B1731&lt;'112'!$N$8,$L1731='112'!$I$6)),"x",""))</f>
        <v/>
      </c>
      <c r="T1731" s="39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39" t="str">
        <f>IF(OR(TH!L1731=TH!$V$7,M1731=TH!$V$7),"x","")</f>
        <v/>
      </c>
      <c r="W1731" s="39" t="str">
        <f>IF(AND(B1731&gt;='IN-NX'!$P$3,B1731&lt;='IN-NX'!$Q$3,'IN-NX'!$D$7=D1731,OR(LEFT(L1731,2)="15",AND(LEFT(M1731,2)&lt;&gt;"15",LEFT(M1731,2)&lt;&gt;"33"))),"x","")</f>
        <v/>
      </c>
      <c r="X1731" s="39" t="str">
        <f>IF(AND(OR(LEFT(TH!L1731,2)="15",LEFT(TH!M1731,2)="15"),'152-CT'!$J$8=TH!F1731),"x","")</f>
        <v/>
      </c>
      <c r="Y1731" s="39" t="str">
        <f>IF(AND(OR(LEFT(TH!L1731,2)="15",LEFT(TH!M1731,2)="15"),TK!$E$7=TH!F1731),"x","")</f>
        <v/>
      </c>
      <c r="Z1731" s="39" t="str">
        <f>IF(AND(B1731&lt;=NKC!$N$8,B1731&gt;=NKC!$M$8),"x","")</f>
        <v/>
      </c>
      <c r="AA1731" s="886"/>
    </row>
    <row r="1732" spans="1:27" s="211" customFormat="1" ht="15.75" customHeight="1">
      <c r="A1732" s="204" t="str">
        <f>IF(B1732&lt;&gt;"",IF(AND(B1732&gt;=_TM1,B1732&lt;=_TM2,OR(TH!L1732="1111",TH!M1732="1111")),TH!D1732,""),"")</f>
        <v/>
      </c>
      <c r="B1732" s="36">
        <f t="shared" si="252"/>
        <v>3</v>
      </c>
      <c r="C1732" s="191">
        <f t="shared" si="250"/>
        <v>41337</v>
      </c>
      <c r="D1732" s="191"/>
      <c r="E1732" s="774">
        <v>41337</v>
      </c>
      <c r="F1732" s="189" t="s">
        <v>771</v>
      </c>
      <c r="G1732" s="40" t="s">
        <v>770</v>
      </c>
      <c r="H1732" s="7" t="s">
        <v>1293</v>
      </c>
      <c r="I1732" s="256"/>
      <c r="J1732" s="256"/>
      <c r="K1732" s="602">
        <f t="shared" si="253"/>
        <v>0</v>
      </c>
      <c r="L1732" s="39" t="s">
        <v>173</v>
      </c>
      <c r="M1732" s="39" t="s">
        <v>167</v>
      </c>
      <c r="N1732" s="39" t="str">
        <f>IF(AND('331-CT'!$E$7=TH!H1732,OR(L1732="331",M1732="331")),"331",IF(AND(OR(L1732="131",M1732="131"),H1732='131-CT'!$E$7),"131",""))</f>
        <v/>
      </c>
      <c r="O1732" s="39" t="str">
        <f>IF(AND($B1732&gt;='111'!$N$11,$B1732&lt;='111'!$O$11,OR($L1732=$O$7,$M1732=$O$7)),"x","")</f>
        <v/>
      </c>
      <c r="P1732" s="39" t="str">
        <f>IF(AND($L1732=$O$7,$B1732&lt;'111'!$N$11),"x","")</f>
        <v/>
      </c>
      <c r="Q1732" s="39" t="str">
        <f>IF(AND($M1732=$O$7,$B1732&lt;'111'!$N$11),"x","")</f>
        <v/>
      </c>
      <c r="R1732" s="39" t="str">
        <f>IF(ISERROR(FIND('112'!$M$9,G1732,1)),"",IF((AND(FIND('112'!$M$9,G1732,1)&gt;=1,$B1732&gt;='112'!$N$8,$B1732&lt;='112'!$O$8,OR($L1732='112'!$I$6,$M1732='112'!$I$6))),"x",""))</f>
        <v/>
      </c>
      <c r="S1732" s="39" t="str">
        <f>IF(ISERROR(FIND('112'!$M$9,G1732,1)),"",IF((AND(LEFT(G1732,2)=LEFT('112'!$M$9,2),B1732&lt;'112'!$N$8,$L1732='112'!$I$6)),"x",""))</f>
        <v/>
      </c>
      <c r="T1732" s="39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39" t="str">
        <f>IF(OR(TH!L1732=TH!$V$7,M1732=TH!$V$7),"x","")</f>
        <v/>
      </c>
      <c r="W1732" s="39" t="str">
        <f>IF(AND(B1732&gt;='IN-NX'!$P$3,B1732&lt;='IN-NX'!$Q$3,'IN-NX'!$D$7=D1732,OR(LEFT(L1732,2)="15",AND(LEFT(M1732,2)&lt;&gt;"15",LEFT(M1732,2)&lt;&gt;"33"))),"x","")</f>
        <v/>
      </c>
      <c r="X1732" s="39" t="str">
        <f>IF(AND(OR(LEFT(TH!L1732,2)="15",LEFT(TH!M1732,2)="15"),'152-CT'!$J$8=TH!F1732),"x","")</f>
        <v/>
      </c>
      <c r="Y1732" s="39" t="str">
        <f>IF(AND(OR(LEFT(TH!L1732,2)="15",LEFT(TH!M1732,2)="15"),TK!$E$7=TH!F1732),"x","")</f>
        <v/>
      </c>
      <c r="Z1732" s="39" t="str">
        <f>IF(AND(B1732&lt;=NKC!$N$8,B1732&gt;=NKC!$M$8),"x","")</f>
        <v/>
      </c>
      <c r="AA1732" s="886"/>
    </row>
    <row r="1733" spans="1:27" s="211" customFormat="1" ht="15.75" customHeight="1">
      <c r="A1733" s="204" t="str">
        <f>IF(B1733&lt;&gt;"",IF(AND(B1733&gt;=_TM1,B1733&lt;=_TM2,OR(TH!L1733="1111",TH!M1733="1111")),TH!D1733,""),"")</f>
        <v/>
      </c>
      <c r="B1733" s="36">
        <f t="shared" si="252"/>
        <v>3</v>
      </c>
      <c r="C1733" s="191">
        <f t="shared" si="250"/>
        <v>41345</v>
      </c>
      <c r="D1733" s="191"/>
      <c r="E1733" s="774">
        <v>41345</v>
      </c>
      <c r="F1733" s="189" t="s">
        <v>1127</v>
      </c>
      <c r="G1733" s="40" t="s">
        <v>772</v>
      </c>
      <c r="H1733" s="7" t="s">
        <v>1293</v>
      </c>
      <c r="I1733" s="256"/>
      <c r="J1733" s="256"/>
      <c r="K1733" s="602">
        <f t="shared" si="253"/>
        <v>0</v>
      </c>
      <c r="L1733" s="39" t="s">
        <v>173</v>
      </c>
      <c r="M1733" s="39" t="s">
        <v>167</v>
      </c>
      <c r="N1733" s="39" t="str">
        <f>IF(AND('331-CT'!$E$7=TH!H1733,OR(L1733="331",M1733="331")),"331",IF(AND(OR(L1733="131",M1733="131"),H1733='131-CT'!$E$7),"131",""))</f>
        <v/>
      </c>
      <c r="O1733" s="39" t="str">
        <f>IF(AND($B1733&gt;='111'!$N$11,$B1733&lt;='111'!$O$11,OR($L1733=$O$7,$M1733=$O$7)),"x","")</f>
        <v/>
      </c>
      <c r="P1733" s="39" t="str">
        <f>IF(AND($L1733=$O$7,$B1733&lt;'111'!$N$11),"x","")</f>
        <v/>
      </c>
      <c r="Q1733" s="39" t="str">
        <f>IF(AND($M1733=$O$7,$B1733&lt;'111'!$N$11),"x","")</f>
        <v/>
      </c>
      <c r="R1733" s="39" t="str">
        <f>IF(ISERROR(FIND('112'!$M$9,G1733,1)),"",IF((AND(FIND('112'!$M$9,G1733,1)&gt;=1,$B1733&gt;='112'!$N$8,$B1733&lt;='112'!$O$8,OR($L1733='112'!$I$6,$M1733='112'!$I$6))),"x",""))</f>
        <v/>
      </c>
      <c r="S1733" s="39" t="str">
        <f>IF(ISERROR(FIND('112'!$M$9,G1733,1)),"",IF((AND(LEFT(G1733,2)=LEFT('112'!$M$9,2),B1733&lt;'112'!$N$8,$L1733='112'!$I$6)),"x",""))</f>
        <v/>
      </c>
      <c r="T1733" s="39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39" t="str">
        <f>IF(OR(TH!L1733=TH!$V$7,M1733=TH!$V$7),"x","")</f>
        <v/>
      </c>
      <c r="W1733" s="39" t="str">
        <f>IF(AND(B1733&gt;='IN-NX'!$P$3,B1733&lt;='IN-NX'!$Q$3,'IN-NX'!$D$7=D1733,OR(LEFT(L1733,2)="15",AND(LEFT(M1733,2)&lt;&gt;"15",LEFT(M1733,2)&lt;&gt;"33"))),"x","")</f>
        <v/>
      </c>
      <c r="X1733" s="39" t="str">
        <f>IF(AND(OR(LEFT(TH!L1733,2)="15",LEFT(TH!M1733,2)="15"),'152-CT'!$J$8=TH!F1733),"x","")</f>
        <v/>
      </c>
      <c r="Y1733" s="39" t="str">
        <f>IF(AND(OR(LEFT(TH!L1733,2)="15",LEFT(TH!M1733,2)="15"),TK!$E$7=TH!F1733),"x","")</f>
        <v/>
      </c>
      <c r="Z1733" s="39" t="str">
        <f>IF(AND(B1733&lt;=NKC!$N$8,B1733&gt;=NKC!$M$8),"x","")</f>
        <v/>
      </c>
      <c r="AA1733" s="886"/>
    </row>
    <row r="1734" spans="1:27" s="211" customFormat="1" ht="15.75" customHeight="1">
      <c r="A1734" s="204" t="str">
        <f>IF(B1734&lt;&gt;"",IF(AND(B1734&gt;=_TM1,B1734&lt;=_TM2,OR(TH!L1734="1111",TH!M1734="1111")),TH!D1734,""),"")</f>
        <v/>
      </c>
      <c r="B1734" s="36">
        <f t="shared" si="252"/>
        <v>3</v>
      </c>
      <c r="C1734" s="191">
        <f t="shared" si="250"/>
        <v>41345</v>
      </c>
      <c r="D1734" s="191"/>
      <c r="E1734" s="774">
        <v>41345</v>
      </c>
      <c r="F1734" s="189" t="s">
        <v>741</v>
      </c>
      <c r="G1734" s="40" t="s">
        <v>774</v>
      </c>
      <c r="H1734" s="7" t="s">
        <v>1293</v>
      </c>
      <c r="I1734" s="256"/>
      <c r="J1734" s="256"/>
      <c r="K1734" s="602">
        <f t="shared" si="253"/>
        <v>0</v>
      </c>
      <c r="L1734" s="39" t="s">
        <v>173</v>
      </c>
      <c r="M1734" s="39" t="s">
        <v>167</v>
      </c>
      <c r="N1734" s="39" t="str">
        <f>IF(AND('331-CT'!$E$7=TH!H1734,OR(L1734="331",M1734="331")),"331",IF(AND(OR(L1734="131",M1734="131"),H1734='131-CT'!$E$7),"131",""))</f>
        <v/>
      </c>
      <c r="O1734" s="39" t="str">
        <f>IF(AND($B1734&gt;='111'!$N$11,$B1734&lt;='111'!$O$11,OR($L1734=$O$7,$M1734=$O$7)),"x","")</f>
        <v/>
      </c>
      <c r="P1734" s="39" t="str">
        <f>IF(AND($L1734=$O$7,$B1734&lt;'111'!$N$11),"x","")</f>
        <v/>
      </c>
      <c r="Q1734" s="39" t="str">
        <f>IF(AND($M1734=$O$7,$B1734&lt;'111'!$N$11),"x","")</f>
        <v/>
      </c>
      <c r="R1734" s="39" t="str">
        <f>IF(ISERROR(FIND('112'!$M$9,G1734,1)),"",IF((AND(FIND('112'!$M$9,G1734,1)&gt;=1,$B1734&gt;='112'!$N$8,$B1734&lt;='112'!$O$8,OR($L1734='112'!$I$6,$M1734='112'!$I$6))),"x",""))</f>
        <v/>
      </c>
      <c r="S1734" s="39" t="str">
        <f>IF(ISERROR(FIND('112'!$M$9,G1734,1)),"",IF((AND(LEFT(G1734,2)=LEFT('112'!$M$9,2),B1734&lt;'112'!$N$8,$L1734='112'!$I$6)),"x",""))</f>
        <v/>
      </c>
      <c r="T1734" s="39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39" t="str">
        <f>IF(OR(TH!L1734=TH!$V$7,M1734=TH!$V$7),"x","")</f>
        <v/>
      </c>
      <c r="W1734" s="39" t="str">
        <f>IF(AND(B1734&gt;='IN-NX'!$P$3,B1734&lt;='IN-NX'!$Q$3,'IN-NX'!$D$7=D1734,OR(LEFT(L1734,2)="15",AND(LEFT(M1734,2)&lt;&gt;"15",LEFT(M1734,2)&lt;&gt;"33"))),"x","")</f>
        <v/>
      </c>
      <c r="X1734" s="39" t="str">
        <f>IF(AND(OR(LEFT(TH!L1734,2)="15",LEFT(TH!M1734,2)="15"),'152-CT'!$J$8=TH!F1734),"x","")</f>
        <v/>
      </c>
      <c r="Y1734" s="39" t="str">
        <f>IF(AND(OR(LEFT(TH!L1734,2)="15",LEFT(TH!M1734,2)="15"),TK!$E$7=TH!F1734),"x","")</f>
        <v/>
      </c>
      <c r="Z1734" s="39" t="str">
        <f>IF(AND(B1734&lt;=NKC!$N$8,B1734&gt;=NKC!$M$8),"x","")</f>
        <v/>
      </c>
      <c r="AA1734" s="886"/>
    </row>
    <row r="1735" spans="1:27" s="211" customFormat="1" ht="15.75" customHeight="1">
      <c r="A1735" s="204" t="str">
        <f>IF(B1735&lt;&gt;"",IF(AND(B1735&gt;=_TM1,B1735&lt;=_TM2,OR(TH!L1735="1111",TH!M1735="1111")),TH!D1735,""),"")</f>
        <v/>
      </c>
      <c r="B1735" s="36">
        <f t="shared" si="252"/>
        <v>3</v>
      </c>
      <c r="C1735" s="191">
        <f t="shared" ref="C1735:C1798" si="254">E1735</f>
        <v>41345</v>
      </c>
      <c r="D1735" s="191"/>
      <c r="E1735" s="191">
        <v>41345</v>
      </c>
      <c r="F1735" s="192" t="s">
        <v>760</v>
      </c>
      <c r="G1735" s="487" t="s">
        <v>774</v>
      </c>
      <c r="H1735" s="7" t="s">
        <v>1293</v>
      </c>
      <c r="I1735" s="256"/>
      <c r="J1735" s="256"/>
      <c r="K1735" s="602">
        <f t="shared" si="253"/>
        <v>0</v>
      </c>
      <c r="L1735" s="39" t="s">
        <v>173</v>
      </c>
      <c r="M1735" s="39" t="s">
        <v>167</v>
      </c>
      <c r="N1735" s="39" t="str">
        <f>IF(AND('331-CT'!$E$7=TH!H1735,OR(L1735="331",M1735="331")),"331",IF(AND(OR(L1735="131",M1735="131"),H1735='131-CT'!$E$7),"131",""))</f>
        <v/>
      </c>
      <c r="O1735" s="39" t="str">
        <f>IF(AND($B1735&gt;='111'!$N$11,$B1735&lt;='111'!$O$11,OR($L1735=$O$7,$M1735=$O$7)),"x","")</f>
        <v/>
      </c>
      <c r="P1735" s="39" t="str">
        <f>IF(AND($L1735=$O$7,$B1735&lt;'111'!$N$11),"x","")</f>
        <v/>
      </c>
      <c r="Q1735" s="39" t="str">
        <f>IF(AND($M1735=$O$7,$B1735&lt;'111'!$N$11),"x","")</f>
        <v/>
      </c>
      <c r="R1735" s="39" t="str">
        <f>IF(ISERROR(FIND('112'!$M$9,G1735,1)),"",IF((AND(FIND('112'!$M$9,G1735,1)&gt;=1,$B1735&gt;='112'!$N$8,$B1735&lt;='112'!$O$8,OR($L1735='112'!$I$6,$M1735='112'!$I$6))),"x",""))</f>
        <v/>
      </c>
      <c r="S1735" s="39" t="str">
        <f>IF(ISERROR(FIND('112'!$M$9,G1735,1)),"",IF((AND(LEFT(G1735,2)=LEFT('112'!$M$9,2),B1735&lt;'112'!$N$8,$L1735='112'!$I$6)),"x",""))</f>
        <v/>
      </c>
      <c r="T1735" s="39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39" t="str">
        <f>IF(OR(TH!L1735=TH!$V$7,M1735=TH!$V$7),"x","")</f>
        <v/>
      </c>
      <c r="W1735" s="39" t="str">
        <f>IF(AND(B1735&gt;='IN-NX'!$P$3,B1735&lt;='IN-NX'!$Q$3,'IN-NX'!$D$7=D1735,OR(LEFT(L1735,2)="15",AND(LEFT(M1735,2)&lt;&gt;"15",LEFT(M1735,2)&lt;&gt;"33"))),"x","")</f>
        <v/>
      </c>
      <c r="X1735" s="39" t="str">
        <f>IF(AND(OR(LEFT(TH!L1735,2)="15",LEFT(TH!M1735,2)="15"),'152-CT'!$J$8=TH!F1735),"x","")</f>
        <v/>
      </c>
      <c r="Y1735" s="39" t="str">
        <f>IF(AND(OR(LEFT(TH!L1735,2)="15",LEFT(TH!M1735,2)="15"),TK!$E$7=TH!F1735),"x","")</f>
        <v/>
      </c>
      <c r="Z1735" s="39" t="str">
        <f>IF(AND(B1735&lt;=NKC!$N$8,B1735&gt;=NKC!$M$8),"x","")</f>
        <v/>
      </c>
      <c r="AA1735" s="886"/>
    </row>
    <row r="1736" spans="1:27" s="211" customFormat="1" ht="15.75" customHeight="1">
      <c r="A1736" s="204" t="str">
        <f>IF(B1736&lt;&gt;"",IF(AND(B1736&gt;=_TM1,B1736&lt;=_TM2,OR(TH!L1736="1111",TH!M1736="1111")),TH!D1736,""),"")</f>
        <v/>
      </c>
      <c r="B1736" s="36">
        <f t="shared" si="252"/>
        <v>3</v>
      </c>
      <c r="C1736" s="191">
        <f t="shared" si="254"/>
        <v>41346</v>
      </c>
      <c r="D1736" s="191"/>
      <c r="E1736" s="191">
        <v>41346</v>
      </c>
      <c r="F1736" s="192" t="s">
        <v>775</v>
      </c>
      <c r="G1736" s="487" t="s">
        <v>496</v>
      </c>
      <c r="H1736" s="7" t="s">
        <v>1293</v>
      </c>
      <c r="I1736" s="256"/>
      <c r="J1736" s="256"/>
      <c r="K1736" s="602">
        <f t="shared" si="253"/>
        <v>0</v>
      </c>
      <c r="L1736" s="39" t="s">
        <v>173</v>
      </c>
      <c r="M1736" s="39" t="s">
        <v>167</v>
      </c>
      <c r="N1736" s="39" t="str">
        <f>IF(AND('331-CT'!$E$7=TH!H1736,OR(L1736="331",M1736="331")),"331",IF(AND(OR(L1736="131",M1736="131"),H1736='131-CT'!$E$7),"131",""))</f>
        <v/>
      </c>
      <c r="O1736" s="39" t="str">
        <f>IF(AND($B1736&gt;='111'!$N$11,$B1736&lt;='111'!$O$11,OR($L1736=$O$7,$M1736=$O$7)),"x","")</f>
        <v/>
      </c>
      <c r="P1736" s="39" t="str">
        <f>IF(AND($L1736=$O$7,$B1736&lt;'111'!$N$11),"x","")</f>
        <v/>
      </c>
      <c r="Q1736" s="39" t="str">
        <f>IF(AND($M1736=$O$7,$B1736&lt;'111'!$N$11),"x","")</f>
        <v/>
      </c>
      <c r="R1736" s="39" t="str">
        <f>IF(ISERROR(FIND('112'!$M$9,G1736,1)),"",IF((AND(FIND('112'!$M$9,G1736,1)&gt;=1,$B1736&gt;='112'!$N$8,$B1736&lt;='112'!$O$8,OR($L1736='112'!$I$6,$M1736='112'!$I$6))),"x",""))</f>
        <v/>
      </c>
      <c r="S1736" s="39" t="str">
        <f>IF(ISERROR(FIND('112'!$M$9,G1736,1)),"",IF((AND(LEFT(G1736,2)=LEFT('112'!$M$9,2),B1736&lt;'112'!$N$8,$L1736='112'!$I$6)),"x",""))</f>
        <v/>
      </c>
      <c r="T1736" s="39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39" t="str">
        <f>IF(OR(TH!L1736=TH!$V$7,M1736=TH!$V$7),"x","")</f>
        <v/>
      </c>
      <c r="W1736" s="39" t="str">
        <f>IF(AND(B1736&gt;='IN-NX'!$P$3,B1736&lt;='IN-NX'!$Q$3,'IN-NX'!$D$7=D1736,OR(LEFT(L1736,2)="15",AND(LEFT(M1736,2)&lt;&gt;"15",LEFT(M1736,2)&lt;&gt;"33"))),"x","")</f>
        <v/>
      </c>
      <c r="X1736" s="39" t="str">
        <f>IF(AND(OR(LEFT(TH!L1736,2)="15",LEFT(TH!M1736,2)="15"),'152-CT'!$J$8=TH!F1736),"x","")</f>
        <v/>
      </c>
      <c r="Y1736" s="39" t="str">
        <f>IF(AND(OR(LEFT(TH!L1736,2)="15",LEFT(TH!M1736,2)="15"),TK!$E$7=TH!F1736),"x","")</f>
        <v/>
      </c>
      <c r="Z1736" s="39" t="str">
        <f>IF(AND(B1736&lt;=NKC!$N$8,B1736&gt;=NKC!$M$8),"x","")</f>
        <v/>
      </c>
      <c r="AA1736" s="886"/>
    </row>
    <row r="1737" spans="1:27" s="211" customFormat="1" ht="15.75" customHeight="1">
      <c r="A1737" s="204" t="str">
        <f>IF(B1737&lt;&gt;"",IF(AND(B1737&gt;=_TM1,B1737&lt;=_TM2,OR(TH!L1737="1111",TH!M1737="1111")),TH!D1737,""),"")</f>
        <v/>
      </c>
      <c r="B1737" s="36">
        <f t="shared" si="252"/>
        <v>3</v>
      </c>
      <c r="C1737" s="191">
        <f t="shared" si="254"/>
        <v>41346</v>
      </c>
      <c r="D1737" s="191"/>
      <c r="E1737" s="191">
        <v>41346</v>
      </c>
      <c r="F1737" s="192" t="s">
        <v>1128</v>
      </c>
      <c r="G1737" s="487" t="s">
        <v>776</v>
      </c>
      <c r="H1737" s="7" t="s">
        <v>1293</v>
      </c>
      <c r="I1737" s="256"/>
      <c r="J1737" s="256"/>
      <c r="K1737" s="602">
        <f t="shared" si="253"/>
        <v>0</v>
      </c>
      <c r="L1737" s="39" t="s">
        <v>173</v>
      </c>
      <c r="M1737" s="39" t="s">
        <v>167</v>
      </c>
      <c r="N1737" s="39" t="str">
        <f>IF(AND('331-CT'!$E$7=TH!H1737,OR(L1737="331",M1737="331")),"331",IF(AND(OR(L1737="131",M1737="131"),H1737='131-CT'!$E$7),"131",""))</f>
        <v/>
      </c>
      <c r="O1737" s="39" t="str">
        <f>IF(AND($B1737&gt;='111'!$N$11,$B1737&lt;='111'!$O$11,OR($L1737=$O$7,$M1737=$O$7)),"x","")</f>
        <v/>
      </c>
      <c r="P1737" s="39" t="str">
        <f>IF(AND($L1737=$O$7,$B1737&lt;'111'!$N$11),"x","")</f>
        <v/>
      </c>
      <c r="Q1737" s="39" t="str">
        <f>IF(AND($M1737=$O$7,$B1737&lt;'111'!$N$11),"x","")</f>
        <v/>
      </c>
      <c r="R1737" s="39" t="str">
        <f>IF(ISERROR(FIND('112'!$M$9,G1737,1)),"",IF((AND(FIND('112'!$M$9,G1737,1)&gt;=1,$B1737&gt;='112'!$N$8,$B1737&lt;='112'!$O$8,OR($L1737='112'!$I$6,$M1737='112'!$I$6))),"x",""))</f>
        <v/>
      </c>
      <c r="S1737" s="39" t="str">
        <f>IF(ISERROR(FIND('112'!$M$9,G1737,1)),"",IF((AND(LEFT(G1737,2)=LEFT('112'!$M$9,2),B1737&lt;'112'!$N$8,$L1737='112'!$I$6)),"x",""))</f>
        <v/>
      </c>
      <c r="T1737" s="39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39" t="str">
        <f>IF(OR(TH!L1737=TH!$V$7,M1737=TH!$V$7),"x","")</f>
        <v/>
      </c>
      <c r="W1737" s="39" t="str">
        <f>IF(AND(B1737&gt;='IN-NX'!$P$3,B1737&lt;='IN-NX'!$Q$3,'IN-NX'!$D$7=D1737,OR(LEFT(L1737,2)="15",AND(LEFT(M1737,2)&lt;&gt;"15",LEFT(M1737,2)&lt;&gt;"33"))),"x","")</f>
        <v/>
      </c>
      <c r="X1737" s="39" t="str">
        <f>IF(AND(OR(LEFT(TH!L1737,2)="15",LEFT(TH!M1737,2)="15"),'152-CT'!$J$8=TH!F1737),"x","")</f>
        <v/>
      </c>
      <c r="Y1737" s="39" t="str">
        <f>IF(AND(OR(LEFT(TH!L1737,2)="15",LEFT(TH!M1737,2)="15"),TK!$E$7=TH!F1737),"x","")</f>
        <v/>
      </c>
      <c r="Z1737" s="39" t="str">
        <f>IF(AND(B1737&lt;=NKC!$N$8,B1737&gt;=NKC!$M$8),"x","")</f>
        <v/>
      </c>
      <c r="AA1737" s="886"/>
    </row>
    <row r="1738" spans="1:27" s="211" customFormat="1" ht="15.75" customHeight="1">
      <c r="A1738" s="204" t="str">
        <f>IF(B1738&lt;&gt;"",IF(AND(B1738&gt;=_TM1,B1738&lt;=_TM2,OR(TH!L1738="1111",TH!M1738="1111")),TH!D1738,""),"")</f>
        <v/>
      </c>
      <c r="B1738" s="36">
        <f t="shared" si="252"/>
        <v>3</v>
      </c>
      <c r="C1738" s="191">
        <f t="shared" si="254"/>
        <v>41351</v>
      </c>
      <c r="D1738" s="191"/>
      <c r="E1738" s="37">
        <v>41351</v>
      </c>
      <c r="F1738" s="40" t="s">
        <v>778</v>
      </c>
      <c r="G1738" s="40" t="s">
        <v>779</v>
      </c>
      <c r="H1738" s="7" t="s">
        <v>1293</v>
      </c>
      <c r="I1738" s="256"/>
      <c r="J1738" s="256"/>
      <c r="K1738" s="602">
        <f t="shared" si="253"/>
        <v>0</v>
      </c>
      <c r="L1738" s="39" t="s">
        <v>173</v>
      </c>
      <c r="M1738" s="39" t="s">
        <v>167</v>
      </c>
      <c r="N1738" s="39" t="str">
        <f>IF(AND('331-CT'!$E$7=TH!H1738,OR(L1738="331",M1738="331")),"331",IF(AND(OR(L1738="131",M1738="131"),H1738='131-CT'!$E$7),"131",""))</f>
        <v/>
      </c>
      <c r="O1738" s="39" t="str">
        <f>IF(AND($B1738&gt;='111'!$N$11,$B1738&lt;='111'!$O$11,OR($L1738=$O$7,$M1738=$O$7)),"x","")</f>
        <v/>
      </c>
      <c r="P1738" s="39" t="str">
        <f>IF(AND($L1738=$O$7,$B1738&lt;'111'!$N$11),"x","")</f>
        <v/>
      </c>
      <c r="Q1738" s="39" t="str">
        <f>IF(AND($M1738=$O$7,$B1738&lt;'111'!$N$11),"x","")</f>
        <v/>
      </c>
      <c r="R1738" s="39" t="str">
        <f>IF(ISERROR(FIND('112'!$M$9,G1738,1)),"",IF((AND(FIND('112'!$M$9,G1738,1)&gt;=1,$B1738&gt;='112'!$N$8,$B1738&lt;='112'!$O$8,OR($L1738='112'!$I$6,$M1738='112'!$I$6))),"x",""))</f>
        <v/>
      </c>
      <c r="S1738" s="39" t="str">
        <f>IF(ISERROR(FIND('112'!$M$9,G1738,1)),"",IF((AND(LEFT(G1738,2)=LEFT('112'!$M$9,2),B1738&lt;'112'!$N$8,$L1738='112'!$I$6)),"x",""))</f>
        <v/>
      </c>
      <c r="T1738" s="39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39" t="str">
        <f>IF(OR(TH!L1738=TH!$V$7,M1738=TH!$V$7),"x","")</f>
        <v/>
      </c>
      <c r="W1738" s="39" t="str">
        <f>IF(AND(B1738&gt;='IN-NX'!$P$3,B1738&lt;='IN-NX'!$Q$3,'IN-NX'!$D$7=D1738,OR(LEFT(L1738,2)="15",AND(LEFT(M1738,2)&lt;&gt;"15",LEFT(M1738,2)&lt;&gt;"33"))),"x","")</f>
        <v/>
      </c>
      <c r="X1738" s="39" t="str">
        <f>IF(AND(OR(LEFT(TH!L1738,2)="15",LEFT(TH!M1738,2)="15"),'152-CT'!$J$8=TH!F1738),"x","")</f>
        <v/>
      </c>
      <c r="Y1738" s="39" t="str">
        <f>IF(AND(OR(LEFT(TH!L1738,2)="15",LEFT(TH!M1738,2)="15"),TK!$E$7=TH!F1738),"x","")</f>
        <v/>
      </c>
      <c r="Z1738" s="39" t="str">
        <f>IF(AND(B1738&lt;=NKC!$N$8,B1738&gt;=NKC!$M$8),"x","")</f>
        <v/>
      </c>
      <c r="AA1738" s="886"/>
    </row>
    <row r="1739" spans="1:27" s="211" customFormat="1" ht="15.75" customHeight="1">
      <c r="A1739" s="204" t="str">
        <f>IF(B1739&lt;&gt;"",IF(AND(B1739&gt;=_TM1,B1739&lt;=_TM2,OR(TH!L1739="1111",TH!M1739="1111")),TH!D1739,""),"")</f>
        <v/>
      </c>
      <c r="B1739" s="36">
        <f t="shared" si="252"/>
        <v>3</v>
      </c>
      <c r="C1739" s="191">
        <f t="shared" si="254"/>
        <v>41359</v>
      </c>
      <c r="D1739" s="191"/>
      <c r="E1739" s="37">
        <v>41359</v>
      </c>
      <c r="F1739" s="40" t="s">
        <v>780</v>
      </c>
      <c r="G1739" s="40" t="s">
        <v>781</v>
      </c>
      <c r="H1739" s="7" t="s">
        <v>1293</v>
      </c>
      <c r="I1739" s="256"/>
      <c r="J1739" s="256"/>
      <c r="K1739" s="602">
        <f t="shared" si="253"/>
        <v>0</v>
      </c>
      <c r="L1739" s="39" t="s">
        <v>173</v>
      </c>
      <c r="M1739" s="39" t="s">
        <v>167</v>
      </c>
      <c r="N1739" s="39" t="str">
        <f>IF(AND('331-CT'!$E$7=TH!H1739,OR(L1739="331",M1739="331")),"331",IF(AND(OR(L1739="131",M1739="131"),H1739='131-CT'!$E$7),"131",""))</f>
        <v/>
      </c>
      <c r="O1739" s="39" t="str">
        <f>IF(AND($B1739&gt;='111'!$N$11,$B1739&lt;='111'!$O$11,OR($L1739=$O$7,$M1739=$O$7)),"x","")</f>
        <v/>
      </c>
      <c r="P1739" s="39" t="str">
        <f>IF(AND($L1739=$O$7,$B1739&lt;'111'!$N$11),"x","")</f>
        <v/>
      </c>
      <c r="Q1739" s="39" t="str">
        <f>IF(AND($M1739=$O$7,$B1739&lt;'111'!$N$11),"x","")</f>
        <v/>
      </c>
      <c r="R1739" s="39" t="str">
        <f>IF(ISERROR(FIND('112'!$M$9,G1739,1)),"",IF((AND(FIND('112'!$M$9,G1739,1)&gt;=1,$B1739&gt;='112'!$N$8,$B1739&lt;='112'!$O$8,OR($L1739='112'!$I$6,$M1739='112'!$I$6))),"x",""))</f>
        <v/>
      </c>
      <c r="S1739" s="39" t="str">
        <f>IF(ISERROR(FIND('112'!$M$9,G1739,1)),"",IF((AND(LEFT(G1739,2)=LEFT('112'!$M$9,2),B1739&lt;'112'!$N$8,$L1739='112'!$I$6)),"x",""))</f>
        <v/>
      </c>
      <c r="T1739" s="39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39" t="str">
        <f>IF(OR(TH!L1739=TH!$V$7,M1739=TH!$V$7),"x","")</f>
        <v/>
      </c>
      <c r="W1739" s="39" t="str">
        <f>IF(AND(B1739&gt;='IN-NX'!$P$3,B1739&lt;='IN-NX'!$Q$3,'IN-NX'!$D$7=D1739,OR(LEFT(L1739,2)="15",AND(LEFT(M1739,2)&lt;&gt;"15",LEFT(M1739,2)&lt;&gt;"33"))),"x","")</f>
        <v/>
      </c>
      <c r="X1739" s="39" t="str">
        <f>IF(AND(OR(LEFT(TH!L1739,2)="15",LEFT(TH!M1739,2)="15"),'152-CT'!$J$8=TH!F1739),"x","")</f>
        <v/>
      </c>
      <c r="Y1739" s="39" t="str">
        <f>IF(AND(OR(LEFT(TH!L1739,2)="15",LEFT(TH!M1739,2)="15"),TK!$E$7=TH!F1739),"x","")</f>
        <v/>
      </c>
      <c r="Z1739" s="39" t="str">
        <f>IF(AND(B1739&lt;=NKC!$N$8,B1739&gt;=NKC!$M$8),"x","")</f>
        <v/>
      </c>
      <c r="AA1739" s="886"/>
    </row>
    <row r="1740" spans="1:27" s="211" customFormat="1" ht="15.75" customHeight="1">
      <c r="A1740" s="204" t="str">
        <f>IF(B1740&lt;&gt;"",IF(AND(B1740&gt;=_TM1,B1740&lt;=_TM2,OR(TH!L1740="1111",TH!M1740="1111")),TH!D1740,""),"")</f>
        <v/>
      </c>
      <c r="B1740" s="36">
        <f t="shared" si="252"/>
        <v>3</v>
      </c>
      <c r="C1740" s="191">
        <f t="shared" si="254"/>
        <v>41359</v>
      </c>
      <c r="D1740" s="191"/>
      <c r="E1740" s="184">
        <v>41359</v>
      </c>
      <c r="F1740" s="189" t="s">
        <v>819</v>
      </c>
      <c r="G1740" s="604" t="s">
        <v>781</v>
      </c>
      <c r="H1740" s="7" t="s">
        <v>1293</v>
      </c>
      <c r="I1740" s="256"/>
      <c r="J1740" s="256"/>
      <c r="K1740" s="602">
        <f t="shared" si="253"/>
        <v>0</v>
      </c>
      <c r="L1740" s="39" t="s">
        <v>173</v>
      </c>
      <c r="M1740" s="39" t="s">
        <v>167</v>
      </c>
      <c r="N1740" s="39" t="str">
        <f>IF(AND('331-CT'!$E$7=TH!H1740,OR(L1740="331",M1740="331")),"331",IF(AND(OR(L1740="131",M1740="131"),H1740='131-CT'!$E$7),"131",""))</f>
        <v/>
      </c>
      <c r="O1740" s="39" t="str">
        <f>IF(AND($B1740&gt;='111'!$N$11,$B1740&lt;='111'!$O$11,OR($L1740=$O$7,$M1740=$O$7)),"x","")</f>
        <v/>
      </c>
      <c r="P1740" s="39" t="str">
        <f>IF(AND($L1740=$O$7,$B1740&lt;'111'!$N$11),"x","")</f>
        <v/>
      </c>
      <c r="Q1740" s="39" t="str">
        <f>IF(AND($M1740=$O$7,$B1740&lt;'111'!$N$11),"x","")</f>
        <v/>
      </c>
      <c r="R1740" s="39" t="str">
        <f>IF(ISERROR(FIND('112'!$M$9,G1740,1)),"",IF((AND(FIND('112'!$M$9,G1740,1)&gt;=1,$B1740&gt;='112'!$N$8,$B1740&lt;='112'!$O$8,OR($L1740='112'!$I$6,$M1740='112'!$I$6))),"x",""))</f>
        <v/>
      </c>
      <c r="S1740" s="39" t="str">
        <f>IF(ISERROR(FIND('112'!$M$9,G1740,1)),"",IF((AND(LEFT(G1740,2)=LEFT('112'!$M$9,2),B1740&lt;'112'!$N$8,$L1740='112'!$I$6)),"x",""))</f>
        <v/>
      </c>
      <c r="T1740" s="39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39" t="str">
        <f>IF(OR(TH!L1740=TH!$V$7,M1740=TH!$V$7),"x","")</f>
        <v/>
      </c>
      <c r="W1740" s="39" t="str">
        <f>IF(AND(B1740&gt;='IN-NX'!$P$3,B1740&lt;='IN-NX'!$Q$3,'IN-NX'!$D$7=D1740,OR(LEFT(L1740,2)="15",AND(LEFT(M1740,2)&lt;&gt;"15",LEFT(M1740,2)&lt;&gt;"33"))),"x","")</f>
        <v/>
      </c>
      <c r="X1740" s="39" t="str">
        <f>IF(AND(OR(LEFT(TH!L1740,2)="15",LEFT(TH!M1740,2)="15"),'152-CT'!$J$8=TH!F1740),"x","")</f>
        <v/>
      </c>
      <c r="Y1740" s="39" t="str">
        <f>IF(AND(OR(LEFT(TH!L1740,2)="15",LEFT(TH!M1740,2)="15"),TK!$E$7=TH!F1740),"x","")</f>
        <v/>
      </c>
      <c r="Z1740" s="39" t="str">
        <f>IF(AND(B1740&lt;=NKC!$N$8,B1740&gt;=NKC!$M$8),"x","")</f>
        <v/>
      </c>
      <c r="AA1740" s="886"/>
    </row>
    <row r="1741" spans="1:27" s="211" customFormat="1" ht="15.75" customHeight="1">
      <c r="A1741" s="204" t="str">
        <f>IF(B1741&lt;&gt;"",IF(AND(B1741&gt;=_TM1,B1741&lt;=_TM2,OR(TH!L1741="1111",TH!M1741="1111")),TH!D1741,""),"")</f>
        <v/>
      </c>
      <c r="B1741" s="36">
        <f t="shared" si="252"/>
        <v>3</v>
      </c>
      <c r="C1741" s="191">
        <f t="shared" si="254"/>
        <v>41361</v>
      </c>
      <c r="D1741" s="37"/>
      <c r="E1741" s="184">
        <v>41361</v>
      </c>
      <c r="F1741" s="189" t="s">
        <v>778</v>
      </c>
      <c r="G1741" s="604" t="s">
        <v>782</v>
      </c>
      <c r="H1741" s="7" t="s">
        <v>1293</v>
      </c>
      <c r="I1741" s="256"/>
      <c r="J1741" s="256"/>
      <c r="K1741" s="602">
        <f t="shared" si="253"/>
        <v>0</v>
      </c>
      <c r="L1741" s="39" t="s">
        <v>173</v>
      </c>
      <c r="M1741" s="39" t="s">
        <v>167</v>
      </c>
      <c r="N1741" s="39" t="str">
        <f>IF(AND('331-CT'!$E$7=TH!H1741,OR(L1741="331",M1741="331")),"331",IF(AND(OR(L1741="131",M1741="131"),H1741='131-CT'!$E$7),"131",""))</f>
        <v/>
      </c>
      <c r="O1741" s="39" t="str">
        <f>IF(AND($B1741&gt;='111'!$N$11,$B1741&lt;='111'!$O$11,OR($L1741=$O$7,$M1741=$O$7)),"x","")</f>
        <v/>
      </c>
      <c r="P1741" s="39" t="str">
        <f>IF(AND($L1741=$O$7,$B1741&lt;'111'!$N$11),"x","")</f>
        <v/>
      </c>
      <c r="Q1741" s="39" t="str">
        <f>IF(AND($M1741=$O$7,$B1741&lt;'111'!$N$11),"x","")</f>
        <v/>
      </c>
      <c r="R1741" s="39" t="str">
        <f>IF(ISERROR(FIND('112'!$M$9,G1741,1)),"",IF((AND(FIND('112'!$M$9,G1741,1)&gt;=1,$B1741&gt;='112'!$N$8,$B1741&lt;='112'!$O$8,OR($L1741='112'!$I$6,$M1741='112'!$I$6))),"x",""))</f>
        <v/>
      </c>
      <c r="S1741" s="39" t="str">
        <f>IF(ISERROR(FIND('112'!$M$9,G1741,1)),"",IF((AND(LEFT(G1741,2)=LEFT('112'!$M$9,2),B1741&lt;'112'!$N$8,$L1741='112'!$I$6)),"x",""))</f>
        <v/>
      </c>
      <c r="T1741" s="39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39" t="str">
        <f>IF(OR(TH!L1741=TH!$V$7,M1741=TH!$V$7),"x","")</f>
        <v/>
      </c>
      <c r="W1741" s="39" t="str">
        <f>IF(AND(B1741&gt;='IN-NX'!$P$3,B1741&lt;='IN-NX'!$Q$3,'IN-NX'!$D$7=D1741,OR(LEFT(L1741,2)="15",AND(LEFT(M1741,2)&lt;&gt;"15",LEFT(M1741,2)&lt;&gt;"33"))),"x","")</f>
        <v/>
      </c>
      <c r="X1741" s="39" t="str">
        <f>IF(AND(OR(LEFT(TH!L1741,2)="15",LEFT(TH!M1741,2)="15"),'152-CT'!$J$8=TH!F1741),"x","")</f>
        <v/>
      </c>
      <c r="Y1741" s="39" t="str">
        <f>IF(AND(OR(LEFT(TH!L1741,2)="15",LEFT(TH!M1741,2)="15"),TK!$E$7=TH!F1741),"x","")</f>
        <v/>
      </c>
      <c r="Z1741" s="39" t="str">
        <f>IF(AND(B1741&lt;=NKC!$N$8,B1741&gt;=NKC!$M$8),"x","")</f>
        <v/>
      </c>
      <c r="AA1741" s="886"/>
    </row>
    <row r="1742" spans="1:27" s="211" customFormat="1" ht="15.75" customHeight="1">
      <c r="A1742" s="204" t="str">
        <f>IF(B1742&lt;&gt;"",IF(AND(B1742&gt;=_TM1,B1742&lt;=_TM2,OR(TH!L1742="1111",TH!M1742="1111")),TH!D1742,""),"")</f>
        <v/>
      </c>
      <c r="B1742" s="36">
        <f t="shared" si="252"/>
        <v>3</v>
      </c>
      <c r="C1742" s="191">
        <f t="shared" si="254"/>
        <v>41361</v>
      </c>
      <c r="D1742" s="37"/>
      <c r="E1742" s="184">
        <v>41361</v>
      </c>
      <c r="F1742" s="189" t="s">
        <v>756</v>
      </c>
      <c r="G1742" s="604" t="s">
        <v>783</v>
      </c>
      <c r="H1742" s="7" t="s">
        <v>1293</v>
      </c>
      <c r="I1742" s="256"/>
      <c r="J1742" s="256"/>
      <c r="K1742" s="602">
        <f t="shared" si="253"/>
        <v>0</v>
      </c>
      <c r="L1742" s="39" t="s">
        <v>173</v>
      </c>
      <c r="M1742" s="39" t="s">
        <v>167</v>
      </c>
      <c r="N1742" s="39" t="str">
        <f>IF(AND('331-CT'!$E$7=TH!H1742,OR(L1742="331",M1742="331")),"331",IF(AND(OR(L1742="131",M1742="131"),H1742='131-CT'!$E$7),"131",""))</f>
        <v/>
      </c>
      <c r="O1742" s="39" t="str">
        <f>IF(AND($B1742&gt;='111'!$N$11,$B1742&lt;='111'!$O$11,OR($L1742=$O$7,$M1742=$O$7)),"x","")</f>
        <v/>
      </c>
      <c r="P1742" s="39" t="str">
        <f>IF(AND($L1742=$O$7,$B1742&lt;'111'!$N$11),"x","")</f>
        <v/>
      </c>
      <c r="Q1742" s="39" t="str">
        <f>IF(AND($M1742=$O$7,$B1742&lt;'111'!$N$11),"x","")</f>
        <v/>
      </c>
      <c r="R1742" s="39" t="str">
        <f>IF(ISERROR(FIND('112'!$M$9,G1742,1)),"",IF((AND(FIND('112'!$M$9,G1742,1)&gt;=1,$B1742&gt;='112'!$N$8,$B1742&lt;='112'!$O$8,OR($L1742='112'!$I$6,$M1742='112'!$I$6))),"x",""))</f>
        <v/>
      </c>
      <c r="S1742" s="39" t="str">
        <f>IF(ISERROR(FIND('112'!$M$9,G1742,1)),"",IF((AND(LEFT(G1742,2)=LEFT('112'!$M$9,2),B1742&lt;'112'!$N$8,$L1742='112'!$I$6)),"x",""))</f>
        <v/>
      </c>
      <c r="T1742" s="39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39" t="str">
        <f>IF(OR(TH!L1742=TH!$V$7,M1742=TH!$V$7),"x","")</f>
        <v/>
      </c>
      <c r="W1742" s="39" t="str">
        <f>IF(AND(B1742&gt;='IN-NX'!$P$3,B1742&lt;='IN-NX'!$Q$3,'IN-NX'!$D$7=D1742,OR(LEFT(L1742,2)="15",AND(LEFT(M1742,2)&lt;&gt;"15",LEFT(M1742,2)&lt;&gt;"33"))),"x","")</f>
        <v/>
      </c>
      <c r="X1742" s="39" t="str">
        <f>IF(AND(OR(LEFT(TH!L1742,2)="15",LEFT(TH!M1742,2)="15"),'152-CT'!$J$8=TH!F1742),"x","")</f>
        <v/>
      </c>
      <c r="Y1742" s="39" t="str">
        <f>IF(AND(OR(LEFT(TH!L1742,2)="15",LEFT(TH!M1742,2)="15"),TK!$E$7=TH!F1742),"x","")</f>
        <v/>
      </c>
      <c r="Z1742" s="39" t="str">
        <f>IF(AND(B1742&lt;=NKC!$N$8,B1742&gt;=NKC!$M$8),"x","")</f>
        <v/>
      </c>
      <c r="AA1742" s="886"/>
    </row>
    <row r="1743" spans="1:27" s="211" customFormat="1" ht="15.75" customHeight="1">
      <c r="A1743" s="204" t="str">
        <f>IF(B1743&lt;&gt;"",IF(AND(B1743&gt;=_TM1,B1743&lt;=_TM2,OR(TH!L1743="1111",TH!M1743="1111")),TH!D1743,""),"")</f>
        <v/>
      </c>
      <c r="B1743" s="36">
        <f t="shared" si="252"/>
        <v>3</v>
      </c>
      <c r="C1743" s="191">
        <f t="shared" si="254"/>
        <v>41361</v>
      </c>
      <c r="D1743" s="37"/>
      <c r="E1743" s="184">
        <v>41361</v>
      </c>
      <c r="F1743" s="189" t="s">
        <v>784</v>
      </c>
      <c r="G1743" s="604" t="s">
        <v>783</v>
      </c>
      <c r="H1743" s="7" t="s">
        <v>1293</v>
      </c>
      <c r="I1743" s="256"/>
      <c r="J1743" s="256"/>
      <c r="K1743" s="602">
        <f t="shared" si="253"/>
        <v>0</v>
      </c>
      <c r="L1743" s="39" t="s">
        <v>173</v>
      </c>
      <c r="M1743" s="39" t="s">
        <v>167</v>
      </c>
      <c r="N1743" s="39" t="str">
        <f>IF(AND('331-CT'!$E$7=TH!H1743,OR(L1743="331",M1743="331")),"331",IF(AND(OR(L1743="131",M1743="131"),H1743='131-CT'!$E$7),"131",""))</f>
        <v/>
      </c>
      <c r="O1743" s="39" t="str">
        <f>IF(AND($B1743&gt;='111'!$N$11,$B1743&lt;='111'!$O$11,OR($L1743=$O$7,$M1743=$O$7)),"x","")</f>
        <v/>
      </c>
      <c r="P1743" s="39" t="str">
        <f>IF(AND($L1743=$O$7,$B1743&lt;'111'!$N$11),"x","")</f>
        <v/>
      </c>
      <c r="Q1743" s="39" t="str">
        <f>IF(AND($M1743=$O$7,$B1743&lt;'111'!$N$11),"x","")</f>
        <v/>
      </c>
      <c r="R1743" s="39" t="str">
        <f>IF(ISERROR(FIND('112'!$M$9,G1743,1)),"",IF((AND(FIND('112'!$M$9,G1743,1)&gt;=1,$B1743&gt;='112'!$N$8,$B1743&lt;='112'!$O$8,OR($L1743='112'!$I$6,$M1743='112'!$I$6))),"x",""))</f>
        <v/>
      </c>
      <c r="S1743" s="39" t="str">
        <f>IF(ISERROR(FIND('112'!$M$9,G1743,1)),"",IF((AND(LEFT(G1743,2)=LEFT('112'!$M$9,2),B1743&lt;'112'!$N$8,$L1743='112'!$I$6)),"x",""))</f>
        <v/>
      </c>
      <c r="T1743" s="39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39" t="str">
        <f>IF(OR(TH!L1743=TH!$V$7,M1743=TH!$V$7),"x","")</f>
        <v/>
      </c>
      <c r="W1743" s="39" t="str">
        <f>IF(AND(B1743&gt;='IN-NX'!$P$3,B1743&lt;='IN-NX'!$Q$3,'IN-NX'!$D$7=D1743,OR(LEFT(L1743,2)="15",AND(LEFT(M1743,2)&lt;&gt;"15",LEFT(M1743,2)&lt;&gt;"33"))),"x","")</f>
        <v/>
      </c>
      <c r="X1743" s="39" t="str">
        <f>IF(AND(OR(LEFT(TH!L1743,2)="15",LEFT(TH!M1743,2)="15"),'152-CT'!$J$8=TH!F1743),"x","")</f>
        <v/>
      </c>
      <c r="Y1743" s="39" t="str">
        <f>IF(AND(OR(LEFT(TH!L1743,2)="15",LEFT(TH!M1743,2)="15"),TK!$E$7=TH!F1743),"x","")</f>
        <v/>
      </c>
      <c r="Z1743" s="39" t="str">
        <f>IF(AND(B1743&lt;=NKC!$N$8,B1743&gt;=NKC!$M$8),"x","")</f>
        <v/>
      </c>
      <c r="AA1743" s="886"/>
    </row>
    <row r="1744" spans="1:27" s="211" customFormat="1" ht="15.75" customHeight="1">
      <c r="A1744" s="204" t="str">
        <f>IF(B1744&lt;&gt;"",IF(AND(B1744&gt;=_TM1,B1744&lt;=_TM2,OR(TH!L1744="1111",TH!M1744="1111")),TH!D1744,""),"")</f>
        <v/>
      </c>
      <c r="B1744" s="36">
        <f t="shared" si="252"/>
        <v>3</v>
      </c>
      <c r="C1744" s="191">
        <f t="shared" si="254"/>
        <v>41361</v>
      </c>
      <c r="D1744" s="37"/>
      <c r="E1744" s="184">
        <v>41361</v>
      </c>
      <c r="F1744" s="189" t="s">
        <v>785</v>
      </c>
      <c r="G1744" s="604" t="s">
        <v>783</v>
      </c>
      <c r="H1744" s="7" t="s">
        <v>1293</v>
      </c>
      <c r="I1744" s="256"/>
      <c r="J1744" s="256"/>
      <c r="K1744" s="602">
        <f t="shared" si="253"/>
        <v>0</v>
      </c>
      <c r="L1744" s="39" t="s">
        <v>173</v>
      </c>
      <c r="M1744" s="39" t="s">
        <v>167</v>
      </c>
      <c r="N1744" s="39" t="str">
        <f>IF(AND('331-CT'!$E$7=TH!H1744,OR(L1744="331",M1744="331")),"331",IF(AND(OR(L1744="131",M1744="131"),H1744='131-CT'!$E$7),"131",""))</f>
        <v/>
      </c>
      <c r="O1744" s="39" t="str">
        <f>IF(AND($B1744&gt;='111'!$N$11,$B1744&lt;='111'!$O$11,OR($L1744=$O$7,$M1744=$O$7)),"x","")</f>
        <v/>
      </c>
      <c r="P1744" s="39" t="str">
        <f>IF(AND($L1744=$O$7,$B1744&lt;'111'!$N$11),"x","")</f>
        <v/>
      </c>
      <c r="Q1744" s="39" t="str">
        <f>IF(AND($M1744=$O$7,$B1744&lt;'111'!$N$11),"x","")</f>
        <v/>
      </c>
      <c r="R1744" s="39" t="str">
        <f>IF(ISERROR(FIND('112'!$M$9,G1744,1)),"",IF((AND(FIND('112'!$M$9,G1744,1)&gt;=1,$B1744&gt;='112'!$N$8,$B1744&lt;='112'!$O$8,OR($L1744='112'!$I$6,$M1744='112'!$I$6))),"x",""))</f>
        <v/>
      </c>
      <c r="S1744" s="39" t="str">
        <f>IF(ISERROR(FIND('112'!$M$9,G1744,1)),"",IF((AND(LEFT(G1744,2)=LEFT('112'!$M$9,2),B1744&lt;'112'!$N$8,$L1744='112'!$I$6)),"x",""))</f>
        <v/>
      </c>
      <c r="T1744" s="39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39" t="str">
        <f>IF(OR(TH!L1744=TH!$V$7,M1744=TH!$V$7),"x","")</f>
        <v/>
      </c>
      <c r="W1744" s="39" t="str">
        <f>IF(AND(B1744&gt;='IN-NX'!$P$3,B1744&lt;='IN-NX'!$Q$3,'IN-NX'!$D$7=D1744,OR(LEFT(L1744,2)="15",AND(LEFT(M1744,2)&lt;&gt;"15",LEFT(M1744,2)&lt;&gt;"33"))),"x","")</f>
        <v/>
      </c>
      <c r="X1744" s="39" t="str">
        <f>IF(AND(OR(LEFT(TH!L1744,2)="15",LEFT(TH!M1744,2)="15"),'152-CT'!$J$8=TH!F1744),"x","")</f>
        <v/>
      </c>
      <c r="Y1744" s="39" t="str">
        <f>IF(AND(OR(LEFT(TH!L1744,2)="15",LEFT(TH!M1744,2)="15"),TK!$E$7=TH!F1744),"x","")</f>
        <v/>
      </c>
      <c r="Z1744" s="39" t="str">
        <f>IF(AND(B1744&lt;=NKC!$N$8,B1744&gt;=NKC!$M$8),"x","")</f>
        <v/>
      </c>
      <c r="AA1744" s="886"/>
    </row>
    <row r="1745" spans="1:27" s="211" customFormat="1" ht="15.75" customHeight="1">
      <c r="A1745" s="204" t="str">
        <f>IF(B1745&lt;&gt;"",IF(AND(B1745&gt;=_TM1,B1745&lt;=_TM2,OR(TH!L1745="1111",TH!M1745="1111")),TH!D1745,""),"")</f>
        <v/>
      </c>
      <c r="B1745" s="36">
        <f t="shared" si="252"/>
        <v>3</v>
      </c>
      <c r="C1745" s="191">
        <f t="shared" si="254"/>
        <v>41361</v>
      </c>
      <c r="D1745" s="37"/>
      <c r="E1745" s="774">
        <v>41361</v>
      </c>
      <c r="F1745" s="189" t="s">
        <v>786</v>
      </c>
      <c r="G1745" s="40" t="s">
        <v>783</v>
      </c>
      <c r="H1745" s="7" t="s">
        <v>1293</v>
      </c>
      <c r="I1745" s="256"/>
      <c r="J1745" s="256"/>
      <c r="K1745" s="602">
        <f t="shared" si="253"/>
        <v>0</v>
      </c>
      <c r="L1745" s="39" t="s">
        <v>173</v>
      </c>
      <c r="M1745" s="39" t="s">
        <v>167</v>
      </c>
      <c r="N1745" s="39" t="str">
        <f>IF(AND('331-CT'!$E$7=TH!H1745,OR(L1745="331",M1745="331")),"331",IF(AND(OR(L1745="131",M1745="131"),H1745='131-CT'!$E$7),"131",""))</f>
        <v/>
      </c>
      <c r="O1745" s="39" t="str">
        <f>IF(AND($B1745&gt;='111'!$N$11,$B1745&lt;='111'!$O$11,OR($L1745=$O$7,$M1745=$O$7)),"x","")</f>
        <v/>
      </c>
      <c r="P1745" s="39" t="str">
        <f>IF(AND($L1745=$O$7,$B1745&lt;'111'!$N$11),"x","")</f>
        <v/>
      </c>
      <c r="Q1745" s="39" t="str">
        <f>IF(AND($M1745=$O$7,$B1745&lt;'111'!$N$11),"x","")</f>
        <v/>
      </c>
      <c r="R1745" s="39" t="str">
        <f>IF(ISERROR(FIND('112'!$M$9,G1745,1)),"",IF((AND(FIND('112'!$M$9,G1745,1)&gt;=1,$B1745&gt;='112'!$N$8,$B1745&lt;='112'!$O$8,OR($L1745='112'!$I$6,$M1745='112'!$I$6))),"x",""))</f>
        <v/>
      </c>
      <c r="S1745" s="39" t="str">
        <f>IF(ISERROR(FIND('112'!$M$9,G1745,1)),"",IF((AND(LEFT(G1745,2)=LEFT('112'!$M$9,2),B1745&lt;'112'!$N$8,$L1745='112'!$I$6)),"x",""))</f>
        <v/>
      </c>
      <c r="T1745" s="39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39" t="str">
        <f>IF(OR(TH!L1745=TH!$V$7,M1745=TH!$V$7),"x","")</f>
        <v/>
      </c>
      <c r="W1745" s="39" t="str">
        <f>IF(AND(B1745&gt;='IN-NX'!$P$3,B1745&lt;='IN-NX'!$Q$3,'IN-NX'!$D$7=D1745,OR(LEFT(L1745,2)="15",AND(LEFT(M1745,2)&lt;&gt;"15",LEFT(M1745,2)&lt;&gt;"33"))),"x","")</f>
        <v/>
      </c>
      <c r="X1745" s="39" t="str">
        <f>IF(AND(OR(LEFT(TH!L1745,2)="15",LEFT(TH!M1745,2)="15"),'152-CT'!$J$8=TH!F1745),"x","")</f>
        <v/>
      </c>
      <c r="Y1745" s="39" t="str">
        <f>IF(AND(OR(LEFT(TH!L1745,2)="15",LEFT(TH!M1745,2)="15"),TK!$E$7=TH!F1745),"x","")</f>
        <v/>
      </c>
      <c r="Z1745" s="39" t="str">
        <f>IF(AND(B1745&lt;=NKC!$N$8,B1745&gt;=NKC!$M$8),"x","")</f>
        <v/>
      </c>
      <c r="AA1745" s="886"/>
    </row>
    <row r="1746" spans="1:27" s="211" customFormat="1" ht="15.75" customHeight="1">
      <c r="A1746" s="204" t="str">
        <f>IF(B1746&lt;&gt;"",IF(AND(B1746&gt;=_TM1,B1746&lt;=_TM2,OR(TH!L1746="1111",TH!M1746="1111")),TH!D1746,""),"")</f>
        <v/>
      </c>
      <c r="B1746" s="36">
        <f t="shared" si="252"/>
        <v>3</v>
      </c>
      <c r="C1746" s="191">
        <f t="shared" si="254"/>
        <v>41361</v>
      </c>
      <c r="D1746" s="37"/>
      <c r="E1746" s="774">
        <v>41361</v>
      </c>
      <c r="F1746" s="189" t="s">
        <v>754</v>
      </c>
      <c r="G1746" s="40" t="s">
        <v>783</v>
      </c>
      <c r="H1746" s="7" t="s">
        <v>1293</v>
      </c>
      <c r="I1746" s="256"/>
      <c r="J1746" s="256"/>
      <c r="K1746" s="602">
        <f t="shared" si="253"/>
        <v>0</v>
      </c>
      <c r="L1746" s="39" t="s">
        <v>173</v>
      </c>
      <c r="M1746" s="39" t="s">
        <v>167</v>
      </c>
      <c r="N1746" s="39" t="str">
        <f>IF(AND('331-CT'!$E$7=TH!H1746,OR(L1746="331",M1746="331")),"331",IF(AND(OR(L1746="131",M1746="131"),H1746='131-CT'!$E$7),"131",""))</f>
        <v/>
      </c>
      <c r="O1746" s="39" t="str">
        <f>IF(AND($B1746&gt;='111'!$N$11,$B1746&lt;='111'!$O$11,OR($L1746=$O$7,$M1746=$O$7)),"x","")</f>
        <v/>
      </c>
      <c r="P1746" s="39" t="str">
        <f>IF(AND($L1746=$O$7,$B1746&lt;'111'!$N$11),"x","")</f>
        <v/>
      </c>
      <c r="Q1746" s="39" t="str">
        <f>IF(AND($M1746=$O$7,$B1746&lt;'111'!$N$11),"x","")</f>
        <v/>
      </c>
      <c r="R1746" s="39" t="str">
        <f>IF(ISERROR(FIND('112'!$M$9,G1746,1)),"",IF((AND(FIND('112'!$M$9,G1746,1)&gt;=1,$B1746&gt;='112'!$N$8,$B1746&lt;='112'!$O$8,OR($L1746='112'!$I$6,$M1746='112'!$I$6))),"x",""))</f>
        <v/>
      </c>
      <c r="S1746" s="39" t="str">
        <f>IF(ISERROR(FIND('112'!$M$9,G1746,1)),"",IF((AND(LEFT(G1746,2)=LEFT('112'!$M$9,2),B1746&lt;'112'!$N$8,$L1746='112'!$I$6)),"x",""))</f>
        <v/>
      </c>
      <c r="T1746" s="39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39" t="str">
        <f>IF(OR(TH!L1746=TH!$V$7,M1746=TH!$V$7),"x","")</f>
        <v/>
      </c>
      <c r="W1746" s="39" t="str">
        <f>IF(AND(B1746&gt;='IN-NX'!$P$3,B1746&lt;='IN-NX'!$Q$3,'IN-NX'!$D$7=D1746,OR(LEFT(L1746,2)="15",AND(LEFT(M1746,2)&lt;&gt;"15",LEFT(M1746,2)&lt;&gt;"33"))),"x","")</f>
        <v/>
      </c>
      <c r="X1746" s="39" t="str">
        <f>IF(AND(OR(LEFT(TH!L1746,2)="15",LEFT(TH!M1746,2)="15"),'152-CT'!$J$8=TH!F1746),"x","")</f>
        <v/>
      </c>
      <c r="Y1746" s="39" t="str">
        <f>IF(AND(OR(LEFT(TH!L1746,2)="15",LEFT(TH!M1746,2)="15"),TK!$E$7=TH!F1746),"x","")</f>
        <v/>
      </c>
      <c r="Z1746" s="39" t="str">
        <f>IF(AND(B1746&lt;=NKC!$N$8,B1746&gt;=NKC!$M$8),"x","")</f>
        <v/>
      </c>
      <c r="AA1746" s="886"/>
    </row>
    <row r="1747" spans="1:27" s="211" customFormat="1" ht="15.75" customHeight="1">
      <c r="A1747" s="204" t="str">
        <f>IF(B1747&lt;&gt;"",IF(AND(B1747&gt;=_TM1,B1747&lt;=_TM2,OR(TH!L1747="1111",TH!M1747="1111")),TH!D1747,""),"")</f>
        <v/>
      </c>
      <c r="B1747" s="36">
        <f t="shared" si="252"/>
        <v>3</v>
      </c>
      <c r="C1747" s="191">
        <f t="shared" si="254"/>
        <v>41363</v>
      </c>
      <c r="D1747" s="37"/>
      <c r="E1747" s="774">
        <v>41363</v>
      </c>
      <c r="F1747" s="189" t="s">
        <v>723</v>
      </c>
      <c r="G1747" s="40" t="s">
        <v>787</v>
      </c>
      <c r="H1747" s="7" t="s">
        <v>1293</v>
      </c>
      <c r="I1747" s="256"/>
      <c r="J1747" s="256"/>
      <c r="K1747" s="602">
        <f t="shared" si="253"/>
        <v>0</v>
      </c>
      <c r="L1747" s="39" t="s">
        <v>173</v>
      </c>
      <c r="M1747" s="39" t="s">
        <v>167</v>
      </c>
      <c r="N1747" s="39" t="str">
        <f>IF(AND('331-CT'!$E$7=TH!H1747,OR(L1747="331",M1747="331")),"331",IF(AND(OR(L1747="131",M1747="131"),H1747='131-CT'!$E$7),"131",""))</f>
        <v/>
      </c>
      <c r="O1747" s="39" t="str">
        <f>IF(AND($B1747&gt;='111'!$N$11,$B1747&lt;='111'!$O$11,OR($L1747=$O$7,$M1747=$O$7)),"x","")</f>
        <v/>
      </c>
      <c r="P1747" s="39" t="str">
        <f>IF(AND($L1747=$O$7,$B1747&lt;'111'!$N$11),"x","")</f>
        <v/>
      </c>
      <c r="Q1747" s="39" t="str">
        <f>IF(AND($M1747=$O$7,$B1747&lt;'111'!$N$11),"x","")</f>
        <v/>
      </c>
      <c r="R1747" s="39" t="str">
        <f>IF(ISERROR(FIND('112'!$M$9,G1747,1)),"",IF((AND(FIND('112'!$M$9,G1747,1)&gt;=1,$B1747&gt;='112'!$N$8,$B1747&lt;='112'!$O$8,OR($L1747='112'!$I$6,$M1747='112'!$I$6))),"x",""))</f>
        <v/>
      </c>
      <c r="S1747" s="39" t="str">
        <f>IF(ISERROR(FIND('112'!$M$9,G1747,1)),"",IF((AND(LEFT(G1747,2)=LEFT('112'!$M$9,2),B1747&lt;'112'!$N$8,$L1747='112'!$I$6)),"x",""))</f>
        <v/>
      </c>
      <c r="T1747" s="39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39" t="str">
        <f>IF(OR(TH!L1747=TH!$V$7,M1747=TH!$V$7),"x","")</f>
        <v/>
      </c>
      <c r="W1747" s="39" t="str">
        <f>IF(AND(B1747&gt;='IN-NX'!$P$3,B1747&lt;='IN-NX'!$Q$3,'IN-NX'!$D$7=D1747,OR(LEFT(L1747,2)="15",AND(LEFT(M1747,2)&lt;&gt;"15",LEFT(M1747,2)&lt;&gt;"33"))),"x","")</f>
        <v/>
      </c>
      <c r="X1747" s="39" t="str">
        <f>IF(AND(OR(LEFT(TH!L1747,2)="15",LEFT(TH!M1747,2)="15"),'152-CT'!$J$8=TH!F1747),"x","")</f>
        <v/>
      </c>
      <c r="Y1747" s="39" t="str">
        <f>IF(AND(OR(LEFT(TH!L1747,2)="15",LEFT(TH!M1747,2)="15"),TK!$E$7=TH!F1747),"x","")</f>
        <v/>
      </c>
      <c r="Z1747" s="39" t="str">
        <f>IF(AND(B1747&lt;=NKC!$N$8,B1747&gt;=NKC!$M$8),"x","")</f>
        <v/>
      </c>
      <c r="AA1747" s="886"/>
    </row>
    <row r="1748" spans="1:27" s="211" customFormat="1" ht="15.75" customHeight="1">
      <c r="A1748" s="204" t="str">
        <f>IF(B1748&lt;&gt;"",IF(AND(B1748&gt;=_TM1,B1748&lt;=_TM2,OR(TH!L1748="1111",TH!M1748="1111")),TH!D1748,""),"")</f>
        <v/>
      </c>
      <c r="B1748" s="36">
        <f t="shared" si="252"/>
        <v>3</v>
      </c>
      <c r="C1748" s="191">
        <f t="shared" si="254"/>
        <v>41363</v>
      </c>
      <c r="D1748" s="37"/>
      <c r="E1748" s="774">
        <v>41363</v>
      </c>
      <c r="F1748" s="189" t="s">
        <v>1137</v>
      </c>
      <c r="G1748" s="40" t="s">
        <v>788</v>
      </c>
      <c r="H1748" s="7" t="s">
        <v>1293</v>
      </c>
      <c r="I1748" s="256"/>
      <c r="J1748" s="256"/>
      <c r="K1748" s="602">
        <f t="shared" si="253"/>
        <v>0</v>
      </c>
      <c r="L1748" s="39" t="s">
        <v>173</v>
      </c>
      <c r="M1748" s="39" t="s">
        <v>167</v>
      </c>
      <c r="N1748" s="39" t="str">
        <f>IF(AND('331-CT'!$E$7=TH!H1748,OR(L1748="331",M1748="331")),"331",IF(AND(OR(L1748="131",M1748="131"),H1748='131-CT'!$E$7),"131",""))</f>
        <v/>
      </c>
      <c r="O1748" s="39" t="str">
        <f>IF(AND($B1748&gt;='111'!$N$11,$B1748&lt;='111'!$O$11,OR($L1748=$O$7,$M1748=$O$7)),"x","")</f>
        <v/>
      </c>
      <c r="P1748" s="39" t="str">
        <f>IF(AND($L1748=$O$7,$B1748&lt;'111'!$N$11),"x","")</f>
        <v/>
      </c>
      <c r="Q1748" s="39" t="str">
        <f>IF(AND($M1748=$O$7,$B1748&lt;'111'!$N$11),"x","")</f>
        <v/>
      </c>
      <c r="R1748" s="39" t="str">
        <f>IF(ISERROR(FIND('112'!$M$9,G1748,1)),"",IF((AND(FIND('112'!$M$9,G1748,1)&gt;=1,$B1748&gt;='112'!$N$8,$B1748&lt;='112'!$O$8,OR($L1748='112'!$I$6,$M1748='112'!$I$6))),"x",""))</f>
        <v/>
      </c>
      <c r="S1748" s="39" t="str">
        <f>IF(ISERROR(FIND('112'!$M$9,G1748,1)),"",IF((AND(LEFT(G1748,2)=LEFT('112'!$M$9,2),B1748&lt;'112'!$N$8,$L1748='112'!$I$6)),"x",""))</f>
        <v/>
      </c>
      <c r="T1748" s="39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39" t="str">
        <f>IF(OR(TH!L1748=TH!$V$7,M1748=TH!$V$7),"x","")</f>
        <v/>
      </c>
      <c r="W1748" s="39" t="str">
        <f>IF(AND(B1748&gt;='IN-NX'!$P$3,B1748&lt;='IN-NX'!$Q$3,'IN-NX'!$D$7=D1748,OR(LEFT(L1748,2)="15",AND(LEFT(M1748,2)&lt;&gt;"15",LEFT(M1748,2)&lt;&gt;"33"))),"x","")</f>
        <v/>
      </c>
      <c r="X1748" s="39" t="str">
        <f>IF(AND(OR(LEFT(TH!L1748,2)="15",LEFT(TH!M1748,2)="15"),'152-CT'!$J$8=TH!F1748),"x","")</f>
        <v/>
      </c>
      <c r="Y1748" s="39" t="str">
        <f>IF(AND(OR(LEFT(TH!L1748,2)="15",LEFT(TH!M1748,2)="15"),TK!$E$7=TH!F1748),"x","")</f>
        <v/>
      </c>
      <c r="Z1748" s="39" t="str">
        <f>IF(AND(B1748&lt;=NKC!$N$8,B1748&gt;=NKC!$M$8),"x","")</f>
        <v/>
      </c>
      <c r="AA1748" s="886"/>
    </row>
    <row r="1749" spans="1:27" s="843" customFormat="1" ht="15.75" customHeight="1">
      <c r="A1749" s="1106" t="str">
        <f>IF(B1749&lt;&gt;"",IF(AND(B1749&gt;=_TM1,B1749&lt;=_TM2,OR(TH!L1749="1111",TH!M1749="1111")),TH!D1749,""),"")</f>
        <v/>
      </c>
      <c r="B1749" s="841">
        <f t="shared" si="252"/>
        <v>4</v>
      </c>
      <c r="C1749" s="1107">
        <f t="shared" si="254"/>
        <v>41367</v>
      </c>
      <c r="D1749" s="1108"/>
      <c r="E1749" s="1127">
        <v>41367</v>
      </c>
      <c r="F1749" s="1119" t="s">
        <v>1129</v>
      </c>
      <c r="G1749" s="1109" t="s">
        <v>789</v>
      </c>
      <c r="H1749" s="1110" t="s">
        <v>1293</v>
      </c>
      <c r="I1749" s="1118"/>
      <c r="J1749" s="1118"/>
      <c r="K1749" s="838">
        <f t="shared" si="253"/>
        <v>0</v>
      </c>
      <c r="L1749" s="831" t="s">
        <v>173</v>
      </c>
      <c r="M1749" s="831" t="s">
        <v>167</v>
      </c>
      <c r="N1749" s="831" t="str">
        <f>IF(AND('331-CT'!$E$7=TH!H1749,OR(L1749="331",M1749="331")),"331",IF(AND(OR(L1749="131",M1749="131"),H1749='131-CT'!$E$7),"131",""))</f>
        <v/>
      </c>
      <c r="O1749" s="831" t="str">
        <f>IF(AND($B1749&gt;='111'!$N$11,$B1749&lt;='111'!$O$11,OR($L1749=$O$7,$M1749=$O$7)),"x","")</f>
        <v/>
      </c>
      <c r="P1749" s="831" t="str">
        <f>IF(AND($L1749=$O$7,$B1749&lt;'111'!$N$11),"x","")</f>
        <v/>
      </c>
      <c r="Q1749" s="831" t="str">
        <f>IF(AND($M1749=$O$7,$B1749&lt;'111'!$N$11),"x","")</f>
        <v/>
      </c>
      <c r="R1749" s="831" t="str">
        <f>IF(ISERROR(FIND('112'!$M$9,G1749,1)),"",IF((AND(FIND('112'!$M$9,G1749,1)&gt;=1,$B1749&gt;='112'!$N$8,$B1749&lt;='112'!$O$8,OR($L1749='112'!$I$6,$M1749='112'!$I$6))),"x",""))</f>
        <v/>
      </c>
      <c r="S1749" s="831" t="str">
        <f>IF(ISERROR(FIND('112'!$M$9,G1749,1)),"",IF((AND(LEFT(G1749,2)=LEFT('112'!$M$9,2),B1749&lt;'112'!$N$8,$L1749='112'!$I$6)),"x",""))</f>
        <v/>
      </c>
      <c r="T1749" s="831" t="str">
        <f>IF(ISERROR(FIND('112'!$M$9,G1749,1)),"",IF((AND(RIGHT(G1749,2)=RIGHT('112'!$M$9,2),B1749&lt;'112'!$N$8,$M1749='112'!$I$6)),"x",""))</f>
        <v/>
      </c>
      <c r="U1749" s="831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>632</v>
      </c>
      <c r="V1749" s="831" t="str">
        <f>IF(OR(TH!L1749=TH!$V$7,M1749=TH!$V$7),"x","")</f>
        <v/>
      </c>
      <c r="W1749" s="831" t="str">
        <f>IF(AND(B1749&gt;='IN-NX'!$P$3,B1749&lt;='IN-NX'!$Q$3,'IN-NX'!$D$7=D1749,OR(LEFT(L1749,2)="15",AND(LEFT(M1749,2)&lt;&gt;"15",LEFT(M1749,2)&lt;&gt;"33"))),"x","")</f>
        <v/>
      </c>
      <c r="X1749" s="831" t="str">
        <f>IF(AND(OR(LEFT(TH!L1749,2)="15",LEFT(TH!M1749,2)="15"),'152-CT'!$J$8=TH!F1749),"x","")</f>
        <v/>
      </c>
      <c r="Y1749" s="831" t="str">
        <f>IF(AND(OR(LEFT(TH!L1749,2)="15",LEFT(TH!M1749,2)="15"),TK!$E$7=TH!F1749),"x","")</f>
        <v/>
      </c>
      <c r="Z1749" s="831" t="str">
        <f>IF(AND(B1749&lt;=NKC!$N$8,B1749&gt;=NKC!$M$8),"x","")</f>
        <v/>
      </c>
      <c r="AA1749" s="1114"/>
    </row>
    <row r="1750" spans="1:27" s="211" customFormat="1" ht="15.75" customHeight="1">
      <c r="A1750" s="204" t="str">
        <f>IF(B1750&lt;&gt;"",IF(AND(B1750&gt;=_TM1,B1750&lt;=_TM2,OR(TH!L1750="1111",TH!M1750="1111")),TH!D1750,""),"")</f>
        <v/>
      </c>
      <c r="B1750" s="36">
        <f t="shared" si="252"/>
        <v>4</v>
      </c>
      <c r="C1750" s="191">
        <f t="shared" si="254"/>
        <v>41368</v>
      </c>
      <c r="D1750" s="37"/>
      <c r="E1750" s="774">
        <v>41368</v>
      </c>
      <c r="F1750" s="189" t="s">
        <v>741</v>
      </c>
      <c r="G1750" s="40" t="s">
        <v>791</v>
      </c>
      <c r="H1750" s="7" t="s">
        <v>1293</v>
      </c>
      <c r="I1750" s="256"/>
      <c r="J1750" s="256"/>
      <c r="K1750" s="602">
        <f t="shared" si="253"/>
        <v>0</v>
      </c>
      <c r="L1750" s="39" t="s">
        <v>173</v>
      </c>
      <c r="M1750" s="39" t="s">
        <v>167</v>
      </c>
      <c r="N1750" s="39" t="str">
        <f>IF(AND('331-CT'!$E$7=TH!H1750,OR(L1750="331",M1750="331")),"331",IF(AND(OR(L1750="131",M1750="131"),H1750='131-CT'!$E$7),"131",""))</f>
        <v/>
      </c>
      <c r="O1750" s="39" t="str">
        <f>IF(AND($B1750&gt;='111'!$N$11,$B1750&lt;='111'!$O$11,OR($L1750=$O$7,$M1750=$O$7)),"x","")</f>
        <v/>
      </c>
      <c r="P1750" s="39" t="str">
        <f>IF(AND($L1750=$O$7,$B1750&lt;'111'!$N$11),"x","")</f>
        <v/>
      </c>
      <c r="Q1750" s="39" t="str">
        <f>IF(AND($M1750=$O$7,$B1750&lt;'111'!$N$11),"x","")</f>
        <v/>
      </c>
      <c r="R1750" s="39" t="str">
        <f>IF(ISERROR(FIND('112'!$M$9,G1750,1)),"",IF((AND(FIND('112'!$M$9,G1750,1)&gt;=1,$B1750&gt;='112'!$N$8,$B1750&lt;='112'!$O$8,OR($L1750='112'!$I$6,$M1750='112'!$I$6))),"x",""))</f>
        <v/>
      </c>
      <c r="S1750" s="39" t="str">
        <f>IF(ISERROR(FIND('112'!$M$9,G1750,1)),"",IF((AND(LEFT(G1750,2)=LEFT('112'!$M$9,2),B1750&lt;'112'!$N$8,$L1750='112'!$I$6)),"x",""))</f>
        <v/>
      </c>
      <c r="T1750" s="39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>632</v>
      </c>
      <c r="V1750" s="39" t="str">
        <f>IF(OR(TH!L1750=TH!$V$7,M1750=TH!$V$7),"x","")</f>
        <v/>
      </c>
      <c r="W1750" s="39" t="str">
        <f>IF(AND(B1750&gt;='IN-NX'!$P$3,B1750&lt;='IN-NX'!$Q$3,'IN-NX'!$D$7=D1750,OR(LEFT(L1750,2)="15",AND(LEFT(M1750,2)&lt;&gt;"15",LEFT(M1750,2)&lt;&gt;"33"))),"x","")</f>
        <v/>
      </c>
      <c r="X1750" s="39" t="str">
        <f>IF(AND(OR(LEFT(TH!L1750,2)="15",LEFT(TH!M1750,2)="15"),'152-CT'!$J$8=TH!F1750),"x","")</f>
        <v/>
      </c>
      <c r="Y1750" s="39" t="str">
        <f>IF(AND(OR(LEFT(TH!L1750,2)="15",LEFT(TH!M1750,2)="15"),TK!$E$7=TH!F1750),"x","")</f>
        <v/>
      </c>
      <c r="Z1750" s="39" t="str">
        <f>IF(AND(B1750&lt;=NKC!$N$8,B1750&gt;=NKC!$M$8),"x","")</f>
        <v/>
      </c>
      <c r="AA1750" s="886"/>
    </row>
    <row r="1751" spans="1:27" s="211" customFormat="1" ht="15.75" customHeight="1">
      <c r="A1751" s="204" t="str">
        <f>IF(B1751&lt;&gt;"",IF(AND(B1751&gt;=_TM1,B1751&lt;=_TM2,OR(TH!L1751="1111",TH!M1751="1111")),TH!D1751,""),"")</f>
        <v/>
      </c>
      <c r="B1751" s="36">
        <f t="shared" si="252"/>
        <v>4</v>
      </c>
      <c r="C1751" s="191">
        <f t="shared" si="254"/>
        <v>41368</v>
      </c>
      <c r="D1751" s="37"/>
      <c r="E1751" s="774">
        <v>41368</v>
      </c>
      <c r="F1751" s="189" t="s">
        <v>483</v>
      </c>
      <c r="G1751" s="40" t="s">
        <v>792</v>
      </c>
      <c r="H1751" s="7" t="s">
        <v>1293</v>
      </c>
      <c r="I1751" s="256"/>
      <c r="J1751" s="256"/>
      <c r="K1751" s="602">
        <f t="shared" si="253"/>
        <v>0</v>
      </c>
      <c r="L1751" s="39" t="s">
        <v>173</v>
      </c>
      <c r="M1751" s="39" t="s">
        <v>167</v>
      </c>
      <c r="N1751" s="39" t="str">
        <f>IF(AND('331-CT'!$E$7=TH!H1751,OR(L1751="331",M1751="331")),"331",IF(AND(OR(L1751="131",M1751="131"),H1751='131-CT'!$E$7),"131",""))</f>
        <v/>
      </c>
      <c r="O1751" s="39" t="str">
        <f>IF(AND($B1751&gt;='111'!$N$11,$B1751&lt;='111'!$O$11,OR($L1751=$O$7,$M1751=$O$7)),"x","")</f>
        <v/>
      </c>
      <c r="P1751" s="39" t="str">
        <f>IF(AND($L1751=$O$7,$B1751&lt;'111'!$N$11),"x","")</f>
        <v/>
      </c>
      <c r="Q1751" s="39" t="str">
        <f>IF(AND($M1751=$O$7,$B1751&lt;'111'!$N$11),"x","")</f>
        <v/>
      </c>
      <c r="R1751" s="39" t="str">
        <f>IF(ISERROR(FIND('112'!$M$9,G1751,1)),"",IF((AND(FIND('112'!$M$9,G1751,1)&gt;=1,$B1751&gt;='112'!$N$8,$B1751&lt;='112'!$O$8,OR($L1751='112'!$I$6,$M1751='112'!$I$6))),"x",""))</f>
        <v/>
      </c>
      <c r="S1751" s="39" t="str">
        <f>IF(ISERROR(FIND('112'!$M$9,G1751,1)),"",IF((AND(LEFT(G1751,2)=LEFT('112'!$M$9,2),B1751&lt;'112'!$N$8,$L1751='112'!$I$6)),"x",""))</f>
        <v/>
      </c>
      <c r="T1751" s="39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>632</v>
      </c>
      <c r="V1751" s="39" t="str">
        <f>IF(OR(TH!L1751=TH!$V$7,M1751=TH!$V$7),"x","")</f>
        <v/>
      </c>
      <c r="W1751" s="39" t="str">
        <f>IF(AND(B1751&gt;='IN-NX'!$P$3,B1751&lt;='IN-NX'!$Q$3,'IN-NX'!$D$7=D1751,OR(LEFT(L1751,2)="15",AND(LEFT(M1751,2)&lt;&gt;"15",LEFT(M1751,2)&lt;&gt;"33"))),"x","")</f>
        <v/>
      </c>
      <c r="X1751" s="39" t="str">
        <f>IF(AND(OR(LEFT(TH!L1751,2)="15",LEFT(TH!M1751,2)="15"),'152-CT'!$J$8=TH!F1751),"x","")</f>
        <v/>
      </c>
      <c r="Y1751" s="39" t="str">
        <f>IF(AND(OR(LEFT(TH!L1751,2)="15",LEFT(TH!M1751,2)="15"),TK!$E$7=TH!F1751),"x","")</f>
        <v/>
      </c>
      <c r="Z1751" s="39" t="str">
        <f>IF(AND(B1751&lt;=NKC!$N$8,B1751&gt;=NKC!$M$8),"x","")</f>
        <v/>
      </c>
      <c r="AA1751" s="886"/>
    </row>
    <row r="1752" spans="1:27" s="211" customFormat="1" ht="15.75" customHeight="1">
      <c r="A1752" s="204" t="str">
        <f>IF(B1752&lt;&gt;"",IF(AND(B1752&gt;=_TM1,B1752&lt;=_TM2,OR(TH!L1752="1111",TH!M1752="1111")),TH!D1752,""),"")</f>
        <v/>
      </c>
      <c r="B1752" s="36">
        <f t="shared" si="252"/>
        <v>4</v>
      </c>
      <c r="C1752" s="191">
        <f t="shared" si="254"/>
        <v>41369</v>
      </c>
      <c r="D1752" s="37"/>
      <c r="E1752" s="774">
        <v>41369</v>
      </c>
      <c r="F1752" s="297" t="s">
        <v>483</v>
      </c>
      <c r="G1752" s="40" t="s">
        <v>579</v>
      </c>
      <c r="H1752" s="7" t="s">
        <v>1293</v>
      </c>
      <c r="I1752" s="256"/>
      <c r="J1752" s="256"/>
      <c r="K1752" s="602">
        <f t="shared" si="253"/>
        <v>0</v>
      </c>
      <c r="L1752" s="39" t="s">
        <v>173</v>
      </c>
      <c r="M1752" s="39" t="s">
        <v>167</v>
      </c>
      <c r="N1752" s="39" t="str">
        <f>IF(AND('331-CT'!$E$7=TH!H1752,OR(L1752="331",M1752="331")),"331",IF(AND(OR(L1752="131",M1752="131"),H1752='131-CT'!$E$7),"131",""))</f>
        <v/>
      </c>
      <c r="O1752" s="39" t="str">
        <f>IF(AND($B1752&gt;='111'!$N$11,$B1752&lt;='111'!$O$11,OR($L1752=$O$7,$M1752=$O$7)),"x","")</f>
        <v/>
      </c>
      <c r="P1752" s="39" t="str">
        <f>IF(AND($L1752=$O$7,$B1752&lt;'111'!$N$11),"x","")</f>
        <v/>
      </c>
      <c r="Q1752" s="39" t="str">
        <f>IF(AND($M1752=$O$7,$B1752&lt;'111'!$N$11),"x","")</f>
        <v/>
      </c>
      <c r="R1752" s="39" t="str">
        <f>IF(ISERROR(FIND('112'!$M$9,G1752,1)),"",IF((AND(FIND('112'!$M$9,G1752,1)&gt;=1,$B1752&gt;='112'!$N$8,$B1752&lt;='112'!$O$8,OR($L1752='112'!$I$6,$M1752='112'!$I$6))),"x",""))</f>
        <v/>
      </c>
      <c r="S1752" s="39" t="str">
        <f>IF(ISERROR(FIND('112'!$M$9,G1752,1)),"",IF((AND(LEFT(G1752,2)=LEFT('112'!$M$9,2),B1752&lt;'112'!$N$8,$L1752='112'!$I$6)),"x",""))</f>
        <v/>
      </c>
      <c r="T1752" s="39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>632</v>
      </c>
      <c r="V1752" s="39" t="str">
        <f>IF(OR(TH!L1752=TH!$V$7,M1752=TH!$V$7),"x","")</f>
        <v/>
      </c>
      <c r="W1752" s="39" t="str">
        <f>IF(AND(B1752&gt;='IN-NX'!$P$3,B1752&lt;='IN-NX'!$Q$3,'IN-NX'!$D$7=D1752,OR(LEFT(L1752,2)="15",AND(LEFT(M1752,2)&lt;&gt;"15",LEFT(M1752,2)&lt;&gt;"33"))),"x","")</f>
        <v/>
      </c>
      <c r="X1752" s="39" t="str">
        <f>IF(AND(OR(LEFT(TH!L1752,2)="15",LEFT(TH!M1752,2)="15"),'152-CT'!$J$8=TH!F1752),"x","")</f>
        <v/>
      </c>
      <c r="Y1752" s="39" t="str">
        <f>IF(AND(OR(LEFT(TH!L1752,2)="15",LEFT(TH!M1752,2)="15"),TK!$E$7=TH!F1752),"x","")</f>
        <v/>
      </c>
      <c r="Z1752" s="39" t="str">
        <f>IF(AND(B1752&lt;=NKC!$N$8,B1752&gt;=NKC!$M$8),"x","")</f>
        <v/>
      </c>
      <c r="AA1752" s="886"/>
    </row>
    <row r="1753" spans="1:27" s="211" customFormat="1" ht="15.75" customHeight="1">
      <c r="A1753" s="204" t="str">
        <f>IF(B1753&lt;&gt;"",IF(AND(B1753&gt;=_TM1,B1753&lt;=_TM2,OR(TH!L1753="1111",TH!M1753="1111")),TH!D1753,""),"")</f>
        <v/>
      </c>
      <c r="B1753" s="36">
        <f t="shared" si="252"/>
        <v>4</v>
      </c>
      <c r="C1753" s="191">
        <f t="shared" si="254"/>
        <v>41369</v>
      </c>
      <c r="D1753" s="37"/>
      <c r="E1753" s="774">
        <v>41369</v>
      </c>
      <c r="F1753" s="40" t="s">
        <v>795</v>
      </c>
      <c r="G1753" s="40" t="s">
        <v>796</v>
      </c>
      <c r="H1753" s="7" t="s">
        <v>1293</v>
      </c>
      <c r="I1753" s="256"/>
      <c r="J1753" s="256"/>
      <c r="K1753" s="602">
        <f t="shared" si="253"/>
        <v>0</v>
      </c>
      <c r="L1753" s="39" t="s">
        <v>173</v>
      </c>
      <c r="M1753" s="39" t="s">
        <v>167</v>
      </c>
      <c r="N1753" s="39" t="str">
        <f>IF(AND('331-CT'!$E$7=TH!H1753,OR(L1753="331",M1753="331")),"331",IF(AND(OR(L1753="131",M1753="131"),H1753='131-CT'!$E$7),"131",""))</f>
        <v/>
      </c>
      <c r="O1753" s="39" t="str">
        <f>IF(AND($B1753&gt;='111'!$N$11,$B1753&lt;='111'!$O$11,OR($L1753=$O$7,$M1753=$O$7)),"x","")</f>
        <v/>
      </c>
      <c r="P1753" s="39" t="str">
        <f>IF(AND($L1753=$O$7,$B1753&lt;'111'!$N$11),"x","")</f>
        <v/>
      </c>
      <c r="Q1753" s="39" t="str">
        <f>IF(AND($M1753=$O$7,$B1753&lt;'111'!$N$11),"x","")</f>
        <v/>
      </c>
      <c r="R1753" s="39" t="str">
        <f>IF(ISERROR(FIND('112'!$M$9,G1753,1)),"",IF((AND(FIND('112'!$M$9,G1753,1)&gt;=1,$B1753&gt;='112'!$N$8,$B1753&lt;='112'!$O$8,OR($L1753='112'!$I$6,$M1753='112'!$I$6))),"x",""))</f>
        <v/>
      </c>
      <c r="S1753" s="39" t="str">
        <f>IF(ISERROR(FIND('112'!$M$9,G1753,1)),"",IF((AND(LEFT(G1753,2)=LEFT('112'!$M$9,2),B1753&lt;'112'!$N$8,$L1753='112'!$I$6)),"x",""))</f>
        <v/>
      </c>
      <c r="T1753" s="39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>632</v>
      </c>
      <c r="V1753" s="39" t="str">
        <f>IF(OR(TH!L1753=TH!$V$7,M1753=TH!$V$7),"x","")</f>
        <v/>
      </c>
      <c r="W1753" s="39" t="str">
        <f>IF(AND(B1753&gt;='IN-NX'!$P$3,B1753&lt;='IN-NX'!$Q$3,'IN-NX'!$D$7=D1753,OR(LEFT(L1753,2)="15",AND(LEFT(M1753,2)&lt;&gt;"15",LEFT(M1753,2)&lt;&gt;"33"))),"x","")</f>
        <v/>
      </c>
      <c r="X1753" s="39" t="str">
        <f>IF(AND(OR(LEFT(TH!L1753,2)="15",LEFT(TH!M1753,2)="15"),'152-CT'!$J$8=TH!F1753),"x","")</f>
        <v/>
      </c>
      <c r="Y1753" s="39" t="str">
        <f>IF(AND(OR(LEFT(TH!L1753,2)="15",LEFT(TH!M1753,2)="15"),TK!$E$7=TH!F1753),"x","")</f>
        <v/>
      </c>
      <c r="Z1753" s="39" t="str">
        <f>IF(AND(B1753&lt;=NKC!$N$8,B1753&gt;=NKC!$M$8),"x","")</f>
        <v/>
      </c>
      <c r="AA1753" s="886"/>
    </row>
    <row r="1754" spans="1:27" s="211" customFormat="1" ht="15.75" customHeight="1">
      <c r="A1754" s="204" t="str">
        <f>IF(B1754&lt;&gt;"",IF(AND(B1754&gt;=_TM1,B1754&lt;=_TM2,OR(TH!L1754="1111",TH!M1754="1111")),TH!D1754,""),"")</f>
        <v/>
      </c>
      <c r="B1754" s="36">
        <f t="shared" si="252"/>
        <v>4</v>
      </c>
      <c r="C1754" s="191">
        <f t="shared" si="254"/>
        <v>41370</v>
      </c>
      <c r="D1754" s="37"/>
      <c r="E1754" s="774">
        <v>41370</v>
      </c>
      <c r="F1754" s="189" t="s">
        <v>797</v>
      </c>
      <c r="G1754" s="40" t="s">
        <v>798</v>
      </c>
      <c r="H1754" s="7" t="s">
        <v>1293</v>
      </c>
      <c r="I1754" s="256"/>
      <c r="J1754" s="256"/>
      <c r="K1754" s="602">
        <f t="shared" si="253"/>
        <v>0</v>
      </c>
      <c r="L1754" s="39" t="s">
        <v>173</v>
      </c>
      <c r="M1754" s="39" t="s">
        <v>167</v>
      </c>
      <c r="N1754" s="39" t="str">
        <f>IF(AND('331-CT'!$E$7=TH!H1754,OR(L1754="331",M1754="331")),"331",IF(AND(OR(L1754="131",M1754="131"),H1754='131-CT'!$E$7),"131",""))</f>
        <v/>
      </c>
      <c r="O1754" s="39" t="str">
        <f>IF(AND($B1754&gt;='111'!$N$11,$B1754&lt;='111'!$O$11,OR($L1754=$O$7,$M1754=$O$7)),"x","")</f>
        <v/>
      </c>
      <c r="P1754" s="39" t="str">
        <f>IF(AND($L1754=$O$7,$B1754&lt;'111'!$N$11),"x","")</f>
        <v/>
      </c>
      <c r="Q1754" s="39" t="str">
        <f>IF(AND($M1754=$O$7,$B1754&lt;'111'!$N$11),"x","")</f>
        <v/>
      </c>
      <c r="R1754" s="39" t="str">
        <f>IF(ISERROR(FIND('112'!$M$9,G1754,1)),"",IF((AND(FIND('112'!$M$9,G1754,1)&gt;=1,$B1754&gt;='112'!$N$8,$B1754&lt;='112'!$O$8,OR($L1754='112'!$I$6,$M1754='112'!$I$6))),"x",""))</f>
        <v/>
      </c>
      <c r="S1754" s="39" t="str">
        <f>IF(ISERROR(FIND('112'!$M$9,G1754,1)),"",IF((AND(LEFT(G1754,2)=LEFT('112'!$M$9,2),B1754&lt;'112'!$N$8,$L1754='112'!$I$6)),"x",""))</f>
        <v/>
      </c>
      <c r="T1754" s="39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>632</v>
      </c>
      <c r="V1754" s="39" t="str">
        <f>IF(OR(TH!L1754=TH!$V$7,M1754=TH!$V$7),"x","")</f>
        <v/>
      </c>
      <c r="W1754" s="39" t="str">
        <f>IF(AND(B1754&gt;='IN-NX'!$P$3,B1754&lt;='IN-NX'!$Q$3,'IN-NX'!$D$7=D1754,OR(LEFT(L1754,2)="15",AND(LEFT(M1754,2)&lt;&gt;"15",LEFT(M1754,2)&lt;&gt;"33"))),"x","")</f>
        <v/>
      </c>
      <c r="X1754" s="39" t="str">
        <f>IF(AND(OR(LEFT(TH!L1754,2)="15",LEFT(TH!M1754,2)="15"),'152-CT'!$J$8=TH!F1754),"x","")</f>
        <v/>
      </c>
      <c r="Y1754" s="39" t="str">
        <f>IF(AND(OR(LEFT(TH!L1754,2)="15",LEFT(TH!M1754,2)="15"),TK!$E$7=TH!F1754),"x","")</f>
        <v/>
      </c>
      <c r="Z1754" s="39" t="str">
        <f>IF(AND(B1754&lt;=NKC!$N$8,B1754&gt;=NKC!$M$8),"x","")</f>
        <v/>
      </c>
      <c r="AA1754" s="886"/>
    </row>
    <row r="1755" spans="1:27" s="211" customFormat="1" ht="15.75" customHeight="1">
      <c r="A1755" s="204" t="str">
        <f>IF(B1755&lt;&gt;"",IF(AND(B1755&gt;=_TM1,B1755&lt;=_TM2,OR(TH!L1755="1111",TH!M1755="1111")),TH!D1755,""),"")</f>
        <v/>
      </c>
      <c r="B1755" s="36">
        <f t="shared" si="252"/>
        <v>4</v>
      </c>
      <c r="C1755" s="191">
        <f t="shared" si="254"/>
        <v>41370</v>
      </c>
      <c r="D1755" s="37"/>
      <c r="E1755" s="774">
        <v>41370</v>
      </c>
      <c r="F1755" s="189" t="s">
        <v>797</v>
      </c>
      <c r="G1755" s="40" t="s">
        <v>798</v>
      </c>
      <c r="H1755" s="7" t="s">
        <v>1293</v>
      </c>
      <c r="I1755" s="256"/>
      <c r="J1755" s="256"/>
      <c r="K1755" s="602">
        <f t="shared" si="253"/>
        <v>0</v>
      </c>
      <c r="L1755" s="39" t="s">
        <v>173</v>
      </c>
      <c r="M1755" s="39" t="s">
        <v>167</v>
      </c>
      <c r="N1755" s="39" t="str">
        <f>IF(AND('331-CT'!$E$7=TH!H1755,OR(L1755="331",M1755="331")),"331",IF(AND(OR(L1755="131",M1755="131"),H1755='131-CT'!$E$7),"131",""))</f>
        <v/>
      </c>
      <c r="O1755" s="39" t="str">
        <f>IF(AND($B1755&gt;='111'!$N$11,$B1755&lt;='111'!$O$11,OR($L1755=$O$7,$M1755=$O$7)),"x","")</f>
        <v/>
      </c>
      <c r="P1755" s="39" t="str">
        <f>IF(AND($L1755=$O$7,$B1755&lt;'111'!$N$11),"x","")</f>
        <v/>
      </c>
      <c r="Q1755" s="39" t="str">
        <f>IF(AND($M1755=$O$7,$B1755&lt;'111'!$N$11),"x","")</f>
        <v/>
      </c>
      <c r="R1755" s="39" t="str">
        <f>IF(ISERROR(FIND('112'!$M$9,G1755,1)),"",IF((AND(FIND('112'!$M$9,G1755,1)&gt;=1,$B1755&gt;='112'!$N$8,$B1755&lt;='112'!$O$8,OR($L1755='112'!$I$6,$M1755='112'!$I$6))),"x",""))</f>
        <v/>
      </c>
      <c r="S1755" s="39" t="str">
        <f>IF(ISERROR(FIND('112'!$M$9,G1755,1)),"",IF((AND(LEFT(G1755,2)=LEFT('112'!$M$9,2),B1755&lt;'112'!$N$8,$L1755='112'!$I$6)),"x",""))</f>
        <v/>
      </c>
      <c r="T1755" s="39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>632</v>
      </c>
      <c r="V1755" s="39" t="str">
        <f>IF(OR(TH!L1755=TH!$V$7,M1755=TH!$V$7),"x","")</f>
        <v/>
      </c>
      <c r="W1755" s="39" t="str">
        <f>IF(AND(B1755&gt;='IN-NX'!$P$3,B1755&lt;='IN-NX'!$Q$3,'IN-NX'!$D$7=D1755,OR(LEFT(L1755,2)="15",AND(LEFT(M1755,2)&lt;&gt;"15",LEFT(M1755,2)&lt;&gt;"33"))),"x","")</f>
        <v/>
      </c>
      <c r="X1755" s="39" t="str">
        <f>IF(AND(OR(LEFT(TH!L1755,2)="15",LEFT(TH!M1755,2)="15"),'152-CT'!$J$8=TH!F1755),"x","")</f>
        <v/>
      </c>
      <c r="Y1755" s="39" t="str">
        <f>IF(AND(OR(LEFT(TH!L1755,2)="15",LEFT(TH!M1755,2)="15"),TK!$E$7=TH!F1755),"x","")</f>
        <v/>
      </c>
      <c r="Z1755" s="39" t="str">
        <f>IF(AND(B1755&lt;=NKC!$N$8,B1755&gt;=NKC!$M$8),"x","")</f>
        <v/>
      </c>
      <c r="AA1755" s="886"/>
    </row>
    <row r="1756" spans="1:27" s="211" customFormat="1" ht="15.75" customHeight="1">
      <c r="A1756" s="204" t="str">
        <f>IF(B1756&lt;&gt;"",IF(AND(B1756&gt;=_TM1,B1756&lt;=_TM2,OR(TH!L1756="1111",TH!M1756="1111")),TH!D1756,""),"")</f>
        <v/>
      </c>
      <c r="B1756" s="36">
        <f t="shared" si="252"/>
        <v>4</v>
      </c>
      <c r="C1756" s="191">
        <f t="shared" si="254"/>
        <v>41375</v>
      </c>
      <c r="D1756" s="37"/>
      <c r="E1756" s="774">
        <v>41375</v>
      </c>
      <c r="F1756" s="189" t="s">
        <v>1163</v>
      </c>
      <c r="G1756" s="40" t="s">
        <v>799</v>
      </c>
      <c r="H1756" s="7" t="s">
        <v>1293</v>
      </c>
      <c r="I1756" s="256"/>
      <c r="J1756" s="256"/>
      <c r="K1756" s="602">
        <f t="shared" si="253"/>
        <v>0</v>
      </c>
      <c r="L1756" s="39" t="s">
        <v>173</v>
      </c>
      <c r="M1756" s="39" t="s">
        <v>167</v>
      </c>
      <c r="N1756" s="39" t="str">
        <f>IF(AND('331-CT'!$E$7=TH!H1756,OR(L1756="331",M1756="331")),"331",IF(AND(OR(L1756="131",M1756="131"),H1756='131-CT'!$E$7),"131",""))</f>
        <v/>
      </c>
      <c r="O1756" s="39" t="str">
        <f>IF(AND($B1756&gt;='111'!$N$11,$B1756&lt;='111'!$O$11,OR($L1756=$O$7,$M1756=$O$7)),"x","")</f>
        <v/>
      </c>
      <c r="P1756" s="39" t="str">
        <f>IF(AND($L1756=$O$7,$B1756&lt;'111'!$N$11),"x","")</f>
        <v/>
      </c>
      <c r="Q1756" s="39" t="str">
        <f>IF(AND($M1756=$O$7,$B1756&lt;'111'!$N$11),"x","")</f>
        <v/>
      </c>
      <c r="R1756" s="39" t="str">
        <f>IF(ISERROR(FIND('112'!$M$9,G1756,1)),"",IF((AND(FIND('112'!$M$9,G1756,1)&gt;=1,$B1756&gt;='112'!$N$8,$B1756&lt;='112'!$O$8,OR($L1756='112'!$I$6,$M1756='112'!$I$6))),"x",""))</f>
        <v/>
      </c>
      <c r="S1756" s="39" t="str">
        <f>IF(ISERROR(FIND('112'!$M$9,G1756,1)),"",IF((AND(LEFT(G1756,2)=LEFT('112'!$M$9,2),B1756&lt;'112'!$N$8,$L1756='112'!$I$6)),"x",""))</f>
        <v/>
      </c>
      <c r="T1756" s="39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>632</v>
      </c>
      <c r="V1756" s="39" t="str">
        <f>IF(OR(TH!L1756=TH!$V$7,M1756=TH!$V$7),"x","")</f>
        <v/>
      </c>
      <c r="W1756" s="39" t="str">
        <f>IF(AND(B1756&gt;='IN-NX'!$P$3,B1756&lt;='IN-NX'!$Q$3,'IN-NX'!$D$7=D1756,OR(LEFT(L1756,2)="15",AND(LEFT(M1756,2)&lt;&gt;"15",LEFT(M1756,2)&lt;&gt;"33"))),"x","")</f>
        <v/>
      </c>
      <c r="X1756" s="39" t="str">
        <f>IF(AND(OR(LEFT(TH!L1756,2)="15",LEFT(TH!M1756,2)="15"),'152-CT'!$J$8=TH!F1756),"x","")</f>
        <v/>
      </c>
      <c r="Y1756" s="39" t="str">
        <f>IF(AND(OR(LEFT(TH!L1756,2)="15",LEFT(TH!M1756,2)="15"),TK!$E$7=TH!F1756),"x","")</f>
        <v/>
      </c>
      <c r="Z1756" s="39" t="str">
        <f>IF(AND(B1756&lt;=NKC!$N$8,B1756&gt;=NKC!$M$8),"x","")</f>
        <v/>
      </c>
      <c r="AA1756" s="886"/>
    </row>
    <row r="1757" spans="1:27" s="211" customFormat="1" ht="15.75" customHeight="1">
      <c r="A1757" s="204" t="str">
        <f>IF(B1757&lt;&gt;"",IF(AND(B1757&gt;=_TM1,B1757&lt;=_TM2,OR(TH!L1757="1111",TH!M1757="1111")),TH!D1757,""),"")</f>
        <v/>
      </c>
      <c r="B1757" s="36">
        <f t="shared" si="252"/>
        <v>4</v>
      </c>
      <c r="C1757" s="191">
        <f t="shared" si="254"/>
        <v>41375</v>
      </c>
      <c r="D1757" s="191"/>
      <c r="E1757" s="774">
        <v>41375</v>
      </c>
      <c r="F1757" s="189" t="s">
        <v>1137</v>
      </c>
      <c r="G1757" s="40" t="s">
        <v>799</v>
      </c>
      <c r="H1757" s="7" t="s">
        <v>1293</v>
      </c>
      <c r="I1757" s="256"/>
      <c r="J1757" s="256"/>
      <c r="K1757" s="602">
        <f t="shared" si="253"/>
        <v>0</v>
      </c>
      <c r="L1757" s="39" t="s">
        <v>173</v>
      </c>
      <c r="M1757" s="39" t="s">
        <v>167</v>
      </c>
      <c r="N1757" s="39" t="str">
        <f>IF(AND('331-CT'!$E$7=TH!H1757,OR(L1757="331",M1757="331")),"331",IF(AND(OR(L1757="131",M1757="131"),H1757='131-CT'!$E$7),"131",""))</f>
        <v/>
      </c>
      <c r="O1757" s="39" t="str">
        <f>IF(AND($B1757&gt;='111'!$N$11,$B1757&lt;='111'!$O$11,OR($L1757=$O$7,$M1757=$O$7)),"x","")</f>
        <v/>
      </c>
      <c r="P1757" s="39" t="str">
        <f>IF(AND($L1757=$O$7,$B1757&lt;'111'!$N$11),"x","")</f>
        <v/>
      </c>
      <c r="Q1757" s="39" t="str">
        <f>IF(AND($M1757=$O$7,$B1757&lt;'111'!$N$11),"x","")</f>
        <v/>
      </c>
      <c r="R1757" s="39" t="str">
        <f>IF(ISERROR(FIND('112'!$M$9,G1757,1)),"",IF((AND(FIND('112'!$M$9,G1757,1)&gt;=1,$B1757&gt;='112'!$N$8,$B1757&lt;='112'!$O$8,OR($L1757='112'!$I$6,$M1757='112'!$I$6))),"x",""))</f>
        <v/>
      </c>
      <c r="S1757" s="39" t="str">
        <f>IF(ISERROR(FIND('112'!$M$9,G1757,1)),"",IF((AND(LEFT(G1757,2)=LEFT('112'!$M$9,2),B1757&lt;'112'!$N$8,$L1757='112'!$I$6)),"x",""))</f>
        <v/>
      </c>
      <c r="T1757" s="39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>632</v>
      </c>
      <c r="V1757" s="39" t="str">
        <f>IF(OR(TH!L1757=TH!$V$7,M1757=TH!$V$7),"x","")</f>
        <v/>
      </c>
      <c r="W1757" s="39" t="str">
        <f>IF(AND(B1757&gt;='IN-NX'!$P$3,B1757&lt;='IN-NX'!$Q$3,'IN-NX'!$D$7=D1757,OR(LEFT(L1757,2)="15",AND(LEFT(M1757,2)&lt;&gt;"15",LEFT(M1757,2)&lt;&gt;"33"))),"x","")</f>
        <v/>
      </c>
      <c r="X1757" s="39" t="str">
        <f>IF(AND(OR(LEFT(TH!L1757,2)="15",LEFT(TH!M1757,2)="15"),'152-CT'!$J$8=TH!F1757),"x","")</f>
        <v/>
      </c>
      <c r="Y1757" s="39" t="str">
        <f>IF(AND(OR(LEFT(TH!L1757,2)="15",LEFT(TH!M1757,2)="15"),TK!$E$7=TH!F1757),"x","")</f>
        <v/>
      </c>
      <c r="Z1757" s="39" t="str">
        <f>IF(AND(B1757&lt;=NKC!$N$8,B1757&gt;=NKC!$M$8),"x","")</f>
        <v/>
      </c>
      <c r="AA1757" s="886"/>
    </row>
    <row r="1758" spans="1:27" s="211" customFormat="1" ht="15.75" customHeight="1">
      <c r="A1758" s="204" t="str">
        <f>IF(B1758&lt;&gt;"",IF(AND(B1758&gt;=_TM1,B1758&lt;=_TM2,OR(TH!L1758="1111",TH!M1758="1111")),TH!D1758,""),"")</f>
        <v/>
      </c>
      <c r="B1758" s="36">
        <f t="shared" si="252"/>
        <v>4</v>
      </c>
      <c r="C1758" s="191">
        <f t="shared" si="254"/>
        <v>41375</v>
      </c>
      <c r="D1758" s="191"/>
      <c r="E1758" s="774">
        <v>41375</v>
      </c>
      <c r="F1758" s="40" t="s">
        <v>1144</v>
      </c>
      <c r="G1758" s="40" t="s">
        <v>800</v>
      </c>
      <c r="H1758" s="7" t="s">
        <v>1293</v>
      </c>
      <c r="I1758" s="256"/>
      <c r="J1758" s="256"/>
      <c r="K1758" s="602">
        <f t="shared" si="253"/>
        <v>0</v>
      </c>
      <c r="L1758" s="39" t="s">
        <v>173</v>
      </c>
      <c r="M1758" s="39" t="s">
        <v>167</v>
      </c>
      <c r="N1758" s="39" t="str">
        <f>IF(AND('331-CT'!$E$7=TH!H1758,OR(L1758="331",M1758="331")),"331",IF(AND(OR(L1758="131",M1758="131"),H1758='131-CT'!$E$7),"131",""))</f>
        <v/>
      </c>
      <c r="O1758" s="39" t="str">
        <f>IF(AND($B1758&gt;='111'!$N$11,$B1758&lt;='111'!$O$11,OR($L1758=$O$7,$M1758=$O$7)),"x","")</f>
        <v/>
      </c>
      <c r="P1758" s="39" t="str">
        <f>IF(AND($L1758=$O$7,$B1758&lt;'111'!$N$11),"x","")</f>
        <v/>
      </c>
      <c r="Q1758" s="39" t="str">
        <f>IF(AND($M1758=$O$7,$B1758&lt;'111'!$N$11),"x","")</f>
        <v/>
      </c>
      <c r="R1758" s="39" t="str">
        <f>IF(ISERROR(FIND('112'!$M$9,G1758,1)),"",IF((AND(FIND('112'!$M$9,G1758,1)&gt;=1,$B1758&gt;='112'!$N$8,$B1758&lt;='112'!$O$8,OR($L1758='112'!$I$6,$M1758='112'!$I$6))),"x",""))</f>
        <v/>
      </c>
      <c r="S1758" s="39" t="str">
        <f>IF(ISERROR(FIND('112'!$M$9,G1758,1)),"",IF((AND(LEFT(G1758,2)=LEFT('112'!$M$9,2),B1758&lt;'112'!$N$8,$L1758='112'!$I$6)),"x",""))</f>
        <v/>
      </c>
      <c r="T1758" s="39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>632</v>
      </c>
      <c r="V1758" s="39" t="str">
        <f>IF(OR(TH!L1758=TH!$V$7,M1758=TH!$V$7),"x","")</f>
        <v/>
      </c>
      <c r="W1758" s="39" t="str">
        <f>IF(AND(B1758&gt;='IN-NX'!$P$3,B1758&lt;='IN-NX'!$Q$3,'IN-NX'!$D$7=D1758,OR(LEFT(L1758,2)="15",AND(LEFT(M1758,2)&lt;&gt;"15",LEFT(M1758,2)&lt;&gt;"33"))),"x","")</f>
        <v/>
      </c>
      <c r="X1758" s="39" t="str">
        <f>IF(AND(OR(LEFT(TH!L1758,2)="15",LEFT(TH!M1758,2)="15"),'152-CT'!$J$8=TH!F1758),"x","")</f>
        <v/>
      </c>
      <c r="Y1758" s="39" t="str">
        <f>IF(AND(OR(LEFT(TH!L1758,2)="15",LEFT(TH!M1758,2)="15"),TK!$E$7=TH!F1758),"x","")</f>
        <v/>
      </c>
      <c r="Z1758" s="39" t="str">
        <f>IF(AND(B1758&lt;=NKC!$N$8,B1758&gt;=NKC!$M$8),"x","")</f>
        <v/>
      </c>
      <c r="AA1758" s="886"/>
    </row>
    <row r="1759" spans="1:27" s="211" customFormat="1" ht="15.75" customHeight="1">
      <c r="A1759" s="204" t="str">
        <f>IF(B1759&lt;&gt;"",IF(AND(B1759&gt;=_TM1,B1759&lt;=_TM2,OR(TH!L1759="1111",TH!M1759="1111")),TH!D1759,""),"")</f>
        <v/>
      </c>
      <c r="B1759" s="36">
        <f t="shared" si="252"/>
        <v>4</v>
      </c>
      <c r="C1759" s="191">
        <f t="shared" si="254"/>
        <v>41375</v>
      </c>
      <c r="D1759" s="191"/>
      <c r="E1759" s="774">
        <v>41375</v>
      </c>
      <c r="F1759" s="40" t="s">
        <v>801</v>
      </c>
      <c r="G1759" s="40" t="s">
        <v>800</v>
      </c>
      <c r="H1759" s="7" t="s">
        <v>1293</v>
      </c>
      <c r="I1759" s="256"/>
      <c r="J1759" s="256"/>
      <c r="K1759" s="602">
        <f t="shared" si="253"/>
        <v>0</v>
      </c>
      <c r="L1759" s="39" t="s">
        <v>173</v>
      </c>
      <c r="M1759" s="39" t="s">
        <v>167</v>
      </c>
      <c r="N1759" s="39" t="str">
        <f>IF(AND('331-CT'!$E$7=TH!H1759,OR(L1759="331",M1759="331")),"331",IF(AND(OR(L1759="131",M1759="131"),H1759='131-CT'!$E$7),"131",""))</f>
        <v/>
      </c>
      <c r="O1759" s="39" t="str">
        <f>IF(AND($B1759&gt;='111'!$N$11,$B1759&lt;='111'!$O$11,OR($L1759=$O$7,$M1759=$O$7)),"x","")</f>
        <v/>
      </c>
      <c r="P1759" s="39" t="str">
        <f>IF(AND($L1759=$O$7,$B1759&lt;'111'!$N$11),"x","")</f>
        <v/>
      </c>
      <c r="Q1759" s="39" t="str">
        <f>IF(AND($M1759=$O$7,$B1759&lt;'111'!$N$11),"x","")</f>
        <v/>
      </c>
      <c r="R1759" s="39" t="str">
        <f>IF(ISERROR(FIND('112'!$M$9,G1759,1)),"",IF((AND(FIND('112'!$M$9,G1759,1)&gt;=1,$B1759&gt;='112'!$N$8,$B1759&lt;='112'!$O$8,OR($L1759='112'!$I$6,$M1759='112'!$I$6))),"x",""))</f>
        <v/>
      </c>
      <c r="S1759" s="39" t="str">
        <f>IF(ISERROR(FIND('112'!$M$9,G1759,1)),"",IF((AND(LEFT(G1759,2)=LEFT('112'!$M$9,2),B1759&lt;'112'!$N$8,$L1759='112'!$I$6)),"x",""))</f>
        <v/>
      </c>
      <c r="T1759" s="39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>632</v>
      </c>
      <c r="V1759" s="39" t="str">
        <f>IF(OR(TH!L1759=TH!$V$7,M1759=TH!$V$7),"x","")</f>
        <v/>
      </c>
      <c r="W1759" s="39" t="str">
        <f>IF(AND(B1759&gt;='IN-NX'!$P$3,B1759&lt;='IN-NX'!$Q$3,'IN-NX'!$D$7=D1759,OR(LEFT(L1759,2)="15",AND(LEFT(M1759,2)&lt;&gt;"15",LEFT(M1759,2)&lt;&gt;"33"))),"x","")</f>
        <v/>
      </c>
      <c r="X1759" s="39" t="str">
        <f>IF(AND(OR(LEFT(TH!L1759,2)="15",LEFT(TH!M1759,2)="15"),'152-CT'!$J$8=TH!F1759),"x","")</f>
        <v/>
      </c>
      <c r="Y1759" s="39" t="str">
        <f>IF(AND(OR(LEFT(TH!L1759,2)="15",LEFT(TH!M1759,2)="15"),TK!$E$7=TH!F1759),"x","")</f>
        <v/>
      </c>
      <c r="Z1759" s="39" t="str">
        <f>IF(AND(B1759&lt;=NKC!$N$8,B1759&gt;=NKC!$M$8),"x","")</f>
        <v/>
      </c>
      <c r="AA1759" s="886"/>
    </row>
    <row r="1760" spans="1:27" s="211" customFormat="1" ht="15.75" customHeight="1">
      <c r="A1760" s="204" t="str">
        <f>IF(B1760&lt;&gt;"",IF(AND(B1760&gt;=_TM1,B1760&lt;=_TM2,OR(TH!L1760="1111",TH!M1760="1111")),TH!D1760,""),"")</f>
        <v/>
      </c>
      <c r="B1760" s="36">
        <f t="shared" si="252"/>
        <v>4</v>
      </c>
      <c r="C1760" s="191">
        <f t="shared" si="254"/>
        <v>41375</v>
      </c>
      <c r="D1760" s="191"/>
      <c r="E1760" s="774">
        <v>41375</v>
      </c>
      <c r="F1760" s="189" t="s">
        <v>1142</v>
      </c>
      <c r="G1760" s="40" t="s">
        <v>800</v>
      </c>
      <c r="H1760" s="7" t="s">
        <v>1293</v>
      </c>
      <c r="I1760" s="256"/>
      <c r="J1760" s="256"/>
      <c r="K1760" s="602">
        <f t="shared" si="253"/>
        <v>0</v>
      </c>
      <c r="L1760" s="39" t="s">
        <v>173</v>
      </c>
      <c r="M1760" s="39" t="s">
        <v>167</v>
      </c>
      <c r="N1760" s="39" t="str">
        <f>IF(AND('331-CT'!$E$7=TH!H1760,OR(L1760="331",M1760="331")),"331",IF(AND(OR(L1760="131",M1760="131"),H1760='131-CT'!$E$7),"131",""))</f>
        <v/>
      </c>
      <c r="O1760" s="39" t="str">
        <f>IF(AND($B1760&gt;='111'!$N$11,$B1760&lt;='111'!$O$11,OR($L1760=$O$7,$M1760=$O$7)),"x","")</f>
        <v/>
      </c>
      <c r="P1760" s="39" t="str">
        <f>IF(AND($L1760=$O$7,$B1760&lt;'111'!$N$11),"x","")</f>
        <v/>
      </c>
      <c r="Q1760" s="39" t="str">
        <f>IF(AND($M1760=$O$7,$B1760&lt;'111'!$N$11),"x","")</f>
        <v/>
      </c>
      <c r="R1760" s="39" t="str">
        <f>IF(ISERROR(FIND('112'!$M$9,G1760,1)),"",IF((AND(FIND('112'!$M$9,G1760,1)&gt;=1,$B1760&gt;='112'!$N$8,$B1760&lt;='112'!$O$8,OR($L1760='112'!$I$6,$M1760='112'!$I$6))),"x",""))</f>
        <v/>
      </c>
      <c r="S1760" s="39" t="str">
        <f>IF(ISERROR(FIND('112'!$M$9,G1760,1)),"",IF((AND(LEFT(G1760,2)=LEFT('112'!$M$9,2),B1760&lt;'112'!$N$8,$L1760='112'!$I$6)),"x",""))</f>
        <v/>
      </c>
      <c r="T1760" s="39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>632</v>
      </c>
      <c r="V1760" s="39" t="str">
        <f>IF(OR(TH!L1760=TH!$V$7,M1760=TH!$V$7),"x","")</f>
        <v/>
      </c>
      <c r="W1760" s="39" t="str">
        <f>IF(AND(B1760&gt;='IN-NX'!$P$3,B1760&lt;='IN-NX'!$Q$3,'IN-NX'!$D$7=D1760,OR(LEFT(L1760,2)="15",AND(LEFT(M1760,2)&lt;&gt;"15",LEFT(M1760,2)&lt;&gt;"33"))),"x","")</f>
        <v/>
      </c>
      <c r="X1760" s="39" t="str">
        <f>IF(AND(OR(LEFT(TH!L1760,2)="15",LEFT(TH!M1760,2)="15"),'152-CT'!$J$8=TH!F1760),"x","")</f>
        <v/>
      </c>
      <c r="Y1760" s="39" t="str">
        <f>IF(AND(OR(LEFT(TH!L1760,2)="15",LEFT(TH!M1760,2)="15"),TK!$E$7=TH!F1760),"x","")</f>
        <v/>
      </c>
      <c r="Z1760" s="39" t="str">
        <f>IF(AND(B1760&lt;=NKC!$N$8,B1760&gt;=NKC!$M$8),"x","")</f>
        <v/>
      </c>
      <c r="AA1760" s="886"/>
    </row>
    <row r="1761" spans="1:27" s="211" customFormat="1" ht="15.75" customHeight="1">
      <c r="A1761" s="204" t="str">
        <f>IF(B1761&lt;&gt;"",IF(AND(B1761&gt;=_TM1,B1761&lt;=_TM2,OR(TH!L1761="1111",TH!M1761="1111")),TH!D1761,""),"")</f>
        <v/>
      </c>
      <c r="B1761" s="36">
        <f t="shared" ref="B1761:B1824" si="255">IF(C1761&lt;&gt;"",MONTH(C1761),"")</f>
        <v>4</v>
      </c>
      <c r="C1761" s="191">
        <f t="shared" si="254"/>
        <v>41376</v>
      </c>
      <c r="D1761" s="191"/>
      <c r="E1761" s="191">
        <v>41376</v>
      </c>
      <c r="F1761" s="192" t="s">
        <v>755</v>
      </c>
      <c r="G1761" s="487" t="s">
        <v>802</v>
      </c>
      <c r="H1761" s="7" t="s">
        <v>1293</v>
      </c>
      <c r="I1761" s="256"/>
      <c r="J1761" s="256"/>
      <c r="K1761" s="602">
        <f t="shared" si="253"/>
        <v>0</v>
      </c>
      <c r="L1761" s="39" t="s">
        <v>173</v>
      </c>
      <c r="M1761" s="39" t="s">
        <v>167</v>
      </c>
      <c r="N1761" s="39" t="str">
        <f>IF(AND('331-CT'!$E$7=TH!H1761,OR(L1761="331",M1761="331")),"331",IF(AND(OR(L1761="131",M1761="131"),H1761='131-CT'!$E$7),"131",""))</f>
        <v/>
      </c>
      <c r="O1761" s="39" t="str">
        <f>IF(AND($B1761&gt;='111'!$N$11,$B1761&lt;='111'!$O$11,OR($L1761=$O$7,$M1761=$O$7)),"x","")</f>
        <v/>
      </c>
      <c r="P1761" s="39" t="str">
        <f>IF(AND($L1761=$O$7,$B1761&lt;'111'!$N$11),"x","")</f>
        <v/>
      </c>
      <c r="Q1761" s="39" t="str">
        <f>IF(AND($M1761=$O$7,$B1761&lt;'111'!$N$11),"x","")</f>
        <v/>
      </c>
      <c r="R1761" s="39" t="str">
        <f>IF(ISERROR(FIND('112'!$M$9,G1761,1)),"",IF((AND(FIND('112'!$M$9,G1761,1)&gt;=1,$B1761&gt;='112'!$N$8,$B1761&lt;='112'!$O$8,OR($L1761='112'!$I$6,$M1761='112'!$I$6))),"x",""))</f>
        <v/>
      </c>
      <c r="S1761" s="39" t="str">
        <f>IF(ISERROR(FIND('112'!$M$9,G1761,1)),"",IF((AND(LEFT(G1761,2)=LEFT('112'!$M$9,2),B1761&lt;'112'!$N$8,$L1761='112'!$I$6)),"x",""))</f>
        <v/>
      </c>
      <c r="T1761" s="39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>632</v>
      </c>
      <c r="V1761" s="39" t="str">
        <f>IF(OR(TH!L1761=TH!$V$7,M1761=TH!$V$7),"x","")</f>
        <v/>
      </c>
      <c r="W1761" s="39" t="str">
        <f>IF(AND(B1761&gt;='IN-NX'!$P$3,B1761&lt;='IN-NX'!$Q$3,'IN-NX'!$D$7=D1761,OR(LEFT(L1761,2)="15",AND(LEFT(M1761,2)&lt;&gt;"15",LEFT(M1761,2)&lt;&gt;"33"))),"x","")</f>
        <v/>
      </c>
      <c r="X1761" s="39" t="str">
        <f>IF(AND(OR(LEFT(TH!L1761,2)="15",LEFT(TH!M1761,2)="15"),'152-CT'!$J$8=TH!F1761),"x","")</f>
        <v/>
      </c>
      <c r="Y1761" s="39" t="str">
        <f>IF(AND(OR(LEFT(TH!L1761,2)="15",LEFT(TH!M1761,2)="15"),TK!$E$7=TH!F1761),"x","")</f>
        <v/>
      </c>
      <c r="Z1761" s="39" t="str">
        <f>IF(AND(B1761&lt;=NKC!$N$8,B1761&gt;=NKC!$M$8),"x","")</f>
        <v/>
      </c>
      <c r="AA1761" s="886"/>
    </row>
    <row r="1762" spans="1:27" s="211" customFormat="1" ht="15.75" customHeight="1">
      <c r="A1762" s="204" t="str">
        <f>IF(B1762&lt;&gt;"",IF(AND(B1762&gt;=_TM1,B1762&lt;=_TM2,OR(TH!L1762="1111",TH!M1762="1111")),TH!D1762,""),"")</f>
        <v/>
      </c>
      <c r="B1762" s="36">
        <f t="shared" si="255"/>
        <v>4</v>
      </c>
      <c r="C1762" s="191">
        <f t="shared" si="254"/>
        <v>41376</v>
      </c>
      <c r="D1762" s="191"/>
      <c r="E1762" s="191">
        <v>41376</v>
      </c>
      <c r="F1762" s="192" t="s">
        <v>752</v>
      </c>
      <c r="G1762" s="487" t="s">
        <v>802</v>
      </c>
      <c r="H1762" s="7" t="s">
        <v>1293</v>
      </c>
      <c r="I1762" s="256"/>
      <c r="J1762" s="256"/>
      <c r="K1762" s="602">
        <f t="shared" si="253"/>
        <v>0</v>
      </c>
      <c r="L1762" s="39" t="s">
        <v>173</v>
      </c>
      <c r="M1762" s="39" t="s">
        <v>167</v>
      </c>
      <c r="N1762" s="39" t="str">
        <f>IF(AND('331-CT'!$E$7=TH!H1762,OR(L1762="331",M1762="331")),"331",IF(AND(OR(L1762="131",M1762="131"),H1762='131-CT'!$E$7),"131",""))</f>
        <v/>
      </c>
      <c r="O1762" s="39" t="str">
        <f>IF(AND($B1762&gt;='111'!$N$11,$B1762&lt;='111'!$O$11,OR($L1762=$O$7,$M1762=$O$7)),"x","")</f>
        <v/>
      </c>
      <c r="P1762" s="39" t="str">
        <f>IF(AND($L1762=$O$7,$B1762&lt;'111'!$N$11),"x","")</f>
        <v/>
      </c>
      <c r="Q1762" s="39" t="str">
        <f>IF(AND($M1762=$O$7,$B1762&lt;'111'!$N$11),"x","")</f>
        <v/>
      </c>
      <c r="R1762" s="39" t="str">
        <f>IF(ISERROR(FIND('112'!$M$9,G1762,1)),"",IF((AND(FIND('112'!$M$9,G1762,1)&gt;=1,$B1762&gt;='112'!$N$8,$B1762&lt;='112'!$O$8,OR($L1762='112'!$I$6,$M1762='112'!$I$6))),"x",""))</f>
        <v/>
      </c>
      <c r="S1762" s="39" t="str">
        <f>IF(ISERROR(FIND('112'!$M$9,G1762,1)),"",IF((AND(LEFT(G1762,2)=LEFT('112'!$M$9,2),B1762&lt;'112'!$N$8,$L1762='112'!$I$6)),"x",""))</f>
        <v/>
      </c>
      <c r="T1762" s="39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>632</v>
      </c>
      <c r="V1762" s="39" t="str">
        <f>IF(OR(TH!L1762=TH!$V$7,M1762=TH!$V$7),"x","")</f>
        <v/>
      </c>
      <c r="W1762" s="39" t="str">
        <f>IF(AND(B1762&gt;='IN-NX'!$P$3,B1762&lt;='IN-NX'!$Q$3,'IN-NX'!$D$7=D1762,OR(LEFT(L1762,2)="15",AND(LEFT(M1762,2)&lt;&gt;"15",LEFT(M1762,2)&lt;&gt;"33"))),"x","")</f>
        <v/>
      </c>
      <c r="X1762" s="39" t="str">
        <f>IF(AND(OR(LEFT(TH!L1762,2)="15",LEFT(TH!M1762,2)="15"),'152-CT'!$J$8=TH!F1762),"x","")</f>
        <v/>
      </c>
      <c r="Y1762" s="39" t="str">
        <f>IF(AND(OR(LEFT(TH!L1762,2)="15",LEFT(TH!M1762,2)="15"),TK!$E$7=TH!F1762),"x","")</f>
        <v/>
      </c>
      <c r="Z1762" s="39" t="str">
        <f>IF(AND(B1762&lt;=NKC!$N$8,B1762&gt;=NKC!$M$8),"x","")</f>
        <v/>
      </c>
      <c r="AA1762" s="886"/>
    </row>
    <row r="1763" spans="1:27" s="211" customFormat="1" ht="15.75" customHeight="1">
      <c r="A1763" s="204" t="str">
        <f>IF(B1763&lt;&gt;"",IF(AND(B1763&gt;=_TM1,B1763&lt;=_TM2,OR(TH!L1763="1111",TH!M1763="1111")),TH!D1763,""),"")</f>
        <v/>
      </c>
      <c r="B1763" s="36">
        <f t="shared" si="255"/>
        <v>4</v>
      </c>
      <c r="C1763" s="191">
        <f t="shared" si="254"/>
        <v>41380</v>
      </c>
      <c r="D1763" s="191"/>
      <c r="E1763" s="184">
        <v>41380</v>
      </c>
      <c r="F1763" s="189" t="s">
        <v>1137</v>
      </c>
      <c r="G1763" s="604" t="s">
        <v>803</v>
      </c>
      <c r="H1763" s="7" t="s">
        <v>1293</v>
      </c>
      <c r="I1763" s="256"/>
      <c r="J1763" s="256"/>
      <c r="K1763" s="602">
        <f t="shared" si="253"/>
        <v>0</v>
      </c>
      <c r="L1763" s="39" t="s">
        <v>173</v>
      </c>
      <c r="M1763" s="39" t="s">
        <v>167</v>
      </c>
      <c r="N1763" s="39" t="str">
        <f>IF(AND('331-CT'!$E$7=TH!H1763,OR(L1763="331",M1763="331")),"331",IF(AND(OR(L1763="131",M1763="131"),H1763='131-CT'!$E$7),"131",""))</f>
        <v/>
      </c>
      <c r="O1763" s="39" t="str">
        <f>IF(AND($B1763&gt;='111'!$N$11,$B1763&lt;='111'!$O$11,OR($L1763=$O$7,$M1763=$O$7)),"x","")</f>
        <v/>
      </c>
      <c r="P1763" s="39" t="str">
        <f>IF(AND($L1763=$O$7,$B1763&lt;'111'!$N$11),"x","")</f>
        <v/>
      </c>
      <c r="Q1763" s="39" t="str">
        <f>IF(AND($M1763=$O$7,$B1763&lt;'111'!$N$11),"x","")</f>
        <v/>
      </c>
      <c r="R1763" s="39" t="str">
        <f>IF(ISERROR(FIND('112'!$M$9,G1763,1)),"",IF((AND(FIND('112'!$M$9,G1763,1)&gt;=1,$B1763&gt;='112'!$N$8,$B1763&lt;='112'!$O$8,OR($L1763='112'!$I$6,$M1763='112'!$I$6))),"x",""))</f>
        <v/>
      </c>
      <c r="S1763" s="39" t="str">
        <f>IF(ISERROR(FIND('112'!$M$9,G1763,1)),"",IF((AND(LEFT(G1763,2)=LEFT('112'!$M$9,2),B1763&lt;'112'!$N$8,$L1763='112'!$I$6)),"x",""))</f>
        <v/>
      </c>
      <c r="T1763" s="39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>632</v>
      </c>
      <c r="V1763" s="39" t="str">
        <f>IF(OR(TH!L1763=TH!$V$7,M1763=TH!$V$7),"x","")</f>
        <v/>
      </c>
      <c r="W1763" s="39" t="str">
        <f>IF(AND(B1763&gt;='IN-NX'!$P$3,B1763&lt;='IN-NX'!$Q$3,'IN-NX'!$D$7=D1763,OR(LEFT(L1763,2)="15",AND(LEFT(M1763,2)&lt;&gt;"15",LEFT(M1763,2)&lt;&gt;"33"))),"x","")</f>
        <v/>
      </c>
      <c r="X1763" s="39" t="str">
        <f>IF(AND(OR(LEFT(TH!L1763,2)="15",LEFT(TH!M1763,2)="15"),'152-CT'!$J$8=TH!F1763),"x","")</f>
        <v/>
      </c>
      <c r="Y1763" s="39" t="str">
        <f>IF(AND(OR(LEFT(TH!L1763,2)="15",LEFT(TH!M1763,2)="15"),TK!$E$7=TH!F1763),"x","")</f>
        <v/>
      </c>
      <c r="Z1763" s="39" t="str">
        <f>IF(AND(B1763&lt;=NKC!$N$8,B1763&gt;=NKC!$M$8),"x","")</f>
        <v/>
      </c>
      <c r="AA1763" s="886"/>
    </row>
    <row r="1764" spans="1:27" s="211" customFormat="1" ht="15.75" customHeight="1">
      <c r="A1764" s="204" t="str">
        <f>IF(B1764&lt;&gt;"",IF(AND(B1764&gt;=_TM1,B1764&lt;=_TM2,OR(TH!L1764="1111",TH!M1764="1111")),TH!D1764,""),"")</f>
        <v/>
      </c>
      <c r="B1764" s="36">
        <f t="shared" si="255"/>
        <v>4</v>
      </c>
      <c r="C1764" s="191">
        <f t="shared" si="254"/>
        <v>41380</v>
      </c>
      <c r="D1764" s="191"/>
      <c r="E1764" s="191">
        <v>41380</v>
      </c>
      <c r="F1764" s="192" t="s">
        <v>840</v>
      </c>
      <c r="G1764" s="487" t="s">
        <v>804</v>
      </c>
      <c r="H1764" s="7" t="s">
        <v>1293</v>
      </c>
      <c r="I1764" s="256"/>
      <c r="J1764" s="256"/>
      <c r="K1764" s="602">
        <f t="shared" si="253"/>
        <v>0</v>
      </c>
      <c r="L1764" s="39" t="s">
        <v>173</v>
      </c>
      <c r="M1764" s="39" t="s">
        <v>167</v>
      </c>
      <c r="N1764" s="39" t="str">
        <f>IF(AND('331-CT'!$E$7=TH!H1764,OR(L1764="331",M1764="331")),"331",IF(AND(OR(L1764="131",M1764="131"),H1764='131-CT'!$E$7),"131",""))</f>
        <v/>
      </c>
      <c r="O1764" s="39" t="str">
        <f>IF(AND($B1764&gt;='111'!$N$11,$B1764&lt;='111'!$O$11,OR($L1764=$O$7,$M1764=$O$7)),"x","")</f>
        <v/>
      </c>
      <c r="P1764" s="39" t="str">
        <f>IF(AND($L1764=$O$7,$B1764&lt;'111'!$N$11),"x","")</f>
        <v/>
      </c>
      <c r="Q1764" s="39" t="str">
        <f>IF(AND($M1764=$O$7,$B1764&lt;'111'!$N$11),"x","")</f>
        <v/>
      </c>
      <c r="R1764" s="39" t="str">
        <f>IF(ISERROR(FIND('112'!$M$9,G1764,1)),"",IF((AND(FIND('112'!$M$9,G1764,1)&gt;=1,$B1764&gt;='112'!$N$8,$B1764&lt;='112'!$O$8,OR($L1764='112'!$I$6,$M1764='112'!$I$6))),"x",""))</f>
        <v/>
      </c>
      <c r="S1764" s="39" t="str">
        <f>IF(ISERROR(FIND('112'!$M$9,G1764,1)),"",IF((AND(LEFT(G1764,2)=LEFT('112'!$M$9,2),B1764&lt;'112'!$N$8,$L1764='112'!$I$6)),"x",""))</f>
        <v/>
      </c>
      <c r="T1764" s="39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>632</v>
      </c>
      <c r="V1764" s="39" t="str">
        <f>IF(OR(TH!L1764=TH!$V$7,M1764=TH!$V$7),"x","")</f>
        <v/>
      </c>
      <c r="W1764" s="39" t="str">
        <f>IF(AND(B1764&gt;='IN-NX'!$P$3,B1764&lt;='IN-NX'!$Q$3,'IN-NX'!$D$7=D1764,OR(LEFT(L1764,2)="15",AND(LEFT(M1764,2)&lt;&gt;"15",LEFT(M1764,2)&lt;&gt;"33"))),"x","")</f>
        <v/>
      </c>
      <c r="X1764" s="39" t="str">
        <f>IF(AND(OR(LEFT(TH!L1764,2)="15",LEFT(TH!M1764,2)="15"),'152-CT'!$J$8=TH!F1764),"x","")</f>
        <v/>
      </c>
      <c r="Y1764" s="39" t="str">
        <f>IF(AND(OR(LEFT(TH!L1764,2)="15",LEFT(TH!M1764,2)="15"),TK!$E$7=TH!F1764),"x","")</f>
        <v/>
      </c>
      <c r="Z1764" s="39" t="str">
        <f>IF(AND(B1764&lt;=NKC!$N$8,B1764&gt;=NKC!$M$8),"x","")</f>
        <v/>
      </c>
      <c r="AA1764" s="886"/>
    </row>
    <row r="1765" spans="1:27" s="211" customFormat="1" ht="15.75" customHeight="1">
      <c r="A1765" s="204" t="str">
        <f>IF(B1765&lt;&gt;"",IF(AND(B1765&gt;=_TM1,B1765&lt;=_TM2,OR(TH!L1765="1111",TH!M1765="1111")),TH!D1765,""),"")</f>
        <v/>
      </c>
      <c r="B1765" s="36">
        <f t="shared" si="255"/>
        <v>4</v>
      </c>
      <c r="C1765" s="191">
        <f t="shared" si="254"/>
        <v>41381</v>
      </c>
      <c r="D1765" s="191"/>
      <c r="E1765" s="191">
        <v>41381</v>
      </c>
      <c r="F1765" s="192" t="s">
        <v>741</v>
      </c>
      <c r="G1765" s="487" t="s">
        <v>484</v>
      </c>
      <c r="H1765" s="7" t="s">
        <v>1293</v>
      </c>
      <c r="I1765" s="256"/>
      <c r="J1765" s="256"/>
      <c r="K1765" s="602">
        <f t="shared" ref="K1765:K1828" si="256">ROUND(I1765*J1765,0)</f>
        <v>0</v>
      </c>
      <c r="L1765" s="39" t="s">
        <v>173</v>
      </c>
      <c r="M1765" s="39" t="s">
        <v>167</v>
      </c>
      <c r="N1765" s="39" t="str">
        <f>IF(AND('331-CT'!$E$7=TH!H1765,OR(L1765="331",M1765="331")),"331",IF(AND(OR(L1765="131",M1765="131"),H1765='131-CT'!$E$7),"131",""))</f>
        <v/>
      </c>
      <c r="O1765" s="39" t="str">
        <f>IF(AND($B1765&gt;='111'!$N$11,$B1765&lt;='111'!$O$11,OR($L1765=$O$7,$M1765=$O$7)),"x","")</f>
        <v/>
      </c>
      <c r="P1765" s="39" t="str">
        <f>IF(AND($L1765=$O$7,$B1765&lt;'111'!$N$11),"x","")</f>
        <v/>
      </c>
      <c r="Q1765" s="39" t="str">
        <f>IF(AND($M1765=$O$7,$B1765&lt;'111'!$N$11),"x","")</f>
        <v/>
      </c>
      <c r="R1765" s="39" t="str">
        <f>IF(ISERROR(FIND('112'!$M$9,G1765,1)),"",IF((AND(FIND('112'!$M$9,G1765,1)&gt;=1,$B1765&gt;='112'!$N$8,$B1765&lt;='112'!$O$8,OR($L1765='112'!$I$6,$M1765='112'!$I$6))),"x",""))</f>
        <v/>
      </c>
      <c r="S1765" s="39" t="str">
        <f>IF(ISERROR(FIND('112'!$M$9,G1765,1)),"",IF((AND(LEFT(G1765,2)=LEFT('112'!$M$9,2),B1765&lt;'112'!$N$8,$L1765='112'!$I$6)),"x",""))</f>
        <v/>
      </c>
      <c r="T1765" s="39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>632</v>
      </c>
      <c r="V1765" s="39" t="str">
        <f>IF(OR(TH!L1765=TH!$V$7,M1765=TH!$V$7),"x","")</f>
        <v/>
      </c>
      <c r="W1765" s="39" t="str">
        <f>IF(AND(B1765&gt;='IN-NX'!$P$3,B1765&lt;='IN-NX'!$Q$3,'IN-NX'!$D$7=D1765,OR(LEFT(L1765,2)="15",AND(LEFT(M1765,2)&lt;&gt;"15",LEFT(M1765,2)&lt;&gt;"33"))),"x","")</f>
        <v/>
      </c>
      <c r="X1765" s="39" t="str">
        <f>IF(AND(OR(LEFT(TH!L1765,2)="15",LEFT(TH!M1765,2)="15"),'152-CT'!$J$8=TH!F1765),"x","")</f>
        <v/>
      </c>
      <c r="Y1765" s="39" t="str">
        <f>IF(AND(OR(LEFT(TH!L1765,2)="15",LEFT(TH!M1765,2)="15"),TK!$E$7=TH!F1765),"x","")</f>
        <v/>
      </c>
      <c r="Z1765" s="39" t="str">
        <f>IF(AND(B1765&lt;=NKC!$N$8,B1765&gt;=NKC!$M$8),"x","")</f>
        <v/>
      </c>
      <c r="AA1765" s="886"/>
    </row>
    <row r="1766" spans="1:27" s="211" customFormat="1" ht="15.75" customHeight="1">
      <c r="A1766" s="204" t="str">
        <f>IF(B1766&lt;&gt;"",IF(AND(B1766&gt;=_TM1,B1766&lt;=_TM2,OR(TH!L1766="1111",TH!M1766="1111")),TH!D1766,""),"")</f>
        <v/>
      </c>
      <c r="B1766" s="36">
        <f t="shared" si="255"/>
        <v>4</v>
      </c>
      <c r="C1766" s="191">
        <f t="shared" si="254"/>
        <v>41387</v>
      </c>
      <c r="D1766" s="191"/>
      <c r="E1766" s="191">
        <v>41387</v>
      </c>
      <c r="F1766" s="192" t="s">
        <v>805</v>
      </c>
      <c r="G1766" s="487" t="s">
        <v>806</v>
      </c>
      <c r="H1766" s="7" t="s">
        <v>1293</v>
      </c>
      <c r="I1766" s="256"/>
      <c r="J1766" s="256"/>
      <c r="K1766" s="602">
        <f t="shared" si="256"/>
        <v>0</v>
      </c>
      <c r="L1766" s="39" t="s">
        <v>173</v>
      </c>
      <c r="M1766" s="39" t="s">
        <v>167</v>
      </c>
      <c r="N1766" s="39" t="str">
        <f>IF(AND('331-CT'!$E$7=TH!H1766,OR(L1766="331",M1766="331")),"331",IF(AND(OR(L1766="131",M1766="131"),H1766='131-CT'!$E$7),"131",""))</f>
        <v/>
      </c>
      <c r="O1766" s="39" t="str">
        <f>IF(AND($B1766&gt;='111'!$N$11,$B1766&lt;='111'!$O$11,OR($L1766=$O$7,$M1766=$O$7)),"x","")</f>
        <v/>
      </c>
      <c r="P1766" s="39" t="str">
        <f>IF(AND($L1766=$O$7,$B1766&lt;'111'!$N$11),"x","")</f>
        <v/>
      </c>
      <c r="Q1766" s="39" t="str">
        <f>IF(AND($M1766=$O$7,$B1766&lt;'111'!$N$11),"x","")</f>
        <v/>
      </c>
      <c r="R1766" s="39" t="str">
        <f>IF(ISERROR(FIND('112'!$M$9,G1766,1)),"",IF((AND(FIND('112'!$M$9,G1766,1)&gt;=1,$B1766&gt;='112'!$N$8,$B1766&lt;='112'!$O$8,OR($L1766='112'!$I$6,$M1766='112'!$I$6))),"x",""))</f>
        <v/>
      </c>
      <c r="S1766" s="39" t="str">
        <f>IF(ISERROR(FIND('112'!$M$9,G1766,1)),"",IF((AND(LEFT(G1766,2)=LEFT('112'!$M$9,2),B1766&lt;'112'!$N$8,$L1766='112'!$I$6)),"x",""))</f>
        <v/>
      </c>
      <c r="T1766" s="39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>632</v>
      </c>
      <c r="V1766" s="39" t="str">
        <f>IF(OR(TH!L1766=TH!$V$7,M1766=TH!$V$7),"x","")</f>
        <v/>
      </c>
      <c r="W1766" s="39" t="str">
        <f>IF(AND(B1766&gt;='IN-NX'!$P$3,B1766&lt;='IN-NX'!$Q$3,'IN-NX'!$D$7=D1766,OR(LEFT(L1766,2)="15",AND(LEFT(M1766,2)&lt;&gt;"15",LEFT(M1766,2)&lt;&gt;"33"))),"x","")</f>
        <v/>
      </c>
      <c r="X1766" s="39" t="str">
        <f>IF(AND(OR(LEFT(TH!L1766,2)="15",LEFT(TH!M1766,2)="15"),'152-CT'!$J$8=TH!F1766),"x","")</f>
        <v/>
      </c>
      <c r="Y1766" s="39" t="str">
        <f>IF(AND(OR(LEFT(TH!L1766,2)="15",LEFT(TH!M1766,2)="15"),TK!$E$7=TH!F1766),"x","")</f>
        <v/>
      </c>
      <c r="Z1766" s="39" t="str">
        <f>IF(AND(B1766&lt;=NKC!$N$8,B1766&gt;=NKC!$M$8),"x","")</f>
        <v/>
      </c>
      <c r="AA1766" s="886"/>
    </row>
    <row r="1767" spans="1:27" s="211" customFormat="1" ht="15.75" customHeight="1">
      <c r="A1767" s="204" t="str">
        <f>IF(B1767&lt;&gt;"",IF(AND(B1767&gt;=_TM1,B1767&lt;=_TM2,OR(TH!L1767="1111",TH!M1767="1111")),TH!D1767,""),"")</f>
        <v/>
      </c>
      <c r="B1767" s="36">
        <f t="shared" si="255"/>
        <v>4</v>
      </c>
      <c r="C1767" s="191">
        <f t="shared" si="254"/>
        <v>41387</v>
      </c>
      <c r="D1767" s="191"/>
      <c r="E1767" s="191">
        <v>41387</v>
      </c>
      <c r="F1767" s="192" t="s">
        <v>808</v>
      </c>
      <c r="G1767" s="487" t="s">
        <v>806</v>
      </c>
      <c r="H1767" s="7" t="s">
        <v>1293</v>
      </c>
      <c r="I1767" s="256"/>
      <c r="J1767" s="256"/>
      <c r="K1767" s="602">
        <f t="shared" si="256"/>
        <v>0</v>
      </c>
      <c r="L1767" s="39" t="s">
        <v>173</v>
      </c>
      <c r="M1767" s="39" t="s">
        <v>167</v>
      </c>
      <c r="N1767" s="39" t="str">
        <f>IF(AND('331-CT'!$E$7=TH!H1767,OR(L1767="331",M1767="331")),"331",IF(AND(OR(L1767="131",M1767="131"),H1767='131-CT'!$E$7),"131",""))</f>
        <v/>
      </c>
      <c r="O1767" s="39" t="str">
        <f>IF(AND($B1767&gt;='111'!$N$11,$B1767&lt;='111'!$O$11,OR($L1767=$O$7,$M1767=$O$7)),"x","")</f>
        <v/>
      </c>
      <c r="P1767" s="39" t="str">
        <f>IF(AND($L1767=$O$7,$B1767&lt;'111'!$N$11),"x","")</f>
        <v/>
      </c>
      <c r="Q1767" s="39" t="str">
        <f>IF(AND($M1767=$O$7,$B1767&lt;'111'!$N$11),"x","")</f>
        <v/>
      </c>
      <c r="R1767" s="39" t="str">
        <f>IF(ISERROR(FIND('112'!$M$9,G1767,1)),"",IF((AND(FIND('112'!$M$9,G1767,1)&gt;=1,$B1767&gt;='112'!$N$8,$B1767&lt;='112'!$O$8,OR($L1767='112'!$I$6,$M1767='112'!$I$6))),"x",""))</f>
        <v/>
      </c>
      <c r="S1767" s="39" t="str">
        <f>IF(ISERROR(FIND('112'!$M$9,G1767,1)),"",IF((AND(LEFT(G1767,2)=LEFT('112'!$M$9,2),B1767&lt;'112'!$N$8,$L1767='112'!$I$6)),"x",""))</f>
        <v/>
      </c>
      <c r="T1767" s="39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>632</v>
      </c>
      <c r="V1767" s="39" t="str">
        <f>IF(OR(TH!L1767=TH!$V$7,M1767=TH!$V$7),"x","")</f>
        <v/>
      </c>
      <c r="W1767" s="39" t="str">
        <f>IF(AND(B1767&gt;='IN-NX'!$P$3,B1767&lt;='IN-NX'!$Q$3,'IN-NX'!$D$7=D1767,OR(LEFT(L1767,2)="15",AND(LEFT(M1767,2)&lt;&gt;"15",LEFT(M1767,2)&lt;&gt;"33"))),"x","")</f>
        <v/>
      </c>
      <c r="X1767" s="39" t="str">
        <f>IF(AND(OR(LEFT(TH!L1767,2)="15",LEFT(TH!M1767,2)="15"),'152-CT'!$J$8=TH!F1767),"x","")</f>
        <v/>
      </c>
      <c r="Y1767" s="39" t="str">
        <f>IF(AND(OR(LEFT(TH!L1767,2)="15",LEFT(TH!M1767,2)="15"),TK!$E$7=TH!F1767),"x","")</f>
        <v/>
      </c>
      <c r="Z1767" s="39" t="str">
        <f>IF(AND(B1767&lt;=NKC!$N$8,B1767&gt;=NKC!$M$8),"x","")</f>
        <v/>
      </c>
      <c r="AA1767" s="886"/>
    </row>
    <row r="1768" spans="1:27" s="211" customFormat="1" ht="15.75" customHeight="1">
      <c r="A1768" s="204" t="str">
        <f>IF(B1768&lt;&gt;"",IF(AND(B1768&gt;=_TM1,B1768&lt;=_TM2,OR(TH!L1768="1111",TH!M1768="1111")),TH!D1768,""),"")</f>
        <v/>
      </c>
      <c r="B1768" s="36">
        <f t="shared" si="255"/>
        <v>4</v>
      </c>
      <c r="C1768" s="191">
        <f t="shared" si="254"/>
        <v>41388</v>
      </c>
      <c r="D1768" s="191"/>
      <c r="E1768" s="191">
        <v>41388</v>
      </c>
      <c r="F1768" s="192" t="s">
        <v>1141</v>
      </c>
      <c r="G1768" s="487" t="s">
        <v>809</v>
      </c>
      <c r="H1768" s="7" t="s">
        <v>1293</v>
      </c>
      <c r="I1768" s="256"/>
      <c r="J1768" s="256"/>
      <c r="K1768" s="602">
        <f t="shared" si="256"/>
        <v>0</v>
      </c>
      <c r="L1768" s="39" t="s">
        <v>173</v>
      </c>
      <c r="M1768" s="39" t="s">
        <v>167</v>
      </c>
      <c r="N1768" s="39" t="str">
        <f>IF(AND('331-CT'!$E$7=TH!H1768,OR(L1768="331",M1768="331")),"331",IF(AND(OR(L1768="131",M1768="131"),H1768='131-CT'!$E$7),"131",""))</f>
        <v/>
      </c>
      <c r="O1768" s="39" t="str">
        <f>IF(AND($B1768&gt;='111'!$N$11,$B1768&lt;='111'!$O$11,OR($L1768=$O$7,$M1768=$O$7)),"x","")</f>
        <v/>
      </c>
      <c r="P1768" s="39" t="str">
        <f>IF(AND($L1768=$O$7,$B1768&lt;'111'!$N$11),"x","")</f>
        <v/>
      </c>
      <c r="Q1768" s="39" t="str">
        <f>IF(AND($M1768=$O$7,$B1768&lt;'111'!$N$11),"x","")</f>
        <v/>
      </c>
      <c r="R1768" s="39" t="str">
        <f>IF(ISERROR(FIND('112'!$M$9,G1768,1)),"",IF((AND(FIND('112'!$M$9,G1768,1)&gt;=1,$B1768&gt;='112'!$N$8,$B1768&lt;='112'!$O$8,OR($L1768='112'!$I$6,$M1768='112'!$I$6))),"x",""))</f>
        <v/>
      </c>
      <c r="S1768" s="39" t="str">
        <f>IF(ISERROR(FIND('112'!$M$9,G1768,1)),"",IF((AND(LEFT(G1768,2)=LEFT('112'!$M$9,2),B1768&lt;'112'!$N$8,$L1768='112'!$I$6)),"x",""))</f>
        <v/>
      </c>
      <c r="T1768" s="39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>632</v>
      </c>
      <c r="V1768" s="39" t="str">
        <f>IF(OR(TH!L1768=TH!$V$7,M1768=TH!$V$7),"x","")</f>
        <v/>
      </c>
      <c r="W1768" s="39" t="str">
        <f>IF(AND(B1768&gt;='IN-NX'!$P$3,B1768&lt;='IN-NX'!$Q$3,'IN-NX'!$D$7=D1768,OR(LEFT(L1768,2)="15",AND(LEFT(M1768,2)&lt;&gt;"15",LEFT(M1768,2)&lt;&gt;"33"))),"x","")</f>
        <v/>
      </c>
      <c r="X1768" s="39" t="str">
        <f>IF(AND(OR(LEFT(TH!L1768,2)="15",LEFT(TH!M1768,2)="15"),'152-CT'!$J$8=TH!F1768),"x","")</f>
        <v/>
      </c>
      <c r="Y1768" s="39" t="str">
        <f>IF(AND(OR(LEFT(TH!L1768,2)="15",LEFT(TH!M1768,2)="15"),TK!$E$7=TH!F1768),"x","")</f>
        <v/>
      </c>
      <c r="Z1768" s="39" t="str">
        <f>IF(AND(B1768&lt;=NKC!$N$8,B1768&gt;=NKC!$M$8),"x","")</f>
        <v/>
      </c>
      <c r="AA1768" s="886"/>
    </row>
    <row r="1769" spans="1:27" s="211" customFormat="1" ht="15.75" customHeight="1">
      <c r="A1769" s="204" t="str">
        <f>IF(B1769&lt;&gt;"",IF(AND(B1769&gt;=_TM1,B1769&lt;=_TM2,OR(TH!L1769="1111",TH!M1769="1111")),TH!D1769,""),"")</f>
        <v/>
      </c>
      <c r="B1769" s="36">
        <f t="shared" si="255"/>
        <v>4</v>
      </c>
      <c r="C1769" s="191">
        <f t="shared" si="254"/>
        <v>41388</v>
      </c>
      <c r="D1769" s="191"/>
      <c r="E1769" s="191">
        <v>41388</v>
      </c>
      <c r="F1769" s="192" t="s">
        <v>1147</v>
      </c>
      <c r="G1769" s="487" t="s">
        <v>809</v>
      </c>
      <c r="H1769" s="7" t="s">
        <v>1293</v>
      </c>
      <c r="I1769" s="256"/>
      <c r="J1769" s="256"/>
      <c r="K1769" s="602">
        <f t="shared" si="256"/>
        <v>0</v>
      </c>
      <c r="L1769" s="39" t="s">
        <v>173</v>
      </c>
      <c r="M1769" s="39" t="s">
        <v>167</v>
      </c>
      <c r="N1769" s="39" t="str">
        <f>IF(AND('331-CT'!$E$7=TH!H1769,OR(L1769="331",M1769="331")),"331",IF(AND(OR(L1769="131",M1769="131"),H1769='131-CT'!$E$7),"131",""))</f>
        <v/>
      </c>
      <c r="O1769" s="39" t="str">
        <f>IF(AND($B1769&gt;='111'!$N$11,$B1769&lt;='111'!$O$11,OR($L1769=$O$7,$M1769=$O$7)),"x","")</f>
        <v/>
      </c>
      <c r="P1769" s="39" t="str">
        <f>IF(AND($L1769=$O$7,$B1769&lt;'111'!$N$11),"x","")</f>
        <v/>
      </c>
      <c r="Q1769" s="39" t="str">
        <f>IF(AND($M1769=$O$7,$B1769&lt;'111'!$N$11),"x","")</f>
        <v/>
      </c>
      <c r="R1769" s="39" t="str">
        <f>IF(ISERROR(FIND('112'!$M$9,G1769,1)),"",IF((AND(FIND('112'!$M$9,G1769,1)&gt;=1,$B1769&gt;='112'!$N$8,$B1769&lt;='112'!$O$8,OR($L1769='112'!$I$6,$M1769='112'!$I$6))),"x",""))</f>
        <v/>
      </c>
      <c r="S1769" s="39" t="str">
        <f>IF(ISERROR(FIND('112'!$M$9,G1769,1)),"",IF((AND(LEFT(G1769,2)=LEFT('112'!$M$9,2),B1769&lt;'112'!$N$8,$L1769='112'!$I$6)),"x",""))</f>
        <v/>
      </c>
      <c r="T1769" s="39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>632</v>
      </c>
      <c r="V1769" s="39" t="str">
        <f>IF(OR(TH!L1769=TH!$V$7,M1769=TH!$V$7),"x","")</f>
        <v/>
      </c>
      <c r="W1769" s="39" t="str">
        <f>IF(AND(B1769&gt;='IN-NX'!$P$3,B1769&lt;='IN-NX'!$Q$3,'IN-NX'!$D$7=D1769,OR(LEFT(L1769,2)="15",AND(LEFT(M1769,2)&lt;&gt;"15",LEFT(M1769,2)&lt;&gt;"33"))),"x","")</f>
        <v/>
      </c>
      <c r="X1769" s="39" t="str">
        <f>IF(AND(OR(LEFT(TH!L1769,2)="15",LEFT(TH!M1769,2)="15"),'152-CT'!$J$8=TH!F1769),"x","")</f>
        <v/>
      </c>
      <c r="Y1769" s="39" t="str">
        <f>IF(AND(OR(LEFT(TH!L1769,2)="15",LEFT(TH!M1769,2)="15"),TK!$E$7=TH!F1769),"x","")</f>
        <v/>
      </c>
      <c r="Z1769" s="39" t="str">
        <f>IF(AND(B1769&lt;=NKC!$N$8,B1769&gt;=NKC!$M$8),"x","")</f>
        <v/>
      </c>
      <c r="AA1769" s="886"/>
    </row>
    <row r="1770" spans="1:27" s="211" customFormat="1" ht="15.75" customHeight="1">
      <c r="A1770" s="204" t="str">
        <f>IF(B1770&lt;&gt;"",IF(AND(B1770&gt;=_TM1,B1770&lt;=_TM2,OR(TH!L1770="1111",TH!M1770="1111")),TH!D1770,""),"")</f>
        <v/>
      </c>
      <c r="B1770" s="36">
        <f t="shared" si="255"/>
        <v>4</v>
      </c>
      <c r="C1770" s="191">
        <f t="shared" si="254"/>
        <v>41388</v>
      </c>
      <c r="D1770" s="191"/>
      <c r="E1770" s="191">
        <v>41388</v>
      </c>
      <c r="F1770" s="192" t="s">
        <v>810</v>
      </c>
      <c r="G1770" s="487" t="s">
        <v>811</v>
      </c>
      <c r="H1770" s="7" t="s">
        <v>1293</v>
      </c>
      <c r="I1770" s="256"/>
      <c r="J1770" s="256"/>
      <c r="K1770" s="602">
        <f t="shared" si="256"/>
        <v>0</v>
      </c>
      <c r="L1770" s="39" t="s">
        <v>173</v>
      </c>
      <c r="M1770" s="39" t="s">
        <v>167</v>
      </c>
      <c r="N1770" s="39" t="str">
        <f>IF(AND('331-CT'!$E$7=TH!H1770,OR(L1770="331",M1770="331")),"331",IF(AND(OR(L1770="131",M1770="131"),H1770='131-CT'!$E$7),"131",""))</f>
        <v/>
      </c>
      <c r="O1770" s="39" t="str">
        <f>IF(AND($B1770&gt;='111'!$N$11,$B1770&lt;='111'!$O$11,OR($L1770=$O$7,$M1770=$O$7)),"x","")</f>
        <v/>
      </c>
      <c r="P1770" s="39" t="str">
        <f>IF(AND($L1770=$O$7,$B1770&lt;'111'!$N$11),"x","")</f>
        <v/>
      </c>
      <c r="Q1770" s="39" t="str">
        <f>IF(AND($M1770=$O$7,$B1770&lt;'111'!$N$11),"x","")</f>
        <v/>
      </c>
      <c r="R1770" s="39" t="str">
        <f>IF(ISERROR(FIND('112'!$M$9,G1770,1)),"",IF((AND(FIND('112'!$M$9,G1770,1)&gt;=1,$B1770&gt;='112'!$N$8,$B1770&lt;='112'!$O$8,OR($L1770='112'!$I$6,$M1770='112'!$I$6))),"x",""))</f>
        <v/>
      </c>
      <c r="S1770" s="39" t="str">
        <f>IF(ISERROR(FIND('112'!$M$9,G1770,1)),"",IF((AND(LEFT(G1770,2)=LEFT('112'!$M$9,2),B1770&lt;'112'!$N$8,$L1770='112'!$I$6)),"x",""))</f>
        <v/>
      </c>
      <c r="T1770" s="39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>632</v>
      </c>
      <c r="V1770" s="39" t="str">
        <f>IF(OR(TH!L1770=TH!$V$7,M1770=TH!$V$7),"x","")</f>
        <v/>
      </c>
      <c r="W1770" s="39" t="str">
        <f>IF(AND(B1770&gt;='IN-NX'!$P$3,B1770&lt;='IN-NX'!$Q$3,'IN-NX'!$D$7=D1770,OR(LEFT(L1770,2)="15",AND(LEFT(M1770,2)&lt;&gt;"15",LEFT(M1770,2)&lt;&gt;"33"))),"x","")</f>
        <v/>
      </c>
      <c r="X1770" s="39" t="str">
        <f>IF(AND(OR(LEFT(TH!L1770,2)="15",LEFT(TH!M1770,2)="15"),'152-CT'!$J$8=TH!F1770),"x","")</f>
        <v/>
      </c>
      <c r="Y1770" s="39" t="str">
        <f>IF(AND(OR(LEFT(TH!L1770,2)="15",LEFT(TH!M1770,2)="15"),TK!$E$7=TH!F1770),"x","")</f>
        <v/>
      </c>
      <c r="Z1770" s="39" t="str">
        <f>IF(AND(B1770&lt;=NKC!$N$8,B1770&gt;=NKC!$M$8),"x","")</f>
        <v/>
      </c>
      <c r="AA1770" s="886"/>
    </row>
    <row r="1771" spans="1:27" s="211" customFormat="1" ht="15.75" customHeight="1">
      <c r="A1771" s="204" t="str">
        <f>IF(B1771&lt;&gt;"",IF(AND(B1771&gt;=_TM1,B1771&lt;=_TM2,OR(TH!L1771="1111",TH!M1771="1111")),TH!D1771,""),"")</f>
        <v/>
      </c>
      <c r="B1771" s="36">
        <f t="shared" si="255"/>
        <v>4</v>
      </c>
      <c r="C1771" s="191">
        <f t="shared" si="254"/>
        <v>41388</v>
      </c>
      <c r="D1771" s="191"/>
      <c r="E1771" s="191">
        <v>41388</v>
      </c>
      <c r="F1771" s="192" t="s">
        <v>812</v>
      </c>
      <c r="G1771" s="487" t="s">
        <v>811</v>
      </c>
      <c r="H1771" s="7" t="s">
        <v>1293</v>
      </c>
      <c r="I1771" s="256"/>
      <c r="J1771" s="256"/>
      <c r="K1771" s="602">
        <f t="shared" si="256"/>
        <v>0</v>
      </c>
      <c r="L1771" s="39" t="s">
        <v>173</v>
      </c>
      <c r="M1771" s="39" t="s">
        <v>167</v>
      </c>
      <c r="N1771" s="39" t="str">
        <f>IF(AND('331-CT'!$E$7=TH!H1771,OR(L1771="331",M1771="331")),"331",IF(AND(OR(L1771="131",M1771="131"),H1771='131-CT'!$E$7),"131",""))</f>
        <v/>
      </c>
      <c r="O1771" s="39" t="str">
        <f>IF(AND($B1771&gt;='111'!$N$11,$B1771&lt;='111'!$O$11,OR($L1771=$O$7,$M1771=$O$7)),"x","")</f>
        <v/>
      </c>
      <c r="P1771" s="39" t="str">
        <f>IF(AND($L1771=$O$7,$B1771&lt;'111'!$N$11),"x","")</f>
        <v/>
      </c>
      <c r="Q1771" s="39" t="str">
        <f>IF(AND($M1771=$O$7,$B1771&lt;'111'!$N$11),"x","")</f>
        <v/>
      </c>
      <c r="R1771" s="39" t="str">
        <f>IF(ISERROR(FIND('112'!$M$9,G1771,1)),"",IF((AND(FIND('112'!$M$9,G1771,1)&gt;=1,$B1771&gt;='112'!$N$8,$B1771&lt;='112'!$O$8,OR($L1771='112'!$I$6,$M1771='112'!$I$6))),"x",""))</f>
        <v/>
      </c>
      <c r="S1771" s="39" t="str">
        <f>IF(ISERROR(FIND('112'!$M$9,G1771,1)),"",IF((AND(LEFT(G1771,2)=LEFT('112'!$M$9,2),B1771&lt;'112'!$N$8,$L1771='112'!$I$6)),"x",""))</f>
        <v/>
      </c>
      <c r="T1771" s="39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>632</v>
      </c>
      <c r="V1771" s="39" t="str">
        <f>IF(OR(TH!L1771=TH!$V$7,M1771=TH!$V$7),"x","")</f>
        <v/>
      </c>
      <c r="W1771" s="39" t="str">
        <f>IF(AND(B1771&gt;='IN-NX'!$P$3,B1771&lt;='IN-NX'!$Q$3,'IN-NX'!$D$7=D1771,OR(LEFT(L1771,2)="15",AND(LEFT(M1771,2)&lt;&gt;"15",LEFT(M1771,2)&lt;&gt;"33"))),"x","")</f>
        <v/>
      </c>
      <c r="X1771" s="39" t="str">
        <f>IF(AND(OR(LEFT(TH!L1771,2)="15",LEFT(TH!M1771,2)="15"),'152-CT'!$J$8=TH!F1771),"x","")</f>
        <v/>
      </c>
      <c r="Y1771" s="39" t="str">
        <f>IF(AND(OR(LEFT(TH!L1771,2)="15",LEFT(TH!M1771,2)="15"),TK!$E$7=TH!F1771),"x","")</f>
        <v/>
      </c>
      <c r="Z1771" s="39" t="str">
        <f>IF(AND(B1771&lt;=NKC!$N$8,B1771&gt;=NKC!$M$8),"x","")</f>
        <v/>
      </c>
      <c r="AA1771" s="886"/>
    </row>
    <row r="1772" spans="1:27" s="211" customFormat="1" ht="15.75" customHeight="1">
      <c r="A1772" s="204" t="str">
        <f>IF(B1772&lt;&gt;"",IF(AND(B1772&gt;=_TM1,B1772&lt;=_TM2,OR(TH!L1772="1111",TH!M1772="1111")),TH!D1772,""),"")</f>
        <v/>
      </c>
      <c r="B1772" s="36">
        <f t="shared" si="255"/>
        <v>4</v>
      </c>
      <c r="C1772" s="191">
        <f t="shared" si="254"/>
        <v>41389</v>
      </c>
      <c r="D1772" s="37"/>
      <c r="E1772" s="191">
        <v>41389</v>
      </c>
      <c r="F1772" s="192" t="s">
        <v>1137</v>
      </c>
      <c r="G1772" s="487" t="s">
        <v>813</v>
      </c>
      <c r="H1772" s="7" t="s">
        <v>1293</v>
      </c>
      <c r="I1772" s="256"/>
      <c r="J1772" s="256"/>
      <c r="K1772" s="602">
        <f t="shared" si="256"/>
        <v>0</v>
      </c>
      <c r="L1772" s="39" t="s">
        <v>173</v>
      </c>
      <c r="M1772" s="39" t="s">
        <v>167</v>
      </c>
      <c r="N1772" s="39" t="str">
        <f>IF(AND('331-CT'!$E$7=TH!H1772,OR(L1772="331",M1772="331")),"331",IF(AND(OR(L1772="131",M1772="131"),H1772='131-CT'!$E$7),"131",""))</f>
        <v/>
      </c>
      <c r="O1772" s="39" t="str">
        <f>IF(AND($B1772&gt;='111'!$N$11,$B1772&lt;='111'!$O$11,OR($L1772=$O$7,$M1772=$O$7)),"x","")</f>
        <v/>
      </c>
      <c r="P1772" s="39" t="str">
        <f>IF(AND($L1772=$O$7,$B1772&lt;'111'!$N$11),"x","")</f>
        <v/>
      </c>
      <c r="Q1772" s="39" t="str">
        <f>IF(AND($M1772=$O$7,$B1772&lt;'111'!$N$11),"x","")</f>
        <v/>
      </c>
      <c r="R1772" s="39" t="str">
        <f>IF(ISERROR(FIND('112'!$M$9,G1772,1)),"",IF((AND(FIND('112'!$M$9,G1772,1)&gt;=1,$B1772&gt;='112'!$N$8,$B1772&lt;='112'!$O$8,OR($L1772='112'!$I$6,$M1772='112'!$I$6))),"x",""))</f>
        <v/>
      </c>
      <c r="S1772" s="39" t="str">
        <f>IF(ISERROR(FIND('112'!$M$9,G1772,1)),"",IF((AND(LEFT(G1772,2)=LEFT('112'!$M$9,2),B1772&lt;'112'!$N$8,$L1772='112'!$I$6)),"x",""))</f>
        <v/>
      </c>
      <c r="T1772" s="39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>632</v>
      </c>
      <c r="V1772" s="39" t="str">
        <f>IF(OR(TH!L1772=TH!$V$7,M1772=TH!$V$7),"x","")</f>
        <v/>
      </c>
      <c r="W1772" s="39" t="str">
        <f>IF(AND(B1772&gt;='IN-NX'!$P$3,B1772&lt;='IN-NX'!$Q$3,'IN-NX'!$D$7=D1772,OR(LEFT(L1772,2)="15",AND(LEFT(M1772,2)&lt;&gt;"15",LEFT(M1772,2)&lt;&gt;"33"))),"x","")</f>
        <v/>
      </c>
      <c r="X1772" s="39" t="str">
        <f>IF(AND(OR(LEFT(TH!L1772,2)="15",LEFT(TH!M1772,2)="15"),'152-CT'!$J$8=TH!F1772),"x","")</f>
        <v/>
      </c>
      <c r="Y1772" s="39" t="str">
        <f>IF(AND(OR(LEFT(TH!L1772,2)="15",LEFT(TH!M1772,2)="15"),TK!$E$7=TH!F1772),"x","")</f>
        <v/>
      </c>
      <c r="Z1772" s="39" t="str">
        <f>IF(AND(B1772&lt;=NKC!$N$8,B1772&gt;=NKC!$M$8),"x","")</f>
        <v/>
      </c>
      <c r="AA1772" s="886"/>
    </row>
    <row r="1773" spans="1:27" s="211" customFormat="1" ht="15.75" customHeight="1">
      <c r="A1773" s="204" t="str">
        <f>IF(B1773&lt;&gt;"",IF(AND(B1773&gt;=_TM1,B1773&lt;=_TM2,OR(TH!L1773="1111",TH!M1773="1111")),TH!D1773,""),"")</f>
        <v/>
      </c>
      <c r="B1773" s="36">
        <f t="shared" si="255"/>
        <v>4</v>
      </c>
      <c r="C1773" s="191">
        <f t="shared" si="254"/>
        <v>41391</v>
      </c>
      <c r="D1773" s="37"/>
      <c r="E1773" s="191">
        <v>41391</v>
      </c>
      <c r="F1773" s="192" t="s">
        <v>814</v>
      </c>
      <c r="G1773" s="487" t="s">
        <v>815</v>
      </c>
      <c r="H1773" s="7" t="s">
        <v>1293</v>
      </c>
      <c r="I1773" s="256"/>
      <c r="J1773" s="256"/>
      <c r="K1773" s="602">
        <f t="shared" si="256"/>
        <v>0</v>
      </c>
      <c r="L1773" s="39" t="s">
        <v>173</v>
      </c>
      <c r="M1773" s="39" t="s">
        <v>167</v>
      </c>
      <c r="N1773" s="39" t="str">
        <f>IF(AND('331-CT'!$E$7=TH!H1773,OR(L1773="331",M1773="331")),"331",IF(AND(OR(L1773="131",M1773="131"),H1773='131-CT'!$E$7),"131",""))</f>
        <v/>
      </c>
      <c r="O1773" s="39" t="str">
        <f>IF(AND($B1773&gt;='111'!$N$11,$B1773&lt;='111'!$O$11,OR($L1773=$O$7,$M1773=$O$7)),"x","")</f>
        <v/>
      </c>
      <c r="P1773" s="39" t="str">
        <f>IF(AND($L1773=$O$7,$B1773&lt;'111'!$N$11),"x","")</f>
        <v/>
      </c>
      <c r="Q1773" s="39" t="str">
        <f>IF(AND($M1773=$O$7,$B1773&lt;'111'!$N$11),"x","")</f>
        <v/>
      </c>
      <c r="R1773" s="39" t="str">
        <f>IF(ISERROR(FIND('112'!$M$9,G1773,1)),"",IF((AND(FIND('112'!$M$9,G1773,1)&gt;=1,$B1773&gt;='112'!$N$8,$B1773&lt;='112'!$O$8,OR($L1773='112'!$I$6,$M1773='112'!$I$6))),"x",""))</f>
        <v/>
      </c>
      <c r="S1773" s="39" t="str">
        <f>IF(ISERROR(FIND('112'!$M$9,G1773,1)),"",IF((AND(LEFT(G1773,2)=LEFT('112'!$M$9,2),B1773&lt;'112'!$N$8,$L1773='112'!$I$6)),"x",""))</f>
        <v/>
      </c>
      <c r="T1773" s="39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>632</v>
      </c>
      <c r="V1773" s="39" t="str">
        <f>IF(OR(TH!L1773=TH!$V$7,M1773=TH!$V$7),"x","")</f>
        <v/>
      </c>
      <c r="W1773" s="39" t="str">
        <f>IF(AND(B1773&gt;='IN-NX'!$P$3,B1773&lt;='IN-NX'!$Q$3,'IN-NX'!$D$7=D1773,OR(LEFT(L1773,2)="15",AND(LEFT(M1773,2)&lt;&gt;"15",LEFT(M1773,2)&lt;&gt;"33"))),"x","")</f>
        <v/>
      </c>
      <c r="X1773" s="39" t="str">
        <f>IF(AND(OR(LEFT(TH!L1773,2)="15",LEFT(TH!M1773,2)="15"),'152-CT'!$J$8=TH!F1773),"x","")</f>
        <v/>
      </c>
      <c r="Y1773" s="39" t="str">
        <f>IF(AND(OR(LEFT(TH!L1773,2)="15",LEFT(TH!M1773,2)="15"),TK!$E$7=TH!F1773),"x","")</f>
        <v/>
      </c>
      <c r="Z1773" s="39" t="str">
        <f>IF(AND(B1773&lt;=NKC!$N$8,B1773&gt;=NKC!$M$8),"x","")</f>
        <v/>
      </c>
      <c r="AA1773" s="886"/>
    </row>
    <row r="1774" spans="1:27" s="211" customFormat="1" ht="15.75" customHeight="1">
      <c r="A1774" s="204" t="str">
        <f>IF(B1774&lt;&gt;"",IF(AND(B1774&gt;=_TM1,B1774&lt;=_TM2,OR(TH!L1774="1111",TH!M1774="1111")),TH!D1774,""),"")</f>
        <v/>
      </c>
      <c r="B1774" s="36">
        <f t="shared" si="255"/>
        <v>4</v>
      </c>
      <c r="C1774" s="191">
        <f t="shared" si="254"/>
        <v>41391</v>
      </c>
      <c r="D1774" s="37"/>
      <c r="E1774" s="191">
        <v>41391</v>
      </c>
      <c r="F1774" s="192" t="s">
        <v>816</v>
      </c>
      <c r="G1774" s="487" t="s">
        <v>815</v>
      </c>
      <c r="H1774" s="7" t="s">
        <v>1293</v>
      </c>
      <c r="I1774" s="256"/>
      <c r="J1774" s="256"/>
      <c r="K1774" s="602">
        <f t="shared" si="256"/>
        <v>0</v>
      </c>
      <c r="L1774" s="39" t="s">
        <v>173</v>
      </c>
      <c r="M1774" s="39" t="s">
        <v>167</v>
      </c>
      <c r="N1774" s="39" t="str">
        <f>IF(AND('331-CT'!$E$7=TH!H1774,OR(L1774="331",M1774="331")),"331",IF(AND(OR(L1774="131",M1774="131"),H1774='131-CT'!$E$7),"131",""))</f>
        <v/>
      </c>
      <c r="O1774" s="39" t="str">
        <f>IF(AND($B1774&gt;='111'!$N$11,$B1774&lt;='111'!$O$11,OR($L1774=$O$7,$M1774=$O$7)),"x","")</f>
        <v/>
      </c>
      <c r="P1774" s="39" t="str">
        <f>IF(AND($L1774=$O$7,$B1774&lt;'111'!$N$11),"x","")</f>
        <v/>
      </c>
      <c r="Q1774" s="39" t="str">
        <f>IF(AND($M1774=$O$7,$B1774&lt;'111'!$N$11),"x","")</f>
        <v/>
      </c>
      <c r="R1774" s="39" t="str">
        <f>IF(ISERROR(FIND('112'!$M$9,G1774,1)),"",IF((AND(FIND('112'!$M$9,G1774,1)&gt;=1,$B1774&gt;='112'!$N$8,$B1774&lt;='112'!$O$8,OR($L1774='112'!$I$6,$M1774='112'!$I$6))),"x",""))</f>
        <v/>
      </c>
      <c r="S1774" s="39" t="str">
        <f>IF(ISERROR(FIND('112'!$M$9,G1774,1)),"",IF((AND(LEFT(G1774,2)=LEFT('112'!$M$9,2),B1774&lt;'112'!$N$8,$L1774='112'!$I$6)),"x",""))</f>
        <v/>
      </c>
      <c r="T1774" s="39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>632</v>
      </c>
      <c r="V1774" s="39" t="str">
        <f>IF(OR(TH!L1774=TH!$V$7,M1774=TH!$V$7),"x","")</f>
        <v/>
      </c>
      <c r="W1774" s="39" t="str">
        <f>IF(AND(B1774&gt;='IN-NX'!$P$3,B1774&lt;='IN-NX'!$Q$3,'IN-NX'!$D$7=D1774,OR(LEFT(L1774,2)="15",AND(LEFT(M1774,2)&lt;&gt;"15",LEFT(M1774,2)&lt;&gt;"33"))),"x","")</f>
        <v/>
      </c>
      <c r="X1774" s="39" t="str">
        <f>IF(AND(OR(LEFT(TH!L1774,2)="15",LEFT(TH!M1774,2)="15"),'152-CT'!$J$8=TH!F1774),"x","")</f>
        <v/>
      </c>
      <c r="Y1774" s="39" t="str">
        <f>IF(AND(OR(LEFT(TH!L1774,2)="15",LEFT(TH!M1774,2)="15"),TK!$E$7=TH!F1774),"x","")</f>
        <v/>
      </c>
      <c r="Z1774" s="39" t="str">
        <f>IF(AND(B1774&lt;=NKC!$N$8,B1774&gt;=NKC!$M$8),"x","")</f>
        <v/>
      </c>
      <c r="AA1774" s="886"/>
    </row>
    <row r="1775" spans="1:27" s="211" customFormat="1" ht="15.75" customHeight="1">
      <c r="A1775" s="204" t="str">
        <f>IF(B1775&lt;&gt;"",IF(AND(B1775&gt;=_TM1,B1775&lt;=_TM2,OR(TH!L1775="1111",TH!M1775="1111")),TH!D1775,""),"")</f>
        <v/>
      </c>
      <c r="B1775" s="36">
        <f t="shared" si="255"/>
        <v>5</v>
      </c>
      <c r="C1775" s="191">
        <f t="shared" si="254"/>
        <v>41400</v>
      </c>
      <c r="D1775" s="37"/>
      <c r="E1775" s="191">
        <v>41400</v>
      </c>
      <c r="F1775" s="192" t="s">
        <v>817</v>
      </c>
      <c r="G1775" s="487" t="s">
        <v>818</v>
      </c>
      <c r="H1775" s="7" t="s">
        <v>1293</v>
      </c>
      <c r="I1775" s="256"/>
      <c r="J1775" s="256"/>
      <c r="K1775" s="602">
        <f t="shared" si="256"/>
        <v>0</v>
      </c>
      <c r="L1775" s="39" t="s">
        <v>173</v>
      </c>
      <c r="M1775" s="39" t="s">
        <v>167</v>
      </c>
      <c r="N1775" s="39" t="str">
        <f>IF(AND('331-CT'!$E$7=TH!H1775,OR(L1775="331",M1775="331")),"331",IF(AND(OR(L1775="131",M1775="131"),H1775='131-CT'!$E$7),"131",""))</f>
        <v/>
      </c>
      <c r="O1775" s="39" t="str">
        <f>IF(AND($B1775&gt;='111'!$N$11,$B1775&lt;='111'!$O$11,OR($L1775=$O$7,$M1775=$O$7)),"x","")</f>
        <v/>
      </c>
      <c r="P1775" s="39" t="str">
        <f>IF(AND($L1775=$O$7,$B1775&lt;'111'!$N$11),"x","")</f>
        <v/>
      </c>
      <c r="Q1775" s="39" t="str">
        <f>IF(AND($M1775=$O$7,$B1775&lt;'111'!$N$11),"x","")</f>
        <v/>
      </c>
      <c r="R1775" s="39" t="str">
        <f>IF(ISERROR(FIND('112'!$M$9,G1775,1)),"",IF((AND(FIND('112'!$M$9,G1775,1)&gt;=1,$B1775&gt;='112'!$N$8,$B1775&lt;='112'!$O$8,OR($L1775='112'!$I$6,$M1775='112'!$I$6))),"x",""))</f>
        <v/>
      </c>
      <c r="S1775" s="39" t="str">
        <f>IF(ISERROR(FIND('112'!$M$9,G1775,1)),"",IF((AND(LEFT(G1775,2)=LEFT('112'!$M$9,2),B1775&lt;'112'!$N$8,$L1775='112'!$I$6)),"x",""))</f>
        <v/>
      </c>
      <c r="T1775" s="39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>632</v>
      </c>
      <c r="V1775" s="39" t="str">
        <f>IF(OR(TH!L1775=TH!$V$7,M1775=TH!$V$7),"x","")</f>
        <v/>
      </c>
      <c r="W1775" s="39" t="str">
        <f>IF(AND(B1775&gt;='IN-NX'!$P$3,B1775&lt;='IN-NX'!$Q$3,'IN-NX'!$D$7=D1775,OR(LEFT(L1775,2)="15",AND(LEFT(M1775,2)&lt;&gt;"15",LEFT(M1775,2)&lt;&gt;"33"))),"x","")</f>
        <v/>
      </c>
      <c r="X1775" s="39" t="str">
        <f>IF(AND(OR(LEFT(TH!L1775,2)="15",LEFT(TH!M1775,2)="15"),'152-CT'!$J$8=TH!F1775),"x","")</f>
        <v/>
      </c>
      <c r="Y1775" s="39" t="str">
        <f>IF(AND(OR(LEFT(TH!L1775,2)="15",LEFT(TH!M1775,2)="15"),TK!$E$7=TH!F1775),"x","")</f>
        <v/>
      </c>
      <c r="Z1775" s="39" t="str">
        <f>IF(AND(B1775&lt;=NKC!$N$8,B1775&gt;=NKC!$M$8),"x","")</f>
        <v/>
      </c>
      <c r="AA1775" s="886"/>
    </row>
    <row r="1776" spans="1:27" s="211" customFormat="1" ht="15.75" customHeight="1">
      <c r="A1776" s="204" t="str">
        <f>IF(B1776&lt;&gt;"",IF(AND(B1776&gt;=_TM1,B1776&lt;=_TM2,OR(TH!L1776="1111",TH!M1776="1111")),TH!D1776,""),"")</f>
        <v/>
      </c>
      <c r="B1776" s="36">
        <f t="shared" si="255"/>
        <v>5</v>
      </c>
      <c r="C1776" s="191">
        <f t="shared" si="254"/>
        <v>41400</v>
      </c>
      <c r="D1776" s="37"/>
      <c r="E1776" s="37">
        <v>41400</v>
      </c>
      <c r="F1776" s="40" t="s">
        <v>819</v>
      </c>
      <c r="G1776" s="40" t="s">
        <v>818</v>
      </c>
      <c r="H1776" s="7" t="s">
        <v>1293</v>
      </c>
      <c r="I1776" s="256"/>
      <c r="J1776" s="256"/>
      <c r="K1776" s="602">
        <f t="shared" si="256"/>
        <v>0</v>
      </c>
      <c r="L1776" s="39" t="s">
        <v>173</v>
      </c>
      <c r="M1776" s="39" t="s">
        <v>167</v>
      </c>
      <c r="N1776" s="39" t="str">
        <f>IF(AND('331-CT'!$E$7=TH!H1776,OR(L1776="331",M1776="331")),"331",IF(AND(OR(L1776="131",M1776="131"),H1776='131-CT'!$E$7),"131",""))</f>
        <v/>
      </c>
      <c r="O1776" s="39" t="str">
        <f>IF(AND($B1776&gt;='111'!$N$11,$B1776&lt;='111'!$O$11,OR($L1776=$O$7,$M1776=$O$7)),"x","")</f>
        <v/>
      </c>
      <c r="P1776" s="39" t="str">
        <f>IF(AND($L1776=$O$7,$B1776&lt;'111'!$N$11),"x","")</f>
        <v/>
      </c>
      <c r="Q1776" s="39" t="str">
        <f>IF(AND($M1776=$O$7,$B1776&lt;'111'!$N$11),"x","")</f>
        <v/>
      </c>
      <c r="R1776" s="39" t="str">
        <f>IF(ISERROR(FIND('112'!$M$9,G1776,1)),"",IF((AND(FIND('112'!$M$9,G1776,1)&gt;=1,$B1776&gt;='112'!$N$8,$B1776&lt;='112'!$O$8,OR($L1776='112'!$I$6,$M1776='112'!$I$6))),"x",""))</f>
        <v/>
      </c>
      <c r="S1776" s="39" t="str">
        <f>IF(ISERROR(FIND('112'!$M$9,G1776,1)),"",IF((AND(LEFT(G1776,2)=LEFT('112'!$M$9,2),B1776&lt;'112'!$N$8,$L1776='112'!$I$6)),"x",""))</f>
        <v/>
      </c>
      <c r="T1776" s="39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>632</v>
      </c>
      <c r="V1776" s="39" t="str">
        <f>IF(OR(TH!L1776=TH!$V$7,M1776=TH!$V$7),"x","")</f>
        <v/>
      </c>
      <c r="W1776" s="39" t="str">
        <f>IF(AND(B1776&gt;='IN-NX'!$P$3,B1776&lt;='IN-NX'!$Q$3,'IN-NX'!$D$7=D1776,OR(LEFT(L1776,2)="15",AND(LEFT(M1776,2)&lt;&gt;"15",LEFT(M1776,2)&lt;&gt;"33"))),"x","")</f>
        <v/>
      </c>
      <c r="X1776" s="39" t="str">
        <f>IF(AND(OR(LEFT(TH!L1776,2)="15",LEFT(TH!M1776,2)="15"),'152-CT'!$J$8=TH!F1776),"x","")</f>
        <v/>
      </c>
      <c r="Y1776" s="39" t="str">
        <f>IF(AND(OR(LEFT(TH!L1776,2)="15",LEFT(TH!M1776,2)="15"),TK!$E$7=TH!F1776),"x","")</f>
        <v/>
      </c>
      <c r="Z1776" s="39" t="str">
        <f>IF(AND(B1776&lt;=NKC!$N$8,B1776&gt;=NKC!$M$8),"x","")</f>
        <v/>
      </c>
      <c r="AA1776" s="886"/>
    </row>
    <row r="1777" spans="1:27" s="211" customFormat="1" ht="15.75" customHeight="1">
      <c r="A1777" s="204" t="str">
        <f>IF(B1777&lt;&gt;"",IF(AND(B1777&gt;=_TM1,B1777&lt;=_TM2,OR(TH!L1777="1111",TH!M1777="1111")),TH!D1777,""),"")</f>
        <v/>
      </c>
      <c r="B1777" s="36">
        <f t="shared" si="255"/>
        <v>5</v>
      </c>
      <c r="C1777" s="191">
        <f t="shared" si="254"/>
        <v>41401</v>
      </c>
      <c r="D1777" s="37"/>
      <c r="E1777" s="37">
        <v>41401</v>
      </c>
      <c r="F1777" s="40" t="s">
        <v>820</v>
      </c>
      <c r="G1777" s="40" t="s">
        <v>821</v>
      </c>
      <c r="H1777" s="7" t="s">
        <v>1293</v>
      </c>
      <c r="I1777" s="256"/>
      <c r="J1777" s="256"/>
      <c r="K1777" s="602">
        <f t="shared" si="256"/>
        <v>0</v>
      </c>
      <c r="L1777" s="39" t="s">
        <v>173</v>
      </c>
      <c r="M1777" s="39" t="s">
        <v>167</v>
      </c>
      <c r="N1777" s="39" t="str">
        <f>IF(AND('331-CT'!$E$7=TH!H1777,OR(L1777="331",M1777="331")),"331",IF(AND(OR(L1777="131",M1777="131"),H1777='131-CT'!$E$7),"131",""))</f>
        <v/>
      </c>
      <c r="O1777" s="39" t="str">
        <f>IF(AND($B1777&gt;='111'!$N$11,$B1777&lt;='111'!$O$11,OR($L1777=$O$7,$M1777=$O$7)),"x","")</f>
        <v/>
      </c>
      <c r="P1777" s="39" t="str">
        <f>IF(AND($L1777=$O$7,$B1777&lt;'111'!$N$11),"x","")</f>
        <v/>
      </c>
      <c r="Q1777" s="39" t="str">
        <f>IF(AND($M1777=$O$7,$B1777&lt;'111'!$N$11),"x","")</f>
        <v/>
      </c>
      <c r="R1777" s="39" t="str">
        <f>IF(ISERROR(FIND('112'!$M$9,G1777,1)),"",IF((AND(FIND('112'!$M$9,G1777,1)&gt;=1,$B1777&gt;='112'!$N$8,$B1777&lt;='112'!$O$8,OR($L1777='112'!$I$6,$M1777='112'!$I$6))),"x",""))</f>
        <v/>
      </c>
      <c r="S1777" s="39" t="str">
        <f>IF(ISERROR(FIND('112'!$M$9,G1777,1)),"",IF((AND(LEFT(G1777,2)=LEFT('112'!$M$9,2),B1777&lt;'112'!$N$8,$L1777='112'!$I$6)),"x",""))</f>
        <v/>
      </c>
      <c r="T1777" s="39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>632</v>
      </c>
      <c r="V1777" s="39" t="str">
        <f>IF(OR(TH!L1777=TH!$V$7,M1777=TH!$V$7),"x","")</f>
        <v/>
      </c>
      <c r="W1777" s="39" t="str">
        <f>IF(AND(B1777&gt;='IN-NX'!$P$3,B1777&lt;='IN-NX'!$Q$3,'IN-NX'!$D$7=D1777,OR(LEFT(L1777,2)="15",AND(LEFT(M1777,2)&lt;&gt;"15",LEFT(M1777,2)&lt;&gt;"33"))),"x","")</f>
        <v/>
      </c>
      <c r="X1777" s="39" t="str">
        <f>IF(AND(OR(LEFT(TH!L1777,2)="15",LEFT(TH!M1777,2)="15"),'152-CT'!$J$8=TH!F1777),"x","")</f>
        <v/>
      </c>
      <c r="Y1777" s="39" t="str">
        <f>IF(AND(OR(LEFT(TH!L1777,2)="15",LEFT(TH!M1777,2)="15"),TK!$E$7=TH!F1777),"x","")</f>
        <v/>
      </c>
      <c r="Z1777" s="39" t="str">
        <f>IF(AND(B1777&lt;=NKC!$N$8,B1777&gt;=NKC!$M$8),"x","")</f>
        <v/>
      </c>
      <c r="AA1777" s="886"/>
    </row>
    <row r="1778" spans="1:27" s="211" customFormat="1" ht="15.75" customHeight="1">
      <c r="A1778" s="204" t="str">
        <f>IF(B1778&lt;&gt;"",IF(AND(B1778&gt;=_TM1,B1778&lt;=_TM2,OR(TH!L1778="1111",TH!M1778="1111")),TH!D1778,""),"")</f>
        <v/>
      </c>
      <c r="B1778" s="36">
        <f t="shared" si="255"/>
        <v>5</v>
      </c>
      <c r="C1778" s="191">
        <f t="shared" si="254"/>
        <v>41409</v>
      </c>
      <c r="D1778" s="37"/>
      <c r="E1778" s="37">
        <v>41409</v>
      </c>
      <c r="F1778" s="40" t="s">
        <v>814</v>
      </c>
      <c r="G1778" s="40" t="s">
        <v>822</v>
      </c>
      <c r="H1778" s="7" t="s">
        <v>1293</v>
      </c>
      <c r="I1778" s="256"/>
      <c r="J1778" s="256"/>
      <c r="K1778" s="602">
        <f t="shared" si="256"/>
        <v>0</v>
      </c>
      <c r="L1778" s="39" t="s">
        <v>173</v>
      </c>
      <c r="M1778" s="39" t="s">
        <v>167</v>
      </c>
      <c r="N1778" s="39" t="str">
        <f>IF(AND('331-CT'!$E$7=TH!H1778,OR(L1778="331",M1778="331")),"331",IF(AND(OR(L1778="131",M1778="131"),H1778='131-CT'!$E$7),"131",""))</f>
        <v/>
      </c>
      <c r="O1778" s="39" t="str">
        <f>IF(AND($B1778&gt;='111'!$N$11,$B1778&lt;='111'!$O$11,OR($L1778=$O$7,$M1778=$O$7)),"x","")</f>
        <v/>
      </c>
      <c r="P1778" s="39" t="str">
        <f>IF(AND($L1778=$O$7,$B1778&lt;'111'!$N$11),"x","")</f>
        <v/>
      </c>
      <c r="Q1778" s="39" t="str">
        <f>IF(AND($M1778=$O$7,$B1778&lt;'111'!$N$11),"x","")</f>
        <v/>
      </c>
      <c r="R1778" s="39" t="str">
        <f>IF(ISERROR(FIND('112'!$M$9,G1778,1)),"",IF((AND(FIND('112'!$M$9,G1778,1)&gt;=1,$B1778&gt;='112'!$N$8,$B1778&lt;='112'!$O$8,OR($L1778='112'!$I$6,$M1778='112'!$I$6))),"x",""))</f>
        <v/>
      </c>
      <c r="S1778" s="39" t="str">
        <f>IF(ISERROR(FIND('112'!$M$9,G1778,1)),"",IF((AND(LEFT(G1778,2)=LEFT('112'!$M$9,2),B1778&lt;'112'!$N$8,$L1778='112'!$I$6)),"x",""))</f>
        <v/>
      </c>
      <c r="T1778" s="39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>632</v>
      </c>
      <c r="V1778" s="39" t="str">
        <f>IF(OR(TH!L1778=TH!$V$7,M1778=TH!$V$7),"x","")</f>
        <v/>
      </c>
      <c r="W1778" s="39" t="str">
        <f>IF(AND(B1778&gt;='IN-NX'!$P$3,B1778&lt;='IN-NX'!$Q$3,'IN-NX'!$D$7=D1778,OR(LEFT(L1778,2)="15",AND(LEFT(M1778,2)&lt;&gt;"15",LEFT(M1778,2)&lt;&gt;"33"))),"x","")</f>
        <v/>
      </c>
      <c r="X1778" s="39" t="str">
        <f>IF(AND(OR(LEFT(TH!L1778,2)="15",LEFT(TH!M1778,2)="15"),'152-CT'!$J$8=TH!F1778),"x","")</f>
        <v/>
      </c>
      <c r="Y1778" s="39" t="str">
        <f>IF(AND(OR(LEFT(TH!L1778,2)="15",LEFT(TH!M1778,2)="15"),TK!$E$7=TH!F1778),"x","")</f>
        <v/>
      </c>
      <c r="Z1778" s="39" t="str">
        <f>IF(AND(B1778&lt;=NKC!$N$8,B1778&gt;=NKC!$M$8),"x","")</f>
        <v/>
      </c>
      <c r="AA1778" s="886"/>
    </row>
    <row r="1779" spans="1:27" s="211" customFormat="1" ht="15.75" customHeight="1">
      <c r="A1779" s="204" t="str">
        <f>IF(B1779&lt;&gt;"",IF(AND(B1779&gt;=_TM1,B1779&lt;=_TM2,OR(TH!L1779="1111",TH!M1779="1111")),TH!D1779,""),"")</f>
        <v/>
      </c>
      <c r="B1779" s="36">
        <f t="shared" si="255"/>
        <v>5</v>
      </c>
      <c r="C1779" s="191">
        <f t="shared" si="254"/>
        <v>41409</v>
      </c>
      <c r="D1779" s="37"/>
      <c r="E1779" s="37">
        <v>41409</v>
      </c>
      <c r="F1779" s="40" t="s">
        <v>1131</v>
      </c>
      <c r="G1779" s="40" t="s">
        <v>822</v>
      </c>
      <c r="H1779" s="7" t="s">
        <v>1293</v>
      </c>
      <c r="I1779" s="256"/>
      <c r="J1779" s="256"/>
      <c r="K1779" s="602">
        <f t="shared" si="256"/>
        <v>0</v>
      </c>
      <c r="L1779" s="39" t="s">
        <v>173</v>
      </c>
      <c r="M1779" s="39" t="s">
        <v>167</v>
      </c>
      <c r="N1779" s="39" t="str">
        <f>IF(AND('331-CT'!$E$7=TH!H1779,OR(L1779="331",M1779="331")),"331",IF(AND(OR(L1779="131",M1779="131"),H1779='131-CT'!$E$7),"131",""))</f>
        <v/>
      </c>
      <c r="O1779" s="39" t="str">
        <f>IF(AND($B1779&gt;='111'!$N$11,$B1779&lt;='111'!$O$11,OR($L1779=$O$7,$M1779=$O$7)),"x","")</f>
        <v/>
      </c>
      <c r="P1779" s="39" t="str">
        <f>IF(AND($L1779=$O$7,$B1779&lt;'111'!$N$11),"x","")</f>
        <v/>
      </c>
      <c r="Q1779" s="39" t="str">
        <f>IF(AND($M1779=$O$7,$B1779&lt;'111'!$N$11),"x","")</f>
        <v/>
      </c>
      <c r="R1779" s="39" t="str">
        <f>IF(ISERROR(FIND('112'!$M$9,G1779,1)),"",IF((AND(FIND('112'!$M$9,G1779,1)&gt;=1,$B1779&gt;='112'!$N$8,$B1779&lt;='112'!$O$8,OR($L1779='112'!$I$6,$M1779='112'!$I$6))),"x",""))</f>
        <v/>
      </c>
      <c r="S1779" s="39" t="str">
        <f>IF(ISERROR(FIND('112'!$M$9,G1779,1)),"",IF((AND(LEFT(G1779,2)=LEFT('112'!$M$9,2),B1779&lt;'112'!$N$8,$L1779='112'!$I$6)),"x",""))</f>
        <v/>
      </c>
      <c r="T1779" s="39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>632</v>
      </c>
      <c r="V1779" s="39" t="str">
        <f>IF(OR(TH!L1779=TH!$V$7,M1779=TH!$V$7),"x","")</f>
        <v/>
      </c>
      <c r="W1779" s="39" t="str">
        <f>IF(AND(B1779&gt;='IN-NX'!$P$3,B1779&lt;='IN-NX'!$Q$3,'IN-NX'!$D$7=D1779,OR(LEFT(L1779,2)="15",AND(LEFT(M1779,2)&lt;&gt;"15",LEFT(M1779,2)&lt;&gt;"33"))),"x","")</f>
        <v/>
      </c>
      <c r="X1779" s="39" t="str">
        <f>IF(AND(OR(LEFT(TH!L1779,2)="15",LEFT(TH!M1779,2)="15"),'152-CT'!$J$8=TH!F1779),"x","")</f>
        <v/>
      </c>
      <c r="Y1779" s="39" t="str">
        <f>IF(AND(OR(LEFT(TH!L1779,2)="15",LEFT(TH!M1779,2)="15"),TK!$E$7=TH!F1779),"x","")</f>
        <v/>
      </c>
      <c r="Z1779" s="39" t="str">
        <f>IF(AND(B1779&lt;=NKC!$N$8,B1779&gt;=NKC!$M$8),"x","")</f>
        <v/>
      </c>
      <c r="AA1779" s="886"/>
    </row>
    <row r="1780" spans="1:27" s="211" customFormat="1" ht="15.75" customHeight="1">
      <c r="A1780" s="204" t="str">
        <f>IF(B1780&lt;&gt;"",IF(AND(B1780&gt;=_TM1,B1780&lt;=_TM2,OR(TH!L1780="1111",TH!M1780="1111")),TH!D1780,""),"")</f>
        <v/>
      </c>
      <c r="B1780" s="36">
        <f t="shared" si="255"/>
        <v>5</v>
      </c>
      <c r="C1780" s="191">
        <f t="shared" si="254"/>
        <v>41409</v>
      </c>
      <c r="D1780" s="37"/>
      <c r="E1780" s="37">
        <v>41409</v>
      </c>
      <c r="F1780" s="40" t="s">
        <v>1130</v>
      </c>
      <c r="G1780" s="40" t="s">
        <v>822</v>
      </c>
      <c r="H1780" s="7" t="s">
        <v>1293</v>
      </c>
      <c r="I1780" s="256"/>
      <c r="J1780" s="256"/>
      <c r="K1780" s="602">
        <f t="shared" si="256"/>
        <v>0</v>
      </c>
      <c r="L1780" s="39" t="s">
        <v>173</v>
      </c>
      <c r="M1780" s="39" t="s">
        <v>167</v>
      </c>
      <c r="N1780" s="39" t="str">
        <f>IF(AND('331-CT'!$E$7=TH!H1780,OR(L1780="331",M1780="331")),"331",IF(AND(OR(L1780="131",M1780="131"),H1780='131-CT'!$E$7),"131",""))</f>
        <v/>
      </c>
      <c r="O1780" s="39" t="str">
        <f>IF(AND($B1780&gt;='111'!$N$11,$B1780&lt;='111'!$O$11,OR($L1780=$O$7,$M1780=$O$7)),"x","")</f>
        <v/>
      </c>
      <c r="P1780" s="39" t="str">
        <f>IF(AND($L1780=$O$7,$B1780&lt;'111'!$N$11),"x","")</f>
        <v/>
      </c>
      <c r="Q1780" s="39" t="str">
        <f>IF(AND($M1780=$O$7,$B1780&lt;'111'!$N$11),"x","")</f>
        <v/>
      </c>
      <c r="R1780" s="39" t="str">
        <f>IF(ISERROR(FIND('112'!$M$9,G1780,1)),"",IF((AND(FIND('112'!$M$9,G1780,1)&gt;=1,$B1780&gt;='112'!$N$8,$B1780&lt;='112'!$O$8,OR($L1780='112'!$I$6,$M1780='112'!$I$6))),"x",""))</f>
        <v/>
      </c>
      <c r="S1780" s="39" t="str">
        <f>IF(ISERROR(FIND('112'!$M$9,G1780,1)),"",IF((AND(LEFT(G1780,2)=LEFT('112'!$M$9,2),B1780&lt;'112'!$N$8,$L1780='112'!$I$6)),"x",""))</f>
        <v/>
      </c>
      <c r="T1780" s="39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>632</v>
      </c>
      <c r="V1780" s="39" t="str">
        <f>IF(OR(TH!L1780=TH!$V$7,M1780=TH!$V$7),"x","")</f>
        <v/>
      </c>
      <c r="W1780" s="39" t="str">
        <f>IF(AND(B1780&gt;='IN-NX'!$P$3,B1780&lt;='IN-NX'!$Q$3,'IN-NX'!$D$7=D1780,OR(LEFT(L1780,2)="15",AND(LEFT(M1780,2)&lt;&gt;"15",LEFT(M1780,2)&lt;&gt;"33"))),"x","")</f>
        <v/>
      </c>
      <c r="X1780" s="39" t="str">
        <f>IF(AND(OR(LEFT(TH!L1780,2)="15",LEFT(TH!M1780,2)="15"),'152-CT'!$J$8=TH!F1780),"x","")</f>
        <v/>
      </c>
      <c r="Y1780" s="39" t="str">
        <f>IF(AND(OR(LEFT(TH!L1780,2)="15",LEFT(TH!M1780,2)="15"),TK!$E$7=TH!F1780),"x","")</f>
        <v/>
      </c>
      <c r="Z1780" s="39" t="str">
        <f>IF(AND(B1780&lt;=NKC!$N$8,B1780&gt;=NKC!$M$8),"x","")</f>
        <v/>
      </c>
      <c r="AA1780" s="886"/>
    </row>
    <row r="1781" spans="1:27" s="211" customFormat="1" ht="15.75" customHeight="1">
      <c r="A1781" s="204" t="str">
        <f>IF(B1781&lt;&gt;"",IF(AND(B1781&gt;=_TM1,B1781&lt;=_TM2,OR(TH!L1781="1111",TH!M1781="1111")),TH!D1781,""),"")</f>
        <v/>
      </c>
      <c r="B1781" s="36">
        <f t="shared" si="255"/>
        <v>5</v>
      </c>
      <c r="C1781" s="191">
        <f t="shared" si="254"/>
        <v>41409</v>
      </c>
      <c r="D1781" s="37"/>
      <c r="E1781" s="37">
        <v>41409</v>
      </c>
      <c r="F1781" s="40" t="s">
        <v>816</v>
      </c>
      <c r="G1781" s="40" t="s">
        <v>822</v>
      </c>
      <c r="H1781" s="7" t="s">
        <v>1293</v>
      </c>
      <c r="I1781" s="256"/>
      <c r="J1781" s="256"/>
      <c r="K1781" s="602">
        <f t="shared" si="256"/>
        <v>0</v>
      </c>
      <c r="L1781" s="39" t="s">
        <v>173</v>
      </c>
      <c r="M1781" s="39" t="s">
        <v>167</v>
      </c>
      <c r="N1781" s="39" t="str">
        <f>IF(AND('331-CT'!$E$7=TH!H1781,OR(L1781="331",M1781="331")),"331",IF(AND(OR(L1781="131",M1781="131"),H1781='131-CT'!$E$7),"131",""))</f>
        <v/>
      </c>
      <c r="O1781" s="39" t="str">
        <f>IF(AND($B1781&gt;='111'!$N$11,$B1781&lt;='111'!$O$11,OR($L1781=$O$7,$M1781=$O$7)),"x","")</f>
        <v/>
      </c>
      <c r="P1781" s="39" t="str">
        <f>IF(AND($L1781=$O$7,$B1781&lt;'111'!$N$11),"x","")</f>
        <v/>
      </c>
      <c r="Q1781" s="39" t="str">
        <f>IF(AND($M1781=$O$7,$B1781&lt;'111'!$N$11),"x","")</f>
        <v/>
      </c>
      <c r="R1781" s="39" t="str">
        <f>IF(ISERROR(FIND('112'!$M$9,G1781,1)),"",IF((AND(FIND('112'!$M$9,G1781,1)&gt;=1,$B1781&gt;='112'!$N$8,$B1781&lt;='112'!$O$8,OR($L1781='112'!$I$6,$M1781='112'!$I$6))),"x",""))</f>
        <v/>
      </c>
      <c r="S1781" s="39" t="str">
        <f>IF(ISERROR(FIND('112'!$M$9,G1781,1)),"",IF((AND(LEFT(G1781,2)=LEFT('112'!$M$9,2),B1781&lt;'112'!$N$8,$L1781='112'!$I$6)),"x",""))</f>
        <v/>
      </c>
      <c r="T1781" s="39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>632</v>
      </c>
      <c r="V1781" s="39" t="str">
        <f>IF(OR(TH!L1781=TH!$V$7,M1781=TH!$V$7),"x","")</f>
        <v/>
      </c>
      <c r="W1781" s="39" t="str">
        <f>IF(AND(B1781&gt;='IN-NX'!$P$3,B1781&lt;='IN-NX'!$Q$3,'IN-NX'!$D$7=D1781,OR(LEFT(L1781,2)="15",AND(LEFT(M1781,2)&lt;&gt;"15",LEFT(M1781,2)&lt;&gt;"33"))),"x","")</f>
        <v/>
      </c>
      <c r="X1781" s="39" t="str">
        <f>IF(AND(OR(LEFT(TH!L1781,2)="15",LEFT(TH!M1781,2)="15"),'152-CT'!$J$8=TH!F1781),"x","")</f>
        <v/>
      </c>
      <c r="Y1781" s="39" t="str">
        <f>IF(AND(OR(LEFT(TH!L1781,2)="15",LEFT(TH!M1781,2)="15"),TK!$E$7=TH!F1781),"x","")</f>
        <v/>
      </c>
      <c r="Z1781" s="39" t="str">
        <f>IF(AND(B1781&lt;=NKC!$N$8,B1781&gt;=NKC!$M$8),"x","")</f>
        <v/>
      </c>
      <c r="AA1781" s="886"/>
    </row>
    <row r="1782" spans="1:27" s="211" customFormat="1" ht="15.75" customHeight="1">
      <c r="A1782" s="204" t="str">
        <f>IF(B1782&lt;&gt;"",IF(AND(B1782&gt;=_TM1,B1782&lt;=_TM2,OR(TH!L1782="1111",TH!M1782="1111")),TH!D1782,""),"")</f>
        <v/>
      </c>
      <c r="B1782" s="36">
        <f t="shared" si="255"/>
        <v>5</v>
      </c>
      <c r="C1782" s="191">
        <f t="shared" si="254"/>
        <v>41409</v>
      </c>
      <c r="D1782" s="37"/>
      <c r="E1782" s="37">
        <v>41409</v>
      </c>
      <c r="F1782" s="40" t="s">
        <v>483</v>
      </c>
      <c r="G1782" s="40" t="s">
        <v>823</v>
      </c>
      <c r="H1782" s="7" t="s">
        <v>1293</v>
      </c>
      <c r="I1782" s="256"/>
      <c r="J1782" s="256"/>
      <c r="K1782" s="602">
        <f t="shared" si="256"/>
        <v>0</v>
      </c>
      <c r="L1782" s="39" t="s">
        <v>173</v>
      </c>
      <c r="M1782" s="39" t="s">
        <v>167</v>
      </c>
      <c r="N1782" s="39" t="str">
        <f>IF(AND('331-CT'!$E$7=TH!H1782,OR(L1782="331",M1782="331")),"331",IF(AND(OR(L1782="131",M1782="131"),H1782='131-CT'!$E$7),"131",""))</f>
        <v/>
      </c>
      <c r="O1782" s="39" t="str">
        <f>IF(AND($B1782&gt;='111'!$N$11,$B1782&lt;='111'!$O$11,OR($L1782=$O$7,$M1782=$O$7)),"x","")</f>
        <v/>
      </c>
      <c r="P1782" s="39" t="str">
        <f>IF(AND($L1782=$O$7,$B1782&lt;'111'!$N$11),"x","")</f>
        <v/>
      </c>
      <c r="Q1782" s="39" t="str">
        <f>IF(AND($M1782=$O$7,$B1782&lt;'111'!$N$11),"x","")</f>
        <v/>
      </c>
      <c r="R1782" s="39" t="str">
        <f>IF(ISERROR(FIND('112'!$M$9,G1782,1)),"",IF((AND(FIND('112'!$M$9,G1782,1)&gt;=1,$B1782&gt;='112'!$N$8,$B1782&lt;='112'!$O$8,OR($L1782='112'!$I$6,$M1782='112'!$I$6))),"x",""))</f>
        <v/>
      </c>
      <c r="S1782" s="39" t="str">
        <f>IF(ISERROR(FIND('112'!$M$9,G1782,1)),"",IF((AND(LEFT(G1782,2)=LEFT('112'!$M$9,2),B1782&lt;'112'!$N$8,$L1782='112'!$I$6)),"x",""))</f>
        <v/>
      </c>
      <c r="T1782" s="39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>632</v>
      </c>
      <c r="V1782" s="39" t="str">
        <f>IF(OR(TH!L1782=TH!$V$7,M1782=TH!$V$7),"x","")</f>
        <v/>
      </c>
      <c r="W1782" s="39" t="str">
        <f>IF(AND(B1782&gt;='IN-NX'!$P$3,B1782&lt;='IN-NX'!$Q$3,'IN-NX'!$D$7=D1782,OR(LEFT(L1782,2)="15",AND(LEFT(M1782,2)&lt;&gt;"15",LEFT(M1782,2)&lt;&gt;"33"))),"x","")</f>
        <v/>
      </c>
      <c r="X1782" s="39" t="str">
        <f>IF(AND(OR(LEFT(TH!L1782,2)="15",LEFT(TH!M1782,2)="15"),'152-CT'!$J$8=TH!F1782),"x","")</f>
        <v/>
      </c>
      <c r="Y1782" s="39" t="str">
        <f>IF(AND(OR(LEFT(TH!L1782,2)="15",LEFT(TH!M1782,2)="15"),TK!$E$7=TH!F1782),"x","")</f>
        <v/>
      </c>
      <c r="Z1782" s="39" t="str">
        <f>IF(AND(B1782&lt;=NKC!$N$8,B1782&gt;=NKC!$M$8),"x","")</f>
        <v/>
      </c>
      <c r="AA1782" s="886"/>
    </row>
    <row r="1783" spans="1:27" s="211" customFormat="1" ht="15.75" customHeight="1">
      <c r="A1783" s="204" t="str">
        <f>IF(B1783&lt;&gt;"",IF(AND(B1783&gt;=_TM1,B1783&lt;=_TM2,OR(TH!L1783="1111",TH!M1783="1111")),TH!D1783,""),"")</f>
        <v/>
      </c>
      <c r="B1783" s="36">
        <f t="shared" si="255"/>
        <v>5</v>
      </c>
      <c r="C1783" s="191">
        <f t="shared" si="254"/>
        <v>41410</v>
      </c>
      <c r="D1783" s="37"/>
      <c r="E1783" s="37">
        <v>41410</v>
      </c>
      <c r="F1783" s="40" t="s">
        <v>483</v>
      </c>
      <c r="G1783" s="40" t="s">
        <v>825</v>
      </c>
      <c r="H1783" s="7" t="s">
        <v>1293</v>
      </c>
      <c r="I1783" s="256"/>
      <c r="J1783" s="256"/>
      <c r="K1783" s="602">
        <f t="shared" si="256"/>
        <v>0</v>
      </c>
      <c r="L1783" s="39" t="s">
        <v>173</v>
      </c>
      <c r="M1783" s="39" t="s">
        <v>167</v>
      </c>
      <c r="N1783" s="39" t="str">
        <f>IF(AND('331-CT'!$E$7=TH!H1783,OR(L1783="331",M1783="331")),"331",IF(AND(OR(L1783="131",M1783="131"),H1783='131-CT'!$E$7),"131",""))</f>
        <v/>
      </c>
      <c r="O1783" s="39" t="str">
        <f>IF(AND($B1783&gt;='111'!$N$11,$B1783&lt;='111'!$O$11,OR($L1783=$O$7,$M1783=$O$7)),"x","")</f>
        <v/>
      </c>
      <c r="P1783" s="39" t="str">
        <f>IF(AND($L1783=$O$7,$B1783&lt;'111'!$N$11),"x","")</f>
        <v/>
      </c>
      <c r="Q1783" s="39" t="str">
        <f>IF(AND($M1783=$O$7,$B1783&lt;'111'!$N$11),"x","")</f>
        <v/>
      </c>
      <c r="R1783" s="39" t="str">
        <f>IF(ISERROR(FIND('112'!$M$9,G1783,1)),"",IF((AND(FIND('112'!$M$9,G1783,1)&gt;=1,$B1783&gt;='112'!$N$8,$B1783&lt;='112'!$O$8,OR($L1783='112'!$I$6,$M1783='112'!$I$6))),"x",""))</f>
        <v/>
      </c>
      <c r="S1783" s="39" t="str">
        <f>IF(ISERROR(FIND('112'!$M$9,G1783,1)),"",IF((AND(LEFT(G1783,2)=LEFT('112'!$M$9,2),B1783&lt;'112'!$N$8,$L1783='112'!$I$6)),"x",""))</f>
        <v/>
      </c>
      <c r="T1783" s="39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>632</v>
      </c>
      <c r="V1783" s="39" t="str">
        <f>IF(OR(TH!L1783=TH!$V$7,M1783=TH!$V$7),"x","")</f>
        <v/>
      </c>
      <c r="W1783" s="39" t="str">
        <f>IF(AND(B1783&gt;='IN-NX'!$P$3,B1783&lt;='IN-NX'!$Q$3,'IN-NX'!$D$7=D1783,OR(LEFT(L1783,2)="15",AND(LEFT(M1783,2)&lt;&gt;"15",LEFT(M1783,2)&lt;&gt;"33"))),"x","")</f>
        <v/>
      </c>
      <c r="X1783" s="39" t="str">
        <f>IF(AND(OR(LEFT(TH!L1783,2)="15",LEFT(TH!M1783,2)="15"),'152-CT'!$J$8=TH!F1783),"x","")</f>
        <v/>
      </c>
      <c r="Y1783" s="39" t="str">
        <f>IF(AND(OR(LEFT(TH!L1783,2)="15",LEFT(TH!M1783,2)="15"),TK!$E$7=TH!F1783),"x","")</f>
        <v/>
      </c>
      <c r="Z1783" s="39" t="str">
        <f>IF(AND(B1783&lt;=NKC!$N$8,B1783&gt;=NKC!$M$8),"x","")</f>
        <v/>
      </c>
      <c r="AA1783" s="886"/>
    </row>
    <row r="1784" spans="1:27" s="211" customFormat="1" ht="15.75" customHeight="1">
      <c r="A1784" s="204" t="str">
        <f>IF(B1784&lt;&gt;"",IF(AND(B1784&gt;=_TM1,B1784&lt;=_TM2,OR(TH!L1784="1111",TH!M1784="1111")),TH!D1784,""),"")</f>
        <v/>
      </c>
      <c r="B1784" s="36">
        <f t="shared" si="255"/>
        <v>5</v>
      </c>
      <c r="C1784" s="191">
        <f t="shared" si="254"/>
        <v>41410</v>
      </c>
      <c r="D1784" s="37"/>
      <c r="E1784" s="37">
        <v>41410</v>
      </c>
      <c r="F1784" s="40" t="s">
        <v>731</v>
      </c>
      <c r="G1784" s="40" t="s">
        <v>826</v>
      </c>
      <c r="H1784" s="7" t="s">
        <v>1293</v>
      </c>
      <c r="I1784" s="256"/>
      <c r="J1784" s="256"/>
      <c r="K1784" s="602">
        <f t="shared" si="256"/>
        <v>0</v>
      </c>
      <c r="L1784" s="39" t="s">
        <v>173</v>
      </c>
      <c r="M1784" s="39" t="s">
        <v>167</v>
      </c>
      <c r="N1784" s="39" t="str">
        <f>IF(AND('331-CT'!$E$7=TH!H1784,OR(L1784="331",M1784="331")),"331",IF(AND(OR(L1784="131",M1784="131"),H1784='131-CT'!$E$7),"131",""))</f>
        <v/>
      </c>
      <c r="O1784" s="39" t="str">
        <f>IF(AND($B1784&gt;='111'!$N$11,$B1784&lt;='111'!$O$11,OR($L1784=$O$7,$M1784=$O$7)),"x","")</f>
        <v/>
      </c>
      <c r="P1784" s="39" t="str">
        <f>IF(AND($L1784=$O$7,$B1784&lt;'111'!$N$11),"x","")</f>
        <v/>
      </c>
      <c r="Q1784" s="39" t="str">
        <f>IF(AND($M1784=$O$7,$B1784&lt;'111'!$N$11),"x","")</f>
        <v/>
      </c>
      <c r="R1784" s="39" t="str">
        <f>IF(ISERROR(FIND('112'!$M$9,G1784,1)),"",IF((AND(FIND('112'!$M$9,G1784,1)&gt;=1,$B1784&gt;='112'!$N$8,$B1784&lt;='112'!$O$8,OR($L1784='112'!$I$6,$M1784='112'!$I$6))),"x",""))</f>
        <v/>
      </c>
      <c r="S1784" s="39" t="str">
        <f>IF(ISERROR(FIND('112'!$M$9,G1784,1)),"",IF((AND(LEFT(G1784,2)=LEFT('112'!$M$9,2),B1784&lt;'112'!$N$8,$L1784='112'!$I$6)),"x",""))</f>
        <v/>
      </c>
      <c r="T1784" s="39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>632</v>
      </c>
      <c r="V1784" s="39" t="str">
        <f>IF(OR(TH!L1784=TH!$V$7,M1784=TH!$V$7),"x","")</f>
        <v/>
      </c>
      <c r="W1784" s="39" t="str">
        <f>IF(AND(B1784&gt;='IN-NX'!$P$3,B1784&lt;='IN-NX'!$Q$3,'IN-NX'!$D$7=D1784,OR(LEFT(L1784,2)="15",AND(LEFT(M1784,2)&lt;&gt;"15",LEFT(M1784,2)&lt;&gt;"33"))),"x","")</f>
        <v/>
      </c>
      <c r="X1784" s="39" t="str">
        <f>IF(AND(OR(LEFT(TH!L1784,2)="15",LEFT(TH!M1784,2)="15"),'152-CT'!$J$8=TH!F1784),"x","")</f>
        <v/>
      </c>
      <c r="Y1784" s="39" t="str">
        <f>IF(AND(OR(LEFT(TH!L1784,2)="15",LEFT(TH!M1784,2)="15"),TK!$E$7=TH!F1784),"x","")</f>
        <v/>
      </c>
      <c r="Z1784" s="39" t="str">
        <f>IF(AND(B1784&lt;=NKC!$N$8,B1784&gt;=NKC!$M$8),"x","")</f>
        <v/>
      </c>
      <c r="AA1784" s="886"/>
    </row>
    <row r="1785" spans="1:27" s="211" customFormat="1" ht="15.75" customHeight="1">
      <c r="A1785" s="204" t="str">
        <f>IF(B1785&lt;&gt;"",IF(AND(B1785&gt;=_TM1,B1785&lt;=_TM2,OR(TH!L1785="1111",TH!M1785="1111")),TH!D1785,""),"")</f>
        <v/>
      </c>
      <c r="B1785" s="36">
        <f t="shared" si="255"/>
        <v>5</v>
      </c>
      <c r="C1785" s="191">
        <f t="shared" si="254"/>
        <v>41410</v>
      </c>
      <c r="D1785" s="37"/>
      <c r="E1785" s="37">
        <v>41410</v>
      </c>
      <c r="F1785" s="40" t="s">
        <v>827</v>
      </c>
      <c r="G1785" s="40" t="s">
        <v>828</v>
      </c>
      <c r="H1785" s="7" t="s">
        <v>1293</v>
      </c>
      <c r="I1785" s="256"/>
      <c r="J1785" s="256"/>
      <c r="K1785" s="602">
        <f t="shared" si="256"/>
        <v>0</v>
      </c>
      <c r="L1785" s="39" t="s">
        <v>173</v>
      </c>
      <c r="M1785" s="39" t="s">
        <v>167</v>
      </c>
      <c r="N1785" s="39" t="str">
        <f>IF(AND('331-CT'!$E$7=TH!H1785,OR(L1785="331",M1785="331")),"331",IF(AND(OR(L1785="131",M1785="131"),H1785='131-CT'!$E$7),"131",""))</f>
        <v/>
      </c>
      <c r="O1785" s="39" t="str">
        <f>IF(AND($B1785&gt;='111'!$N$11,$B1785&lt;='111'!$O$11,OR($L1785=$O$7,$M1785=$O$7)),"x","")</f>
        <v/>
      </c>
      <c r="P1785" s="39" t="str">
        <f>IF(AND($L1785=$O$7,$B1785&lt;'111'!$N$11),"x","")</f>
        <v/>
      </c>
      <c r="Q1785" s="39" t="str">
        <f>IF(AND($M1785=$O$7,$B1785&lt;'111'!$N$11),"x","")</f>
        <v/>
      </c>
      <c r="R1785" s="39" t="str">
        <f>IF(ISERROR(FIND('112'!$M$9,G1785,1)),"",IF((AND(FIND('112'!$M$9,G1785,1)&gt;=1,$B1785&gt;='112'!$N$8,$B1785&lt;='112'!$O$8,OR($L1785='112'!$I$6,$M1785='112'!$I$6))),"x",""))</f>
        <v/>
      </c>
      <c r="S1785" s="39" t="str">
        <f>IF(ISERROR(FIND('112'!$M$9,G1785,1)),"",IF((AND(LEFT(G1785,2)=LEFT('112'!$M$9,2),B1785&lt;'112'!$N$8,$L1785='112'!$I$6)),"x",""))</f>
        <v/>
      </c>
      <c r="T1785" s="39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>632</v>
      </c>
      <c r="V1785" s="39" t="str">
        <f>IF(OR(TH!L1785=TH!$V$7,M1785=TH!$V$7),"x","")</f>
        <v/>
      </c>
      <c r="W1785" s="39" t="str">
        <f>IF(AND(B1785&gt;='IN-NX'!$P$3,B1785&lt;='IN-NX'!$Q$3,'IN-NX'!$D$7=D1785,OR(LEFT(L1785,2)="15",AND(LEFT(M1785,2)&lt;&gt;"15",LEFT(M1785,2)&lt;&gt;"33"))),"x","")</f>
        <v/>
      </c>
      <c r="X1785" s="39" t="str">
        <f>IF(AND(OR(LEFT(TH!L1785,2)="15",LEFT(TH!M1785,2)="15"),'152-CT'!$J$8=TH!F1785),"x","")</f>
        <v/>
      </c>
      <c r="Y1785" s="39" t="str">
        <f>IF(AND(OR(LEFT(TH!L1785,2)="15",LEFT(TH!M1785,2)="15"),TK!$E$7=TH!F1785),"x","")</f>
        <v/>
      </c>
      <c r="Z1785" s="39" t="str">
        <f>IF(AND(B1785&lt;=NKC!$N$8,B1785&gt;=NKC!$M$8),"x","")</f>
        <v/>
      </c>
      <c r="AA1785" s="886"/>
    </row>
    <row r="1786" spans="1:27" s="211" customFormat="1" ht="15.75" customHeight="1">
      <c r="A1786" s="204" t="str">
        <f>IF(B1786&lt;&gt;"",IF(AND(B1786&gt;=_TM1,B1786&lt;=_TM2,OR(TH!L1786="1111",TH!M1786="1111")),TH!D1786,""),"")</f>
        <v/>
      </c>
      <c r="B1786" s="36">
        <f t="shared" si="255"/>
        <v>5</v>
      </c>
      <c r="C1786" s="191">
        <f t="shared" si="254"/>
        <v>41411</v>
      </c>
      <c r="D1786" s="37"/>
      <c r="E1786" s="37">
        <v>41411</v>
      </c>
      <c r="F1786" s="40" t="s">
        <v>814</v>
      </c>
      <c r="G1786" s="40" t="s">
        <v>830</v>
      </c>
      <c r="H1786" s="7" t="s">
        <v>1293</v>
      </c>
      <c r="I1786" s="256"/>
      <c r="J1786" s="256"/>
      <c r="K1786" s="602">
        <f t="shared" si="256"/>
        <v>0</v>
      </c>
      <c r="L1786" s="39" t="s">
        <v>173</v>
      </c>
      <c r="M1786" s="39" t="s">
        <v>167</v>
      </c>
      <c r="N1786" s="39" t="str">
        <f>IF(AND('331-CT'!$E$7=TH!H1786,OR(L1786="331",M1786="331")),"331",IF(AND(OR(L1786="131",M1786="131"),H1786='131-CT'!$E$7),"131",""))</f>
        <v/>
      </c>
      <c r="O1786" s="39" t="str">
        <f>IF(AND($B1786&gt;='111'!$N$11,$B1786&lt;='111'!$O$11,OR($L1786=$O$7,$M1786=$O$7)),"x","")</f>
        <v/>
      </c>
      <c r="P1786" s="39" t="str">
        <f>IF(AND($L1786=$O$7,$B1786&lt;'111'!$N$11),"x","")</f>
        <v/>
      </c>
      <c r="Q1786" s="39" t="str">
        <f>IF(AND($M1786=$O$7,$B1786&lt;'111'!$N$11),"x","")</f>
        <v/>
      </c>
      <c r="R1786" s="39" t="str">
        <f>IF(ISERROR(FIND('112'!$M$9,G1786,1)),"",IF((AND(FIND('112'!$M$9,G1786,1)&gt;=1,$B1786&gt;='112'!$N$8,$B1786&lt;='112'!$O$8,OR($L1786='112'!$I$6,$M1786='112'!$I$6))),"x",""))</f>
        <v/>
      </c>
      <c r="S1786" s="39" t="str">
        <f>IF(ISERROR(FIND('112'!$M$9,G1786,1)),"",IF((AND(LEFT(G1786,2)=LEFT('112'!$M$9,2),B1786&lt;'112'!$N$8,$L1786='112'!$I$6)),"x",""))</f>
        <v/>
      </c>
      <c r="T1786" s="39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>632</v>
      </c>
      <c r="V1786" s="39" t="str">
        <f>IF(OR(TH!L1786=TH!$V$7,M1786=TH!$V$7),"x","")</f>
        <v/>
      </c>
      <c r="W1786" s="39" t="str">
        <f>IF(AND(B1786&gt;='IN-NX'!$P$3,B1786&lt;='IN-NX'!$Q$3,'IN-NX'!$D$7=D1786,OR(LEFT(L1786,2)="15",AND(LEFT(M1786,2)&lt;&gt;"15",LEFT(M1786,2)&lt;&gt;"33"))),"x","")</f>
        <v/>
      </c>
      <c r="X1786" s="39" t="str">
        <f>IF(AND(OR(LEFT(TH!L1786,2)="15",LEFT(TH!M1786,2)="15"),'152-CT'!$J$8=TH!F1786),"x","")</f>
        <v/>
      </c>
      <c r="Y1786" s="39" t="str">
        <f>IF(AND(OR(LEFT(TH!L1786,2)="15",LEFT(TH!M1786,2)="15"),TK!$E$7=TH!F1786),"x","")</f>
        <v/>
      </c>
      <c r="Z1786" s="39" t="str">
        <f>IF(AND(B1786&lt;=NKC!$N$8,B1786&gt;=NKC!$M$8),"x","")</f>
        <v/>
      </c>
      <c r="AA1786" s="886"/>
    </row>
    <row r="1787" spans="1:27" s="211" customFormat="1" ht="15.75" customHeight="1">
      <c r="A1787" s="204" t="str">
        <f>IF(B1787&lt;&gt;"",IF(AND(B1787&gt;=_TM1,B1787&lt;=_TM2,OR(TH!L1787="1111",TH!M1787="1111")),TH!D1787,""),"")</f>
        <v/>
      </c>
      <c r="B1787" s="36">
        <f t="shared" si="255"/>
        <v>5</v>
      </c>
      <c r="C1787" s="191">
        <f t="shared" si="254"/>
        <v>41415</v>
      </c>
      <c r="D1787" s="37"/>
      <c r="E1787" s="37">
        <v>41415</v>
      </c>
      <c r="F1787" s="40" t="s">
        <v>831</v>
      </c>
      <c r="G1787" s="40" t="s">
        <v>832</v>
      </c>
      <c r="H1787" s="7" t="s">
        <v>1293</v>
      </c>
      <c r="I1787" s="256"/>
      <c r="J1787" s="256"/>
      <c r="K1787" s="602">
        <f t="shared" si="256"/>
        <v>0</v>
      </c>
      <c r="L1787" s="39" t="s">
        <v>173</v>
      </c>
      <c r="M1787" s="39" t="s">
        <v>167</v>
      </c>
      <c r="N1787" s="39" t="str">
        <f>IF(AND('331-CT'!$E$7=TH!H1787,OR(L1787="331",M1787="331")),"331",IF(AND(OR(L1787="131",M1787="131"),H1787='131-CT'!$E$7),"131",""))</f>
        <v/>
      </c>
      <c r="O1787" s="39" t="str">
        <f>IF(AND($B1787&gt;='111'!$N$11,$B1787&lt;='111'!$O$11,OR($L1787=$O$7,$M1787=$O$7)),"x","")</f>
        <v/>
      </c>
      <c r="P1787" s="39" t="str">
        <f>IF(AND($L1787=$O$7,$B1787&lt;'111'!$N$11),"x","")</f>
        <v/>
      </c>
      <c r="Q1787" s="39" t="str">
        <f>IF(AND($M1787=$O$7,$B1787&lt;'111'!$N$11),"x","")</f>
        <v/>
      </c>
      <c r="R1787" s="39" t="str">
        <f>IF(ISERROR(FIND('112'!$M$9,G1787,1)),"",IF((AND(FIND('112'!$M$9,G1787,1)&gt;=1,$B1787&gt;='112'!$N$8,$B1787&lt;='112'!$O$8,OR($L1787='112'!$I$6,$M1787='112'!$I$6))),"x",""))</f>
        <v/>
      </c>
      <c r="S1787" s="39" t="str">
        <f>IF(ISERROR(FIND('112'!$M$9,G1787,1)),"",IF((AND(LEFT(G1787,2)=LEFT('112'!$M$9,2),B1787&lt;'112'!$N$8,$L1787='112'!$I$6)),"x",""))</f>
        <v/>
      </c>
      <c r="T1787" s="39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>632</v>
      </c>
      <c r="V1787" s="39" t="str">
        <f>IF(OR(TH!L1787=TH!$V$7,M1787=TH!$V$7),"x","")</f>
        <v/>
      </c>
      <c r="W1787" s="39" t="str">
        <f>IF(AND(B1787&gt;='IN-NX'!$P$3,B1787&lt;='IN-NX'!$Q$3,'IN-NX'!$D$7=D1787,OR(LEFT(L1787,2)="15",AND(LEFT(M1787,2)&lt;&gt;"15",LEFT(M1787,2)&lt;&gt;"33"))),"x","")</f>
        <v/>
      </c>
      <c r="X1787" s="39" t="str">
        <f>IF(AND(OR(LEFT(TH!L1787,2)="15",LEFT(TH!M1787,2)="15"),'152-CT'!$J$8=TH!F1787),"x","")</f>
        <v/>
      </c>
      <c r="Y1787" s="39" t="str">
        <f>IF(AND(OR(LEFT(TH!L1787,2)="15",LEFT(TH!M1787,2)="15"),TK!$E$7=TH!F1787),"x","")</f>
        <v/>
      </c>
      <c r="Z1787" s="39" t="str">
        <f>IF(AND(B1787&lt;=NKC!$N$8,B1787&gt;=NKC!$M$8),"x","")</f>
        <v/>
      </c>
      <c r="AA1787" s="886"/>
    </row>
    <row r="1788" spans="1:27" s="211" customFormat="1" ht="15.75" customHeight="1">
      <c r="A1788" s="204" t="str">
        <f>IF(B1788&lt;&gt;"",IF(AND(B1788&gt;=_TM1,B1788&lt;=_TM2,OR(TH!L1788="1111",TH!M1788="1111")),TH!D1788,""),"")</f>
        <v/>
      </c>
      <c r="B1788" s="36">
        <f t="shared" si="255"/>
        <v>5</v>
      </c>
      <c r="C1788" s="191">
        <f t="shared" si="254"/>
        <v>41415</v>
      </c>
      <c r="D1788" s="37"/>
      <c r="E1788" s="37">
        <v>41415</v>
      </c>
      <c r="F1788" s="40" t="s">
        <v>833</v>
      </c>
      <c r="G1788" s="40" t="s">
        <v>832</v>
      </c>
      <c r="H1788" s="7" t="s">
        <v>1293</v>
      </c>
      <c r="I1788" s="256"/>
      <c r="J1788" s="256"/>
      <c r="K1788" s="602">
        <f t="shared" si="256"/>
        <v>0</v>
      </c>
      <c r="L1788" s="39" t="s">
        <v>173</v>
      </c>
      <c r="M1788" s="39" t="s">
        <v>167</v>
      </c>
      <c r="N1788" s="39" t="str">
        <f>IF(AND('331-CT'!$E$7=TH!H1788,OR(L1788="331",M1788="331")),"331",IF(AND(OR(L1788="131",M1788="131"),H1788='131-CT'!$E$7),"131",""))</f>
        <v/>
      </c>
      <c r="O1788" s="39" t="str">
        <f>IF(AND($B1788&gt;='111'!$N$11,$B1788&lt;='111'!$O$11,OR($L1788=$O$7,$M1788=$O$7)),"x","")</f>
        <v/>
      </c>
      <c r="P1788" s="39" t="str">
        <f>IF(AND($L1788=$O$7,$B1788&lt;'111'!$N$11),"x","")</f>
        <v/>
      </c>
      <c r="Q1788" s="39" t="str">
        <f>IF(AND($M1788=$O$7,$B1788&lt;'111'!$N$11),"x","")</f>
        <v/>
      </c>
      <c r="R1788" s="39" t="str">
        <f>IF(ISERROR(FIND('112'!$M$9,G1788,1)),"",IF((AND(FIND('112'!$M$9,G1788,1)&gt;=1,$B1788&gt;='112'!$N$8,$B1788&lt;='112'!$O$8,OR($L1788='112'!$I$6,$M1788='112'!$I$6))),"x",""))</f>
        <v/>
      </c>
      <c r="S1788" s="39" t="str">
        <f>IF(ISERROR(FIND('112'!$M$9,G1788,1)),"",IF((AND(LEFT(G1788,2)=LEFT('112'!$M$9,2),B1788&lt;'112'!$N$8,$L1788='112'!$I$6)),"x",""))</f>
        <v/>
      </c>
      <c r="T1788" s="39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>632</v>
      </c>
      <c r="V1788" s="39" t="str">
        <f>IF(OR(TH!L1788=TH!$V$7,M1788=TH!$V$7),"x","")</f>
        <v/>
      </c>
      <c r="W1788" s="39" t="str">
        <f>IF(AND(B1788&gt;='IN-NX'!$P$3,B1788&lt;='IN-NX'!$Q$3,'IN-NX'!$D$7=D1788,OR(LEFT(L1788,2)="15",AND(LEFT(M1788,2)&lt;&gt;"15",LEFT(M1788,2)&lt;&gt;"33"))),"x","")</f>
        <v/>
      </c>
      <c r="X1788" s="39" t="str">
        <f>IF(AND(OR(LEFT(TH!L1788,2)="15",LEFT(TH!M1788,2)="15"),'152-CT'!$J$8=TH!F1788),"x","")</f>
        <v/>
      </c>
      <c r="Y1788" s="39" t="str">
        <f>IF(AND(OR(LEFT(TH!L1788,2)="15",LEFT(TH!M1788,2)="15"),TK!$E$7=TH!F1788),"x","")</f>
        <v/>
      </c>
      <c r="Z1788" s="39" t="str">
        <f>IF(AND(B1788&lt;=NKC!$N$8,B1788&gt;=NKC!$M$8),"x","")</f>
        <v/>
      </c>
      <c r="AA1788" s="886"/>
    </row>
    <row r="1789" spans="1:27" s="211" customFormat="1" ht="15.75" customHeight="1">
      <c r="A1789" s="204" t="str">
        <f>IF(B1789&lt;&gt;"",IF(AND(B1789&gt;=_TM1,B1789&lt;=_TM2,OR(TH!L1789="1111",TH!M1789="1111")),TH!D1789,""),"")</f>
        <v/>
      </c>
      <c r="B1789" s="36">
        <f t="shared" si="255"/>
        <v>5</v>
      </c>
      <c r="C1789" s="191">
        <f t="shared" si="254"/>
        <v>41415</v>
      </c>
      <c r="D1789" s="37"/>
      <c r="E1789" s="37">
        <v>41415</v>
      </c>
      <c r="F1789" s="40" t="s">
        <v>834</v>
      </c>
      <c r="G1789" s="40" t="s">
        <v>832</v>
      </c>
      <c r="H1789" s="7" t="s">
        <v>1293</v>
      </c>
      <c r="I1789" s="256"/>
      <c r="J1789" s="256"/>
      <c r="K1789" s="602">
        <f t="shared" si="256"/>
        <v>0</v>
      </c>
      <c r="L1789" s="39" t="s">
        <v>173</v>
      </c>
      <c r="M1789" s="39" t="s">
        <v>167</v>
      </c>
      <c r="N1789" s="39" t="str">
        <f>IF(AND('331-CT'!$E$7=TH!H1789,OR(L1789="331",M1789="331")),"331",IF(AND(OR(L1789="131",M1789="131"),H1789='131-CT'!$E$7),"131",""))</f>
        <v/>
      </c>
      <c r="O1789" s="39" t="str">
        <f>IF(AND($B1789&gt;='111'!$N$11,$B1789&lt;='111'!$O$11,OR($L1789=$O$7,$M1789=$O$7)),"x","")</f>
        <v/>
      </c>
      <c r="P1789" s="39" t="str">
        <f>IF(AND($L1789=$O$7,$B1789&lt;'111'!$N$11),"x","")</f>
        <v/>
      </c>
      <c r="Q1789" s="39" t="str">
        <f>IF(AND($M1789=$O$7,$B1789&lt;'111'!$N$11),"x","")</f>
        <v/>
      </c>
      <c r="R1789" s="39" t="str">
        <f>IF(ISERROR(FIND('112'!$M$9,G1789,1)),"",IF((AND(FIND('112'!$M$9,G1789,1)&gt;=1,$B1789&gt;='112'!$N$8,$B1789&lt;='112'!$O$8,OR($L1789='112'!$I$6,$M1789='112'!$I$6))),"x",""))</f>
        <v/>
      </c>
      <c r="S1789" s="39" t="str">
        <f>IF(ISERROR(FIND('112'!$M$9,G1789,1)),"",IF((AND(LEFT(G1789,2)=LEFT('112'!$M$9,2),B1789&lt;'112'!$N$8,$L1789='112'!$I$6)),"x",""))</f>
        <v/>
      </c>
      <c r="T1789" s="39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>632</v>
      </c>
      <c r="V1789" s="39" t="str">
        <f>IF(OR(TH!L1789=TH!$V$7,M1789=TH!$V$7),"x","")</f>
        <v/>
      </c>
      <c r="W1789" s="39" t="str">
        <f>IF(AND(B1789&gt;='IN-NX'!$P$3,B1789&lt;='IN-NX'!$Q$3,'IN-NX'!$D$7=D1789,OR(LEFT(L1789,2)="15",AND(LEFT(M1789,2)&lt;&gt;"15",LEFT(M1789,2)&lt;&gt;"33"))),"x","")</f>
        <v/>
      </c>
      <c r="X1789" s="39" t="str">
        <f>IF(AND(OR(LEFT(TH!L1789,2)="15",LEFT(TH!M1789,2)="15"),'152-CT'!$J$8=TH!F1789),"x","")</f>
        <v/>
      </c>
      <c r="Y1789" s="39" t="str">
        <f>IF(AND(OR(LEFT(TH!L1789,2)="15",LEFT(TH!M1789,2)="15"),TK!$E$7=TH!F1789),"x","")</f>
        <v/>
      </c>
      <c r="Z1789" s="39" t="str">
        <f>IF(AND(B1789&lt;=NKC!$N$8,B1789&gt;=NKC!$M$8),"x","")</f>
        <v/>
      </c>
      <c r="AA1789" s="886"/>
    </row>
    <row r="1790" spans="1:27" s="211" customFormat="1" ht="15.75" customHeight="1">
      <c r="A1790" s="204" t="str">
        <f>IF(B1790&lt;&gt;"",IF(AND(B1790&gt;=_TM1,B1790&lt;=_TM2,OR(TH!L1790="1111",TH!M1790="1111")),TH!D1790,""),"")</f>
        <v/>
      </c>
      <c r="B1790" s="36">
        <f t="shared" si="255"/>
        <v>5</v>
      </c>
      <c r="C1790" s="191">
        <f t="shared" si="254"/>
        <v>41415</v>
      </c>
      <c r="D1790" s="37"/>
      <c r="E1790" s="37">
        <v>41415</v>
      </c>
      <c r="F1790" s="40" t="s">
        <v>835</v>
      </c>
      <c r="G1790" s="40" t="s">
        <v>832</v>
      </c>
      <c r="H1790" s="7" t="s">
        <v>1293</v>
      </c>
      <c r="I1790" s="256"/>
      <c r="J1790" s="256"/>
      <c r="K1790" s="602">
        <f t="shared" si="256"/>
        <v>0</v>
      </c>
      <c r="L1790" s="39" t="s">
        <v>173</v>
      </c>
      <c r="M1790" s="39" t="s">
        <v>167</v>
      </c>
      <c r="N1790" s="39" t="str">
        <f>IF(AND('331-CT'!$E$7=TH!H1790,OR(L1790="331",M1790="331")),"331",IF(AND(OR(L1790="131",M1790="131"),H1790='131-CT'!$E$7),"131",""))</f>
        <v/>
      </c>
      <c r="O1790" s="39" t="str">
        <f>IF(AND($B1790&gt;='111'!$N$11,$B1790&lt;='111'!$O$11,OR($L1790=$O$7,$M1790=$O$7)),"x","")</f>
        <v/>
      </c>
      <c r="P1790" s="39" t="str">
        <f>IF(AND($L1790=$O$7,$B1790&lt;'111'!$N$11),"x","")</f>
        <v/>
      </c>
      <c r="Q1790" s="39" t="str">
        <f>IF(AND($M1790=$O$7,$B1790&lt;'111'!$N$11),"x","")</f>
        <v/>
      </c>
      <c r="R1790" s="39" t="str">
        <f>IF(ISERROR(FIND('112'!$M$9,G1790,1)),"",IF((AND(FIND('112'!$M$9,G1790,1)&gt;=1,$B1790&gt;='112'!$N$8,$B1790&lt;='112'!$O$8,OR($L1790='112'!$I$6,$M1790='112'!$I$6))),"x",""))</f>
        <v/>
      </c>
      <c r="S1790" s="39" t="str">
        <f>IF(ISERROR(FIND('112'!$M$9,G1790,1)),"",IF((AND(LEFT(G1790,2)=LEFT('112'!$M$9,2),B1790&lt;'112'!$N$8,$L1790='112'!$I$6)),"x",""))</f>
        <v/>
      </c>
      <c r="T1790" s="39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>632</v>
      </c>
      <c r="V1790" s="39" t="str">
        <f>IF(OR(TH!L1790=TH!$V$7,M1790=TH!$V$7),"x","")</f>
        <v/>
      </c>
      <c r="W1790" s="39" t="str">
        <f>IF(AND(B1790&gt;='IN-NX'!$P$3,B1790&lt;='IN-NX'!$Q$3,'IN-NX'!$D$7=D1790,OR(LEFT(L1790,2)="15",AND(LEFT(M1790,2)&lt;&gt;"15",LEFT(M1790,2)&lt;&gt;"33"))),"x","")</f>
        <v/>
      </c>
      <c r="X1790" s="39" t="str">
        <f>IF(AND(OR(LEFT(TH!L1790,2)="15",LEFT(TH!M1790,2)="15"),'152-CT'!$J$8=TH!F1790),"x","")</f>
        <v/>
      </c>
      <c r="Y1790" s="39" t="str">
        <f>IF(AND(OR(LEFT(TH!L1790,2)="15",LEFT(TH!M1790,2)="15"),TK!$E$7=TH!F1790),"x","")</f>
        <v/>
      </c>
      <c r="Z1790" s="39" t="str">
        <f>IF(AND(B1790&lt;=NKC!$N$8,B1790&gt;=NKC!$M$8),"x","")</f>
        <v/>
      </c>
      <c r="AA1790" s="886"/>
    </row>
    <row r="1791" spans="1:27" s="211" customFormat="1" ht="15.75" customHeight="1">
      <c r="A1791" s="204" t="str">
        <f>IF(B1791&lt;&gt;"",IF(AND(B1791&gt;=_TM1,B1791&lt;=_TM2,OR(TH!L1791="1111",TH!M1791="1111")),TH!D1791,""),"")</f>
        <v/>
      </c>
      <c r="B1791" s="36">
        <f t="shared" si="255"/>
        <v>5</v>
      </c>
      <c r="C1791" s="191">
        <f t="shared" si="254"/>
        <v>41415</v>
      </c>
      <c r="D1791" s="37"/>
      <c r="E1791" s="37">
        <v>41415</v>
      </c>
      <c r="F1791" s="40" t="s">
        <v>1157</v>
      </c>
      <c r="G1791" s="40" t="s">
        <v>832</v>
      </c>
      <c r="H1791" s="7" t="s">
        <v>1293</v>
      </c>
      <c r="I1791" s="256"/>
      <c r="J1791" s="256"/>
      <c r="K1791" s="602">
        <f t="shared" si="256"/>
        <v>0</v>
      </c>
      <c r="L1791" s="39" t="s">
        <v>173</v>
      </c>
      <c r="M1791" s="39" t="s">
        <v>167</v>
      </c>
      <c r="N1791" s="39" t="str">
        <f>IF(AND('331-CT'!$E$7=TH!H1791,OR(L1791="331",M1791="331")),"331",IF(AND(OR(L1791="131",M1791="131"),H1791='131-CT'!$E$7),"131",""))</f>
        <v/>
      </c>
      <c r="O1791" s="39" t="str">
        <f>IF(AND($B1791&gt;='111'!$N$11,$B1791&lt;='111'!$O$11,OR($L1791=$O$7,$M1791=$O$7)),"x","")</f>
        <v/>
      </c>
      <c r="P1791" s="39" t="str">
        <f>IF(AND($L1791=$O$7,$B1791&lt;'111'!$N$11),"x","")</f>
        <v/>
      </c>
      <c r="Q1791" s="39" t="str">
        <f>IF(AND($M1791=$O$7,$B1791&lt;'111'!$N$11),"x","")</f>
        <v/>
      </c>
      <c r="R1791" s="39" t="str">
        <f>IF(ISERROR(FIND('112'!$M$9,G1791,1)),"",IF((AND(FIND('112'!$M$9,G1791,1)&gt;=1,$B1791&gt;='112'!$N$8,$B1791&lt;='112'!$O$8,OR($L1791='112'!$I$6,$M1791='112'!$I$6))),"x",""))</f>
        <v/>
      </c>
      <c r="S1791" s="39" t="str">
        <f>IF(ISERROR(FIND('112'!$M$9,G1791,1)),"",IF((AND(LEFT(G1791,2)=LEFT('112'!$M$9,2),B1791&lt;'112'!$N$8,$L1791='112'!$I$6)),"x",""))</f>
        <v/>
      </c>
      <c r="T1791" s="39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>632</v>
      </c>
      <c r="V1791" s="39" t="str">
        <f>IF(OR(TH!L1791=TH!$V$7,M1791=TH!$V$7),"x","")</f>
        <v/>
      </c>
      <c r="W1791" s="39" t="str">
        <f>IF(AND(B1791&gt;='IN-NX'!$P$3,B1791&lt;='IN-NX'!$Q$3,'IN-NX'!$D$7=D1791,OR(LEFT(L1791,2)="15",AND(LEFT(M1791,2)&lt;&gt;"15",LEFT(M1791,2)&lt;&gt;"33"))),"x","")</f>
        <v/>
      </c>
      <c r="X1791" s="39" t="str">
        <f>IF(AND(OR(LEFT(TH!L1791,2)="15",LEFT(TH!M1791,2)="15"),'152-CT'!$J$8=TH!F1791),"x","")</f>
        <v/>
      </c>
      <c r="Y1791" s="39" t="str">
        <f>IF(AND(OR(LEFT(TH!L1791,2)="15",LEFT(TH!M1791,2)="15"),TK!$E$7=TH!F1791),"x","")</f>
        <v/>
      </c>
      <c r="Z1791" s="39" t="str">
        <f>IF(AND(B1791&lt;=NKC!$N$8,B1791&gt;=NKC!$M$8),"x","")</f>
        <v/>
      </c>
      <c r="AA1791" s="886"/>
    </row>
    <row r="1792" spans="1:27" s="211" customFormat="1" ht="15.75" customHeight="1">
      <c r="A1792" s="204" t="str">
        <f>IF(B1792&lt;&gt;"",IF(AND(B1792&gt;=_TM1,B1792&lt;=_TM2,OR(TH!L1792="1111",TH!M1792="1111")),TH!D1792,""),"")</f>
        <v/>
      </c>
      <c r="B1792" s="36">
        <f t="shared" si="255"/>
        <v>5</v>
      </c>
      <c r="C1792" s="191">
        <f t="shared" si="254"/>
        <v>41418</v>
      </c>
      <c r="D1792" s="37"/>
      <c r="E1792" s="37">
        <v>41418</v>
      </c>
      <c r="F1792" s="40" t="s">
        <v>1143</v>
      </c>
      <c r="G1792" s="40" t="s">
        <v>836</v>
      </c>
      <c r="H1792" s="7" t="s">
        <v>1293</v>
      </c>
      <c r="I1792" s="256"/>
      <c r="J1792" s="256"/>
      <c r="K1792" s="602">
        <f t="shared" si="256"/>
        <v>0</v>
      </c>
      <c r="L1792" s="39" t="s">
        <v>173</v>
      </c>
      <c r="M1792" s="39" t="s">
        <v>167</v>
      </c>
      <c r="N1792" s="39" t="str">
        <f>IF(AND('331-CT'!$E$7=TH!H1792,OR(L1792="331",M1792="331")),"331",IF(AND(OR(L1792="131",M1792="131"),H1792='131-CT'!$E$7),"131",""))</f>
        <v/>
      </c>
      <c r="O1792" s="39" t="str">
        <f>IF(AND($B1792&gt;='111'!$N$11,$B1792&lt;='111'!$O$11,OR($L1792=$O$7,$M1792=$O$7)),"x","")</f>
        <v/>
      </c>
      <c r="P1792" s="39" t="str">
        <f>IF(AND($L1792=$O$7,$B1792&lt;'111'!$N$11),"x","")</f>
        <v/>
      </c>
      <c r="Q1792" s="39" t="str">
        <f>IF(AND($M1792=$O$7,$B1792&lt;'111'!$N$11),"x","")</f>
        <v/>
      </c>
      <c r="R1792" s="39" t="str">
        <f>IF(ISERROR(FIND('112'!$M$9,G1792,1)),"",IF((AND(FIND('112'!$M$9,G1792,1)&gt;=1,$B1792&gt;='112'!$N$8,$B1792&lt;='112'!$O$8,OR($L1792='112'!$I$6,$M1792='112'!$I$6))),"x",""))</f>
        <v/>
      </c>
      <c r="S1792" s="39" t="str">
        <f>IF(ISERROR(FIND('112'!$M$9,G1792,1)),"",IF((AND(LEFT(G1792,2)=LEFT('112'!$M$9,2),B1792&lt;'112'!$N$8,$L1792='112'!$I$6)),"x",""))</f>
        <v/>
      </c>
      <c r="T1792" s="39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>632</v>
      </c>
      <c r="V1792" s="39" t="str">
        <f>IF(OR(TH!L1792=TH!$V$7,M1792=TH!$V$7),"x","")</f>
        <v/>
      </c>
      <c r="W1792" s="39" t="str">
        <f>IF(AND(B1792&gt;='IN-NX'!$P$3,B1792&lt;='IN-NX'!$Q$3,'IN-NX'!$D$7=D1792,OR(LEFT(L1792,2)="15",AND(LEFT(M1792,2)&lt;&gt;"15",LEFT(M1792,2)&lt;&gt;"33"))),"x","")</f>
        <v/>
      </c>
      <c r="X1792" s="39" t="str">
        <f>IF(AND(OR(LEFT(TH!L1792,2)="15",LEFT(TH!M1792,2)="15"),'152-CT'!$J$8=TH!F1792),"x","")</f>
        <v/>
      </c>
      <c r="Y1792" s="39" t="str">
        <f>IF(AND(OR(LEFT(TH!L1792,2)="15",LEFT(TH!M1792,2)="15"),TK!$E$7=TH!F1792),"x","")</f>
        <v/>
      </c>
      <c r="Z1792" s="39" t="str">
        <f>IF(AND(B1792&lt;=NKC!$N$8,B1792&gt;=NKC!$M$8),"x","")</f>
        <v/>
      </c>
      <c r="AA1792" s="886"/>
    </row>
    <row r="1793" spans="1:27" s="211" customFormat="1" ht="15.75" customHeight="1">
      <c r="A1793" s="204" t="str">
        <f>IF(B1793&lt;&gt;"",IF(AND(B1793&gt;=_TM1,B1793&lt;=_TM2,OR(TH!L1793="1111",TH!M1793="1111")),TH!D1793,""),"")</f>
        <v/>
      </c>
      <c r="B1793" s="36">
        <f t="shared" si="255"/>
        <v>6</v>
      </c>
      <c r="C1793" s="191">
        <f t="shared" si="254"/>
        <v>41429</v>
      </c>
      <c r="D1793" s="37"/>
      <c r="E1793" s="37">
        <v>41429</v>
      </c>
      <c r="F1793" s="40" t="s">
        <v>1141</v>
      </c>
      <c r="G1793" s="40" t="s">
        <v>837</v>
      </c>
      <c r="H1793" s="7" t="s">
        <v>1293</v>
      </c>
      <c r="I1793" s="256"/>
      <c r="J1793" s="256"/>
      <c r="K1793" s="602">
        <f t="shared" si="256"/>
        <v>0</v>
      </c>
      <c r="L1793" s="39" t="s">
        <v>173</v>
      </c>
      <c r="M1793" s="39" t="s">
        <v>167</v>
      </c>
      <c r="N1793" s="39" t="str">
        <f>IF(AND('331-CT'!$E$7=TH!H1793,OR(L1793="331",M1793="331")),"331",IF(AND(OR(L1793="131",M1793="131"),H1793='131-CT'!$E$7),"131",""))</f>
        <v/>
      </c>
      <c r="O1793" s="39" t="str">
        <f>IF(AND($B1793&gt;='111'!$N$11,$B1793&lt;='111'!$O$11,OR($L1793=$O$7,$M1793=$O$7)),"x","")</f>
        <v/>
      </c>
      <c r="P1793" s="39" t="str">
        <f>IF(AND($L1793=$O$7,$B1793&lt;'111'!$N$11),"x","")</f>
        <v/>
      </c>
      <c r="Q1793" s="39" t="str">
        <f>IF(AND($M1793=$O$7,$B1793&lt;'111'!$N$11),"x","")</f>
        <v/>
      </c>
      <c r="R1793" s="39" t="str">
        <f>IF(ISERROR(FIND('112'!$M$9,G1793,1)),"",IF((AND(FIND('112'!$M$9,G1793,1)&gt;=1,$B1793&gt;='112'!$N$8,$B1793&lt;='112'!$O$8,OR($L1793='112'!$I$6,$M1793='112'!$I$6))),"x",""))</f>
        <v/>
      </c>
      <c r="S1793" s="39" t="str">
        <f>IF(ISERROR(FIND('112'!$M$9,G1793,1)),"",IF((AND(LEFT(G1793,2)=LEFT('112'!$M$9,2),B1793&lt;'112'!$N$8,$L1793='112'!$I$6)),"x",""))</f>
        <v/>
      </c>
      <c r="T1793" s="39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>632</v>
      </c>
      <c r="V1793" s="39" t="str">
        <f>IF(OR(TH!L1793=TH!$V$7,M1793=TH!$V$7),"x","")</f>
        <v/>
      </c>
      <c r="W1793" s="39" t="str">
        <f>IF(AND(B1793&gt;='IN-NX'!$P$3,B1793&lt;='IN-NX'!$Q$3,'IN-NX'!$D$7=D1793,OR(LEFT(L1793,2)="15",AND(LEFT(M1793,2)&lt;&gt;"15",LEFT(M1793,2)&lt;&gt;"33"))),"x","")</f>
        <v/>
      </c>
      <c r="X1793" s="39" t="str">
        <f>IF(AND(OR(LEFT(TH!L1793,2)="15",LEFT(TH!M1793,2)="15"),'152-CT'!$J$8=TH!F1793),"x","")</f>
        <v/>
      </c>
      <c r="Y1793" s="39" t="str">
        <f>IF(AND(OR(LEFT(TH!L1793,2)="15",LEFT(TH!M1793,2)="15"),TK!$E$7=TH!F1793),"x","")</f>
        <v/>
      </c>
      <c r="Z1793" s="39" t="str">
        <f>IF(AND(B1793&lt;=NKC!$N$8,B1793&gt;=NKC!$M$8),"x","")</f>
        <v/>
      </c>
      <c r="AA1793" s="886"/>
    </row>
    <row r="1794" spans="1:27" s="211" customFormat="1" ht="15.75" customHeight="1">
      <c r="A1794" s="204" t="str">
        <f>IF(B1794&lt;&gt;"",IF(AND(B1794&gt;=_TM1,B1794&lt;=_TM2,OR(TH!L1794="1111",TH!M1794="1111")),TH!D1794,""),"")</f>
        <v/>
      </c>
      <c r="B1794" s="36">
        <f t="shared" si="255"/>
        <v>6</v>
      </c>
      <c r="C1794" s="191">
        <f t="shared" si="254"/>
        <v>41429</v>
      </c>
      <c r="D1794" s="184"/>
      <c r="E1794" s="191">
        <v>41429</v>
      </c>
      <c r="F1794" s="192" t="s">
        <v>838</v>
      </c>
      <c r="G1794" s="487" t="s">
        <v>839</v>
      </c>
      <c r="H1794" s="7" t="s">
        <v>1293</v>
      </c>
      <c r="I1794" s="256"/>
      <c r="J1794" s="256"/>
      <c r="K1794" s="602">
        <f t="shared" si="256"/>
        <v>0</v>
      </c>
      <c r="L1794" s="39" t="s">
        <v>173</v>
      </c>
      <c r="M1794" s="39" t="s">
        <v>167</v>
      </c>
      <c r="N1794" s="39" t="str">
        <f>IF(AND('331-CT'!$E$7=TH!H1794,OR(L1794="331",M1794="331")),"331",IF(AND(OR(L1794="131",M1794="131"),H1794='131-CT'!$E$7),"131",""))</f>
        <v/>
      </c>
      <c r="O1794" s="39" t="str">
        <f>IF(AND($B1794&gt;='111'!$N$11,$B1794&lt;='111'!$O$11,OR($L1794=$O$7,$M1794=$O$7)),"x","")</f>
        <v/>
      </c>
      <c r="P1794" s="39" t="str">
        <f>IF(AND($L1794=$O$7,$B1794&lt;'111'!$N$11),"x","")</f>
        <v/>
      </c>
      <c r="Q1794" s="39" t="str">
        <f>IF(AND($M1794=$O$7,$B1794&lt;'111'!$N$11),"x","")</f>
        <v/>
      </c>
      <c r="R1794" s="39" t="str">
        <f>IF(ISERROR(FIND('112'!$M$9,G1794,1)),"",IF((AND(FIND('112'!$M$9,G1794,1)&gt;=1,$B1794&gt;='112'!$N$8,$B1794&lt;='112'!$O$8,OR($L1794='112'!$I$6,$M1794='112'!$I$6))),"x",""))</f>
        <v/>
      </c>
      <c r="S1794" s="39" t="str">
        <f>IF(ISERROR(FIND('112'!$M$9,G1794,1)),"",IF((AND(LEFT(G1794,2)=LEFT('112'!$M$9,2),B1794&lt;'112'!$N$8,$L1794='112'!$I$6)),"x",""))</f>
        <v/>
      </c>
      <c r="T1794" s="39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>632</v>
      </c>
      <c r="V1794" s="39" t="str">
        <f>IF(OR(TH!L1794=TH!$V$7,M1794=TH!$V$7),"x","")</f>
        <v/>
      </c>
      <c r="W1794" s="39" t="str">
        <f>IF(AND(B1794&gt;='IN-NX'!$P$3,B1794&lt;='IN-NX'!$Q$3,'IN-NX'!$D$7=D1794,OR(LEFT(L1794,2)="15",AND(LEFT(M1794,2)&lt;&gt;"15",LEFT(M1794,2)&lt;&gt;"33"))),"x","")</f>
        <v/>
      </c>
      <c r="X1794" s="39" t="str">
        <f>IF(AND(OR(LEFT(TH!L1794,2)="15",LEFT(TH!M1794,2)="15"),'152-CT'!$J$8=TH!F1794),"x","")</f>
        <v/>
      </c>
      <c r="Y1794" s="39" t="str">
        <f>IF(AND(OR(LEFT(TH!L1794,2)="15",LEFT(TH!M1794,2)="15"),TK!$E$7=TH!F1794),"x","")</f>
        <v/>
      </c>
      <c r="Z1794" s="39" t="str">
        <f>IF(AND(B1794&lt;=NKC!$N$8,B1794&gt;=NKC!$M$8),"x","")</f>
        <v/>
      </c>
      <c r="AA1794" s="886"/>
    </row>
    <row r="1795" spans="1:27" s="211" customFormat="1" ht="15.75" customHeight="1">
      <c r="A1795" s="204" t="str">
        <f>IF(B1795&lt;&gt;"",IF(AND(B1795&gt;=_TM1,B1795&lt;=_TM2,OR(TH!L1795="1111",TH!M1795="1111")),TH!D1795,""),"")</f>
        <v/>
      </c>
      <c r="B1795" s="36">
        <f t="shared" si="255"/>
        <v>6</v>
      </c>
      <c r="C1795" s="191">
        <f t="shared" si="254"/>
        <v>41430</v>
      </c>
      <c r="D1795" s="184"/>
      <c r="E1795" s="191">
        <v>41430</v>
      </c>
      <c r="F1795" s="192" t="s">
        <v>840</v>
      </c>
      <c r="G1795" s="487" t="s">
        <v>841</v>
      </c>
      <c r="H1795" s="7" t="s">
        <v>1293</v>
      </c>
      <c r="I1795" s="256"/>
      <c r="J1795" s="256"/>
      <c r="K1795" s="602">
        <f t="shared" si="256"/>
        <v>0</v>
      </c>
      <c r="L1795" s="39" t="s">
        <v>173</v>
      </c>
      <c r="M1795" s="39" t="s">
        <v>167</v>
      </c>
      <c r="N1795" s="39" t="str">
        <f>IF(AND('331-CT'!$E$7=TH!H1795,OR(L1795="331",M1795="331")),"331",IF(AND(OR(L1795="131",M1795="131"),H1795='131-CT'!$E$7),"131",""))</f>
        <v/>
      </c>
      <c r="O1795" s="39" t="str">
        <f>IF(AND($B1795&gt;='111'!$N$11,$B1795&lt;='111'!$O$11,OR($L1795=$O$7,$M1795=$O$7)),"x","")</f>
        <v/>
      </c>
      <c r="P1795" s="39" t="str">
        <f>IF(AND($L1795=$O$7,$B1795&lt;'111'!$N$11),"x","")</f>
        <v/>
      </c>
      <c r="Q1795" s="39" t="str">
        <f>IF(AND($M1795=$O$7,$B1795&lt;'111'!$N$11),"x","")</f>
        <v/>
      </c>
      <c r="R1795" s="39" t="str">
        <f>IF(ISERROR(FIND('112'!$M$9,G1795,1)),"",IF((AND(FIND('112'!$M$9,G1795,1)&gt;=1,$B1795&gt;='112'!$N$8,$B1795&lt;='112'!$O$8,OR($L1795='112'!$I$6,$M1795='112'!$I$6))),"x",""))</f>
        <v/>
      </c>
      <c r="S1795" s="39" t="str">
        <f>IF(ISERROR(FIND('112'!$M$9,G1795,1)),"",IF((AND(LEFT(G1795,2)=LEFT('112'!$M$9,2),B1795&lt;'112'!$N$8,$L1795='112'!$I$6)),"x",""))</f>
        <v/>
      </c>
      <c r="T1795" s="39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>632</v>
      </c>
      <c r="V1795" s="39" t="str">
        <f>IF(OR(TH!L1795=TH!$V$7,M1795=TH!$V$7),"x","")</f>
        <v/>
      </c>
      <c r="W1795" s="39" t="str">
        <f>IF(AND(B1795&gt;='IN-NX'!$P$3,B1795&lt;='IN-NX'!$Q$3,'IN-NX'!$D$7=D1795,OR(LEFT(L1795,2)="15",AND(LEFT(M1795,2)&lt;&gt;"15",LEFT(M1795,2)&lt;&gt;"33"))),"x","")</f>
        <v/>
      </c>
      <c r="X1795" s="39" t="str">
        <f>IF(AND(OR(LEFT(TH!L1795,2)="15",LEFT(TH!M1795,2)="15"),'152-CT'!$J$8=TH!F1795),"x","")</f>
        <v/>
      </c>
      <c r="Y1795" s="39" t="str">
        <f>IF(AND(OR(LEFT(TH!L1795,2)="15",LEFT(TH!M1795,2)="15"),TK!$E$7=TH!F1795),"x","")</f>
        <v/>
      </c>
      <c r="Z1795" s="39" t="str">
        <f>IF(AND(B1795&lt;=NKC!$N$8,B1795&gt;=NKC!$M$8),"x","")</f>
        <v/>
      </c>
      <c r="AA1795" s="886"/>
    </row>
    <row r="1796" spans="1:27" s="211" customFormat="1" ht="15.75" customHeight="1">
      <c r="A1796" s="204" t="str">
        <f>IF(B1796&lt;&gt;"",IF(AND(B1796&gt;=_TM1,B1796&lt;=_TM2,OR(TH!L1796="1111",TH!M1796="1111")),TH!D1796,""),"")</f>
        <v/>
      </c>
      <c r="B1796" s="36">
        <f t="shared" si="255"/>
        <v>6</v>
      </c>
      <c r="C1796" s="191">
        <f t="shared" si="254"/>
        <v>41430</v>
      </c>
      <c r="D1796" s="184"/>
      <c r="E1796" s="191">
        <v>41430</v>
      </c>
      <c r="F1796" s="192" t="s">
        <v>840</v>
      </c>
      <c r="G1796" s="487" t="s">
        <v>841</v>
      </c>
      <c r="H1796" s="7" t="s">
        <v>1293</v>
      </c>
      <c r="I1796" s="256"/>
      <c r="J1796" s="256"/>
      <c r="K1796" s="602">
        <f t="shared" si="256"/>
        <v>0</v>
      </c>
      <c r="L1796" s="39" t="s">
        <v>173</v>
      </c>
      <c r="M1796" s="39" t="s">
        <v>167</v>
      </c>
      <c r="N1796" s="39" t="str">
        <f>IF(AND('331-CT'!$E$7=TH!H1796,OR(L1796="331",M1796="331")),"331",IF(AND(OR(L1796="131",M1796="131"),H1796='131-CT'!$E$7),"131",""))</f>
        <v/>
      </c>
      <c r="O1796" s="39" t="str">
        <f>IF(AND($B1796&gt;='111'!$N$11,$B1796&lt;='111'!$O$11,OR($L1796=$O$7,$M1796=$O$7)),"x","")</f>
        <v/>
      </c>
      <c r="P1796" s="39" t="str">
        <f>IF(AND($L1796=$O$7,$B1796&lt;'111'!$N$11),"x","")</f>
        <v/>
      </c>
      <c r="Q1796" s="39" t="str">
        <f>IF(AND($M1796=$O$7,$B1796&lt;'111'!$N$11),"x","")</f>
        <v/>
      </c>
      <c r="R1796" s="39" t="str">
        <f>IF(ISERROR(FIND('112'!$M$9,G1796,1)),"",IF((AND(FIND('112'!$M$9,G1796,1)&gt;=1,$B1796&gt;='112'!$N$8,$B1796&lt;='112'!$O$8,OR($L1796='112'!$I$6,$M1796='112'!$I$6))),"x",""))</f>
        <v/>
      </c>
      <c r="S1796" s="39" t="str">
        <f>IF(ISERROR(FIND('112'!$M$9,G1796,1)),"",IF((AND(LEFT(G1796,2)=LEFT('112'!$M$9,2),B1796&lt;'112'!$N$8,$L1796='112'!$I$6)),"x",""))</f>
        <v/>
      </c>
      <c r="T1796" s="39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>632</v>
      </c>
      <c r="V1796" s="39" t="str">
        <f>IF(OR(TH!L1796=TH!$V$7,M1796=TH!$V$7),"x","")</f>
        <v/>
      </c>
      <c r="W1796" s="39" t="str">
        <f>IF(AND(B1796&gt;='IN-NX'!$P$3,B1796&lt;='IN-NX'!$Q$3,'IN-NX'!$D$7=D1796,OR(LEFT(L1796,2)="15",AND(LEFT(M1796,2)&lt;&gt;"15",LEFT(M1796,2)&lt;&gt;"33"))),"x","")</f>
        <v/>
      </c>
      <c r="X1796" s="39" t="str">
        <f>IF(AND(OR(LEFT(TH!L1796,2)="15",LEFT(TH!M1796,2)="15"),'152-CT'!$J$8=TH!F1796),"x","")</f>
        <v/>
      </c>
      <c r="Y1796" s="39" t="str">
        <f>IF(AND(OR(LEFT(TH!L1796,2)="15",LEFT(TH!M1796,2)="15"),TK!$E$7=TH!F1796),"x","")</f>
        <v/>
      </c>
      <c r="Z1796" s="39" t="str">
        <f>IF(AND(B1796&lt;=NKC!$N$8,B1796&gt;=NKC!$M$8),"x","")</f>
        <v/>
      </c>
      <c r="AA1796" s="886"/>
    </row>
    <row r="1797" spans="1:27" s="211" customFormat="1" ht="15.75" customHeight="1">
      <c r="A1797" s="204" t="str">
        <f>IF(B1797&lt;&gt;"",IF(AND(B1797&gt;=_TM1,B1797&lt;=_TM2,OR(TH!L1797="1111",TH!M1797="1111")),TH!D1797,""),"")</f>
        <v/>
      </c>
      <c r="B1797" s="36">
        <f t="shared" si="255"/>
        <v>6</v>
      </c>
      <c r="C1797" s="191">
        <f t="shared" si="254"/>
        <v>41432</v>
      </c>
      <c r="D1797" s="184"/>
      <c r="E1797" s="191">
        <v>41432</v>
      </c>
      <c r="F1797" s="192" t="s">
        <v>1130</v>
      </c>
      <c r="G1797" s="487" t="s">
        <v>842</v>
      </c>
      <c r="H1797" s="7" t="s">
        <v>1293</v>
      </c>
      <c r="I1797" s="257"/>
      <c r="J1797" s="257"/>
      <c r="K1797" s="602">
        <f t="shared" si="256"/>
        <v>0</v>
      </c>
      <c r="L1797" s="39" t="s">
        <v>173</v>
      </c>
      <c r="M1797" s="39" t="s">
        <v>167</v>
      </c>
      <c r="N1797" s="39" t="str">
        <f>IF(AND('331-CT'!$E$7=TH!H1797,OR(L1797="331",M1797="331")),"331",IF(AND(OR(L1797="131",M1797="131"),H1797='131-CT'!$E$7),"131",""))</f>
        <v/>
      </c>
      <c r="O1797" s="39" t="str">
        <f>IF(AND($B1797&gt;='111'!$N$11,$B1797&lt;='111'!$O$11,OR($L1797=$O$7,$M1797=$O$7)),"x","")</f>
        <v/>
      </c>
      <c r="P1797" s="39" t="str">
        <f>IF(AND($L1797=$O$7,$B1797&lt;'111'!$N$11),"x","")</f>
        <v/>
      </c>
      <c r="Q1797" s="39" t="str">
        <f>IF(AND($M1797=$O$7,$B1797&lt;'111'!$N$11),"x","")</f>
        <v/>
      </c>
      <c r="R1797" s="39" t="str">
        <f>IF(ISERROR(FIND('112'!$M$9,G1797,1)),"",IF((AND(FIND('112'!$M$9,G1797,1)&gt;=1,$B1797&gt;='112'!$N$8,$B1797&lt;='112'!$O$8,OR($L1797='112'!$I$6,$M1797='112'!$I$6))),"x",""))</f>
        <v/>
      </c>
      <c r="S1797" s="39" t="str">
        <f>IF(ISERROR(FIND('112'!$M$9,G1797,1)),"",IF((AND(LEFT(G1797,2)=LEFT('112'!$M$9,2),B1797&lt;'112'!$N$8,$L1797='112'!$I$6)),"x",""))</f>
        <v/>
      </c>
      <c r="T1797" s="39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>632</v>
      </c>
      <c r="V1797" s="39" t="str">
        <f>IF(OR(TH!L1797=TH!$V$7,M1797=TH!$V$7),"x","")</f>
        <v/>
      </c>
      <c r="W1797" s="39" t="str">
        <f>IF(AND(B1797&gt;='IN-NX'!$P$3,B1797&lt;='IN-NX'!$Q$3,'IN-NX'!$D$7=D1797,OR(LEFT(L1797,2)="15",AND(LEFT(M1797,2)&lt;&gt;"15",LEFT(M1797,2)&lt;&gt;"33"))),"x","")</f>
        <v/>
      </c>
      <c r="X1797" s="39" t="str">
        <f>IF(AND(OR(LEFT(TH!L1797,2)="15",LEFT(TH!M1797,2)="15"),'152-CT'!$J$8=TH!F1797),"x","")</f>
        <v/>
      </c>
      <c r="Y1797" s="39" t="str">
        <f>IF(AND(OR(LEFT(TH!L1797,2)="15",LEFT(TH!M1797,2)="15"),TK!$E$7=TH!F1797),"x","")</f>
        <v/>
      </c>
      <c r="Z1797" s="39" t="str">
        <f>IF(AND(B1797&lt;=NKC!$N$8,B1797&gt;=NKC!$M$8),"x","")</f>
        <v/>
      </c>
      <c r="AA1797" s="886"/>
    </row>
    <row r="1798" spans="1:27" s="211" customFormat="1" ht="15.75" customHeight="1">
      <c r="A1798" s="204" t="str">
        <f>IF(B1798&lt;&gt;"",IF(AND(B1798&gt;=_TM1,B1798&lt;=_TM2,OR(TH!L1798="1111",TH!M1798="1111")),TH!D1798,""),"")</f>
        <v/>
      </c>
      <c r="B1798" s="36">
        <f t="shared" si="255"/>
        <v>6</v>
      </c>
      <c r="C1798" s="191">
        <f t="shared" si="254"/>
        <v>41432</v>
      </c>
      <c r="D1798" s="184"/>
      <c r="E1798" s="191">
        <v>41432</v>
      </c>
      <c r="F1798" s="192" t="s">
        <v>1133</v>
      </c>
      <c r="G1798" s="487" t="s">
        <v>842</v>
      </c>
      <c r="H1798" s="7" t="s">
        <v>1293</v>
      </c>
      <c r="I1798" s="256"/>
      <c r="J1798" s="256"/>
      <c r="K1798" s="602">
        <f t="shared" si="256"/>
        <v>0</v>
      </c>
      <c r="L1798" s="39" t="s">
        <v>173</v>
      </c>
      <c r="M1798" s="39" t="s">
        <v>167</v>
      </c>
      <c r="N1798" s="39" t="str">
        <f>IF(AND('331-CT'!$E$7=TH!H1798,OR(L1798="331",M1798="331")),"331",IF(AND(OR(L1798="131",M1798="131"),H1798='131-CT'!$E$7),"131",""))</f>
        <v/>
      </c>
      <c r="O1798" s="39" t="str">
        <f>IF(AND($B1798&gt;='111'!$N$11,$B1798&lt;='111'!$O$11,OR($L1798=$O$7,$M1798=$O$7)),"x","")</f>
        <v/>
      </c>
      <c r="P1798" s="39" t="str">
        <f>IF(AND($L1798=$O$7,$B1798&lt;'111'!$N$11),"x","")</f>
        <v/>
      </c>
      <c r="Q1798" s="39" t="str">
        <f>IF(AND($M1798=$O$7,$B1798&lt;'111'!$N$11),"x","")</f>
        <v/>
      </c>
      <c r="R1798" s="39" t="str">
        <f>IF(ISERROR(FIND('112'!$M$9,G1798,1)),"",IF((AND(FIND('112'!$M$9,G1798,1)&gt;=1,$B1798&gt;='112'!$N$8,$B1798&lt;='112'!$O$8,OR($L1798='112'!$I$6,$M1798='112'!$I$6))),"x",""))</f>
        <v/>
      </c>
      <c r="S1798" s="39" t="str">
        <f>IF(ISERROR(FIND('112'!$M$9,G1798,1)),"",IF((AND(LEFT(G1798,2)=LEFT('112'!$M$9,2),B1798&lt;'112'!$N$8,$L1798='112'!$I$6)),"x",""))</f>
        <v/>
      </c>
      <c r="T1798" s="39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>632</v>
      </c>
      <c r="V1798" s="39" t="str">
        <f>IF(OR(TH!L1798=TH!$V$7,M1798=TH!$V$7),"x","")</f>
        <v/>
      </c>
      <c r="W1798" s="39" t="str">
        <f>IF(AND(B1798&gt;='IN-NX'!$P$3,B1798&lt;='IN-NX'!$Q$3,'IN-NX'!$D$7=D1798,OR(LEFT(L1798,2)="15",AND(LEFT(M1798,2)&lt;&gt;"15",LEFT(M1798,2)&lt;&gt;"33"))),"x","")</f>
        <v/>
      </c>
      <c r="X1798" s="39" t="str">
        <f>IF(AND(OR(LEFT(TH!L1798,2)="15",LEFT(TH!M1798,2)="15"),'152-CT'!$J$8=TH!F1798),"x","")</f>
        <v/>
      </c>
      <c r="Y1798" s="39" t="str">
        <f>IF(AND(OR(LEFT(TH!L1798,2)="15",LEFT(TH!M1798,2)="15"),TK!$E$7=TH!F1798),"x","")</f>
        <v/>
      </c>
      <c r="Z1798" s="39" t="str">
        <f>IF(AND(B1798&lt;=NKC!$N$8,B1798&gt;=NKC!$M$8),"x","")</f>
        <v/>
      </c>
      <c r="AA1798" s="886"/>
    </row>
    <row r="1799" spans="1:27" s="211" customFormat="1" ht="15.75" customHeight="1">
      <c r="A1799" s="204" t="str">
        <f>IF(B1799&lt;&gt;"",IF(AND(B1799&gt;=_TM1,B1799&lt;=_TM2,OR(TH!L1799="1111",TH!M1799="1111")),TH!D1799,""),"")</f>
        <v/>
      </c>
      <c r="B1799" s="36">
        <f t="shared" si="255"/>
        <v>6</v>
      </c>
      <c r="C1799" s="191">
        <f t="shared" ref="C1799:C1862" si="257">E1799</f>
        <v>41432</v>
      </c>
      <c r="D1799" s="184"/>
      <c r="E1799" s="191">
        <v>41432</v>
      </c>
      <c r="F1799" s="192" t="s">
        <v>843</v>
      </c>
      <c r="G1799" s="487" t="s">
        <v>842</v>
      </c>
      <c r="H1799" s="7" t="s">
        <v>1293</v>
      </c>
      <c r="I1799" s="256"/>
      <c r="J1799" s="256"/>
      <c r="K1799" s="602">
        <f t="shared" si="256"/>
        <v>0</v>
      </c>
      <c r="L1799" s="39" t="s">
        <v>173</v>
      </c>
      <c r="M1799" s="39" t="s">
        <v>167</v>
      </c>
      <c r="N1799" s="39" t="str">
        <f>IF(AND('331-CT'!$E$7=TH!H1799,OR(L1799="331",M1799="331")),"331",IF(AND(OR(L1799="131",M1799="131"),H1799='131-CT'!$E$7),"131",""))</f>
        <v/>
      </c>
      <c r="O1799" s="39" t="str">
        <f>IF(AND($B1799&gt;='111'!$N$11,$B1799&lt;='111'!$O$11,OR($L1799=$O$7,$M1799=$O$7)),"x","")</f>
        <v/>
      </c>
      <c r="P1799" s="39" t="str">
        <f>IF(AND($L1799=$O$7,$B1799&lt;'111'!$N$11),"x","")</f>
        <v/>
      </c>
      <c r="Q1799" s="39" t="str">
        <f>IF(AND($M1799=$O$7,$B1799&lt;'111'!$N$11),"x","")</f>
        <v/>
      </c>
      <c r="R1799" s="39" t="str">
        <f>IF(ISERROR(FIND('112'!$M$9,G1799,1)),"",IF((AND(FIND('112'!$M$9,G1799,1)&gt;=1,$B1799&gt;='112'!$N$8,$B1799&lt;='112'!$O$8,OR($L1799='112'!$I$6,$M1799='112'!$I$6))),"x",""))</f>
        <v/>
      </c>
      <c r="S1799" s="39" t="str">
        <f>IF(ISERROR(FIND('112'!$M$9,G1799,1)),"",IF((AND(LEFT(G1799,2)=LEFT('112'!$M$9,2),B1799&lt;'112'!$N$8,$L1799='112'!$I$6)),"x",""))</f>
        <v/>
      </c>
      <c r="T1799" s="39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>632</v>
      </c>
      <c r="V1799" s="39" t="str">
        <f>IF(OR(TH!L1799=TH!$V$7,M1799=TH!$V$7),"x","")</f>
        <v/>
      </c>
      <c r="W1799" s="39" t="str">
        <f>IF(AND(B1799&gt;='IN-NX'!$P$3,B1799&lt;='IN-NX'!$Q$3,'IN-NX'!$D$7=D1799,OR(LEFT(L1799,2)="15",AND(LEFT(M1799,2)&lt;&gt;"15",LEFT(M1799,2)&lt;&gt;"33"))),"x","")</f>
        <v/>
      </c>
      <c r="X1799" s="39" t="str">
        <f>IF(AND(OR(LEFT(TH!L1799,2)="15",LEFT(TH!M1799,2)="15"),'152-CT'!$J$8=TH!F1799),"x","")</f>
        <v/>
      </c>
      <c r="Y1799" s="39" t="str">
        <f>IF(AND(OR(LEFT(TH!L1799,2)="15",LEFT(TH!M1799,2)="15"),TK!$E$7=TH!F1799),"x","")</f>
        <v/>
      </c>
      <c r="Z1799" s="39" t="str">
        <f>IF(AND(B1799&lt;=NKC!$N$8,B1799&gt;=NKC!$M$8),"x","")</f>
        <v/>
      </c>
      <c r="AA1799" s="886"/>
    </row>
    <row r="1800" spans="1:27" s="211" customFormat="1" ht="15.75" customHeight="1">
      <c r="A1800" s="204" t="str">
        <f>IF(B1800&lt;&gt;"",IF(AND(B1800&gt;=_TM1,B1800&lt;=_TM2,OR(TH!L1800="1111",TH!M1800="1111")),TH!D1800,""),"")</f>
        <v/>
      </c>
      <c r="B1800" s="36">
        <f t="shared" si="255"/>
        <v>6</v>
      </c>
      <c r="C1800" s="191">
        <f t="shared" si="257"/>
        <v>41432</v>
      </c>
      <c r="D1800" s="184"/>
      <c r="E1800" s="191">
        <v>41432</v>
      </c>
      <c r="F1800" s="192" t="s">
        <v>844</v>
      </c>
      <c r="G1800" s="487" t="s">
        <v>842</v>
      </c>
      <c r="H1800" s="7" t="s">
        <v>1293</v>
      </c>
      <c r="I1800" s="256"/>
      <c r="J1800" s="256"/>
      <c r="K1800" s="602">
        <f t="shared" si="256"/>
        <v>0</v>
      </c>
      <c r="L1800" s="39" t="s">
        <v>173</v>
      </c>
      <c r="M1800" s="39" t="s">
        <v>167</v>
      </c>
      <c r="N1800" s="39" t="str">
        <f>IF(AND('331-CT'!$E$7=TH!H1800,OR(L1800="331",M1800="331")),"331",IF(AND(OR(L1800="131",M1800="131"),H1800='131-CT'!$E$7),"131",""))</f>
        <v/>
      </c>
      <c r="O1800" s="39" t="str">
        <f>IF(AND($B1800&gt;='111'!$N$11,$B1800&lt;='111'!$O$11,OR($L1800=$O$7,$M1800=$O$7)),"x","")</f>
        <v/>
      </c>
      <c r="P1800" s="39" t="str">
        <f>IF(AND($L1800=$O$7,$B1800&lt;'111'!$N$11),"x","")</f>
        <v/>
      </c>
      <c r="Q1800" s="39" t="str">
        <f>IF(AND($M1800=$O$7,$B1800&lt;'111'!$N$11),"x","")</f>
        <v/>
      </c>
      <c r="R1800" s="39" t="str">
        <f>IF(ISERROR(FIND('112'!$M$9,G1800,1)),"",IF((AND(FIND('112'!$M$9,G1800,1)&gt;=1,$B1800&gt;='112'!$N$8,$B1800&lt;='112'!$O$8,OR($L1800='112'!$I$6,$M1800='112'!$I$6))),"x",""))</f>
        <v/>
      </c>
      <c r="S1800" s="39" t="str">
        <f>IF(ISERROR(FIND('112'!$M$9,G1800,1)),"",IF((AND(LEFT(G1800,2)=LEFT('112'!$M$9,2),B1800&lt;'112'!$N$8,$L1800='112'!$I$6)),"x",""))</f>
        <v/>
      </c>
      <c r="T1800" s="39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>632</v>
      </c>
      <c r="V1800" s="39" t="str">
        <f>IF(OR(TH!L1800=TH!$V$7,M1800=TH!$V$7),"x","")</f>
        <v/>
      </c>
      <c r="W1800" s="39" t="str">
        <f>IF(AND(B1800&gt;='IN-NX'!$P$3,B1800&lt;='IN-NX'!$Q$3,'IN-NX'!$D$7=D1800,OR(LEFT(L1800,2)="15",AND(LEFT(M1800,2)&lt;&gt;"15",LEFT(M1800,2)&lt;&gt;"33"))),"x","")</f>
        <v/>
      </c>
      <c r="X1800" s="39" t="str">
        <f>IF(AND(OR(LEFT(TH!L1800,2)="15",LEFT(TH!M1800,2)="15"),'152-CT'!$J$8=TH!F1800),"x","")</f>
        <v/>
      </c>
      <c r="Y1800" s="39" t="str">
        <f>IF(AND(OR(LEFT(TH!L1800,2)="15",LEFT(TH!M1800,2)="15"),TK!$E$7=TH!F1800),"x","")</f>
        <v/>
      </c>
      <c r="Z1800" s="39" t="str">
        <f>IF(AND(B1800&lt;=NKC!$N$8,B1800&gt;=NKC!$M$8),"x","")</f>
        <v/>
      </c>
      <c r="AA1800" s="886"/>
    </row>
    <row r="1801" spans="1:27" s="211" customFormat="1" ht="15.75" customHeight="1">
      <c r="A1801" s="204" t="str">
        <f>IF(B1801&lt;&gt;"",IF(AND(B1801&gt;=_TM1,B1801&lt;=_TM2,OR(TH!L1801="1111",TH!M1801="1111")),TH!D1801,""),"")</f>
        <v/>
      </c>
      <c r="B1801" s="36">
        <f t="shared" si="255"/>
        <v>6</v>
      </c>
      <c r="C1801" s="191">
        <f t="shared" si="257"/>
        <v>41432</v>
      </c>
      <c r="D1801" s="184"/>
      <c r="E1801" s="191">
        <v>41432</v>
      </c>
      <c r="F1801" s="189" t="s">
        <v>1148</v>
      </c>
      <c r="G1801" s="487" t="s">
        <v>845</v>
      </c>
      <c r="H1801" s="7" t="s">
        <v>1293</v>
      </c>
      <c r="I1801" s="256"/>
      <c r="J1801" s="256"/>
      <c r="K1801" s="602">
        <f t="shared" si="256"/>
        <v>0</v>
      </c>
      <c r="L1801" s="39" t="s">
        <v>173</v>
      </c>
      <c r="M1801" s="39" t="s">
        <v>167</v>
      </c>
      <c r="N1801" s="39" t="str">
        <f>IF(AND('331-CT'!$E$7=TH!H1801,OR(L1801="331",M1801="331")),"331",IF(AND(OR(L1801="131",M1801="131"),H1801='131-CT'!$E$7),"131",""))</f>
        <v/>
      </c>
      <c r="O1801" s="39" t="str">
        <f>IF(AND($B1801&gt;='111'!$N$11,$B1801&lt;='111'!$O$11,OR($L1801=$O$7,$M1801=$O$7)),"x","")</f>
        <v/>
      </c>
      <c r="P1801" s="39" t="str">
        <f>IF(AND($L1801=$O$7,$B1801&lt;'111'!$N$11),"x","")</f>
        <v/>
      </c>
      <c r="Q1801" s="39" t="str">
        <f>IF(AND($M1801=$O$7,$B1801&lt;'111'!$N$11),"x","")</f>
        <v/>
      </c>
      <c r="R1801" s="39" t="str">
        <f>IF(ISERROR(FIND('112'!$M$9,G1801,1)),"",IF((AND(FIND('112'!$M$9,G1801,1)&gt;=1,$B1801&gt;='112'!$N$8,$B1801&lt;='112'!$O$8,OR($L1801='112'!$I$6,$M1801='112'!$I$6))),"x",""))</f>
        <v/>
      </c>
      <c r="S1801" s="39" t="str">
        <f>IF(ISERROR(FIND('112'!$M$9,G1801,1)),"",IF((AND(LEFT(G1801,2)=LEFT('112'!$M$9,2),B1801&lt;'112'!$N$8,$L1801='112'!$I$6)),"x",""))</f>
        <v/>
      </c>
      <c r="T1801" s="39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>632</v>
      </c>
      <c r="V1801" s="39" t="str">
        <f>IF(OR(TH!L1801=TH!$V$7,M1801=TH!$V$7),"x","")</f>
        <v/>
      </c>
      <c r="W1801" s="39" t="str">
        <f>IF(AND(B1801&gt;='IN-NX'!$P$3,B1801&lt;='IN-NX'!$Q$3,'IN-NX'!$D$7=D1801,OR(LEFT(L1801,2)="15",AND(LEFT(M1801,2)&lt;&gt;"15",LEFT(M1801,2)&lt;&gt;"33"))),"x","")</f>
        <v/>
      </c>
      <c r="X1801" s="39" t="str">
        <f>IF(AND(OR(LEFT(TH!L1801,2)="15",LEFT(TH!M1801,2)="15"),'152-CT'!$J$8=TH!F1801),"x","")</f>
        <v/>
      </c>
      <c r="Y1801" s="39" t="str">
        <f>IF(AND(OR(LEFT(TH!L1801,2)="15",LEFT(TH!M1801,2)="15"),TK!$E$7=TH!F1801),"x","")</f>
        <v/>
      </c>
      <c r="Z1801" s="39" t="str">
        <f>IF(AND(B1801&lt;=NKC!$N$8,B1801&gt;=NKC!$M$8),"x","")</f>
        <v/>
      </c>
      <c r="AA1801" s="886"/>
    </row>
    <row r="1802" spans="1:27" s="211" customFormat="1" ht="15.75" customHeight="1">
      <c r="A1802" s="204" t="str">
        <f>IF(B1802&lt;&gt;"",IF(AND(B1802&gt;=_TM1,B1802&lt;=_TM2,OR(TH!L1802="1111",TH!M1802="1111")),TH!D1802,""),"")</f>
        <v/>
      </c>
      <c r="B1802" s="36">
        <f t="shared" si="255"/>
        <v>6</v>
      </c>
      <c r="C1802" s="191">
        <f t="shared" si="257"/>
        <v>41432</v>
      </c>
      <c r="D1802" s="184"/>
      <c r="E1802" s="191">
        <v>41432</v>
      </c>
      <c r="F1802" s="192" t="s">
        <v>810</v>
      </c>
      <c r="G1802" s="487" t="s">
        <v>845</v>
      </c>
      <c r="H1802" s="7" t="s">
        <v>1293</v>
      </c>
      <c r="I1802" s="256"/>
      <c r="J1802" s="256"/>
      <c r="K1802" s="602">
        <f t="shared" si="256"/>
        <v>0</v>
      </c>
      <c r="L1802" s="39" t="s">
        <v>173</v>
      </c>
      <c r="M1802" s="39" t="s">
        <v>167</v>
      </c>
      <c r="N1802" s="39" t="str">
        <f>IF(AND('331-CT'!$E$7=TH!H1802,OR(L1802="331",M1802="331")),"331",IF(AND(OR(L1802="131",M1802="131"),H1802='131-CT'!$E$7),"131",""))</f>
        <v/>
      </c>
      <c r="O1802" s="39" t="str">
        <f>IF(AND($B1802&gt;='111'!$N$11,$B1802&lt;='111'!$O$11,OR($L1802=$O$7,$M1802=$O$7)),"x","")</f>
        <v/>
      </c>
      <c r="P1802" s="39" t="str">
        <f>IF(AND($L1802=$O$7,$B1802&lt;'111'!$N$11),"x","")</f>
        <v/>
      </c>
      <c r="Q1802" s="39" t="str">
        <f>IF(AND($M1802=$O$7,$B1802&lt;'111'!$N$11),"x","")</f>
        <v/>
      </c>
      <c r="R1802" s="39" t="str">
        <f>IF(ISERROR(FIND('112'!$M$9,G1802,1)),"",IF((AND(FIND('112'!$M$9,G1802,1)&gt;=1,$B1802&gt;='112'!$N$8,$B1802&lt;='112'!$O$8,OR($L1802='112'!$I$6,$M1802='112'!$I$6))),"x",""))</f>
        <v/>
      </c>
      <c r="S1802" s="39" t="str">
        <f>IF(ISERROR(FIND('112'!$M$9,G1802,1)),"",IF((AND(LEFT(G1802,2)=LEFT('112'!$M$9,2),B1802&lt;'112'!$N$8,$L1802='112'!$I$6)),"x",""))</f>
        <v/>
      </c>
      <c r="T1802" s="39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>632</v>
      </c>
      <c r="V1802" s="39" t="str">
        <f>IF(OR(TH!L1802=TH!$V$7,M1802=TH!$V$7),"x","")</f>
        <v/>
      </c>
      <c r="W1802" s="39" t="str">
        <f>IF(AND(B1802&gt;='IN-NX'!$P$3,B1802&lt;='IN-NX'!$Q$3,'IN-NX'!$D$7=D1802,OR(LEFT(L1802,2)="15",AND(LEFT(M1802,2)&lt;&gt;"15",LEFT(M1802,2)&lt;&gt;"33"))),"x","")</f>
        <v/>
      </c>
      <c r="X1802" s="39" t="str">
        <f>IF(AND(OR(LEFT(TH!L1802,2)="15",LEFT(TH!M1802,2)="15"),'152-CT'!$J$8=TH!F1802),"x","")</f>
        <v/>
      </c>
      <c r="Y1802" s="39" t="str">
        <f>IF(AND(OR(LEFT(TH!L1802,2)="15",LEFT(TH!M1802,2)="15"),TK!$E$7=TH!F1802),"x","")</f>
        <v/>
      </c>
      <c r="Z1802" s="39" t="str">
        <f>IF(AND(B1802&lt;=NKC!$N$8,B1802&gt;=NKC!$M$8),"x","")</f>
        <v/>
      </c>
      <c r="AA1802" s="886"/>
    </row>
    <row r="1803" spans="1:27" s="211" customFormat="1" ht="15.75" customHeight="1">
      <c r="A1803" s="204" t="str">
        <f>IF(B1803&lt;&gt;"",IF(AND(B1803&gt;=_TM1,B1803&lt;=_TM2,OR(TH!L1803="1111",TH!M1803="1111")),TH!D1803,""),"")</f>
        <v/>
      </c>
      <c r="B1803" s="36">
        <f t="shared" si="255"/>
        <v>6</v>
      </c>
      <c r="C1803" s="191">
        <f t="shared" si="257"/>
        <v>41432</v>
      </c>
      <c r="D1803" s="184"/>
      <c r="E1803" s="37">
        <v>41432</v>
      </c>
      <c r="F1803" s="40" t="s">
        <v>846</v>
      </c>
      <c r="G1803" s="40" t="s">
        <v>845</v>
      </c>
      <c r="H1803" s="7" t="s">
        <v>1293</v>
      </c>
      <c r="I1803" s="256"/>
      <c r="J1803" s="256"/>
      <c r="K1803" s="602">
        <f t="shared" si="256"/>
        <v>0</v>
      </c>
      <c r="L1803" s="39" t="s">
        <v>173</v>
      </c>
      <c r="M1803" s="39" t="s">
        <v>167</v>
      </c>
      <c r="N1803" s="39" t="str">
        <f>IF(AND('331-CT'!$E$7=TH!H1803,OR(L1803="331",M1803="331")),"331",IF(AND(OR(L1803="131",M1803="131"),H1803='131-CT'!$E$7),"131",""))</f>
        <v/>
      </c>
      <c r="O1803" s="39" t="str">
        <f>IF(AND($B1803&gt;='111'!$N$11,$B1803&lt;='111'!$O$11,OR($L1803=$O$7,$M1803=$O$7)),"x","")</f>
        <v/>
      </c>
      <c r="P1803" s="39" t="str">
        <f>IF(AND($L1803=$O$7,$B1803&lt;'111'!$N$11),"x","")</f>
        <v/>
      </c>
      <c r="Q1803" s="39" t="str">
        <f>IF(AND($M1803=$O$7,$B1803&lt;'111'!$N$11),"x","")</f>
        <v/>
      </c>
      <c r="R1803" s="39" t="str">
        <f>IF(ISERROR(FIND('112'!$M$9,G1803,1)),"",IF((AND(FIND('112'!$M$9,G1803,1)&gt;=1,$B1803&gt;='112'!$N$8,$B1803&lt;='112'!$O$8,OR($L1803='112'!$I$6,$M1803='112'!$I$6))),"x",""))</f>
        <v/>
      </c>
      <c r="S1803" s="39" t="str">
        <f>IF(ISERROR(FIND('112'!$M$9,G1803,1)),"",IF((AND(LEFT(G1803,2)=LEFT('112'!$M$9,2),B1803&lt;'112'!$N$8,$L1803='112'!$I$6)),"x",""))</f>
        <v/>
      </c>
      <c r="T1803" s="39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>632</v>
      </c>
      <c r="V1803" s="39" t="str">
        <f>IF(OR(TH!L1803=TH!$V$7,M1803=TH!$V$7),"x","")</f>
        <v/>
      </c>
      <c r="W1803" s="39" t="str">
        <f>IF(AND(B1803&gt;='IN-NX'!$P$3,B1803&lt;='IN-NX'!$Q$3,'IN-NX'!$D$7=D1803,OR(LEFT(L1803,2)="15",AND(LEFT(M1803,2)&lt;&gt;"15",LEFT(M1803,2)&lt;&gt;"33"))),"x","")</f>
        <v/>
      </c>
      <c r="X1803" s="39" t="str">
        <f>IF(AND(OR(LEFT(TH!L1803,2)="15",LEFT(TH!M1803,2)="15"),'152-CT'!$J$8=TH!F1803),"x","")</f>
        <v/>
      </c>
      <c r="Y1803" s="39" t="str">
        <f>IF(AND(OR(LEFT(TH!L1803,2)="15",LEFT(TH!M1803,2)="15"),TK!$E$7=TH!F1803),"x","")</f>
        <v/>
      </c>
      <c r="Z1803" s="39" t="str">
        <f>IF(AND(B1803&lt;=NKC!$N$8,B1803&gt;=NKC!$M$8),"x","")</f>
        <v/>
      </c>
      <c r="AA1803" s="886"/>
    </row>
    <row r="1804" spans="1:27" s="211" customFormat="1" ht="15.75" customHeight="1">
      <c r="A1804" s="204" t="str">
        <f>IF(B1804&lt;&gt;"",IF(AND(B1804&gt;=_TM1,B1804&lt;=_TM2,OR(TH!L1804="1111",TH!M1804="1111")),TH!D1804,""),"")</f>
        <v/>
      </c>
      <c r="B1804" s="36">
        <f t="shared" si="255"/>
        <v>6</v>
      </c>
      <c r="C1804" s="191">
        <f t="shared" si="257"/>
        <v>41432</v>
      </c>
      <c r="D1804" s="184"/>
      <c r="E1804" s="37">
        <v>41432</v>
      </c>
      <c r="F1804" s="40" t="s">
        <v>1139</v>
      </c>
      <c r="G1804" s="40" t="s">
        <v>845</v>
      </c>
      <c r="H1804" s="7" t="s">
        <v>1293</v>
      </c>
      <c r="I1804" s="256"/>
      <c r="J1804" s="256"/>
      <c r="K1804" s="602">
        <f t="shared" si="256"/>
        <v>0</v>
      </c>
      <c r="L1804" s="39" t="s">
        <v>173</v>
      </c>
      <c r="M1804" s="39" t="s">
        <v>167</v>
      </c>
      <c r="N1804" s="39" t="str">
        <f>IF(AND('331-CT'!$E$7=TH!H1804,OR(L1804="331",M1804="331")),"331",IF(AND(OR(L1804="131",M1804="131"),H1804='131-CT'!$E$7),"131",""))</f>
        <v/>
      </c>
      <c r="O1804" s="39" t="str">
        <f>IF(AND($B1804&gt;='111'!$N$11,$B1804&lt;='111'!$O$11,OR($L1804=$O$7,$M1804=$O$7)),"x","")</f>
        <v/>
      </c>
      <c r="P1804" s="39" t="str">
        <f>IF(AND($L1804=$O$7,$B1804&lt;'111'!$N$11),"x","")</f>
        <v/>
      </c>
      <c r="Q1804" s="39" t="str">
        <f>IF(AND($M1804=$O$7,$B1804&lt;'111'!$N$11),"x","")</f>
        <v/>
      </c>
      <c r="R1804" s="39" t="str">
        <f>IF(ISERROR(FIND('112'!$M$9,G1804,1)),"",IF((AND(FIND('112'!$M$9,G1804,1)&gt;=1,$B1804&gt;='112'!$N$8,$B1804&lt;='112'!$O$8,OR($L1804='112'!$I$6,$M1804='112'!$I$6))),"x",""))</f>
        <v/>
      </c>
      <c r="S1804" s="39" t="str">
        <f>IF(ISERROR(FIND('112'!$M$9,G1804,1)),"",IF((AND(LEFT(G1804,2)=LEFT('112'!$M$9,2),B1804&lt;'112'!$N$8,$L1804='112'!$I$6)),"x",""))</f>
        <v/>
      </c>
      <c r="T1804" s="39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>632</v>
      </c>
      <c r="V1804" s="39" t="str">
        <f>IF(OR(TH!L1804=TH!$V$7,M1804=TH!$V$7),"x","")</f>
        <v/>
      </c>
      <c r="W1804" s="39" t="str">
        <f>IF(AND(B1804&gt;='IN-NX'!$P$3,B1804&lt;='IN-NX'!$Q$3,'IN-NX'!$D$7=D1804,OR(LEFT(L1804,2)="15",AND(LEFT(M1804,2)&lt;&gt;"15",LEFT(M1804,2)&lt;&gt;"33"))),"x","")</f>
        <v/>
      </c>
      <c r="X1804" s="39" t="str">
        <f>IF(AND(OR(LEFT(TH!L1804,2)="15",LEFT(TH!M1804,2)="15"),'152-CT'!$J$8=TH!F1804),"x","")</f>
        <v/>
      </c>
      <c r="Y1804" s="39" t="str">
        <f>IF(AND(OR(LEFT(TH!L1804,2)="15",LEFT(TH!M1804,2)="15"),TK!$E$7=TH!F1804),"x","")</f>
        <v/>
      </c>
      <c r="Z1804" s="39" t="str">
        <f>IF(AND(B1804&lt;=NKC!$N$8,B1804&gt;=NKC!$M$8),"x","")</f>
        <v/>
      </c>
      <c r="AA1804" s="886"/>
    </row>
    <row r="1805" spans="1:27" s="211" customFormat="1" ht="15.75" customHeight="1">
      <c r="A1805" s="204" t="str">
        <f>IF(B1805&lt;&gt;"",IF(AND(B1805&gt;=_TM1,B1805&lt;=_TM2,OR(TH!L1805="1111",TH!M1805="1111")),TH!D1805,""),"")</f>
        <v/>
      </c>
      <c r="B1805" s="36">
        <f t="shared" si="255"/>
        <v>6</v>
      </c>
      <c r="C1805" s="191">
        <f t="shared" si="257"/>
        <v>41435</v>
      </c>
      <c r="D1805" s="37"/>
      <c r="E1805" s="37">
        <v>41435</v>
      </c>
      <c r="F1805" s="40" t="s">
        <v>847</v>
      </c>
      <c r="G1805" s="40" t="s">
        <v>848</v>
      </c>
      <c r="H1805" s="7" t="s">
        <v>1293</v>
      </c>
      <c r="I1805" s="256"/>
      <c r="J1805" s="256"/>
      <c r="K1805" s="602">
        <f t="shared" si="256"/>
        <v>0</v>
      </c>
      <c r="L1805" s="39" t="s">
        <v>173</v>
      </c>
      <c r="M1805" s="39" t="s">
        <v>167</v>
      </c>
      <c r="N1805" s="39" t="str">
        <f>IF(AND('331-CT'!$E$7=TH!H1805,OR(L1805="331",M1805="331")),"331",IF(AND(OR(L1805="131",M1805="131"),H1805='131-CT'!$E$7),"131",""))</f>
        <v/>
      </c>
      <c r="O1805" s="39" t="str">
        <f>IF(AND($B1805&gt;='111'!$N$11,$B1805&lt;='111'!$O$11,OR($L1805=$O$7,$M1805=$O$7)),"x","")</f>
        <v/>
      </c>
      <c r="P1805" s="39" t="str">
        <f>IF(AND($L1805=$O$7,$B1805&lt;'111'!$N$11),"x","")</f>
        <v/>
      </c>
      <c r="Q1805" s="39" t="str">
        <f>IF(AND($M1805=$O$7,$B1805&lt;'111'!$N$11),"x","")</f>
        <v/>
      </c>
      <c r="R1805" s="39" t="str">
        <f>IF(ISERROR(FIND('112'!$M$9,G1805,1)),"",IF((AND(FIND('112'!$M$9,G1805,1)&gt;=1,$B1805&gt;='112'!$N$8,$B1805&lt;='112'!$O$8,OR($L1805='112'!$I$6,$M1805='112'!$I$6))),"x",""))</f>
        <v/>
      </c>
      <c r="S1805" s="39" t="str">
        <f>IF(ISERROR(FIND('112'!$M$9,G1805,1)),"",IF((AND(LEFT(G1805,2)=LEFT('112'!$M$9,2),B1805&lt;'112'!$N$8,$L1805='112'!$I$6)),"x",""))</f>
        <v/>
      </c>
      <c r="T1805" s="39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>632</v>
      </c>
      <c r="V1805" s="39" t="str">
        <f>IF(OR(TH!L1805=TH!$V$7,M1805=TH!$V$7),"x","")</f>
        <v/>
      </c>
      <c r="W1805" s="39" t="str">
        <f>IF(AND(B1805&gt;='IN-NX'!$P$3,B1805&lt;='IN-NX'!$Q$3,'IN-NX'!$D$7=D1805,OR(LEFT(L1805,2)="15",AND(LEFT(M1805,2)&lt;&gt;"15",LEFT(M1805,2)&lt;&gt;"33"))),"x","")</f>
        <v/>
      </c>
      <c r="X1805" s="39" t="str">
        <f>IF(AND(OR(LEFT(TH!L1805,2)="15",LEFT(TH!M1805,2)="15"),'152-CT'!$J$8=TH!F1805),"x","")</f>
        <v/>
      </c>
      <c r="Y1805" s="39" t="str">
        <f>IF(AND(OR(LEFT(TH!L1805,2)="15",LEFT(TH!M1805,2)="15"),TK!$E$7=TH!F1805),"x","")</f>
        <v/>
      </c>
      <c r="Z1805" s="39" t="str">
        <f>IF(AND(B1805&lt;=NKC!$N$8,B1805&gt;=NKC!$M$8),"x","")</f>
        <v/>
      </c>
      <c r="AA1805" s="886"/>
    </row>
    <row r="1806" spans="1:27" s="211" customFormat="1" ht="15.75" customHeight="1">
      <c r="A1806" s="204" t="str">
        <f>IF(B1806&lt;&gt;"",IF(AND(B1806&gt;=_TM1,B1806&lt;=_TM2,OR(TH!L1806="1111",TH!M1806="1111")),TH!D1806,""),"")</f>
        <v/>
      </c>
      <c r="B1806" s="36">
        <f t="shared" si="255"/>
        <v>6</v>
      </c>
      <c r="C1806" s="191">
        <f t="shared" si="257"/>
        <v>41436</v>
      </c>
      <c r="D1806" s="37"/>
      <c r="E1806" s="37">
        <v>41436</v>
      </c>
      <c r="F1806" s="40" t="s">
        <v>1139</v>
      </c>
      <c r="G1806" s="40" t="s">
        <v>850</v>
      </c>
      <c r="H1806" s="7" t="s">
        <v>1293</v>
      </c>
      <c r="I1806" s="256"/>
      <c r="J1806" s="256"/>
      <c r="K1806" s="602">
        <f t="shared" si="256"/>
        <v>0</v>
      </c>
      <c r="L1806" s="39" t="s">
        <v>173</v>
      </c>
      <c r="M1806" s="39" t="s">
        <v>167</v>
      </c>
      <c r="N1806" s="39" t="str">
        <f>IF(AND('331-CT'!$E$7=TH!H1806,OR(L1806="331",M1806="331")),"331",IF(AND(OR(L1806="131",M1806="131"),H1806='131-CT'!$E$7),"131",""))</f>
        <v/>
      </c>
      <c r="O1806" s="39" t="str">
        <f>IF(AND($B1806&gt;='111'!$N$11,$B1806&lt;='111'!$O$11,OR($L1806=$O$7,$M1806=$O$7)),"x","")</f>
        <v/>
      </c>
      <c r="P1806" s="39" t="str">
        <f>IF(AND($L1806=$O$7,$B1806&lt;'111'!$N$11),"x","")</f>
        <v/>
      </c>
      <c r="Q1806" s="39" t="str">
        <f>IF(AND($M1806=$O$7,$B1806&lt;'111'!$N$11),"x","")</f>
        <v/>
      </c>
      <c r="R1806" s="39" t="str">
        <f>IF(ISERROR(FIND('112'!$M$9,G1806,1)),"",IF((AND(FIND('112'!$M$9,G1806,1)&gt;=1,$B1806&gt;='112'!$N$8,$B1806&lt;='112'!$O$8,OR($L1806='112'!$I$6,$M1806='112'!$I$6))),"x",""))</f>
        <v/>
      </c>
      <c r="S1806" s="39" t="str">
        <f>IF(ISERROR(FIND('112'!$M$9,G1806,1)),"",IF((AND(LEFT(G1806,2)=LEFT('112'!$M$9,2),B1806&lt;'112'!$N$8,$L1806='112'!$I$6)),"x",""))</f>
        <v/>
      </c>
      <c r="T1806" s="39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>632</v>
      </c>
      <c r="V1806" s="39" t="str">
        <f>IF(OR(TH!L1806=TH!$V$7,M1806=TH!$V$7),"x","")</f>
        <v/>
      </c>
      <c r="W1806" s="39" t="str">
        <f>IF(AND(B1806&gt;='IN-NX'!$P$3,B1806&lt;='IN-NX'!$Q$3,'IN-NX'!$D$7=D1806,OR(LEFT(L1806,2)="15",AND(LEFT(M1806,2)&lt;&gt;"15",LEFT(M1806,2)&lt;&gt;"33"))),"x","")</f>
        <v/>
      </c>
      <c r="X1806" s="39" t="str">
        <f>IF(AND(OR(LEFT(TH!L1806,2)="15",LEFT(TH!M1806,2)="15"),'152-CT'!$J$8=TH!F1806),"x","")</f>
        <v/>
      </c>
      <c r="Y1806" s="39" t="str">
        <f>IF(AND(OR(LEFT(TH!L1806,2)="15",LEFT(TH!M1806,2)="15"),TK!$E$7=TH!F1806),"x","")</f>
        <v/>
      </c>
      <c r="Z1806" s="39" t="str">
        <f>IF(AND(B1806&lt;=NKC!$N$8,B1806&gt;=NKC!$M$8),"x","")</f>
        <v/>
      </c>
      <c r="AA1806" s="886"/>
    </row>
    <row r="1807" spans="1:27" s="211" customFormat="1" ht="15.75" customHeight="1">
      <c r="A1807" s="204" t="str">
        <f>IF(B1807&lt;&gt;"",IF(AND(B1807&gt;=_TM1,B1807&lt;=_TM2,OR(TH!L1807="1111",TH!M1807="1111")),TH!D1807,""),"")</f>
        <v/>
      </c>
      <c r="B1807" s="36">
        <f t="shared" si="255"/>
        <v>6</v>
      </c>
      <c r="C1807" s="191">
        <f t="shared" si="257"/>
        <v>41436</v>
      </c>
      <c r="D1807" s="191"/>
      <c r="E1807" s="37">
        <v>41436</v>
      </c>
      <c r="F1807" s="40" t="s">
        <v>851</v>
      </c>
      <c r="G1807" s="40" t="s">
        <v>852</v>
      </c>
      <c r="H1807" s="7" t="s">
        <v>1293</v>
      </c>
      <c r="I1807" s="256"/>
      <c r="J1807" s="256"/>
      <c r="K1807" s="602">
        <f t="shared" si="256"/>
        <v>0</v>
      </c>
      <c r="L1807" s="39" t="s">
        <v>173</v>
      </c>
      <c r="M1807" s="39" t="s">
        <v>167</v>
      </c>
      <c r="N1807" s="39" t="str">
        <f>IF(AND('331-CT'!$E$7=TH!H1807,OR(L1807="331",M1807="331")),"331",IF(AND(OR(L1807="131",M1807="131"),H1807='131-CT'!$E$7),"131",""))</f>
        <v/>
      </c>
      <c r="O1807" s="39" t="str">
        <f>IF(AND($B1807&gt;='111'!$N$11,$B1807&lt;='111'!$O$11,OR($L1807=$O$7,$M1807=$O$7)),"x","")</f>
        <v/>
      </c>
      <c r="P1807" s="39" t="str">
        <f>IF(AND($L1807=$O$7,$B1807&lt;'111'!$N$11),"x","")</f>
        <v/>
      </c>
      <c r="Q1807" s="39" t="str">
        <f>IF(AND($M1807=$O$7,$B1807&lt;'111'!$N$11),"x","")</f>
        <v/>
      </c>
      <c r="R1807" s="39" t="str">
        <f>IF(ISERROR(FIND('112'!$M$9,G1807,1)),"",IF((AND(FIND('112'!$M$9,G1807,1)&gt;=1,$B1807&gt;='112'!$N$8,$B1807&lt;='112'!$O$8,OR($L1807='112'!$I$6,$M1807='112'!$I$6))),"x",""))</f>
        <v/>
      </c>
      <c r="S1807" s="39" t="str">
        <f>IF(ISERROR(FIND('112'!$M$9,G1807,1)),"",IF((AND(LEFT(G1807,2)=LEFT('112'!$M$9,2),B1807&lt;'112'!$N$8,$L1807='112'!$I$6)),"x",""))</f>
        <v/>
      </c>
      <c r="T1807" s="39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>632</v>
      </c>
      <c r="V1807" s="39" t="str">
        <f>IF(OR(TH!L1807=TH!$V$7,M1807=TH!$V$7),"x","")</f>
        <v/>
      </c>
      <c r="W1807" s="39" t="str">
        <f>IF(AND(B1807&gt;='IN-NX'!$P$3,B1807&lt;='IN-NX'!$Q$3,'IN-NX'!$D$7=D1807,OR(LEFT(L1807,2)="15",AND(LEFT(M1807,2)&lt;&gt;"15",LEFT(M1807,2)&lt;&gt;"33"))),"x","")</f>
        <v/>
      </c>
      <c r="X1807" s="39" t="str">
        <f>IF(AND(OR(LEFT(TH!L1807,2)="15",LEFT(TH!M1807,2)="15"),'152-CT'!$J$8=TH!F1807),"x","")</f>
        <v/>
      </c>
      <c r="Y1807" s="39" t="str">
        <f>IF(AND(OR(LEFT(TH!L1807,2)="15",LEFT(TH!M1807,2)="15"),TK!$E$7=TH!F1807),"x","")</f>
        <v/>
      </c>
      <c r="Z1807" s="39" t="str">
        <f>IF(AND(B1807&lt;=NKC!$N$8,B1807&gt;=NKC!$M$8),"x","")</f>
        <v/>
      </c>
      <c r="AA1807" s="886"/>
    </row>
    <row r="1808" spans="1:27" s="211" customFormat="1" ht="15.75" customHeight="1">
      <c r="A1808" s="204" t="str">
        <f>IF(B1808&lt;&gt;"",IF(AND(B1808&gt;=_TM1,B1808&lt;=_TM2,OR(TH!L1808="1111",TH!M1808="1111")),TH!D1808,""),"")</f>
        <v/>
      </c>
      <c r="B1808" s="36">
        <f t="shared" si="255"/>
        <v>6</v>
      </c>
      <c r="C1808" s="191">
        <f t="shared" si="257"/>
        <v>41443</v>
      </c>
      <c r="D1808" s="191"/>
      <c r="E1808" s="37">
        <v>41443</v>
      </c>
      <c r="F1808" s="40" t="s">
        <v>853</v>
      </c>
      <c r="G1808" s="40" t="s">
        <v>854</v>
      </c>
      <c r="H1808" s="7" t="s">
        <v>1293</v>
      </c>
      <c r="I1808" s="256"/>
      <c r="J1808" s="256"/>
      <c r="K1808" s="602">
        <f t="shared" si="256"/>
        <v>0</v>
      </c>
      <c r="L1808" s="39" t="s">
        <v>173</v>
      </c>
      <c r="M1808" s="39" t="s">
        <v>167</v>
      </c>
      <c r="N1808" s="39" t="str">
        <f>IF(AND('331-CT'!$E$7=TH!H1808,OR(L1808="331",M1808="331")),"331",IF(AND(OR(L1808="131",M1808="131"),H1808='131-CT'!$E$7),"131",""))</f>
        <v/>
      </c>
      <c r="O1808" s="39" t="str">
        <f>IF(AND($B1808&gt;='111'!$N$11,$B1808&lt;='111'!$O$11,OR($L1808=$O$7,$M1808=$O$7)),"x","")</f>
        <v/>
      </c>
      <c r="P1808" s="39" t="str">
        <f>IF(AND($L1808=$O$7,$B1808&lt;'111'!$N$11),"x","")</f>
        <v/>
      </c>
      <c r="Q1808" s="39" t="str">
        <f>IF(AND($M1808=$O$7,$B1808&lt;'111'!$N$11),"x","")</f>
        <v/>
      </c>
      <c r="R1808" s="39" t="str">
        <f>IF(ISERROR(FIND('112'!$M$9,G1808,1)),"",IF((AND(FIND('112'!$M$9,G1808,1)&gt;=1,$B1808&gt;='112'!$N$8,$B1808&lt;='112'!$O$8,OR($L1808='112'!$I$6,$M1808='112'!$I$6))),"x",""))</f>
        <v/>
      </c>
      <c r="S1808" s="39" t="str">
        <f>IF(ISERROR(FIND('112'!$M$9,G1808,1)),"",IF((AND(LEFT(G1808,2)=LEFT('112'!$M$9,2),B1808&lt;'112'!$N$8,$L1808='112'!$I$6)),"x",""))</f>
        <v/>
      </c>
      <c r="T1808" s="39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>632</v>
      </c>
      <c r="V1808" s="39" t="str">
        <f>IF(OR(TH!L1808=TH!$V$7,M1808=TH!$V$7),"x","")</f>
        <v/>
      </c>
      <c r="W1808" s="39" t="str">
        <f>IF(AND(B1808&gt;='IN-NX'!$P$3,B1808&lt;='IN-NX'!$Q$3,'IN-NX'!$D$7=D1808,OR(LEFT(L1808,2)="15",AND(LEFT(M1808,2)&lt;&gt;"15",LEFT(M1808,2)&lt;&gt;"33"))),"x","")</f>
        <v/>
      </c>
      <c r="X1808" s="39" t="str">
        <f>IF(AND(OR(LEFT(TH!L1808,2)="15",LEFT(TH!M1808,2)="15"),'152-CT'!$J$8=TH!F1808),"x","")</f>
        <v/>
      </c>
      <c r="Y1808" s="39" t="str">
        <f>IF(AND(OR(LEFT(TH!L1808,2)="15",LEFT(TH!M1808,2)="15"),TK!$E$7=TH!F1808),"x","")</f>
        <v/>
      </c>
      <c r="Z1808" s="39" t="str">
        <f>IF(AND(B1808&lt;=NKC!$N$8,B1808&gt;=NKC!$M$8),"x","")</f>
        <v/>
      </c>
      <c r="AA1808" s="886"/>
    </row>
    <row r="1809" spans="1:27" s="211" customFormat="1" ht="15.75" customHeight="1">
      <c r="A1809" s="204" t="str">
        <f>IF(B1809&lt;&gt;"",IF(AND(B1809&gt;=_TM1,B1809&lt;=_TM2,OR(TH!L1809="1111",TH!M1809="1111")),TH!D1809,""),"")</f>
        <v/>
      </c>
      <c r="B1809" s="36">
        <f t="shared" si="255"/>
        <v>6</v>
      </c>
      <c r="C1809" s="191">
        <f t="shared" si="257"/>
        <v>41444</v>
      </c>
      <c r="D1809" s="191"/>
      <c r="E1809" s="37">
        <v>41444</v>
      </c>
      <c r="F1809" s="40" t="s">
        <v>744</v>
      </c>
      <c r="G1809" s="40" t="s">
        <v>855</v>
      </c>
      <c r="H1809" s="7" t="s">
        <v>1293</v>
      </c>
      <c r="I1809" s="257"/>
      <c r="J1809" s="257"/>
      <c r="K1809" s="602">
        <f t="shared" si="256"/>
        <v>0</v>
      </c>
      <c r="L1809" s="39" t="s">
        <v>173</v>
      </c>
      <c r="M1809" s="39" t="s">
        <v>167</v>
      </c>
      <c r="N1809" s="39" t="str">
        <f>IF(AND('331-CT'!$E$7=TH!H1809,OR(L1809="331",M1809="331")),"331",IF(AND(OR(L1809="131",M1809="131"),H1809='131-CT'!$E$7),"131",""))</f>
        <v/>
      </c>
      <c r="O1809" s="39" t="str">
        <f>IF(AND($B1809&gt;='111'!$N$11,$B1809&lt;='111'!$O$11,OR($L1809=$O$7,$M1809=$O$7)),"x","")</f>
        <v/>
      </c>
      <c r="P1809" s="39" t="str">
        <f>IF(AND($L1809=$O$7,$B1809&lt;'111'!$N$11),"x","")</f>
        <v/>
      </c>
      <c r="Q1809" s="39" t="str">
        <f>IF(AND($M1809=$O$7,$B1809&lt;'111'!$N$11),"x","")</f>
        <v/>
      </c>
      <c r="R1809" s="39" t="str">
        <f>IF(ISERROR(FIND('112'!$M$9,G1809,1)),"",IF((AND(FIND('112'!$M$9,G1809,1)&gt;=1,$B1809&gt;='112'!$N$8,$B1809&lt;='112'!$O$8,OR($L1809='112'!$I$6,$M1809='112'!$I$6))),"x",""))</f>
        <v/>
      </c>
      <c r="S1809" s="39" t="str">
        <f>IF(ISERROR(FIND('112'!$M$9,G1809,1)),"",IF((AND(LEFT(G1809,2)=LEFT('112'!$M$9,2),B1809&lt;'112'!$N$8,$L1809='112'!$I$6)),"x",""))</f>
        <v/>
      </c>
      <c r="T1809" s="39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>632</v>
      </c>
      <c r="V1809" s="39" t="str">
        <f>IF(OR(TH!L1809=TH!$V$7,M1809=TH!$V$7),"x","")</f>
        <v/>
      </c>
      <c r="W1809" s="39" t="str">
        <f>IF(AND(B1809&gt;='IN-NX'!$P$3,B1809&lt;='IN-NX'!$Q$3,'IN-NX'!$D$7=D1809,OR(LEFT(L1809,2)="15",AND(LEFT(M1809,2)&lt;&gt;"15",LEFT(M1809,2)&lt;&gt;"33"))),"x","")</f>
        <v/>
      </c>
      <c r="X1809" s="39" t="str">
        <f>IF(AND(OR(LEFT(TH!L1809,2)="15",LEFT(TH!M1809,2)="15"),'152-CT'!$J$8=TH!F1809),"x","")</f>
        <v/>
      </c>
      <c r="Y1809" s="39" t="str">
        <f>IF(AND(OR(LEFT(TH!L1809,2)="15",LEFT(TH!M1809,2)="15"),TK!$E$7=TH!F1809),"x","")</f>
        <v/>
      </c>
      <c r="Z1809" s="39" t="str">
        <f>IF(AND(B1809&lt;=NKC!$N$8,B1809&gt;=NKC!$M$8),"x","")</f>
        <v/>
      </c>
      <c r="AA1809" s="886"/>
    </row>
    <row r="1810" spans="1:27" s="211" customFormat="1" ht="15.75" customHeight="1">
      <c r="A1810" s="204" t="str">
        <f>IF(B1810&lt;&gt;"",IF(AND(B1810&gt;=_TM1,B1810&lt;=_TM2,OR(TH!L1810="1111",TH!M1810="1111")),TH!D1810,""),"")</f>
        <v/>
      </c>
      <c r="B1810" s="36">
        <f t="shared" si="255"/>
        <v>6</v>
      </c>
      <c r="C1810" s="191">
        <f t="shared" si="257"/>
        <v>41445</v>
      </c>
      <c r="D1810" s="191"/>
      <c r="E1810" s="37">
        <v>41445</v>
      </c>
      <c r="F1810" s="192" t="s">
        <v>817</v>
      </c>
      <c r="G1810" s="40" t="s">
        <v>856</v>
      </c>
      <c r="H1810" s="7" t="s">
        <v>1293</v>
      </c>
      <c r="I1810" s="256"/>
      <c r="J1810" s="256"/>
      <c r="K1810" s="602">
        <f t="shared" si="256"/>
        <v>0</v>
      </c>
      <c r="L1810" s="39" t="s">
        <v>173</v>
      </c>
      <c r="M1810" s="39" t="s">
        <v>167</v>
      </c>
      <c r="N1810" s="39" t="str">
        <f>IF(AND('331-CT'!$E$7=TH!H1810,OR(L1810="331",M1810="331")),"331",IF(AND(OR(L1810="131",M1810="131"),H1810='131-CT'!$E$7),"131",""))</f>
        <v/>
      </c>
      <c r="O1810" s="39" t="str">
        <f>IF(AND($B1810&gt;='111'!$N$11,$B1810&lt;='111'!$O$11,OR($L1810=$O$7,$M1810=$O$7)),"x","")</f>
        <v/>
      </c>
      <c r="P1810" s="39" t="str">
        <f>IF(AND($L1810=$O$7,$B1810&lt;'111'!$N$11),"x","")</f>
        <v/>
      </c>
      <c r="Q1810" s="39" t="str">
        <f>IF(AND($M1810=$O$7,$B1810&lt;'111'!$N$11),"x","")</f>
        <v/>
      </c>
      <c r="R1810" s="39" t="str">
        <f>IF(ISERROR(FIND('112'!$M$9,G1810,1)),"",IF((AND(FIND('112'!$M$9,G1810,1)&gt;=1,$B1810&gt;='112'!$N$8,$B1810&lt;='112'!$O$8,OR($L1810='112'!$I$6,$M1810='112'!$I$6))),"x",""))</f>
        <v/>
      </c>
      <c r="S1810" s="39" t="str">
        <f>IF(ISERROR(FIND('112'!$M$9,G1810,1)),"",IF((AND(LEFT(G1810,2)=LEFT('112'!$M$9,2),B1810&lt;'112'!$N$8,$L1810='112'!$I$6)),"x",""))</f>
        <v/>
      </c>
      <c r="T1810" s="39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>632</v>
      </c>
      <c r="V1810" s="39" t="str">
        <f>IF(OR(TH!L1810=TH!$V$7,M1810=TH!$V$7),"x","")</f>
        <v/>
      </c>
      <c r="W1810" s="39" t="str">
        <f>IF(AND(B1810&gt;='IN-NX'!$P$3,B1810&lt;='IN-NX'!$Q$3,'IN-NX'!$D$7=D1810,OR(LEFT(L1810,2)="15",AND(LEFT(M1810,2)&lt;&gt;"15",LEFT(M1810,2)&lt;&gt;"33"))),"x","")</f>
        <v/>
      </c>
      <c r="X1810" s="39" t="str">
        <f>IF(AND(OR(LEFT(TH!L1810,2)="15",LEFT(TH!M1810,2)="15"),'152-CT'!$J$8=TH!F1810),"x","")</f>
        <v/>
      </c>
      <c r="Y1810" s="39" t="str">
        <f>IF(AND(OR(LEFT(TH!L1810,2)="15",LEFT(TH!M1810,2)="15"),TK!$E$7=TH!F1810),"x","")</f>
        <v/>
      </c>
      <c r="Z1810" s="39" t="str">
        <f>IF(AND(B1810&lt;=NKC!$N$8,B1810&gt;=NKC!$M$8),"x","")</f>
        <v/>
      </c>
      <c r="AA1810" s="886"/>
    </row>
    <row r="1811" spans="1:27" s="211" customFormat="1" ht="15.75" customHeight="1">
      <c r="A1811" s="204" t="str">
        <f>IF(B1811&lt;&gt;"",IF(AND(B1811&gt;=_TM1,B1811&lt;=_TM2,OR(TH!L1811="1111",TH!M1811="1111")),TH!D1811,""),"")</f>
        <v/>
      </c>
      <c r="B1811" s="36">
        <f t="shared" si="255"/>
        <v>6</v>
      </c>
      <c r="C1811" s="191">
        <f t="shared" si="257"/>
        <v>41445</v>
      </c>
      <c r="D1811" s="191"/>
      <c r="E1811" s="37">
        <v>41445</v>
      </c>
      <c r="F1811" s="40" t="s">
        <v>819</v>
      </c>
      <c r="G1811" s="40" t="s">
        <v>856</v>
      </c>
      <c r="H1811" s="7" t="s">
        <v>1293</v>
      </c>
      <c r="I1811" s="256"/>
      <c r="J1811" s="256"/>
      <c r="K1811" s="602">
        <f t="shared" si="256"/>
        <v>0</v>
      </c>
      <c r="L1811" s="39" t="s">
        <v>173</v>
      </c>
      <c r="M1811" s="39" t="s">
        <v>167</v>
      </c>
      <c r="N1811" s="39" t="str">
        <f>IF(AND('331-CT'!$E$7=TH!H1811,OR(L1811="331",M1811="331")),"331",IF(AND(OR(L1811="131",M1811="131"),H1811='131-CT'!$E$7),"131",""))</f>
        <v/>
      </c>
      <c r="O1811" s="39" t="str">
        <f>IF(AND($B1811&gt;='111'!$N$11,$B1811&lt;='111'!$O$11,OR($L1811=$O$7,$M1811=$O$7)),"x","")</f>
        <v/>
      </c>
      <c r="P1811" s="39" t="str">
        <f>IF(AND($L1811=$O$7,$B1811&lt;'111'!$N$11),"x","")</f>
        <v/>
      </c>
      <c r="Q1811" s="39" t="str">
        <f>IF(AND($M1811=$O$7,$B1811&lt;'111'!$N$11),"x","")</f>
        <v/>
      </c>
      <c r="R1811" s="39" t="str">
        <f>IF(ISERROR(FIND('112'!$M$9,G1811,1)),"",IF((AND(FIND('112'!$M$9,G1811,1)&gt;=1,$B1811&gt;='112'!$N$8,$B1811&lt;='112'!$O$8,OR($L1811='112'!$I$6,$M1811='112'!$I$6))),"x",""))</f>
        <v/>
      </c>
      <c r="S1811" s="39" t="str">
        <f>IF(ISERROR(FIND('112'!$M$9,G1811,1)),"",IF((AND(LEFT(G1811,2)=LEFT('112'!$M$9,2),B1811&lt;'112'!$N$8,$L1811='112'!$I$6)),"x",""))</f>
        <v/>
      </c>
      <c r="T1811" s="39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>632</v>
      </c>
      <c r="V1811" s="39" t="str">
        <f>IF(OR(TH!L1811=TH!$V$7,M1811=TH!$V$7),"x","")</f>
        <v/>
      </c>
      <c r="W1811" s="39" t="str">
        <f>IF(AND(B1811&gt;='IN-NX'!$P$3,B1811&lt;='IN-NX'!$Q$3,'IN-NX'!$D$7=D1811,OR(LEFT(L1811,2)="15",AND(LEFT(M1811,2)&lt;&gt;"15",LEFT(M1811,2)&lt;&gt;"33"))),"x","")</f>
        <v/>
      </c>
      <c r="X1811" s="39" t="str">
        <f>IF(AND(OR(LEFT(TH!L1811,2)="15",LEFT(TH!M1811,2)="15"),'152-CT'!$J$8=TH!F1811),"x","")</f>
        <v/>
      </c>
      <c r="Y1811" s="39" t="str">
        <f>IF(AND(OR(LEFT(TH!L1811,2)="15",LEFT(TH!M1811,2)="15"),TK!$E$7=TH!F1811),"x","")</f>
        <v/>
      </c>
      <c r="Z1811" s="39" t="str">
        <f>IF(AND(B1811&lt;=NKC!$N$8,B1811&gt;=NKC!$M$8),"x","")</f>
        <v/>
      </c>
      <c r="AA1811" s="886"/>
    </row>
    <row r="1812" spans="1:27" s="211" customFormat="1" ht="15.75" customHeight="1">
      <c r="A1812" s="204" t="str">
        <f>IF(B1812&lt;&gt;"",IF(AND(B1812&gt;=_TM1,B1812&lt;=_TM2,OR(TH!L1812="1111",TH!M1812="1111")),TH!D1812,""),"")</f>
        <v/>
      </c>
      <c r="B1812" s="36">
        <f t="shared" si="255"/>
        <v>6</v>
      </c>
      <c r="C1812" s="191">
        <f t="shared" si="257"/>
        <v>41445</v>
      </c>
      <c r="D1812" s="191"/>
      <c r="E1812" s="37">
        <v>41445</v>
      </c>
      <c r="F1812" s="40" t="s">
        <v>1131</v>
      </c>
      <c r="G1812" s="40" t="s">
        <v>857</v>
      </c>
      <c r="H1812" s="7" t="s">
        <v>1293</v>
      </c>
      <c r="I1812" s="256"/>
      <c r="J1812" s="256"/>
      <c r="K1812" s="602">
        <f t="shared" si="256"/>
        <v>0</v>
      </c>
      <c r="L1812" s="39" t="s">
        <v>173</v>
      </c>
      <c r="M1812" s="39" t="s">
        <v>167</v>
      </c>
      <c r="N1812" s="39" t="str">
        <f>IF(AND('331-CT'!$E$7=TH!H1812,OR(L1812="331",M1812="331")),"331",IF(AND(OR(L1812="131",M1812="131"),H1812='131-CT'!$E$7),"131",""))</f>
        <v/>
      </c>
      <c r="O1812" s="39" t="str">
        <f>IF(AND($B1812&gt;='111'!$N$11,$B1812&lt;='111'!$O$11,OR($L1812=$O$7,$M1812=$O$7)),"x","")</f>
        <v/>
      </c>
      <c r="P1812" s="39" t="str">
        <f>IF(AND($L1812=$O$7,$B1812&lt;'111'!$N$11),"x","")</f>
        <v/>
      </c>
      <c r="Q1812" s="39" t="str">
        <f>IF(AND($M1812=$O$7,$B1812&lt;'111'!$N$11),"x","")</f>
        <v/>
      </c>
      <c r="R1812" s="39" t="str">
        <f>IF(ISERROR(FIND('112'!$M$9,G1812,1)),"",IF((AND(FIND('112'!$M$9,G1812,1)&gt;=1,$B1812&gt;='112'!$N$8,$B1812&lt;='112'!$O$8,OR($L1812='112'!$I$6,$M1812='112'!$I$6))),"x",""))</f>
        <v/>
      </c>
      <c r="S1812" s="39" t="str">
        <f>IF(ISERROR(FIND('112'!$M$9,G1812,1)),"",IF((AND(LEFT(G1812,2)=LEFT('112'!$M$9,2),B1812&lt;'112'!$N$8,$L1812='112'!$I$6)),"x",""))</f>
        <v/>
      </c>
      <c r="T1812" s="39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>632</v>
      </c>
      <c r="V1812" s="39" t="str">
        <f>IF(OR(TH!L1812=TH!$V$7,M1812=TH!$V$7),"x","")</f>
        <v/>
      </c>
      <c r="W1812" s="39" t="str">
        <f>IF(AND(B1812&gt;='IN-NX'!$P$3,B1812&lt;='IN-NX'!$Q$3,'IN-NX'!$D$7=D1812,OR(LEFT(L1812,2)="15",AND(LEFT(M1812,2)&lt;&gt;"15",LEFT(M1812,2)&lt;&gt;"33"))),"x","")</f>
        <v/>
      </c>
      <c r="X1812" s="39" t="str">
        <f>IF(AND(OR(LEFT(TH!L1812,2)="15",LEFT(TH!M1812,2)="15"),'152-CT'!$J$8=TH!F1812),"x","")</f>
        <v/>
      </c>
      <c r="Y1812" s="39" t="str">
        <f>IF(AND(OR(LEFT(TH!L1812,2)="15",LEFT(TH!M1812,2)="15"),TK!$E$7=TH!F1812),"x","")</f>
        <v/>
      </c>
      <c r="Z1812" s="39" t="str">
        <f>IF(AND(B1812&lt;=NKC!$N$8,B1812&gt;=NKC!$M$8),"x","")</f>
        <v/>
      </c>
      <c r="AA1812" s="886"/>
    </row>
    <row r="1813" spans="1:27" s="211" customFormat="1" ht="15.75" customHeight="1">
      <c r="A1813" s="204" t="str">
        <f>IF(B1813&lt;&gt;"",IF(AND(B1813&gt;=_TM1,B1813&lt;=_TM2,OR(TH!L1813="1111",TH!M1813="1111")),TH!D1813,""),"")</f>
        <v/>
      </c>
      <c r="B1813" s="36">
        <f t="shared" si="255"/>
        <v>6</v>
      </c>
      <c r="C1813" s="191">
        <f t="shared" si="257"/>
        <v>41445</v>
      </c>
      <c r="D1813" s="191"/>
      <c r="E1813" s="37">
        <v>41445</v>
      </c>
      <c r="F1813" s="40" t="s">
        <v>1130</v>
      </c>
      <c r="G1813" s="40" t="s">
        <v>857</v>
      </c>
      <c r="H1813" s="7" t="s">
        <v>1293</v>
      </c>
      <c r="I1813" s="256"/>
      <c r="J1813" s="256"/>
      <c r="K1813" s="602">
        <f t="shared" si="256"/>
        <v>0</v>
      </c>
      <c r="L1813" s="39" t="s">
        <v>173</v>
      </c>
      <c r="M1813" s="39" t="s">
        <v>167</v>
      </c>
      <c r="N1813" s="39" t="str">
        <f>IF(AND('331-CT'!$E$7=TH!H1813,OR(L1813="331",M1813="331")),"331",IF(AND(OR(L1813="131",M1813="131"),H1813='131-CT'!$E$7),"131",""))</f>
        <v/>
      </c>
      <c r="O1813" s="39" t="str">
        <f>IF(AND($B1813&gt;='111'!$N$11,$B1813&lt;='111'!$O$11,OR($L1813=$O$7,$M1813=$O$7)),"x","")</f>
        <v/>
      </c>
      <c r="P1813" s="39" t="str">
        <f>IF(AND($L1813=$O$7,$B1813&lt;'111'!$N$11),"x","")</f>
        <v/>
      </c>
      <c r="Q1813" s="39" t="str">
        <f>IF(AND($M1813=$O$7,$B1813&lt;'111'!$N$11),"x","")</f>
        <v/>
      </c>
      <c r="R1813" s="39" t="str">
        <f>IF(ISERROR(FIND('112'!$M$9,G1813,1)),"",IF((AND(FIND('112'!$M$9,G1813,1)&gt;=1,$B1813&gt;='112'!$N$8,$B1813&lt;='112'!$O$8,OR($L1813='112'!$I$6,$M1813='112'!$I$6))),"x",""))</f>
        <v/>
      </c>
      <c r="S1813" s="39" t="str">
        <f>IF(ISERROR(FIND('112'!$M$9,G1813,1)),"",IF((AND(LEFT(G1813,2)=LEFT('112'!$M$9,2),B1813&lt;'112'!$N$8,$L1813='112'!$I$6)),"x",""))</f>
        <v/>
      </c>
      <c r="T1813" s="39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>632</v>
      </c>
      <c r="V1813" s="39" t="str">
        <f>IF(OR(TH!L1813=TH!$V$7,M1813=TH!$V$7),"x","")</f>
        <v/>
      </c>
      <c r="W1813" s="39" t="str">
        <f>IF(AND(B1813&gt;='IN-NX'!$P$3,B1813&lt;='IN-NX'!$Q$3,'IN-NX'!$D$7=D1813,OR(LEFT(L1813,2)="15",AND(LEFT(M1813,2)&lt;&gt;"15",LEFT(M1813,2)&lt;&gt;"33"))),"x","")</f>
        <v/>
      </c>
      <c r="X1813" s="39" t="str">
        <f>IF(AND(OR(LEFT(TH!L1813,2)="15",LEFT(TH!M1813,2)="15"),'152-CT'!$J$8=TH!F1813),"x","")</f>
        <v/>
      </c>
      <c r="Y1813" s="39" t="str">
        <f>IF(AND(OR(LEFT(TH!L1813,2)="15",LEFT(TH!M1813,2)="15"),TK!$E$7=TH!F1813),"x","")</f>
        <v/>
      </c>
      <c r="Z1813" s="39" t="str">
        <f>IF(AND(B1813&lt;=NKC!$N$8,B1813&gt;=NKC!$M$8),"x","")</f>
        <v/>
      </c>
      <c r="AA1813" s="886"/>
    </row>
    <row r="1814" spans="1:27" s="211" customFormat="1" ht="15.75" customHeight="1">
      <c r="A1814" s="204" t="str">
        <f>IF(B1814&lt;&gt;"",IF(AND(B1814&gt;=_TM1,B1814&lt;=_TM2,OR(TH!L1814="1111",TH!M1814="1111")),TH!D1814,""),"")</f>
        <v/>
      </c>
      <c r="B1814" s="36">
        <f t="shared" si="255"/>
        <v>6</v>
      </c>
      <c r="C1814" s="191">
        <f t="shared" si="257"/>
        <v>41445</v>
      </c>
      <c r="D1814" s="37"/>
      <c r="E1814" s="37">
        <v>41445</v>
      </c>
      <c r="F1814" s="40" t="s">
        <v>831</v>
      </c>
      <c r="G1814" s="40" t="s">
        <v>858</v>
      </c>
      <c r="H1814" s="7" t="s">
        <v>1293</v>
      </c>
      <c r="I1814" s="256"/>
      <c r="J1814" s="256"/>
      <c r="K1814" s="602">
        <f t="shared" si="256"/>
        <v>0</v>
      </c>
      <c r="L1814" s="39" t="s">
        <v>173</v>
      </c>
      <c r="M1814" s="39" t="s">
        <v>167</v>
      </c>
      <c r="N1814" s="39" t="str">
        <f>IF(AND('331-CT'!$E$7=TH!H1814,OR(L1814="331",M1814="331")),"331",IF(AND(OR(L1814="131",M1814="131"),H1814='131-CT'!$E$7),"131",""))</f>
        <v/>
      </c>
      <c r="O1814" s="39" t="str">
        <f>IF(AND($B1814&gt;='111'!$N$11,$B1814&lt;='111'!$O$11,OR($L1814=$O$7,$M1814=$O$7)),"x","")</f>
        <v/>
      </c>
      <c r="P1814" s="39" t="str">
        <f>IF(AND($L1814=$O$7,$B1814&lt;'111'!$N$11),"x","")</f>
        <v/>
      </c>
      <c r="Q1814" s="39" t="str">
        <f>IF(AND($M1814=$O$7,$B1814&lt;'111'!$N$11),"x","")</f>
        <v/>
      </c>
      <c r="R1814" s="39" t="str">
        <f>IF(ISERROR(FIND('112'!$M$9,G1814,1)),"",IF((AND(FIND('112'!$M$9,G1814,1)&gt;=1,$B1814&gt;='112'!$N$8,$B1814&lt;='112'!$O$8,OR($L1814='112'!$I$6,$M1814='112'!$I$6))),"x",""))</f>
        <v/>
      </c>
      <c r="S1814" s="39" t="str">
        <f>IF(ISERROR(FIND('112'!$M$9,G1814,1)),"",IF((AND(LEFT(G1814,2)=LEFT('112'!$M$9,2),B1814&lt;'112'!$N$8,$L1814='112'!$I$6)),"x",""))</f>
        <v/>
      </c>
      <c r="T1814" s="39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>632</v>
      </c>
      <c r="V1814" s="39" t="str">
        <f>IF(OR(TH!L1814=TH!$V$7,M1814=TH!$V$7),"x","")</f>
        <v/>
      </c>
      <c r="W1814" s="39" t="str">
        <f>IF(AND(B1814&gt;='IN-NX'!$P$3,B1814&lt;='IN-NX'!$Q$3,'IN-NX'!$D$7=D1814,OR(LEFT(L1814,2)="15",AND(LEFT(M1814,2)&lt;&gt;"15",LEFT(M1814,2)&lt;&gt;"33"))),"x","")</f>
        <v/>
      </c>
      <c r="X1814" s="39" t="str">
        <f>IF(AND(OR(LEFT(TH!L1814,2)="15",LEFT(TH!M1814,2)="15"),'152-CT'!$J$8=TH!F1814),"x","")</f>
        <v/>
      </c>
      <c r="Y1814" s="39" t="str">
        <f>IF(AND(OR(LEFT(TH!L1814,2)="15",LEFT(TH!M1814,2)="15"),TK!$E$7=TH!F1814),"x","")</f>
        <v/>
      </c>
      <c r="Z1814" s="39" t="str">
        <f>IF(AND(B1814&lt;=NKC!$N$8,B1814&gt;=NKC!$M$8),"x","")</f>
        <v/>
      </c>
      <c r="AA1814" s="886"/>
    </row>
    <row r="1815" spans="1:27" s="211" customFormat="1" ht="15.75" customHeight="1">
      <c r="A1815" s="204" t="str">
        <f>IF(B1815&lt;&gt;"",IF(AND(B1815&gt;=_TM1,B1815&lt;=_TM2,OR(TH!L1815="1111",TH!M1815="1111")),TH!D1815,""),"")</f>
        <v/>
      </c>
      <c r="B1815" s="36">
        <f t="shared" si="255"/>
        <v>6</v>
      </c>
      <c r="C1815" s="191">
        <f t="shared" si="257"/>
        <v>41445</v>
      </c>
      <c r="D1815" s="37"/>
      <c r="E1815" s="37">
        <v>41445</v>
      </c>
      <c r="F1815" s="40" t="s">
        <v>833</v>
      </c>
      <c r="G1815" s="40" t="s">
        <v>858</v>
      </c>
      <c r="H1815" s="7" t="s">
        <v>1293</v>
      </c>
      <c r="I1815" s="256"/>
      <c r="J1815" s="256"/>
      <c r="K1815" s="602">
        <f t="shared" si="256"/>
        <v>0</v>
      </c>
      <c r="L1815" s="39" t="s">
        <v>173</v>
      </c>
      <c r="M1815" s="39" t="s">
        <v>167</v>
      </c>
      <c r="N1815" s="39" t="str">
        <f>IF(AND('331-CT'!$E$7=TH!H1815,OR(L1815="331",M1815="331")),"331",IF(AND(OR(L1815="131",M1815="131"),H1815='131-CT'!$E$7),"131",""))</f>
        <v/>
      </c>
      <c r="O1815" s="39" t="str">
        <f>IF(AND($B1815&gt;='111'!$N$11,$B1815&lt;='111'!$O$11,OR($L1815=$O$7,$M1815=$O$7)),"x","")</f>
        <v/>
      </c>
      <c r="P1815" s="39" t="str">
        <f>IF(AND($L1815=$O$7,$B1815&lt;'111'!$N$11),"x","")</f>
        <v/>
      </c>
      <c r="Q1815" s="39" t="str">
        <f>IF(AND($M1815=$O$7,$B1815&lt;'111'!$N$11),"x","")</f>
        <v/>
      </c>
      <c r="R1815" s="39" t="str">
        <f>IF(ISERROR(FIND('112'!$M$9,G1815,1)),"",IF((AND(FIND('112'!$M$9,G1815,1)&gt;=1,$B1815&gt;='112'!$N$8,$B1815&lt;='112'!$O$8,OR($L1815='112'!$I$6,$M1815='112'!$I$6))),"x",""))</f>
        <v/>
      </c>
      <c r="S1815" s="39" t="str">
        <f>IF(ISERROR(FIND('112'!$M$9,G1815,1)),"",IF((AND(LEFT(G1815,2)=LEFT('112'!$M$9,2),B1815&lt;'112'!$N$8,$L1815='112'!$I$6)),"x",""))</f>
        <v/>
      </c>
      <c r="T1815" s="39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>632</v>
      </c>
      <c r="V1815" s="39" t="str">
        <f>IF(OR(TH!L1815=TH!$V$7,M1815=TH!$V$7),"x","")</f>
        <v/>
      </c>
      <c r="W1815" s="39" t="str">
        <f>IF(AND(B1815&gt;='IN-NX'!$P$3,B1815&lt;='IN-NX'!$Q$3,'IN-NX'!$D$7=D1815,OR(LEFT(L1815,2)="15",AND(LEFT(M1815,2)&lt;&gt;"15",LEFT(M1815,2)&lt;&gt;"33"))),"x","")</f>
        <v/>
      </c>
      <c r="X1815" s="39" t="str">
        <f>IF(AND(OR(LEFT(TH!L1815,2)="15",LEFT(TH!M1815,2)="15"),'152-CT'!$J$8=TH!F1815),"x","")</f>
        <v/>
      </c>
      <c r="Y1815" s="39" t="str">
        <f>IF(AND(OR(LEFT(TH!L1815,2)="15",LEFT(TH!M1815,2)="15"),TK!$E$7=TH!F1815),"x","")</f>
        <v/>
      </c>
      <c r="Z1815" s="39" t="str">
        <f>IF(AND(B1815&lt;=NKC!$N$8,B1815&gt;=NKC!$M$8),"x","")</f>
        <v/>
      </c>
      <c r="AA1815" s="886"/>
    </row>
    <row r="1816" spans="1:27" s="211" customFormat="1" ht="15.75" customHeight="1">
      <c r="A1816" s="204" t="str">
        <f>IF(B1816&lt;&gt;"",IF(AND(B1816&gt;=_TM1,B1816&lt;=_TM2,OR(TH!L1816="1111",TH!M1816="1111")),TH!D1816,""),"")</f>
        <v/>
      </c>
      <c r="B1816" s="36">
        <f t="shared" si="255"/>
        <v>6</v>
      </c>
      <c r="C1816" s="191">
        <f t="shared" si="257"/>
        <v>41445</v>
      </c>
      <c r="D1816" s="184"/>
      <c r="E1816" s="37">
        <v>41445</v>
      </c>
      <c r="F1816" s="40" t="s">
        <v>1140</v>
      </c>
      <c r="G1816" s="40" t="s">
        <v>858</v>
      </c>
      <c r="H1816" s="7" t="s">
        <v>1293</v>
      </c>
      <c r="I1816" s="256"/>
      <c r="J1816" s="256"/>
      <c r="K1816" s="602">
        <f t="shared" si="256"/>
        <v>0</v>
      </c>
      <c r="L1816" s="39" t="s">
        <v>173</v>
      </c>
      <c r="M1816" s="39" t="s">
        <v>167</v>
      </c>
      <c r="N1816" s="39" t="str">
        <f>IF(AND('331-CT'!$E$7=TH!H1816,OR(L1816="331",M1816="331")),"331",IF(AND(OR(L1816="131",M1816="131"),H1816='131-CT'!$E$7),"131",""))</f>
        <v/>
      </c>
      <c r="O1816" s="39" t="str">
        <f>IF(AND($B1816&gt;='111'!$N$11,$B1816&lt;='111'!$O$11,OR($L1816=$O$7,$M1816=$O$7)),"x","")</f>
        <v/>
      </c>
      <c r="P1816" s="39" t="str">
        <f>IF(AND($L1816=$O$7,$B1816&lt;'111'!$N$11),"x","")</f>
        <v/>
      </c>
      <c r="Q1816" s="39" t="str">
        <f>IF(AND($M1816=$O$7,$B1816&lt;'111'!$N$11),"x","")</f>
        <v/>
      </c>
      <c r="R1816" s="39" t="str">
        <f>IF(ISERROR(FIND('112'!$M$9,G1816,1)),"",IF((AND(FIND('112'!$M$9,G1816,1)&gt;=1,$B1816&gt;='112'!$N$8,$B1816&lt;='112'!$O$8,OR($L1816='112'!$I$6,$M1816='112'!$I$6))),"x",""))</f>
        <v/>
      </c>
      <c r="S1816" s="39" t="str">
        <f>IF(ISERROR(FIND('112'!$M$9,G1816,1)),"",IF((AND(LEFT(G1816,2)=LEFT('112'!$M$9,2),B1816&lt;'112'!$N$8,$L1816='112'!$I$6)),"x",""))</f>
        <v/>
      </c>
      <c r="T1816" s="39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>632</v>
      </c>
      <c r="V1816" s="39" t="str">
        <f>IF(OR(TH!L1816=TH!$V$7,M1816=TH!$V$7),"x","")</f>
        <v/>
      </c>
      <c r="W1816" s="39" t="str">
        <f>IF(AND(B1816&gt;='IN-NX'!$P$3,B1816&lt;='IN-NX'!$Q$3,'IN-NX'!$D$7=D1816,OR(LEFT(L1816,2)="15",AND(LEFT(M1816,2)&lt;&gt;"15",LEFT(M1816,2)&lt;&gt;"33"))),"x","")</f>
        <v/>
      </c>
      <c r="X1816" s="39" t="str">
        <f>IF(AND(OR(LEFT(TH!L1816,2)="15",LEFT(TH!M1816,2)="15"),'152-CT'!$J$8=TH!F1816),"x","")</f>
        <v/>
      </c>
      <c r="Y1816" s="39" t="str">
        <f>IF(AND(OR(LEFT(TH!L1816,2)="15",LEFT(TH!M1816,2)="15"),TK!$E$7=TH!F1816),"x","")</f>
        <v/>
      </c>
      <c r="Z1816" s="39" t="str">
        <f>IF(AND(B1816&lt;=NKC!$N$8,B1816&gt;=NKC!$M$8),"x","")</f>
        <v/>
      </c>
      <c r="AA1816" s="886"/>
    </row>
    <row r="1817" spans="1:27" s="211" customFormat="1" ht="15.75" customHeight="1">
      <c r="A1817" s="204" t="str">
        <f>IF(B1817&lt;&gt;"",IF(AND(B1817&gt;=_TM1,B1817&lt;=_TM2,OR(TH!L1817="1111",TH!M1817="1111")),TH!D1817,""),"")</f>
        <v/>
      </c>
      <c r="B1817" s="36">
        <f t="shared" si="255"/>
        <v>6</v>
      </c>
      <c r="C1817" s="191">
        <f t="shared" si="257"/>
        <v>41446</v>
      </c>
      <c r="D1817" s="184"/>
      <c r="E1817" s="37">
        <v>41446</v>
      </c>
      <c r="F1817" s="40" t="s">
        <v>1142</v>
      </c>
      <c r="G1817" s="40" t="s">
        <v>859</v>
      </c>
      <c r="H1817" s="7" t="s">
        <v>1293</v>
      </c>
      <c r="I1817" s="256"/>
      <c r="J1817" s="256"/>
      <c r="K1817" s="602">
        <f t="shared" si="256"/>
        <v>0</v>
      </c>
      <c r="L1817" s="39" t="s">
        <v>173</v>
      </c>
      <c r="M1817" s="39" t="s">
        <v>167</v>
      </c>
      <c r="N1817" s="39" t="str">
        <f>IF(AND('331-CT'!$E$7=TH!H1817,OR(L1817="331",M1817="331")),"331",IF(AND(OR(L1817="131",M1817="131"),H1817='131-CT'!$E$7),"131",""))</f>
        <v/>
      </c>
      <c r="O1817" s="39" t="str">
        <f>IF(AND($B1817&gt;='111'!$N$11,$B1817&lt;='111'!$O$11,OR($L1817=$O$7,$M1817=$O$7)),"x","")</f>
        <v/>
      </c>
      <c r="P1817" s="39" t="str">
        <f>IF(AND($L1817=$O$7,$B1817&lt;'111'!$N$11),"x","")</f>
        <v/>
      </c>
      <c r="Q1817" s="39" t="str">
        <f>IF(AND($M1817=$O$7,$B1817&lt;'111'!$N$11),"x","")</f>
        <v/>
      </c>
      <c r="R1817" s="39" t="str">
        <f>IF(ISERROR(FIND('112'!$M$9,G1817,1)),"",IF((AND(FIND('112'!$M$9,G1817,1)&gt;=1,$B1817&gt;='112'!$N$8,$B1817&lt;='112'!$O$8,OR($L1817='112'!$I$6,$M1817='112'!$I$6))),"x",""))</f>
        <v/>
      </c>
      <c r="S1817" s="39" t="str">
        <f>IF(ISERROR(FIND('112'!$M$9,G1817,1)),"",IF((AND(LEFT(G1817,2)=LEFT('112'!$M$9,2),B1817&lt;'112'!$N$8,$L1817='112'!$I$6)),"x",""))</f>
        <v/>
      </c>
      <c r="T1817" s="39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>632</v>
      </c>
      <c r="V1817" s="39" t="str">
        <f>IF(OR(TH!L1817=TH!$V$7,M1817=TH!$V$7),"x","")</f>
        <v/>
      </c>
      <c r="W1817" s="39" t="str">
        <f>IF(AND(B1817&gt;='IN-NX'!$P$3,B1817&lt;='IN-NX'!$Q$3,'IN-NX'!$D$7=D1817,OR(LEFT(L1817,2)="15",AND(LEFT(M1817,2)&lt;&gt;"15",LEFT(M1817,2)&lt;&gt;"33"))),"x","")</f>
        <v/>
      </c>
      <c r="X1817" s="39" t="str">
        <f>IF(AND(OR(LEFT(TH!L1817,2)="15",LEFT(TH!M1817,2)="15"),'152-CT'!$J$8=TH!F1817),"x","")</f>
        <v/>
      </c>
      <c r="Y1817" s="39" t="str">
        <f>IF(AND(OR(LEFT(TH!L1817,2)="15",LEFT(TH!M1817,2)="15"),TK!$E$7=TH!F1817),"x","")</f>
        <v/>
      </c>
      <c r="Z1817" s="39" t="str">
        <f>IF(AND(B1817&lt;=NKC!$N$8,B1817&gt;=NKC!$M$8),"x","")</f>
        <v/>
      </c>
      <c r="AA1817" s="886"/>
    </row>
    <row r="1818" spans="1:27" s="211" customFormat="1" ht="15.75" customHeight="1">
      <c r="A1818" s="204" t="str">
        <f>IF(B1818&lt;&gt;"",IF(AND(B1818&gt;=_TM1,B1818&lt;=_TM2,OR(TH!L1818="1111",TH!M1818="1111")),TH!D1818,""),"")</f>
        <v/>
      </c>
      <c r="B1818" s="36">
        <f t="shared" si="255"/>
        <v>6</v>
      </c>
      <c r="C1818" s="191">
        <f t="shared" si="257"/>
        <v>41451</v>
      </c>
      <c r="D1818" s="184"/>
      <c r="E1818" s="37">
        <v>41451</v>
      </c>
      <c r="F1818" s="192" t="s">
        <v>838</v>
      </c>
      <c r="G1818" s="40" t="s">
        <v>860</v>
      </c>
      <c r="H1818" s="7" t="s">
        <v>1293</v>
      </c>
      <c r="I1818" s="256"/>
      <c r="J1818" s="256"/>
      <c r="K1818" s="602">
        <f t="shared" si="256"/>
        <v>0</v>
      </c>
      <c r="L1818" s="39" t="s">
        <v>173</v>
      </c>
      <c r="M1818" s="39" t="s">
        <v>167</v>
      </c>
      <c r="N1818" s="39" t="str">
        <f>IF(AND('331-CT'!$E$7=TH!H1818,OR(L1818="331",M1818="331")),"331",IF(AND(OR(L1818="131",M1818="131"),H1818='131-CT'!$E$7),"131",""))</f>
        <v/>
      </c>
      <c r="O1818" s="39" t="str">
        <f>IF(AND($B1818&gt;='111'!$N$11,$B1818&lt;='111'!$O$11,OR($L1818=$O$7,$M1818=$O$7)),"x","")</f>
        <v/>
      </c>
      <c r="P1818" s="39" t="str">
        <f>IF(AND($L1818=$O$7,$B1818&lt;'111'!$N$11),"x","")</f>
        <v/>
      </c>
      <c r="Q1818" s="39" t="str">
        <f>IF(AND($M1818=$O$7,$B1818&lt;'111'!$N$11),"x","")</f>
        <v/>
      </c>
      <c r="R1818" s="39" t="str">
        <f>IF(ISERROR(FIND('112'!$M$9,G1818,1)),"",IF((AND(FIND('112'!$M$9,G1818,1)&gt;=1,$B1818&gt;='112'!$N$8,$B1818&lt;='112'!$O$8,OR($L1818='112'!$I$6,$M1818='112'!$I$6))),"x",""))</f>
        <v/>
      </c>
      <c r="S1818" s="39" t="str">
        <f>IF(ISERROR(FIND('112'!$M$9,G1818,1)),"",IF((AND(LEFT(G1818,2)=LEFT('112'!$M$9,2),B1818&lt;'112'!$N$8,$L1818='112'!$I$6)),"x",""))</f>
        <v/>
      </c>
      <c r="T1818" s="39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>632</v>
      </c>
      <c r="V1818" s="39" t="str">
        <f>IF(OR(TH!L1818=TH!$V$7,M1818=TH!$V$7),"x","")</f>
        <v/>
      </c>
      <c r="W1818" s="39" t="str">
        <f>IF(AND(B1818&gt;='IN-NX'!$P$3,B1818&lt;='IN-NX'!$Q$3,'IN-NX'!$D$7=D1818,OR(LEFT(L1818,2)="15",AND(LEFT(M1818,2)&lt;&gt;"15",LEFT(M1818,2)&lt;&gt;"33"))),"x","")</f>
        <v/>
      </c>
      <c r="X1818" s="39" t="str">
        <f>IF(AND(OR(LEFT(TH!L1818,2)="15",LEFT(TH!M1818,2)="15"),'152-CT'!$J$8=TH!F1818),"x","")</f>
        <v/>
      </c>
      <c r="Y1818" s="39" t="str">
        <f>IF(AND(OR(LEFT(TH!L1818,2)="15",LEFT(TH!M1818,2)="15"),TK!$E$7=TH!F1818),"x","")</f>
        <v/>
      </c>
      <c r="Z1818" s="39" t="str">
        <f>IF(AND(B1818&lt;=NKC!$N$8,B1818&gt;=NKC!$M$8),"x","")</f>
        <v/>
      </c>
      <c r="AA1818" s="886"/>
    </row>
    <row r="1819" spans="1:27" s="211" customFormat="1" ht="15.75" customHeight="1">
      <c r="A1819" s="204" t="str">
        <f>IF(B1819&lt;&gt;"",IF(AND(B1819&gt;=_TM1,B1819&lt;=_TM2,OR(TH!L1819="1111",TH!M1819="1111")),TH!D1819,""),"")</f>
        <v/>
      </c>
      <c r="B1819" s="36">
        <f t="shared" si="255"/>
        <v>6</v>
      </c>
      <c r="C1819" s="191">
        <f t="shared" si="257"/>
        <v>41451</v>
      </c>
      <c r="D1819" s="191"/>
      <c r="E1819" s="191">
        <v>41451</v>
      </c>
      <c r="F1819" s="192" t="s">
        <v>861</v>
      </c>
      <c r="G1819" s="487" t="s">
        <v>862</v>
      </c>
      <c r="H1819" s="7" t="s">
        <v>1293</v>
      </c>
      <c r="I1819" s="256"/>
      <c r="J1819" s="256"/>
      <c r="K1819" s="602">
        <f t="shared" si="256"/>
        <v>0</v>
      </c>
      <c r="L1819" s="39" t="s">
        <v>173</v>
      </c>
      <c r="M1819" s="39" t="s">
        <v>167</v>
      </c>
      <c r="N1819" s="39" t="str">
        <f>IF(AND('331-CT'!$E$7=TH!H1819,OR(L1819="331",M1819="331")),"331",IF(AND(OR(L1819="131",M1819="131"),H1819='131-CT'!$E$7),"131",""))</f>
        <v/>
      </c>
      <c r="O1819" s="39" t="str">
        <f>IF(AND($B1819&gt;='111'!$N$11,$B1819&lt;='111'!$O$11,OR($L1819=$O$7,$M1819=$O$7)),"x","")</f>
        <v/>
      </c>
      <c r="P1819" s="39" t="str">
        <f>IF(AND($L1819=$O$7,$B1819&lt;'111'!$N$11),"x","")</f>
        <v/>
      </c>
      <c r="Q1819" s="39" t="str">
        <f>IF(AND($M1819=$O$7,$B1819&lt;'111'!$N$11),"x","")</f>
        <v/>
      </c>
      <c r="R1819" s="39" t="str">
        <f>IF(ISERROR(FIND('112'!$M$9,G1819,1)),"",IF((AND(FIND('112'!$M$9,G1819,1)&gt;=1,$B1819&gt;='112'!$N$8,$B1819&lt;='112'!$O$8,OR($L1819='112'!$I$6,$M1819='112'!$I$6))),"x",""))</f>
        <v/>
      </c>
      <c r="S1819" s="39" t="str">
        <f>IF(ISERROR(FIND('112'!$M$9,G1819,1)),"",IF((AND(LEFT(G1819,2)=LEFT('112'!$M$9,2),B1819&lt;'112'!$N$8,$L1819='112'!$I$6)),"x",""))</f>
        <v/>
      </c>
      <c r="T1819" s="39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>632</v>
      </c>
      <c r="V1819" s="39" t="str">
        <f>IF(OR(TH!L1819=TH!$V$7,M1819=TH!$V$7),"x","")</f>
        <v/>
      </c>
      <c r="W1819" s="39" t="str">
        <f>IF(AND(B1819&gt;='IN-NX'!$P$3,B1819&lt;='IN-NX'!$Q$3,'IN-NX'!$D$7=D1819,OR(LEFT(L1819,2)="15",AND(LEFT(M1819,2)&lt;&gt;"15",LEFT(M1819,2)&lt;&gt;"33"))),"x","")</f>
        <v/>
      </c>
      <c r="X1819" s="39" t="str">
        <f>IF(AND(OR(LEFT(TH!L1819,2)="15",LEFT(TH!M1819,2)="15"),'152-CT'!$J$8=TH!F1819),"x","")</f>
        <v/>
      </c>
      <c r="Y1819" s="39" t="str">
        <f>IF(AND(OR(LEFT(TH!L1819,2)="15",LEFT(TH!M1819,2)="15"),TK!$E$7=TH!F1819),"x","")</f>
        <v/>
      </c>
      <c r="Z1819" s="39" t="str">
        <f>IF(AND(B1819&lt;=NKC!$N$8,B1819&gt;=NKC!$M$8),"x","")</f>
        <v/>
      </c>
      <c r="AA1819" s="886"/>
    </row>
    <row r="1820" spans="1:27" s="211" customFormat="1" ht="15.75" customHeight="1">
      <c r="A1820" s="204" t="str">
        <f>IF(B1820&lt;&gt;"",IF(AND(B1820&gt;=_TM1,B1820&lt;=_TM2,OR(TH!L1820="1111",TH!M1820="1111")),TH!D1820,""),"")</f>
        <v/>
      </c>
      <c r="B1820" s="36">
        <f t="shared" si="255"/>
        <v>6</v>
      </c>
      <c r="C1820" s="191">
        <f t="shared" si="257"/>
        <v>41452</v>
      </c>
      <c r="D1820" s="191"/>
      <c r="E1820" s="191">
        <v>41452</v>
      </c>
      <c r="F1820" s="192" t="s">
        <v>1137</v>
      </c>
      <c r="G1820" s="487" t="s">
        <v>863</v>
      </c>
      <c r="H1820" s="7" t="s">
        <v>1293</v>
      </c>
      <c r="I1820" s="259"/>
      <c r="J1820" s="259"/>
      <c r="K1820" s="602">
        <f t="shared" si="256"/>
        <v>0</v>
      </c>
      <c r="L1820" s="39" t="s">
        <v>173</v>
      </c>
      <c r="M1820" s="39" t="s">
        <v>167</v>
      </c>
      <c r="N1820" s="39" t="str">
        <f>IF(AND('331-CT'!$E$7=TH!H1820,OR(L1820="331",M1820="331")),"331",IF(AND(OR(L1820="131",M1820="131"),H1820='131-CT'!$E$7),"131",""))</f>
        <v/>
      </c>
      <c r="O1820" s="39" t="str">
        <f>IF(AND($B1820&gt;='111'!$N$11,$B1820&lt;='111'!$O$11,OR($L1820=$O$7,$M1820=$O$7)),"x","")</f>
        <v/>
      </c>
      <c r="P1820" s="39" t="str">
        <f>IF(AND($L1820=$O$7,$B1820&lt;'111'!$N$11),"x","")</f>
        <v/>
      </c>
      <c r="Q1820" s="39" t="str">
        <f>IF(AND($M1820=$O$7,$B1820&lt;'111'!$N$11),"x","")</f>
        <v/>
      </c>
      <c r="R1820" s="39" t="str">
        <f>IF(ISERROR(FIND('112'!$M$9,G1820,1)),"",IF((AND(FIND('112'!$M$9,G1820,1)&gt;=1,$B1820&gt;='112'!$N$8,$B1820&lt;='112'!$O$8,OR($L1820='112'!$I$6,$M1820='112'!$I$6))),"x",""))</f>
        <v/>
      </c>
      <c r="S1820" s="39" t="str">
        <f>IF(ISERROR(FIND('112'!$M$9,G1820,1)),"",IF((AND(LEFT(G1820,2)=LEFT('112'!$M$9,2),B1820&lt;'112'!$N$8,$L1820='112'!$I$6)),"x",""))</f>
        <v/>
      </c>
      <c r="T1820" s="39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>632</v>
      </c>
      <c r="V1820" s="39" t="str">
        <f>IF(OR(TH!L1820=TH!$V$7,M1820=TH!$V$7),"x","")</f>
        <v/>
      </c>
      <c r="W1820" s="39" t="str">
        <f>IF(AND(B1820&gt;='IN-NX'!$P$3,B1820&lt;='IN-NX'!$Q$3,'IN-NX'!$D$7=D1820,OR(LEFT(L1820,2)="15",AND(LEFT(M1820,2)&lt;&gt;"15",LEFT(M1820,2)&lt;&gt;"33"))),"x","")</f>
        <v/>
      </c>
      <c r="X1820" s="39" t="str">
        <f>IF(AND(OR(LEFT(TH!L1820,2)="15",LEFT(TH!M1820,2)="15"),'152-CT'!$J$8=TH!F1820),"x","")</f>
        <v/>
      </c>
      <c r="Y1820" s="39" t="str">
        <f>IF(AND(OR(LEFT(TH!L1820,2)="15",LEFT(TH!M1820,2)="15"),TK!$E$7=TH!F1820),"x","")</f>
        <v/>
      </c>
      <c r="Z1820" s="39" t="str">
        <f>IF(AND(B1820&lt;=NKC!$N$8,B1820&gt;=NKC!$M$8),"x","")</f>
        <v/>
      </c>
      <c r="AA1820" s="886"/>
    </row>
    <row r="1821" spans="1:27" s="843" customFormat="1" ht="15.75" customHeight="1">
      <c r="A1821" s="1106" t="str">
        <f>IF(B1821&lt;&gt;"",IF(AND(B1821&gt;=_TM1,B1821&lt;=_TM2,OR(TH!L1821="1111",TH!M1821="1111")),TH!D1821,""),"")</f>
        <v/>
      </c>
      <c r="B1821" s="841">
        <f t="shared" si="255"/>
        <v>7</v>
      </c>
      <c r="C1821" s="1107">
        <f t="shared" si="257"/>
        <v>41460</v>
      </c>
      <c r="D1821" s="1108"/>
      <c r="E1821" s="1107">
        <v>41460</v>
      </c>
      <c r="F1821" s="1129" t="s">
        <v>1165</v>
      </c>
      <c r="G1821" s="1130" t="s">
        <v>864</v>
      </c>
      <c r="H1821" s="1110" t="s">
        <v>1293</v>
      </c>
      <c r="I1821" s="1118"/>
      <c r="J1821" s="1118"/>
      <c r="K1821" s="838">
        <f t="shared" si="256"/>
        <v>0</v>
      </c>
      <c r="L1821" s="831" t="s">
        <v>173</v>
      </c>
      <c r="M1821" s="831" t="s">
        <v>167</v>
      </c>
      <c r="N1821" s="831" t="str">
        <f>IF(AND('331-CT'!$E$7=TH!H1821,OR(L1821="331",M1821="331")),"331",IF(AND(OR(L1821="131",M1821="131"),H1821='131-CT'!$E$7),"131",""))</f>
        <v/>
      </c>
      <c r="O1821" s="831" t="str">
        <f>IF(AND($B1821&gt;='111'!$N$11,$B1821&lt;='111'!$O$11,OR($L1821=$O$7,$M1821=$O$7)),"x","")</f>
        <v/>
      </c>
      <c r="P1821" s="831" t="str">
        <f>IF(AND($L1821=$O$7,$B1821&lt;'111'!$N$11),"x","")</f>
        <v/>
      </c>
      <c r="Q1821" s="831" t="str">
        <f>IF(AND($M1821=$O$7,$B1821&lt;'111'!$N$11),"x","")</f>
        <v/>
      </c>
      <c r="R1821" s="831" t="str">
        <f>IF(ISERROR(FIND('112'!$M$9,G1821,1)),"",IF((AND(FIND('112'!$M$9,G1821,1)&gt;=1,$B1821&gt;='112'!$N$8,$B1821&lt;='112'!$O$8,OR($L1821='112'!$I$6,$M1821='112'!$I$6))),"x",""))</f>
        <v/>
      </c>
      <c r="S1821" s="831" t="str">
        <f>IF(ISERROR(FIND('112'!$M$9,G1821,1)),"",IF((AND(LEFT(G1821,2)=LEFT('112'!$M$9,2),B1821&lt;'112'!$N$8,$L1821='112'!$I$6)),"x",""))</f>
        <v/>
      </c>
      <c r="T1821" s="831" t="str">
        <f>IF(ISERROR(FIND('112'!$M$9,G1821,1)),"",IF((AND(RIGHT(G1821,2)=RIGHT('112'!$M$9,2),B1821&lt;'112'!$N$8,$M1821='112'!$I$6)),"x",""))</f>
        <v/>
      </c>
      <c r="U1821" s="831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831" t="str">
        <f>IF(OR(TH!L1821=TH!$V$7,M1821=TH!$V$7),"x","")</f>
        <v/>
      </c>
      <c r="W1821" s="831" t="str">
        <f>IF(AND(B1821&gt;='IN-NX'!$P$3,B1821&lt;='IN-NX'!$Q$3,'IN-NX'!$D$7=D1821,OR(LEFT(L1821,2)="15",AND(LEFT(M1821,2)&lt;&gt;"15",LEFT(M1821,2)&lt;&gt;"33"))),"x","")</f>
        <v/>
      </c>
      <c r="X1821" s="831" t="str">
        <f>IF(AND(OR(LEFT(TH!L1821,2)="15",LEFT(TH!M1821,2)="15"),'152-CT'!$J$8=TH!F1821),"x","")</f>
        <v/>
      </c>
      <c r="Y1821" s="831" t="str">
        <f>IF(AND(OR(LEFT(TH!L1821,2)="15",LEFT(TH!M1821,2)="15"),TK!$E$7=TH!F1821),"x","")</f>
        <v/>
      </c>
      <c r="Z1821" s="831" t="str">
        <f>IF(AND(B1821&lt;=NKC!$N$8,B1821&gt;=NKC!$M$8),"x","")</f>
        <v>x</v>
      </c>
      <c r="AA1821" s="1114"/>
    </row>
    <row r="1822" spans="1:27" s="211" customFormat="1" ht="15.75" customHeight="1">
      <c r="A1822" s="204" t="str">
        <f>IF(B1822&lt;&gt;"",IF(AND(B1822&gt;=_TM1,B1822&lt;=_TM2,OR(TH!L1822="1111",TH!M1822="1111")),TH!D1822,""),"")</f>
        <v/>
      </c>
      <c r="B1822" s="36">
        <f t="shared" si="255"/>
        <v>7</v>
      </c>
      <c r="C1822" s="191">
        <f t="shared" si="257"/>
        <v>41460</v>
      </c>
      <c r="D1822" s="191"/>
      <c r="E1822" s="191">
        <v>41460</v>
      </c>
      <c r="F1822" s="192" t="s">
        <v>866</v>
      </c>
      <c r="G1822" s="485" t="s">
        <v>864</v>
      </c>
      <c r="H1822" s="7" t="s">
        <v>1293</v>
      </c>
      <c r="I1822" s="256"/>
      <c r="J1822" s="256"/>
      <c r="K1822" s="602">
        <f t="shared" si="256"/>
        <v>0</v>
      </c>
      <c r="L1822" s="39" t="s">
        <v>173</v>
      </c>
      <c r="M1822" s="39" t="s">
        <v>167</v>
      </c>
      <c r="N1822" s="39" t="str">
        <f>IF(AND('331-CT'!$E$7=TH!H1822,OR(L1822="331",M1822="331")),"331",IF(AND(OR(L1822="131",M1822="131"),H1822='131-CT'!$E$7),"131",""))</f>
        <v/>
      </c>
      <c r="O1822" s="39" t="str">
        <f>IF(AND($B1822&gt;='111'!$N$11,$B1822&lt;='111'!$O$11,OR($L1822=$O$7,$M1822=$O$7)),"x","")</f>
        <v/>
      </c>
      <c r="P1822" s="39" t="str">
        <f>IF(AND($L1822=$O$7,$B1822&lt;'111'!$N$11),"x","")</f>
        <v/>
      </c>
      <c r="Q1822" s="39" t="str">
        <f>IF(AND($M1822=$O$7,$B1822&lt;'111'!$N$11),"x","")</f>
        <v/>
      </c>
      <c r="R1822" s="39" t="str">
        <f>IF(ISERROR(FIND('112'!$M$9,G1822,1)),"",IF((AND(FIND('112'!$M$9,G1822,1)&gt;=1,$B1822&gt;='112'!$N$8,$B1822&lt;='112'!$O$8,OR($L1822='112'!$I$6,$M1822='112'!$I$6))),"x",""))</f>
        <v/>
      </c>
      <c r="S1822" s="39" t="str">
        <f>IF(ISERROR(FIND('112'!$M$9,G1822,1)),"",IF((AND(LEFT(G1822,2)=LEFT('112'!$M$9,2),B1822&lt;'112'!$N$8,$L1822='112'!$I$6)),"x",""))</f>
        <v/>
      </c>
      <c r="T1822" s="39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39" t="str">
        <f>IF(OR(TH!L1822=TH!$V$7,M1822=TH!$V$7),"x","")</f>
        <v/>
      </c>
      <c r="W1822" s="39" t="str">
        <f>IF(AND(B1822&gt;='IN-NX'!$P$3,B1822&lt;='IN-NX'!$Q$3,'IN-NX'!$D$7=D1822,OR(LEFT(L1822,2)="15",AND(LEFT(M1822,2)&lt;&gt;"15",LEFT(M1822,2)&lt;&gt;"33"))),"x","")</f>
        <v/>
      </c>
      <c r="X1822" s="39" t="str">
        <f>IF(AND(OR(LEFT(TH!L1822,2)="15",LEFT(TH!M1822,2)="15"),'152-CT'!$J$8=TH!F1822),"x","")</f>
        <v/>
      </c>
      <c r="Y1822" s="39" t="str">
        <f>IF(AND(OR(LEFT(TH!L1822,2)="15",LEFT(TH!M1822,2)="15"),TK!$E$7=TH!F1822),"x","")</f>
        <v/>
      </c>
      <c r="Z1822" s="39" t="str">
        <f>IF(AND(B1822&lt;=NKC!$N$8,B1822&gt;=NKC!$M$8),"x","")</f>
        <v>x</v>
      </c>
      <c r="AA1822" s="886"/>
    </row>
    <row r="1823" spans="1:27" s="211" customFormat="1" ht="15.75" customHeight="1">
      <c r="A1823" s="204" t="str">
        <f>IF(B1823&lt;&gt;"",IF(AND(B1823&gt;=_TM1,B1823&lt;=_TM2,OR(TH!L1823="1111",TH!M1823="1111")),TH!D1823,""),"")</f>
        <v/>
      </c>
      <c r="B1823" s="36">
        <f t="shared" si="255"/>
        <v>7</v>
      </c>
      <c r="C1823" s="191">
        <f t="shared" si="257"/>
        <v>41463</v>
      </c>
      <c r="D1823" s="191"/>
      <c r="E1823" s="774">
        <v>41463</v>
      </c>
      <c r="F1823" s="40" t="s">
        <v>867</v>
      </c>
      <c r="G1823" s="40" t="s">
        <v>868</v>
      </c>
      <c r="H1823" s="7" t="s">
        <v>1293</v>
      </c>
      <c r="I1823" s="256"/>
      <c r="J1823" s="256"/>
      <c r="K1823" s="602">
        <f t="shared" si="256"/>
        <v>0</v>
      </c>
      <c r="L1823" s="39" t="s">
        <v>173</v>
      </c>
      <c r="M1823" s="39" t="s">
        <v>167</v>
      </c>
      <c r="N1823" s="39" t="str">
        <f>IF(AND('331-CT'!$E$7=TH!H1823,OR(L1823="331",M1823="331")),"331",IF(AND(OR(L1823="131",M1823="131"),H1823='131-CT'!$E$7),"131",""))</f>
        <v/>
      </c>
      <c r="O1823" s="39" t="str">
        <f>IF(AND($B1823&gt;='111'!$N$11,$B1823&lt;='111'!$O$11,OR($L1823=$O$7,$M1823=$O$7)),"x","")</f>
        <v/>
      </c>
      <c r="P1823" s="39" t="str">
        <f>IF(AND($L1823=$O$7,$B1823&lt;'111'!$N$11),"x","")</f>
        <v/>
      </c>
      <c r="Q1823" s="39" t="str">
        <f>IF(AND($M1823=$O$7,$B1823&lt;'111'!$N$11),"x","")</f>
        <v/>
      </c>
      <c r="R1823" s="39" t="str">
        <f>IF(ISERROR(FIND('112'!$M$9,G1823,1)),"",IF((AND(FIND('112'!$M$9,G1823,1)&gt;=1,$B1823&gt;='112'!$N$8,$B1823&lt;='112'!$O$8,OR($L1823='112'!$I$6,$M1823='112'!$I$6))),"x",""))</f>
        <v/>
      </c>
      <c r="S1823" s="39" t="str">
        <f>IF(ISERROR(FIND('112'!$M$9,G1823,1)),"",IF((AND(LEFT(G1823,2)=LEFT('112'!$M$9,2),B1823&lt;'112'!$N$8,$L1823='112'!$I$6)),"x",""))</f>
        <v/>
      </c>
      <c r="T1823" s="39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39" t="str">
        <f>IF(OR(TH!L1823=TH!$V$7,M1823=TH!$V$7),"x","")</f>
        <v/>
      </c>
      <c r="W1823" s="39" t="str">
        <f>IF(AND(B1823&gt;='IN-NX'!$P$3,B1823&lt;='IN-NX'!$Q$3,'IN-NX'!$D$7=D1823,OR(LEFT(L1823,2)="15",AND(LEFT(M1823,2)&lt;&gt;"15",LEFT(M1823,2)&lt;&gt;"33"))),"x","")</f>
        <v/>
      </c>
      <c r="X1823" s="39" t="str">
        <f>IF(AND(OR(LEFT(TH!L1823,2)="15",LEFT(TH!M1823,2)="15"),'152-CT'!$J$8=TH!F1823),"x","")</f>
        <v/>
      </c>
      <c r="Y1823" s="39" t="str">
        <f>IF(AND(OR(LEFT(TH!L1823,2)="15",LEFT(TH!M1823,2)="15"),TK!$E$7=TH!F1823),"x","")</f>
        <v/>
      </c>
      <c r="Z1823" s="39" t="str">
        <f>IF(AND(B1823&lt;=NKC!$N$8,B1823&gt;=NKC!$M$8),"x","")</f>
        <v>x</v>
      </c>
      <c r="AA1823" s="886"/>
    </row>
    <row r="1824" spans="1:27" s="211" customFormat="1" ht="15.75" customHeight="1">
      <c r="A1824" s="204" t="str">
        <f>IF(B1824&lt;&gt;"",IF(AND(B1824&gt;=_TM1,B1824&lt;=_TM2,OR(TH!L1824="1111",TH!M1824="1111")),TH!D1824,""),"")</f>
        <v/>
      </c>
      <c r="B1824" s="36">
        <f t="shared" si="255"/>
        <v>7</v>
      </c>
      <c r="C1824" s="191">
        <f t="shared" si="257"/>
        <v>41463</v>
      </c>
      <c r="D1824" s="191"/>
      <c r="E1824" s="774">
        <v>41463</v>
      </c>
      <c r="F1824" s="189" t="s">
        <v>869</v>
      </c>
      <c r="G1824" s="40" t="s">
        <v>868</v>
      </c>
      <c r="H1824" s="7" t="s">
        <v>1293</v>
      </c>
      <c r="I1824" s="256"/>
      <c r="J1824" s="256"/>
      <c r="K1824" s="602">
        <f t="shared" si="256"/>
        <v>0</v>
      </c>
      <c r="L1824" s="39" t="s">
        <v>173</v>
      </c>
      <c r="M1824" s="39" t="s">
        <v>167</v>
      </c>
      <c r="N1824" s="39" t="str">
        <f>IF(AND('331-CT'!$E$7=TH!H1824,OR(L1824="331",M1824="331")),"331",IF(AND(OR(L1824="131",M1824="131"),H1824='131-CT'!$E$7),"131",""))</f>
        <v/>
      </c>
      <c r="O1824" s="39" t="str">
        <f>IF(AND($B1824&gt;='111'!$N$11,$B1824&lt;='111'!$O$11,OR($L1824=$O$7,$M1824=$O$7)),"x","")</f>
        <v/>
      </c>
      <c r="P1824" s="39" t="str">
        <f>IF(AND($L1824=$O$7,$B1824&lt;'111'!$N$11),"x","")</f>
        <v/>
      </c>
      <c r="Q1824" s="39" t="str">
        <f>IF(AND($M1824=$O$7,$B1824&lt;'111'!$N$11),"x","")</f>
        <v/>
      </c>
      <c r="R1824" s="39" t="str">
        <f>IF(ISERROR(FIND('112'!$M$9,G1824,1)),"",IF((AND(FIND('112'!$M$9,G1824,1)&gt;=1,$B1824&gt;='112'!$N$8,$B1824&lt;='112'!$O$8,OR($L1824='112'!$I$6,$M1824='112'!$I$6))),"x",""))</f>
        <v/>
      </c>
      <c r="S1824" s="39" t="str">
        <f>IF(ISERROR(FIND('112'!$M$9,G1824,1)),"",IF((AND(LEFT(G1824,2)=LEFT('112'!$M$9,2),B1824&lt;'112'!$N$8,$L1824='112'!$I$6)),"x",""))</f>
        <v/>
      </c>
      <c r="T1824" s="39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39" t="str">
        <f>IF(OR(TH!L1824=TH!$V$7,M1824=TH!$V$7),"x","")</f>
        <v/>
      </c>
      <c r="W1824" s="39" t="str">
        <f>IF(AND(B1824&gt;='IN-NX'!$P$3,B1824&lt;='IN-NX'!$Q$3,'IN-NX'!$D$7=D1824,OR(LEFT(L1824,2)="15",AND(LEFT(M1824,2)&lt;&gt;"15",LEFT(M1824,2)&lt;&gt;"33"))),"x","")</f>
        <v/>
      </c>
      <c r="X1824" s="39" t="str">
        <f>IF(AND(OR(LEFT(TH!L1824,2)="15",LEFT(TH!M1824,2)="15"),'152-CT'!$J$8=TH!F1824),"x","")</f>
        <v/>
      </c>
      <c r="Y1824" s="39" t="str">
        <f>IF(AND(OR(LEFT(TH!L1824,2)="15",LEFT(TH!M1824,2)="15"),TK!$E$7=TH!F1824),"x","")</f>
        <v/>
      </c>
      <c r="Z1824" s="39" t="str">
        <f>IF(AND(B1824&lt;=NKC!$N$8,B1824&gt;=NKC!$M$8),"x","")</f>
        <v>x</v>
      </c>
      <c r="AA1824" s="886"/>
    </row>
    <row r="1825" spans="1:27" s="211" customFormat="1" ht="15.75" customHeight="1">
      <c r="A1825" s="204" t="str">
        <f>IF(B1825&lt;&gt;"",IF(AND(B1825&gt;=_TM1,B1825&lt;=_TM2,OR(TH!L1825="1111",TH!M1825="1111")),TH!D1825,""),"")</f>
        <v/>
      </c>
      <c r="B1825" s="36">
        <f t="shared" ref="B1825:B1888" si="258">IF(C1825&lt;&gt;"",MONTH(C1825),"")</f>
        <v>7</v>
      </c>
      <c r="C1825" s="191">
        <f t="shared" si="257"/>
        <v>41463</v>
      </c>
      <c r="D1825" s="191"/>
      <c r="E1825" s="774">
        <v>41463</v>
      </c>
      <c r="F1825" s="189" t="s">
        <v>723</v>
      </c>
      <c r="G1825" s="40" t="s">
        <v>870</v>
      </c>
      <c r="H1825" s="7" t="s">
        <v>1293</v>
      </c>
      <c r="I1825" s="256"/>
      <c r="J1825" s="256"/>
      <c r="K1825" s="602">
        <f t="shared" si="256"/>
        <v>0</v>
      </c>
      <c r="L1825" s="39" t="s">
        <v>173</v>
      </c>
      <c r="M1825" s="39" t="s">
        <v>167</v>
      </c>
      <c r="N1825" s="39" t="str">
        <f>IF(AND('331-CT'!$E$7=TH!H1825,OR(L1825="331",M1825="331")),"331",IF(AND(OR(L1825="131",M1825="131"),H1825='131-CT'!$E$7),"131",""))</f>
        <v/>
      </c>
      <c r="O1825" s="39" t="str">
        <f>IF(AND($B1825&gt;='111'!$N$11,$B1825&lt;='111'!$O$11,OR($L1825=$O$7,$M1825=$O$7)),"x","")</f>
        <v/>
      </c>
      <c r="P1825" s="39" t="str">
        <f>IF(AND($L1825=$O$7,$B1825&lt;'111'!$N$11),"x","")</f>
        <v/>
      </c>
      <c r="Q1825" s="39" t="str">
        <f>IF(AND($M1825=$O$7,$B1825&lt;'111'!$N$11),"x","")</f>
        <v/>
      </c>
      <c r="R1825" s="39" t="str">
        <f>IF(ISERROR(FIND('112'!$M$9,G1825,1)),"",IF((AND(FIND('112'!$M$9,G1825,1)&gt;=1,$B1825&gt;='112'!$N$8,$B1825&lt;='112'!$O$8,OR($L1825='112'!$I$6,$M1825='112'!$I$6))),"x",""))</f>
        <v/>
      </c>
      <c r="S1825" s="39" t="str">
        <f>IF(ISERROR(FIND('112'!$M$9,G1825,1)),"",IF((AND(LEFT(G1825,2)=LEFT('112'!$M$9,2),B1825&lt;'112'!$N$8,$L1825='112'!$I$6)),"x",""))</f>
        <v/>
      </c>
      <c r="T1825" s="39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39" t="str">
        <f>IF(OR(TH!L1825=TH!$V$7,M1825=TH!$V$7),"x","")</f>
        <v/>
      </c>
      <c r="W1825" s="39" t="str">
        <f>IF(AND(B1825&gt;='IN-NX'!$P$3,B1825&lt;='IN-NX'!$Q$3,'IN-NX'!$D$7=D1825,OR(LEFT(L1825,2)="15",AND(LEFT(M1825,2)&lt;&gt;"15",LEFT(M1825,2)&lt;&gt;"33"))),"x","")</f>
        <v/>
      </c>
      <c r="X1825" s="39" t="str">
        <f>IF(AND(OR(LEFT(TH!L1825,2)="15",LEFT(TH!M1825,2)="15"),'152-CT'!$J$8=TH!F1825),"x","")</f>
        <v/>
      </c>
      <c r="Y1825" s="39" t="str">
        <f>IF(AND(OR(LEFT(TH!L1825,2)="15",LEFT(TH!M1825,2)="15"),TK!$E$7=TH!F1825),"x","")</f>
        <v/>
      </c>
      <c r="Z1825" s="39" t="str">
        <f>IF(AND(B1825&lt;=NKC!$N$8,B1825&gt;=NKC!$M$8),"x","")</f>
        <v>x</v>
      </c>
      <c r="AA1825" s="886"/>
    </row>
    <row r="1826" spans="1:27" s="211" customFormat="1" ht="15.75" customHeight="1">
      <c r="A1826" s="204" t="str">
        <f>IF(B1826&lt;&gt;"",IF(AND(B1826&gt;=_TM1,B1826&lt;=_TM2,OR(TH!L1826="1111",TH!M1826="1111")),TH!D1826,""),"")</f>
        <v/>
      </c>
      <c r="B1826" s="36">
        <f t="shared" si="258"/>
        <v>7</v>
      </c>
      <c r="C1826" s="191">
        <f t="shared" si="257"/>
        <v>41463</v>
      </c>
      <c r="D1826" s="191"/>
      <c r="E1826" s="774">
        <v>41463</v>
      </c>
      <c r="F1826" s="189" t="s">
        <v>725</v>
      </c>
      <c r="G1826" s="40" t="s">
        <v>870</v>
      </c>
      <c r="H1826" s="7" t="s">
        <v>1293</v>
      </c>
      <c r="I1826" s="256"/>
      <c r="J1826" s="256"/>
      <c r="K1826" s="602">
        <f t="shared" si="256"/>
        <v>0</v>
      </c>
      <c r="L1826" s="39" t="s">
        <v>173</v>
      </c>
      <c r="M1826" s="39" t="s">
        <v>167</v>
      </c>
      <c r="N1826" s="39" t="str">
        <f>IF(AND('331-CT'!$E$7=TH!H1826,OR(L1826="331",M1826="331")),"331",IF(AND(OR(L1826="131",M1826="131"),H1826='131-CT'!$E$7),"131",""))</f>
        <v/>
      </c>
      <c r="O1826" s="39" t="str">
        <f>IF(AND($B1826&gt;='111'!$N$11,$B1826&lt;='111'!$O$11,OR($L1826=$O$7,$M1826=$O$7)),"x","")</f>
        <v/>
      </c>
      <c r="P1826" s="39" t="str">
        <f>IF(AND($L1826=$O$7,$B1826&lt;'111'!$N$11),"x","")</f>
        <v/>
      </c>
      <c r="Q1826" s="39" t="str">
        <f>IF(AND($M1826=$O$7,$B1826&lt;'111'!$N$11),"x","")</f>
        <v/>
      </c>
      <c r="R1826" s="39" t="str">
        <f>IF(ISERROR(FIND('112'!$M$9,G1826,1)),"",IF((AND(FIND('112'!$M$9,G1826,1)&gt;=1,$B1826&gt;='112'!$N$8,$B1826&lt;='112'!$O$8,OR($L1826='112'!$I$6,$M1826='112'!$I$6))),"x",""))</f>
        <v/>
      </c>
      <c r="S1826" s="39" t="str">
        <f>IF(ISERROR(FIND('112'!$M$9,G1826,1)),"",IF((AND(LEFT(G1826,2)=LEFT('112'!$M$9,2),B1826&lt;'112'!$N$8,$L1826='112'!$I$6)),"x",""))</f>
        <v/>
      </c>
      <c r="T1826" s="39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39" t="str">
        <f>IF(OR(TH!L1826=TH!$V$7,M1826=TH!$V$7),"x","")</f>
        <v/>
      </c>
      <c r="W1826" s="39" t="str">
        <f>IF(AND(B1826&gt;='IN-NX'!$P$3,B1826&lt;='IN-NX'!$Q$3,'IN-NX'!$D$7=D1826,OR(LEFT(L1826,2)="15",AND(LEFT(M1826,2)&lt;&gt;"15",LEFT(M1826,2)&lt;&gt;"33"))),"x","")</f>
        <v/>
      </c>
      <c r="X1826" s="39" t="str">
        <f>IF(AND(OR(LEFT(TH!L1826,2)="15",LEFT(TH!M1826,2)="15"),'152-CT'!$J$8=TH!F1826),"x","")</f>
        <v/>
      </c>
      <c r="Y1826" s="39" t="str">
        <f>IF(AND(OR(LEFT(TH!L1826,2)="15",LEFT(TH!M1826,2)="15"),TK!$E$7=TH!F1826),"x","")</f>
        <v/>
      </c>
      <c r="Z1826" s="39" t="str">
        <f>IF(AND(B1826&lt;=NKC!$N$8,B1826&gt;=NKC!$M$8),"x","")</f>
        <v>x</v>
      </c>
      <c r="AA1826" s="886"/>
    </row>
    <row r="1827" spans="1:27" s="211" customFormat="1" ht="15.75" customHeight="1">
      <c r="A1827" s="204" t="str">
        <f>IF(B1827&lt;&gt;"",IF(AND(B1827&gt;=_TM1,B1827&lt;=_TM2,OR(TH!L1827="1111",TH!M1827="1111")),TH!D1827,""),"")</f>
        <v/>
      </c>
      <c r="B1827" s="36">
        <f t="shared" si="258"/>
        <v>7</v>
      </c>
      <c r="C1827" s="191">
        <f t="shared" si="257"/>
        <v>41463</v>
      </c>
      <c r="D1827" s="191"/>
      <c r="E1827" s="774">
        <v>41463</v>
      </c>
      <c r="F1827" s="189" t="s">
        <v>871</v>
      </c>
      <c r="G1827" s="40" t="s">
        <v>870</v>
      </c>
      <c r="H1827" s="7" t="s">
        <v>1293</v>
      </c>
      <c r="I1827" s="256"/>
      <c r="J1827" s="256"/>
      <c r="K1827" s="602">
        <f t="shared" si="256"/>
        <v>0</v>
      </c>
      <c r="L1827" s="39" t="s">
        <v>173</v>
      </c>
      <c r="M1827" s="39" t="s">
        <v>167</v>
      </c>
      <c r="N1827" s="39" t="str">
        <f>IF(AND('331-CT'!$E$7=TH!H1827,OR(L1827="331",M1827="331")),"331",IF(AND(OR(L1827="131",M1827="131"),H1827='131-CT'!$E$7),"131",""))</f>
        <v/>
      </c>
      <c r="O1827" s="39" t="str">
        <f>IF(AND($B1827&gt;='111'!$N$11,$B1827&lt;='111'!$O$11,OR($L1827=$O$7,$M1827=$O$7)),"x","")</f>
        <v/>
      </c>
      <c r="P1827" s="39" t="str">
        <f>IF(AND($L1827=$O$7,$B1827&lt;'111'!$N$11),"x","")</f>
        <v/>
      </c>
      <c r="Q1827" s="39" t="str">
        <f>IF(AND($M1827=$O$7,$B1827&lt;'111'!$N$11),"x","")</f>
        <v/>
      </c>
      <c r="R1827" s="39" t="str">
        <f>IF(ISERROR(FIND('112'!$M$9,G1827,1)),"",IF((AND(FIND('112'!$M$9,G1827,1)&gt;=1,$B1827&gt;='112'!$N$8,$B1827&lt;='112'!$O$8,OR($L1827='112'!$I$6,$M1827='112'!$I$6))),"x",""))</f>
        <v/>
      </c>
      <c r="S1827" s="39" t="str">
        <f>IF(ISERROR(FIND('112'!$M$9,G1827,1)),"",IF((AND(LEFT(G1827,2)=LEFT('112'!$M$9,2),B1827&lt;'112'!$N$8,$L1827='112'!$I$6)),"x",""))</f>
        <v/>
      </c>
      <c r="T1827" s="39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39" t="str">
        <f>IF(OR(TH!L1827=TH!$V$7,M1827=TH!$V$7),"x","")</f>
        <v/>
      </c>
      <c r="W1827" s="39" t="str">
        <f>IF(AND(B1827&gt;='IN-NX'!$P$3,B1827&lt;='IN-NX'!$Q$3,'IN-NX'!$D$7=D1827,OR(LEFT(L1827,2)="15",AND(LEFT(M1827,2)&lt;&gt;"15",LEFT(M1827,2)&lt;&gt;"33"))),"x","")</f>
        <v/>
      </c>
      <c r="X1827" s="39" t="str">
        <f>IF(AND(OR(LEFT(TH!L1827,2)="15",LEFT(TH!M1827,2)="15"),'152-CT'!$J$8=TH!F1827),"x","")</f>
        <v/>
      </c>
      <c r="Y1827" s="39" t="str">
        <f>IF(AND(OR(LEFT(TH!L1827,2)="15",LEFT(TH!M1827,2)="15"),TK!$E$7=TH!F1827),"x","")</f>
        <v/>
      </c>
      <c r="Z1827" s="39" t="str">
        <f>IF(AND(B1827&lt;=NKC!$N$8,B1827&gt;=NKC!$M$8),"x","")</f>
        <v>x</v>
      </c>
      <c r="AA1827" s="886"/>
    </row>
    <row r="1828" spans="1:27" s="211" customFormat="1" ht="15.75" customHeight="1">
      <c r="A1828" s="204" t="str">
        <f>IF(B1828&lt;&gt;"",IF(AND(B1828&gt;=_TM1,B1828&lt;=_TM2,OR(TH!L1828="1111",TH!M1828="1111")),TH!D1828,""),"")</f>
        <v/>
      </c>
      <c r="B1828" s="36">
        <f t="shared" si="258"/>
        <v>7</v>
      </c>
      <c r="C1828" s="191">
        <f t="shared" si="257"/>
        <v>41463</v>
      </c>
      <c r="D1828" s="191"/>
      <c r="E1828" s="774">
        <v>41463</v>
      </c>
      <c r="F1828" s="297" t="s">
        <v>872</v>
      </c>
      <c r="G1828" s="40" t="s">
        <v>870</v>
      </c>
      <c r="H1828" s="7" t="s">
        <v>1293</v>
      </c>
      <c r="I1828" s="256"/>
      <c r="J1828" s="256"/>
      <c r="K1828" s="602">
        <f t="shared" si="256"/>
        <v>0</v>
      </c>
      <c r="L1828" s="39" t="s">
        <v>173</v>
      </c>
      <c r="M1828" s="39" t="s">
        <v>167</v>
      </c>
      <c r="N1828" s="39" t="str">
        <f>IF(AND('331-CT'!$E$7=TH!H1828,OR(L1828="331",M1828="331")),"331",IF(AND(OR(L1828="131",M1828="131"),H1828='131-CT'!$E$7),"131",""))</f>
        <v/>
      </c>
      <c r="O1828" s="39" t="str">
        <f>IF(AND($B1828&gt;='111'!$N$11,$B1828&lt;='111'!$O$11,OR($L1828=$O$7,$M1828=$O$7)),"x","")</f>
        <v/>
      </c>
      <c r="P1828" s="39" t="str">
        <f>IF(AND($L1828=$O$7,$B1828&lt;'111'!$N$11),"x","")</f>
        <v/>
      </c>
      <c r="Q1828" s="39" t="str">
        <f>IF(AND($M1828=$O$7,$B1828&lt;'111'!$N$11),"x","")</f>
        <v/>
      </c>
      <c r="R1828" s="39" t="str">
        <f>IF(ISERROR(FIND('112'!$M$9,G1828,1)),"",IF((AND(FIND('112'!$M$9,G1828,1)&gt;=1,$B1828&gt;='112'!$N$8,$B1828&lt;='112'!$O$8,OR($L1828='112'!$I$6,$M1828='112'!$I$6))),"x",""))</f>
        <v/>
      </c>
      <c r="S1828" s="39" t="str">
        <f>IF(ISERROR(FIND('112'!$M$9,G1828,1)),"",IF((AND(LEFT(G1828,2)=LEFT('112'!$M$9,2),B1828&lt;'112'!$N$8,$L1828='112'!$I$6)),"x",""))</f>
        <v/>
      </c>
      <c r="T1828" s="39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39" t="str">
        <f>IF(OR(TH!L1828=TH!$V$7,M1828=TH!$V$7),"x","")</f>
        <v/>
      </c>
      <c r="W1828" s="39" t="str">
        <f>IF(AND(B1828&gt;='IN-NX'!$P$3,B1828&lt;='IN-NX'!$Q$3,'IN-NX'!$D$7=D1828,OR(LEFT(L1828,2)="15",AND(LEFT(M1828,2)&lt;&gt;"15",LEFT(M1828,2)&lt;&gt;"33"))),"x","")</f>
        <v/>
      </c>
      <c r="X1828" s="39" t="str">
        <f>IF(AND(OR(LEFT(TH!L1828,2)="15",LEFT(TH!M1828,2)="15"),'152-CT'!$J$8=TH!F1828),"x","")</f>
        <v/>
      </c>
      <c r="Y1828" s="39" t="str">
        <f>IF(AND(OR(LEFT(TH!L1828,2)="15",LEFT(TH!M1828,2)="15"),TK!$E$7=TH!F1828),"x","")</f>
        <v/>
      </c>
      <c r="Z1828" s="39" t="str">
        <f>IF(AND(B1828&lt;=NKC!$N$8,B1828&gt;=NKC!$M$8),"x","")</f>
        <v>x</v>
      </c>
      <c r="AA1828" s="886"/>
    </row>
    <row r="1829" spans="1:27" s="211" customFormat="1" ht="15.75" customHeight="1">
      <c r="A1829" s="204" t="str">
        <f>IF(B1829&lt;&gt;"",IF(AND(B1829&gt;=_TM1,B1829&lt;=_TM2,OR(TH!L1829="1111",TH!M1829="1111")),TH!D1829,""),"")</f>
        <v/>
      </c>
      <c r="B1829" s="36">
        <f t="shared" si="258"/>
        <v>7</v>
      </c>
      <c r="C1829" s="191">
        <f t="shared" si="257"/>
        <v>41475</v>
      </c>
      <c r="D1829" s="191"/>
      <c r="E1829" s="774">
        <v>41475</v>
      </c>
      <c r="F1829" s="297" t="s">
        <v>731</v>
      </c>
      <c r="G1829" s="40" t="s">
        <v>873</v>
      </c>
      <c r="H1829" s="7" t="s">
        <v>1293</v>
      </c>
      <c r="I1829" s="256"/>
      <c r="J1829" s="256"/>
      <c r="K1829" s="602">
        <f t="shared" ref="K1829:K1892" si="259">ROUND(I1829*J1829,0)</f>
        <v>0</v>
      </c>
      <c r="L1829" s="39" t="s">
        <v>173</v>
      </c>
      <c r="M1829" s="39" t="s">
        <v>167</v>
      </c>
      <c r="N1829" s="39" t="str">
        <f>IF(AND('331-CT'!$E$7=TH!H1829,OR(L1829="331",M1829="331")),"331",IF(AND(OR(L1829="131",M1829="131"),H1829='131-CT'!$E$7),"131",""))</f>
        <v/>
      </c>
      <c r="O1829" s="39" t="str">
        <f>IF(AND($B1829&gt;='111'!$N$11,$B1829&lt;='111'!$O$11,OR($L1829=$O$7,$M1829=$O$7)),"x","")</f>
        <v/>
      </c>
      <c r="P1829" s="39" t="str">
        <f>IF(AND($L1829=$O$7,$B1829&lt;'111'!$N$11),"x","")</f>
        <v/>
      </c>
      <c r="Q1829" s="39" t="str">
        <f>IF(AND($M1829=$O$7,$B1829&lt;'111'!$N$11),"x","")</f>
        <v/>
      </c>
      <c r="R1829" s="39" t="str">
        <f>IF(ISERROR(FIND('112'!$M$9,G1829,1)),"",IF((AND(FIND('112'!$M$9,G1829,1)&gt;=1,$B1829&gt;='112'!$N$8,$B1829&lt;='112'!$O$8,OR($L1829='112'!$I$6,$M1829='112'!$I$6))),"x",""))</f>
        <v/>
      </c>
      <c r="S1829" s="39" t="str">
        <f>IF(ISERROR(FIND('112'!$M$9,G1829,1)),"",IF((AND(LEFT(G1829,2)=LEFT('112'!$M$9,2),B1829&lt;'112'!$N$8,$L1829='112'!$I$6)),"x",""))</f>
        <v/>
      </c>
      <c r="T1829" s="39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39" t="str">
        <f>IF(OR(TH!L1829=TH!$V$7,M1829=TH!$V$7),"x","")</f>
        <v/>
      </c>
      <c r="W1829" s="39" t="str">
        <f>IF(AND(B1829&gt;='IN-NX'!$P$3,B1829&lt;='IN-NX'!$Q$3,'IN-NX'!$D$7=D1829,OR(LEFT(L1829,2)="15",AND(LEFT(M1829,2)&lt;&gt;"15",LEFT(M1829,2)&lt;&gt;"33"))),"x","")</f>
        <v/>
      </c>
      <c r="X1829" s="39" t="str">
        <f>IF(AND(OR(LEFT(TH!L1829,2)="15",LEFT(TH!M1829,2)="15"),'152-CT'!$J$8=TH!F1829),"x","")</f>
        <v/>
      </c>
      <c r="Y1829" s="39" t="str">
        <f>IF(AND(OR(LEFT(TH!L1829,2)="15",LEFT(TH!M1829,2)="15"),TK!$E$7=TH!F1829),"x","")</f>
        <v/>
      </c>
      <c r="Z1829" s="39" t="str">
        <f>IF(AND(B1829&lt;=NKC!$N$8,B1829&gt;=NKC!$M$8),"x","")</f>
        <v>x</v>
      </c>
      <c r="AA1829" s="886"/>
    </row>
    <row r="1830" spans="1:27" s="211" customFormat="1" ht="15.75" customHeight="1">
      <c r="A1830" s="204" t="str">
        <f>IF(B1830&lt;&gt;"",IF(AND(B1830&gt;=_TM1,B1830&lt;=_TM2,OR(TH!L1830="1111",TH!M1830="1111")),TH!D1830,""),"")</f>
        <v/>
      </c>
      <c r="B1830" s="36">
        <f t="shared" si="258"/>
        <v>7</v>
      </c>
      <c r="C1830" s="191">
        <f t="shared" si="257"/>
        <v>41475</v>
      </c>
      <c r="D1830" s="191"/>
      <c r="E1830" s="184">
        <v>41475</v>
      </c>
      <c r="F1830" s="189" t="s">
        <v>838</v>
      </c>
      <c r="G1830" s="604" t="s">
        <v>874</v>
      </c>
      <c r="H1830" s="7" t="s">
        <v>1293</v>
      </c>
      <c r="I1830" s="256"/>
      <c r="J1830" s="256"/>
      <c r="K1830" s="602">
        <f t="shared" si="259"/>
        <v>0</v>
      </c>
      <c r="L1830" s="39" t="s">
        <v>173</v>
      </c>
      <c r="M1830" s="39" t="s">
        <v>167</v>
      </c>
      <c r="N1830" s="39" t="str">
        <f>IF(AND('331-CT'!$E$7=TH!H1830,OR(L1830="331",M1830="331")),"331",IF(AND(OR(L1830="131",M1830="131"),H1830='131-CT'!$E$7),"131",""))</f>
        <v/>
      </c>
      <c r="O1830" s="39" t="str">
        <f>IF(AND($B1830&gt;='111'!$N$11,$B1830&lt;='111'!$O$11,OR($L1830=$O$7,$M1830=$O$7)),"x","")</f>
        <v/>
      </c>
      <c r="P1830" s="39" t="str">
        <f>IF(AND($L1830=$O$7,$B1830&lt;'111'!$N$11),"x","")</f>
        <v/>
      </c>
      <c r="Q1830" s="39" t="str">
        <f>IF(AND($M1830=$O$7,$B1830&lt;'111'!$N$11),"x","")</f>
        <v/>
      </c>
      <c r="R1830" s="39" t="str">
        <f>IF(ISERROR(FIND('112'!$M$9,G1830,1)),"",IF((AND(FIND('112'!$M$9,G1830,1)&gt;=1,$B1830&gt;='112'!$N$8,$B1830&lt;='112'!$O$8,OR($L1830='112'!$I$6,$M1830='112'!$I$6))),"x",""))</f>
        <v/>
      </c>
      <c r="S1830" s="39" t="str">
        <f>IF(ISERROR(FIND('112'!$M$9,G1830,1)),"",IF((AND(LEFT(G1830,2)=LEFT('112'!$M$9,2),B1830&lt;'112'!$N$8,$L1830='112'!$I$6)),"x",""))</f>
        <v/>
      </c>
      <c r="T1830" s="39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39" t="str">
        <f>IF(OR(TH!L1830=TH!$V$7,M1830=TH!$V$7),"x","")</f>
        <v/>
      </c>
      <c r="W1830" s="39" t="str">
        <f>IF(AND(B1830&gt;='IN-NX'!$P$3,B1830&lt;='IN-NX'!$Q$3,'IN-NX'!$D$7=D1830,OR(LEFT(L1830,2)="15",AND(LEFT(M1830,2)&lt;&gt;"15",LEFT(M1830,2)&lt;&gt;"33"))),"x","")</f>
        <v/>
      </c>
      <c r="X1830" s="39" t="str">
        <f>IF(AND(OR(LEFT(TH!L1830,2)="15",LEFT(TH!M1830,2)="15"),'152-CT'!$J$8=TH!F1830),"x","")</f>
        <v/>
      </c>
      <c r="Y1830" s="39" t="str">
        <f>IF(AND(OR(LEFT(TH!L1830,2)="15",LEFT(TH!M1830,2)="15"),TK!$E$7=TH!F1830),"x","")</f>
        <v/>
      </c>
      <c r="Z1830" s="39" t="str">
        <f>IF(AND(B1830&lt;=NKC!$N$8,B1830&gt;=NKC!$M$8),"x","")</f>
        <v>x</v>
      </c>
      <c r="AA1830" s="886"/>
    </row>
    <row r="1831" spans="1:27" s="211" customFormat="1" ht="15.75" customHeight="1">
      <c r="A1831" s="204" t="str">
        <f>IF(B1831&lt;&gt;"",IF(AND(B1831&gt;=_TM1,B1831&lt;=_TM2,OR(TH!L1831="1111",TH!M1831="1111")),TH!D1831,""),"")</f>
        <v/>
      </c>
      <c r="B1831" s="36">
        <f t="shared" si="258"/>
        <v>7</v>
      </c>
      <c r="C1831" s="191">
        <f t="shared" si="257"/>
        <v>41477</v>
      </c>
      <c r="D1831" s="191"/>
      <c r="E1831" s="191">
        <v>41477</v>
      </c>
      <c r="F1831" s="192" t="s">
        <v>1156</v>
      </c>
      <c r="G1831" s="487" t="s">
        <v>875</v>
      </c>
      <c r="H1831" s="7" t="s">
        <v>1293</v>
      </c>
      <c r="I1831" s="256"/>
      <c r="J1831" s="256"/>
      <c r="K1831" s="602">
        <f t="shared" si="259"/>
        <v>0</v>
      </c>
      <c r="L1831" s="39" t="s">
        <v>173</v>
      </c>
      <c r="M1831" s="39" t="s">
        <v>167</v>
      </c>
      <c r="N1831" s="39" t="str">
        <f>IF(AND('331-CT'!$E$7=TH!H1831,OR(L1831="331",M1831="331")),"331",IF(AND(OR(L1831="131",M1831="131"),H1831='131-CT'!$E$7),"131",""))</f>
        <v/>
      </c>
      <c r="O1831" s="39" t="str">
        <f>IF(AND($B1831&gt;='111'!$N$11,$B1831&lt;='111'!$O$11,OR($L1831=$O$7,$M1831=$O$7)),"x","")</f>
        <v/>
      </c>
      <c r="P1831" s="39" t="str">
        <f>IF(AND($L1831=$O$7,$B1831&lt;'111'!$N$11),"x","")</f>
        <v/>
      </c>
      <c r="Q1831" s="39" t="str">
        <f>IF(AND($M1831=$O$7,$B1831&lt;'111'!$N$11),"x","")</f>
        <v/>
      </c>
      <c r="R1831" s="39" t="str">
        <f>IF(ISERROR(FIND('112'!$M$9,G1831,1)),"",IF((AND(FIND('112'!$M$9,G1831,1)&gt;=1,$B1831&gt;='112'!$N$8,$B1831&lt;='112'!$O$8,OR($L1831='112'!$I$6,$M1831='112'!$I$6))),"x",""))</f>
        <v/>
      </c>
      <c r="S1831" s="39" t="str">
        <f>IF(ISERROR(FIND('112'!$M$9,G1831,1)),"",IF((AND(LEFT(G1831,2)=LEFT('112'!$M$9,2),B1831&lt;'112'!$N$8,$L1831='112'!$I$6)),"x",""))</f>
        <v/>
      </c>
      <c r="T1831" s="39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39" t="str">
        <f>IF(OR(TH!L1831=TH!$V$7,M1831=TH!$V$7),"x","")</f>
        <v/>
      </c>
      <c r="W1831" s="39" t="str">
        <f>IF(AND(B1831&gt;='IN-NX'!$P$3,B1831&lt;='IN-NX'!$Q$3,'IN-NX'!$D$7=D1831,OR(LEFT(L1831,2)="15",AND(LEFT(M1831,2)&lt;&gt;"15",LEFT(M1831,2)&lt;&gt;"33"))),"x","")</f>
        <v/>
      </c>
      <c r="X1831" s="39" t="str">
        <f>IF(AND(OR(LEFT(TH!L1831,2)="15",LEFT(TH!M1831,2)="15"),'152-CT'!$J$8=TH!F1831),"x","")</f>
        <v/>
      </c>
      <c r="Y1831" s="39" t="str">
        <f>IF(AND(OR(LEFT(TH!L1831,2)="15",LEFT(TH!M1831,2)="15"),TK!$E$7=TH!F1831),"x","")</f>
        <v/>
      </c>
      <c r="Z1831" s="39" t="str">
        <f>IF(AND(B1831&lt;=NKC!$N$8,B1831&gt;=NKC!$M$8),"x","")</f>
        <v>x</v>
      </c>
      <c r="AA1831" s="886"/>
    </row>
    <row r="1832" spans="1:27" s="211" customFormat="1" ht="15.75" customHeight="1">
      <c r="A1832" s="204" t="str">
        <f>IF(B1832&lt;&gt;"",IF(AND(B1832&gt;=_TM1,B1832&lt;=_TM2,OR(TH!L1832="1111",TH!M1832="1111")),TH!D1832,""),"")</f>
        <v/>
      </c>
      <c r="B1832" s="36">
        <f t="shared" si="258"/>
        <v>7</v>
      </c>
      <c r="C1832" s="191">
        <f t="shared" si="257"/>
        <v>41477</v>
      </c>
      <c r="D1832" s="191"/>
      <c r="E1832" s="191">
        <v>41477</v>
      </c>
      <c r="F1832" s="192" t="s">
        <v>876</v>
      </c>
      <c r="G1832" s="487" t="s">
        <v>875</v>
      </c>
      <c r="H1832" s="7" t="s">
        <v>1293</v>
      </c>
      <c r="I1832" s="256"/>
      <c r="J1832" s="256"/>
      <c r="K1832" s="602">
        <f t="shared" si="259"/>
        <v>0</v>
      </c>
      <c r="L1832" s="39" t="s">
        <v>173</v>
      </c>
      <c r="M1832" s="39" t="s">
        <v>167</v>
      </c>
      <c r="N1832" s="39" t="str">
        <f>IF(AND('331-CT'!$E$7=TH!H1832,OR(L1832="331",M1832="331")),"331",IF(AND(OR(L1832="131",M1832="131"),H1832='131-CT'!$E$7),"131",""))</f>
        <v/>
      </c>
      <c r="O1832" s="39" t="str">
        <f>IF(AND($B1832&gt;='111'!$N$11,$B1832&lt;='111'!$O$11,OR($L1832=$O$7,$M1832=$O$7)),"x","")</f>
        <v/>
      </c>
      <c r="P1832" s="39" t="str">
        <f>IF(AND($L1832=$O$7,$B1832&lt;'111'!$N$11),"x","")</f>
        <v/>
      </c>
      <c r="Q1832" s="39" t="str">
        <f>IF(AND($M1832=$O$7,$B1832&lt;'111'!$N$11),"x","")</f>
        <v/>
      </c>
      <c r="R1832" s="39" t="str">
        <f>IF(ISERROR(FIND('112'!$M$9,G1832,1)),"",IF((AND(FIND('112'!$M$9,G1832,1)&gt;=1,$B1832&gt;='112'!$N$8,$B1832&lt;='112'!$O$8,OR($L1832='112'!$I$6,$M1832='112'!$I$6))),"x",""))</f>
        <v/>
      </c>
      <c r="S1832" s="39" t="str">
        <f>IF(ISERROR(FIND('112'!$M$9,G1832,1)),"",IF((AND(LEFT(G1832,2)=LEFT('112'!$M$9,2),B1832&lt;'112'!$N$8,$L1832='112'!$I$6)),"x",""))</f>
        <v/>
      </c>
      <c r="T1832" s="39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39" t="str">
        <f>IF(OR(TH!L1832=TH!$V$7,M1832=TH!$V$7),"x","")</f>
        <v/>
      </c>
      <c r="W1832" s="39" t="str">
        <f>IF(AND(B1832&gt;='IN-NX'!$P$3,B1832&lt;='IN-NX'!$Q$3,'IN-NX'!$D$7=D1832,OR(LEFT(L1832,2)="15",AND(LEFT(M1832,2)&lt;&gt;"15",LEFT(M1832,2)&lt;&gt;"33"))),"x","")</f>
        <v/>
      </c>
      <c r="X1832" s="39" t="str">
        <f>IF(AND(OR(LEFT(TH!L1832,2)="15",LEFT(TH!M1832,2)="15"),'152-CT'!$J$8=TH!F1832),"x","")</f>
        <v/>
      </c>
      <c r="Y1832" s="39" t="str">
        <f>IF(AND(OR(LEFT(TH!L1832,2)="15",LEFT(TH!M1832,2)="15"),TK!$E$7=TH!F1832),"x","")</f>
        <v/>
      </c>
      <c r="Z1832" s="39" t="str">
        <f>IF(AND(B1832&lt;=NKC!$N$8,B1832&gt;=NKC!$M$8),"x","")</f>
        <v>x</v>
      </c>
      <c r="AA1832" s="886"/>
    </row>
    <row r="1833" spans="1:27" s="211" customFormat="1" ht="15.75" customHeight="1">
      <c r="A1833" s="204" t="str">
        <f>IF(B1833&lt;&gt;"",IF(AND(B1833&gt;=_TM1,B1833&lt;=_TM2,OR(TH!L1833="1111",TH!M1833="1111")),TH!D1833,""),"")</f>
        <v/>
      </c>
      <c r="B1833" s="36">
        <f t="shared" si="258"/>
        <v>7</v>
      </c>
      <c r="C1833" s="191">
        <f t="shared" si="257"/>
        <v>41477</v>
      </c>
      <c r="D1833" s="191"/>
      <c r="E1833" s="191">
        <v>41477</v>
      </c>
      <c r="F1833" s="192" t="s">
        <v>877</v>
      </c>
      <c r="G1833" s="487" t="s">
        <v>878</v>
      </c>
      <c r="H1833" s="7" t="s">
        <v>1293</v>
      </c>
      <c r="I1833" s="256"/>
      <c r="J1833" s="256"/>
      <c r="K1833" s="602">
        <f t="shared" si="259"/>
        <v>0</v>
      </c>
      <c r="L1833" s="39" t="s">
        <v>173</v>
      </c>
      <c r="M1833" s="39" t="s">
        <v>167</v>
      </c>
      <c r="N1833" s="39" t="str">
        <f>IF(AND('331-CT'!$E$7=TH!H1833,OR(L1833="331",M1833="331")),"331",IF(AND(OR(L1833="131",M1833="131"),H1833='131-CT'!$E$7),"131",""))</f>
        <v/>
      </c>
      <c r="O1833" s="39" t="str">
        <f>IF(AND($B1833&gt;='111'!$N$11,$B1833&lt;='111'!$O$11,OR($L1833=$O$7,$M1833=$O$7)),"x","")</f>
        <v/>
      </c>
      <c r="P1833" s="39" t="str">
        <f>IF(AND($L1833=$O$7,$B1833&lt;'111'!$N$11),"x","")</f>
        <v/>
      </c>
      <c r="Q1833" s="39" t="str">
        <f>IF(AND($M1833=$O$7,$B1833&lt;'111'!$N$11),"x","")</f>
        <v/>
      </c>
      <c r="R1833" s="39" t="str">
        <f>IF(ISERROR(FIND('112'!$M$9,G1833,1)),"",IF((AND(FIND('112'!$M$9,G1833,1)&gt;=1,$B1833&gt;='112'!$N$8,$B1833&lt;='112'!$O$8,OR($L1833='112'!$I$6,$M1833='112'!$I$6))),"x",""))</f>
        <v/>
      </c>
      <c r="S1833" s="39" t="str">
        <f>IF(ISERROR(FIND('112'!$M$9,G1833,1)),"",IF((AND(LEFT(G1833,2)=LEFT('112'!$M$9,2),B1833&lt;'112'!$N$8,$L1833='112'!$I$6)),"x",""))</f>
        <v/>
      </c>
      <c r="T1833" s="39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39" t="str">
        <f>IF(OR(TH!L1833=TH!$V$7,M1833=TH!$V$7),"x","")</f>
        <v/>
      </c>
      <c r="W1833" s="39" t="str">
        <f>IF(AND(B1833&gt;='IN-NX'!$P$3,B1833&lt;='IN-NX'!$Q$3,'IN-NX'!$D$7=D1833,OR(LEFT(L1833,2)="15",AND(LEFT(M1833,2)&lt;&gt;"15",LEFT(M1833,2)&lt;&gt;"33"))),"x","")</f>
        <v/>
      </c>
      <c r="X1833" s="39" t="str">
        <f>IF(AND(OR(LEFT(TH!L1833,2)="15",LEFT(TH!M1833,2)="15"),'152-CT'!$J$8=TH!F1833),"x","")</f>
        <v/>
      </c>
      <c r="Y1833" s="39" t="str">
        <f>IF(AND(OR(LEFT(TH!L1833,2)="15",LEFT(TH!M1833,2)="15"),TK!$E$7=TH!F1833),"x","")</f>
        <v/>
      </c>
      <c r="Z1833" s="39" t="str">
        <f>IF(AND(B1833&lt;=NKC!$N$8,B1833&gt;=NKC!$M$8),"x","")</f>
        <v>x</v>
      </c>
      <c r="AA1833" s="886"/>
    </row>
    <row r="1834" spans="1:27" s="211" customFormat="1" ht="15.75" customHeight="1">
      <c r="A1834" s="204" t="str">
        <f>IF(B1834&lt;&gt;"",IF(AND(B1834&gt;=_TM1,B1834&lt;=_TM2,OR(TH!L1834="1111",TH!M1834="1111")),TH!D1834,""),"")</f>
        <v/>
      </c>
      <c r="B1834" s="36">
        <f t="shared" si="258"/>
        <v>7</v>
      </c>
      <c r="C1834" s="191">
        <f t="shared" si="257"/>
        <v>41477</v>
      </c>
      <c r="D1834" s="191"/>
      <c r="E1834" s="37">
        <v>41477</v>
      </c>
      <c r="F1834" s="40" t="s">
        <v>880</v>
      </c>
      <c r="G1834" s="40" t="s">
        <v>878</v>
      </c>
      <c r="H1834" s="7" t="s">
        <v>1293</v>
      </c>
      <c r="I1834" s="256"/>
      <c r="J1834" s="256"/>
      <c r="K1834" s="602">
        <f t="shared" si="259"/>
        <v>0</v>
      </c>
      <c r="L1834" s="39" t="s">
        <v>173</v>
      </c>
      <c r="M1834" s="39" t="s">
        <v>167</v>
      </c>
      <c r="N1834" s="39" t="str">
        <f>IF(AND('331-CT'!$E$7=TH!H1834,OR(L1834="331",M1834="331")),"331",IF(AND(OR(L1834="131",M1834="131"),H1834='131-CT'!$E$7),"131",""))</f>
        <v/>
      </c>
      <c r="O1834" s="39" t="str">
        <f>IF(AND($B1834&gt;='111'!$N$11,$B1834&lt;='111'!$O$11,OR($L1834=$O$7,$M1834=$O$7)),"x","")</f>
        <v/>
      </c>
      <c r="P1834" s="39" t="str">
        <f>IF(AND($L1834=$O$7,$B1834&lt;'111'!$N$11),"x","")</f>
        <v/>
      </c>
      <c r="Q1834" s="39" t="str">
        <f>IF(AND($M1834=$O$7,$B1834&lt;'111'!$N$11),"x","")</f>
        <v/>
      </c>
      <c r="R1834" s="39" t="str">
        <f>IF(ISERROR(FIND('112'!$M$9,G1834,1)),"",IF((AND(FIND('112'!$M$9,G1834,1)&gt;=1,$B1834&gt;='112'!$N$8,$B1834&lt;='112'!$O$8,OR($L1834='112'!$I$6,$M1834='112'!$I$6))),"x",""))</f>
        <v/>
      </c>
      <c r="S1834" s="39" t="str">
        <f>IF(ISERROR(FIND('112'!$M$9,G1834,1)),"",IF((AND(LEFT(G1834,2)=LEFT('112'!$M$9,2),B1834&lt;'112'!$N$8,$L1834='112'!$I$6)),"x",""))</f>
        <v/>
      </c>
      <c r="T1834" s="39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39" t="str">
        <f>IF(OR(TH!L1834=TH!$V$7,M1834=TH!$V$7),"x","")</f>
        <v/>
      </c>
      <c r="W1834" s="39" t="str">
        <f>IF(AND(B1834&gt;='IN-NX'!$P$3,B1834&lt;='IN-NX'!$Q$3,'IN-NX'!$D$7=D1834,OR(LEFT(L1834,2)="15",AND(LEFT(M1834,2)&lt;&gt;"15",LEFT(M1834,2)&lt;&gt;"33"))),"x","")</f>
        <v/>
      </c>
      <c r="X1834" s="39" t="str">
        <f>IF(AND(OR(LEFT(TH!L1834,2)="15",LEFT(TH!M1834,2)="15"),'152-CT'!$J$8=TH!F1834),"x","")</f>
        <v/>
      </c>
      <c r="Y1834" s="39" t="str">
        <f>IF(AND(OR(LEFT(TH!L1834,2)="15",LEFT(TH!M1834,2)="15"),TK!$E$7=TH!F1834),"x","")</f>
        <v/>
      </c>
      <c r="Z1834" s="39" t="str">
        <f>IF(AND(B1834&lt;=NKC!$N$8,B1834&gt;=NKC!$M$8),"x","")</f>
        <v>x</v>
      </c>
      <c r="AA1834" s="886"/>
    </row>
    <row r="1835" spans="1:27" s="211" customFormat="1" ht="15.75" customHeight="1">
      <c r="A1835" s="204" t="str">
        <f>IF(B1835&lt;&gt;"",IF(AND(B1835&gt;=_TM1,B1835&lt;=_TM2,OR(TH!L1835="1111",TH!M1835="1111")),TH!D1835,""),"")</f>
        <v/>
      </c>
      <c r="B1835" s="36">
        <f t="shared" si="258"/>
        <v>7</v>
      </c>
      <c r="C1835" s="191">
        <f t="shared" si="257"/>
        <v>41477</v>
      </c>
      <c r="D1835" s="191"/>
      <c r="E1835" s="37">
        <v>41477</v>
      </c>
      <c r="F1835" s="40" t="s">
        <v>881</v>
      </c>
      <c r="G1835" s="40" t="s">
        <v>878</v>
      </c>
      <c r="H1835" s="7" t="s">
        <v>1293</v>
      </c>
      <c r="I1835" s="256"/>
      <c r="J1835" s="256"/>
      <c r="K1835" s="602">
        <f t="shared" si="259"/>
        <v>0</v>
      </c>
      <c r="L1835" s="39" t="s">
        <v>173</v>
      </c>
      <c r="M1835" s="39" t="s">
        <v>167</v>
      </c>
      <c r="N1835" s="39" t="str">
        <f>IF(AND('331-CT'!$E$7=TH!H1835,OR(L1835="331",M1835="331")),"331",IF(AND(OR(L1835="131",M1835="131"),H1835='131-CT'!$E$7),"131",""))</f>
        <v/>
      </c>
      <c r="O1835" s="39" t="str">
        <f>IF(AND($B1835&gt;='111'!$N$11,$B1835&lt;='111'!$O$11,OR($L1835=$O$7,$M1835=$O$7)),"x","")</f>
        <v/>
      </c>
      <c r="P1835" s="39" t="str">
        <f>IF(AND($L1835=$O$7,$B1835&lt;'111'!$N$11),"x","")</f>
        <v/>
      </c>
      <c r="Q1835" s="39" t="str">
        <f>IF(AND($M1835=$O$7,$B1835&lt;'111'!$N$11),"x","")</f>
        <v/>
      </c>
      <c r="R1835" s="39" t="str">
        <f>IF(ISERROR(FIND('112'!$M$9,G1835,1)),"",IF((AND(FIND('112'!$M$9,G1835,1)&gt;=1,$B1835&gt;='112'!$N$8,$B1835&lt;='112'!$O$8,OR($L1835='112'!$I$6,$M1835='112'!$I$6))),"x",""))</f>
        <v/>
      </c>
      <c r="S1835" s="39" t="str">
        <f>IF(ISERROR(FIND('112'!$M$9,G1835,1)),"",IF((AND(LEFT(G1835,2)=LEFT('112'!$M$9,2),B1835&lt;'112'!$N$8,$L1835='112'!$I$6)),"x",""))</f>
        <v/>
      </c>
      <c r="T1835" s="39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39" t="str">
        <f>IF(OR(TH!L1835=TH!$V$7,M1835=TH!$V$7),"x","")</f>
        <v/>
      </c>
      <c r="W1835" s="39" t="str">
        <f>IF(AND(B1835&gt;='IN-NX'!$P$3,B1835&lt;='IN-NX'!$Q$3,'IN-NX'!$D$7=D1835,OR(LEFT(L1835,2)="15",AND(LEFT(M1835,2)&lt;&gt;"15",LEFT(M1835,2)&lt;&gt;"33"))),"x","")</f>
        <v/>
      </c>
      <c r="X1835" s="39" t="str">
        <f>IF(AND(OR(LEFT(TH!L1835,2)="15",LEFT(TH!M1835,2)="15"),'152-CT'!$J$8=TH!F1835),"x","")</f>
        <v/>
      </c>
      <c r="Y1835" s="39" t="str">
        <f>IF(AND(OR(LEFT(TH!L1835,2)="15",LEFT(TH!M1835,2)="15"),TK!$E$7=TH!F1835),"x","")</f>
        <v/>
      </c>
      <c r="Z1835" s="39" t="str">
        <f>IF(AND(B1835&lt;=NKC!$N$8,B1835&gt;=NKC!$M$8),"x","")</f>
        <v>x</v>
      </c>
      <c r="AA1835" s="886"/>
    </row>
    <row r="1836" spans="1:27" s="211" customFormat="1" ht="15.75" customHeight="1">
      <c r="A1836" s="204" t="str">
        <f>IF(B1836&lt;&gt;"",IF(AND(B1836&gt;=_TM1,B1836&lt;=_TM2,OR(TH!L1836="1111",TH!M1836="1111")),TH!D1836,""),"")</f>
        <v/>
      </c>
      <c r="B1836" s="36">
        <f t="shared" si="258"/>
        <v>7</v>
      </c>
      <c r="C1836" s="191">
        <f t="shared" si="257"/>
        <v>41477</v>
      </c>
      <c r="D1836" s="191"/>
      <c r="E1836" s="191">
        <v>41477</v>
      </c>
      <c r="F1836" s="192" t="s">
        <v>882</v>
      </c>
      <c r="G1836" s="487" t="s">
        <v>878</v>
      </c>
      <c r="H1836" s="7" t="s">
        <v>1293</v>
      </c>
      <c r="I1836" s="256"/>
      <c r="J1836" s="256"/>
      <c r="K1836" s="602">
        <f t="shared" si="259"/>
        <v>0</v>
      </c>
      <c r="L1836" s="39" t="s">
        <v>173</v>
      </c>
      <c r="M1836" s="39" t="s">
        <v>167</v>
      </c>
      <c r="N1836" s="39" t="str">
        <f>IF(AND('331-CT'!$E$7=TH!H1836,OR(L1836="331",M1836="331")),"331",IF(AND(OR(L1836="131",M1836="131"),H1836='131-CT'!$E$7),"131",""))</f>
        <v/>
      </c>
      <c r="O1836" s="39" t="str">
        <f>IF(AND($B1836&gt;='111'!$N$11,$B1836&lt;='111'!$O$11,OR($L1836=$O$7,$M1836=$O$7)),"x","")</f>
        <v/>
      </c>
      <c r="P1836" s="39" t="str">
        <f>IF(AND($L1836=$O$7,$B1836&lt;'111'!$N$11),"x","")</f>
        <v/>
      </c>
      <c r="Q1836" s="39" t="str">
        <f>IF(AND($M1836=$O$7,$B1836&lt;'111'!$N$11),"x","")</f>
        <v/>
      </c>
      <c r="R1836" s="39" t="str">
        <f>IF(ISERROR(FIND('112'!$M$9,G1836,1)),"",IF((AND(FIND('112'!$M$9,G1836,1)&gt;=1,$B1836&gt;='112'!$N$8,$B1836&lt;='112'!$O$8,OR($L1836='112'!$I$6,$M1836='112'!$I$6))),"x",""))</f>
        <v/>
      </c>
      <c r="S1836" s="39" t="str">
        <f>IF(ISERROR(FIND('112'!$M$9,G1836,1)),"",IF((AND(LEFT(G1836,2)=LEFT('112'!$M$9,2),B1836&lt;'112'!$N$8,$L1836='112'!$I$6)),"x",""))</f>
        <v/>
      </c>
      <c r="T1836" s="39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39" t="str">
        <f>IF(OR(TH!L1836=TH!$V$7,M1836=TH!$V$7),"x","")</f>
        <v/>
      </c>
      <c r="W1836" s="39" t="str">
        <f>IF(AND(B1836&gt;='IN-NX'!$P$3,B1836&lt;='IN-NX'!$Q$3,'IN-NX'!$D$7=D1836,OR(LEFT(L1836,2)="15",AND(LEFT(M1836,2)&lt;&gt;"15",LEFT(M1836,2)&lt;&gt;"33"))),"x","")</f>
        <v/>
      </c>
      <c r="X1836" s="39" t="str">
        <f>IF(AND(OR(LEFT(TH!L1836,2)="15",LEFT(TH!M1836,2)="15"),'152-CT'!$J$8=TH!F1836),"x","")</f>
        <v/>
      </c>
      <c r="Y1836" s="39" t="str">
        <f>IF(AND(OR(LEFT(TH!L1836,2)="15",LEFT(TH!M1836,2)="15"),TK!$E$7=TH!F1836),"x","")</f>
        <v/>
      </c>
      <c r="Z1836" s="39" t="str">
        <f>IF(AND(B1836&lt;=NKC!$N$8,B1836&gt;=NKC!$M$8),"x","")</f>
        <v>x</v>
      </c>
      <c r="AA1836" s="886"/>
    </row>
    <row r="1837" spans="1:27" s="211" customFormat="1" ht="15.75" customHeight="1">
      <c r="A1837" s="204" t="str">
        <f>IF(B1837&lt;&gt;"",IF(AND(B1837&gt;=_TM1,B1837&lt;=_TM2,OR(TH!L1837="1111",TH!M1837="1111")),TH!D1837,""),"")</f>
        <v/>
      </c>
      <c r="B1837" s="36">
        <f t="shared" si="258"/>
        <v>7</v>
      </c>
      <c r="C1837" s="191">
        <f t="shared" si="257"/>
        <v>41477</v>
      </c>
      <c r="D1837" s="191"/>
      <c r="E1837" s="191">
        <v>41477</v>
      </c>
      <c r="F1837" s="192" t="s">
        <v>883</v>
      </c>
      <c r="G1837" s="487" t="s">
        <v>878</v>
      </c>
      <c r="H1837" s="7" t="s">
        <v>1293</v>
      </c>
      <c r="I1837" s="256"/>
      <c r="J1837" s="256"/>
      <c r="K1837" s="602">
        <f t="shared" si="259"/>
        <v>0</v>
      </c>
      <c r="L1837" s="39" t="s">
        <v>173</v>
      </c>
      <c r="M1837" s="39" t="s">
        <v>167</v>
      </c>
      <c r="N1837" s="39" t="str">
        <f>IF(AND('331-CT'!$E$7=TH!H1837,OR(L1837="331",M1837="331")),"331",IF(AND(OR(L1837="131",M1837="131"),H1837='131-CT'!$E$7),"131",""))</f>
        <v/>
      </c>
      <c r="O1837" s="39" t="str">
        <f>IF(AND($B1837&gt;='111'!$N$11,$B1837&lt;='111'!$O$11,OR($L1837=$O$7,$M1837=$O$7)),"x","")</f>
        <v/>
      </c>
      <c r="P1837" s="39" t="str">
        <f>IF(AND($L1837=$O$7,$B1837&lt;'111'!$N$11),"x","")</f>
        <v/>
      </c>
      <c r="Q1837" s="39" t="str">
        <f>IF(AND($M1837=$O$7,$B1837&lt;'111'!$N$11),"x","")</f>
        <v/>
      </c>
      <c r="R1837" s="39" t="str">
        <f>IF(ISERROR(FIND('112'!$M$9,G1837,1)),"",IF((AND(FIND('112'!$M$9,G1837,1)&gt;=1,$B1837&gt;='112'!$N$8,$B1837&lt;='112'!$O$8,OR($L1837='112'!$I$6,$M1837='112'!$I$6))),"x",""))</f>
        <v/>
      </c>
      <c r="S1837" s="39" t="str">
        <f>IF(ISERROR(FIND('112'!$M$9,G1837,1)),"",IF((AND(LEFT(G1837,2)=LEFT('112'!$M$9,2),B1837&lt;'112'!$N$8,$L1837='112'!$I$6)),"x",""))</f>
        <v/>
      </c>
      <c r="T1837" s="39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39" t="str">
        <f>IF(OR(TH!L1837=TH!$V$7,M1837=TH!$V$7),"x","")</f>
        <v/>
      </c>
      <c r="W1837" s="39" t="str">
        <f>IF(AND(B1837&gt;='IN-NX'!$P$3,B1837&lt;='IN-NX'!$Q$3,'IN-NX'!$D$7=D1837,OR(LEFT(L1837,2)="15",AND(LEFT(M1837,2)&lt;&gt;"15",LEFT(M1837,2)&lt;&gt;"33"))),"x","")</f>
        <v/>
      </c>
      <c r="X1837" s="39" t="str">
        <f>IF(AND(OR(LEFT(TH!L1837,2)="15",LEFT(TH!M1837,2)="15"),'152-CT'!$J$8=TH!F1837),"x","")</f>
        <v/>
      </c>
      <c r="Y1837" s="39" t="str">
        <f>IF(AND(OR(LEFT(TH!L1837,2)="15",LEFT(TH!M1837,2)="15"),TK!$E$7=TH!F1837),"x","")</f>
        <v/>
      </c>
      <c r="Z1837" s="39" t="str">
        <f>IF(AND(B1837&lt;=NKC!$N$8,B1837&gt;=NKC!$M$8),"x","")</f>
        <v>x</v>
      </c>
      <c r="AA1837" s="886"/>
    </row>
    <row r="1838" spans="1:27" s="211" customFormat="1" ht="15.75" customHeight="1">
      <c r="A1838" s="204" t="str">
        <f>IF(B1838&lt;&gt;"",IF(AND(B1838&gt;=_TM1,B1838&lt;=_TM2,OR(TH!L1838="1111",TH!M1838="1111")),TH!D1838,""),"")</f>
        <v/>
      </c>
      <c r="B1838" s="36">
        <f t="shared" si="258"/>
        <v>7</v>
      </c>
      <c r="C1838" s="191">
        <f t="shared" si="257"/>
        <v>41477</v>
      </c>
      <c r="D1838" s="191"/>
      <c r="E1838" s="191">
        <v>41477</v>
      </c>
      <c r="F1838" s="192" t="s">
        <v>884</v>
      </c>
      <c r="G1838" s="487" t="s">
        <v>878</v>
      </c>
      <c r="H1838" s="7" t="s">
        <v>1293</v>
      </c>
      <c r="I1838" s="256"/>
      <c r="J1838" s="256"/>
      <c r="K1838" s="602">
        <f t="shared" si="259"/>
        <v>0</v>
      </c>
      <c r="L1838" s="39" t="s">
        <v>173</v>
      </c>
      <c r="M1838" s="39" t="s">
        <v>167</v>
      </c>
      <c r="N1838" s="39" t="str">
        <f>IF(AND('331-CT'!$E$7=TH!H1838,OR(L1838="331",M1838="331")),"331",IF(AND(OR(L1838="131",M1838="131"),H1838='131-CT'!$E$7),"131",""))</f>
        <v/>
      </c>
      <c r="O1838" s="39" t="str">
        <f>IF(AND($B1838&gt;='111'!$N$11,$B1838&lt;='111'!$O$11,OR($L1838=$O$7,$M1838=$O$7)),"x","")</f>
        <v/>
      </c>
      <c r="P1838" s="39" t="str">
        <f>IF(AND($L1838=$O$7,$B1838&lt;'111'!$N$11),"x","")</f>
        <v/>
      </c>
      <c r="Q1838" s="39" t="str">
        <f>IF(AND($M1838=$O$7,$B1838&lt;'111'!$N$11),"x","")</f>
        <v/>
      </c>
      <c r="R1838" s="39" t="str">
        <f>IF(ISERROR(FIND('112'!$M$9,G1838,1)),"",IF((AND(FIND('112'!$M$9,G1838,1)&gt;=1,$B1838&gt;='112'!$N$8,$B1838&lt;='112'!$O$8,OR($L1838='112'!$I$6,$M1838='112'!$I$6))),"x",""))</f>
        <v/>
      </c>
      <c r="S1838" s="39" t="str">
        <f>IF(ISERROR(FIND('112'!$M$9,G1838,1)),"",IF((AND(LEFT(G1838,2)=LEFT('112'!$M$9,2),B1838&lt;'112'!$N$8,$L1838='112'!$I$6)),"x",""))</f>
        <v/>
      </c>
      <c r="T1838" s="39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39" t="str">
        <f>IF(OR(TH!L1838=TH!$V$7,M1838=TH!$V$7),"x","")</f>
        <v/>
      </c>
      <c r="W1838" s="39" t="str">
        <f>IF(AND(B1838&gt;='IN-NX'!$P$3,B1838&lt;='IN-NX'!$Q$3,'IN-NX'!$D$7=D1838,OR(LEFT(L1838,2)="15",AND(LEFT(M1838,2)&lt;&gt;"15",LEFT(M1838,2)&lt;&gt;"33"))),"x","")</f>
        <v/>
      </c>
      <c r="X1838" s="39" t="str">
        <f>IF(AND(OR(LEFT(TH!L1838,2)="15",LEFT(TH!M1838,2)="15"),'152-CT'!$J$8=TH!F1838),"x","")</f>
        <v/>
      </c>
      <c r="Y1838" s="39" t="str">
        <f>IF(AND(OR(LEFT(TH!L1838,2)="15",LEFT(TH!M1838,2)="15"),TK!$E$7=TH!F1838),"x","")</f>
        <v/>
      </c>
      <c r="Z1838" s="39" t="str">
        <f>IF(AND(B1838&lt;=NKC!$N$8,B1838&gt;=NKC!$M$8),"x","")</f>
        <v>x</v>
      </c>
      <c r="AA1838" s="886"/>
    </row>
    <row r="1839" spans="1:27" s="211" customFormat="1" ht="15.75" customHeight="1">
      <c r="A1839" s="204" t="str">
        <f>IF(B1839&lt;&gt;"",IF(AND(B1839&gt;=_TM1,B1839&lt;=_TM2,OR(TH!L1839="1111",TH!M1839="1111")),TH!D1839,""),"")</f>
        <v/>
      </c>
      <c r="B1839" s="36">
        <f t="shared" si="258"/>
        <v>7</v>
      </c>
      <c r="C1839" s="191">
        <f t="shared" si="257"/>
        <v>41479</v>
      </c>
      <c r="D1839" s="191"/>
      <c r="E1839" s="191">
        <v>41479</v>
      </c>
      <c r="F1839" s="192" t="s">
        <v>885</v>
      </c>
      <c r="G1839" s="487" t="s">
        <v>886</v>
      </c>
      <c r="H1839" s="7" t="s">
        <v>1293</v>
      </c>
      <c r="I1839" s="256"/>
      <c r="J1839" s="256"/>
      <c r="K1839" s="602">
        <f t="shared" si="259"/>
        <v>0</v>
      </c>
      <c r="L1839" s="39" t="s">
        <v>173</v>
      </c>
      <c r="M1839" s="39" t="s">
        <v>167</v>
      </c>
      <c r="N1839" s="39" t="str">
        <f>IF(AND('331-CT'!$E$7=TH!H1839,OR(L1839="331",M1839="331")),"331",IF(AND(OR(L1839="131",M1839="131"),H1839='131-CT'!$E$7),"131",""))</f>
        <v/>
      </c>
      <c r="O1839" s="39" t="str">
        <f>IF(AND($B1839&gt;='111'!$N$11,$B1839&lt;='111'!$O$11,OR($L1839=$O$7,$M1839=$O$7)),"x","")</f>
        <v/>
      </c>
      <c r="P1839" s="39" t="str">
        <f>IF(AND($L1839=$O$7,$B1839&lt;'111'!$N$11),"x","")</f>
        <v/>
      </c>
      <c r="Q1839" s="39" t="str">
        <f>IF(AND($M1839=$O$7,$B1839&lt;'111'!$N$11),"x","")</f>
        <v/>
      </c>
      <c r="R1839" s="39" t="str">
        <f>IF(ISERROR(FIND('112'!$M$9,G1839,1)),"",IF((AND(FIND('112'!$M$9,G1839,1)&gt;=1,$B1839&gt;='112'!$N$8,$B1839&lt;='112'!$O$8,OR($L1839='112'!$I$6,$M1839='112'!$I$6))),"x",""))</f>
        <v/>
      </c>
      <c r="S1839" s="39" t="str">
        <f>IF(ISERROR(FIND('112'!$M$9,G1839,1)),"",IF((AND(LEFT(G1839,2)=LEFT('112'!$M$9,2),B1839&lt;'112'!$N$8,$L1839='112'!$I$6)),"x",""))</f>
        <v/>
      </c>
      <c r="T1839" s="39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39" t="str">
        <f>IF(OR(TH!L1839=TH!$V$7,M1839=TH!$V$7),"x","")</f>
        <v/>
      </c>
      <c r="W1839" s="39" t="str">
        <f>IF(AND(B1839&gt;='IN-NX'!$P$3,B1839&lt;='IN-NX'!$Q$3,'IN-NX'!$D$7=D1839,OR(LEFT(L1839,2)="15",AND(LEFT(M1839,2)&lt;&gt;"15",LEFT(M1839,2)&lt;&gt;"33"))),"x","")</f>
        <v/>
      </c>
      <c r="X1839" s="39" t="str">
        <f>IF(AND(OR(LEFT(TH!L1839,2)="15",LEFT(TH!M1839,2)="15"),'152-CT'!$J$8=TH!F1839),"x","")</f>
        <v/>
      </c>
      <c r="Y1839" s="39" t="str">
        <f>IF(AND(OR(LEFT(TH!L1839,2)="15",LEFT(TH!M1839,2)="15"),TK!$E$7=TH!F1839),"x","")</f>
        <v/>
      </c>
      <c r="Z1839" s="39" t="str">
        <f>IF(AND(B1839&lt;=NKC!$N$8,B1839&gt;=NKC!$M$8),"x","")</f>
        <v>x</v>
      </c>
      <c r="AA1839" s="886"/>
    </row>
    <row r="1840" spans="1:27" s="211" customFormat="1" ht="15.75" customHeight="1">
      <c r="A1840" s="204" t="str">
        <f>IF(B1840&lt;&gt;"",IF(AND(B1840&gt;=_TM1,B1840&lt;=_TM2,OR(TH!L1840="1111",TH!M1840="1111")),TH!D1840,""),"")</f>
        <v/>
      </c>
      <c r="B1840" s="36">
        <f t="shared" si="258"/>
        <v>7</v>
      </c>
      <c r="C1840" s="191">
        <f t="shared" si="257"/>
        <v>41479</v>
      </c>
      <c r="D1840" s="184"/>
      <c r="E1840" s="191">
        <v>41479</v>
      </c>
      <c r="F1840" s="192" t="s">
        <v>843</v>
      </c>
      <c r="G1840" s="487" t="s">
        <v>886</v>
      </c>
      <c r="H1840" s="7" t="s">
        <v>1293</v>
      </c>
      <c r="I1840" s="256"/>
      <c r="J1840" s="256"/>
      <c r="K1840" s="602">
        <f t="shared" si="259"/>
        <v>0</v>
      </c>
      <c r="L1840" s="39" t="s">
        <v>173</v>
      </c>
      <c r="M1840" s="39" t="s">
        <v>167</v>
      </c>
      <c r="N1840" s="39" t="str">
        <f>IF(AND('331-CT'!$E$7=TH!H1840,OR(L1840="331",M1840="331")),"331",IF(AND(OR(L1840="131",M1840="131"),H1840='131-CT'!$E$7),"131",""))</f>
        <v/>
      </c>
      <c r="O1840" s="39" t="str">
        <f>IF(AND($B1840&gt;='111'!$N$11,$B1840&lt;='111'!$O$11,OR($L1840=$O$7,$M1840=$O$7)),"x","")</f>
        <v/>
      </c>
      <c r="P1840" s="39" t="str">
        <f>IF(AND($L1840=$O$7,$B1840&lt;'111'!$N$11),"x","")</f>
        <v/>
      </c>
      <c r="Q1840" s="39" t="str">
        <f>IF(AND($M1840=$O$7,$B1840&lt;'111'!$N$11),"x","")</f>
        <v/>
      </c>
      <c r="R1840" s="39" t="str">
        <f>IF(ISERROR(FIND('112'!$M$9,G1840,1)),"",IF((AND(FIND('112'!$M$9,G1840,1)&gt;=1,$B1840&gt;='112'!$N$8,$B1840&lt;='112'!$O$8,OR($L1840='112'!$I$6,$M1840='112'!$I$6))),"x",""))</f>
        <v/>
      </c>
      <c r="S1840" s="39" t="str">
        <f>IF(ISERROR(FIND('112'!$M$9,G1840,1)),"",IF((AND(LEFT(G1840,2)=LEFT('112'!$M$9,2),B1840&lt;'112'!$N$8,$L1840='112'!$I$6)),"x",""))</f>
        <v/>
      </c>
      <c r="T1840" s="39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39" t="str">
        <f>IF(OR(TH!L1840=TH!$V$7,M1840=TH!$V$7),"x","")</f>
        <v/>
      </c>
      <c r="W1840" s="39" t="str">
        <f>IF(AND(B1840&gt;='IN-NX'!$P$3,B1840&lt;='IN-NX'!$Q$3,'IN-NX'!$D$7=D1840,OR(LEFT(L1840,2)="15",AND(LEFT(M1840,2)&lt;&gt;"15",LEFT(M1840,2)&lt;&gt;"33"))),"x","")</f>
        <v/>
      </c>
      <c r="X1840" s="39" t="str">
        <f>IF(AND(OR(LEFT(TH!L1840,2)="15",LEFT(TH!M1840,2)="15"),'152-CT'!$J$8=TH!F1840),"x","")</f>
        <v/>
      </c>
      <c r="Y1840" s="39" t="str">
        <f>IF(AND(OR(LEFT(TH!L1840,2)="15",LEFT(TH!M1840,2)="15"),TK!$E$7=TH!F1840),"x","")</f>
        <v/>
      </c>
      <c r="Z1840" s="39" t="str">
        <f>IF(AND(B1840&lt;=NKC!$N$8,B1840&gt;=NKC!$M$8),"x","")</f>
        <v>x</v>
      </c>
      <c r="AA1840" s="886"/>
    </row>
    <row r="1841" spans="1:27" s="211" customFormat="1" ht="15.75" customHeight="1">
      <c r="A1841" s="204" t="str">
        <f>IF(B1841&lt;&gt;"",IF(AND(B1841&gt;=_TM1,B1841&lt;=_TM2,OR(TH!L1841="1111",TH!M1841="1111")),TH!D1841,""),"")</f>
        <v/>
      </c>
      <c r="B1841" s="36">
        <f t="shared" si="258"/>
        <v>7</v>
      </c>
      <c r="C1841" s="191">
        <f t="shared" si="257"/>
        <v>41479</v>
      </c>
      <c r="D1841" s="191"/>
      <c r="E1841" s="191">
        <v>41479</v>
      </c>
      <c r="F1841" s="192" t="s">
        <v>844</v>
      </c>
      <c r="G1841" s="487" t="s">
        <v>886</v>
      </c>
      <c r="H1841" s="7" t="s">
        <v>1293</v>
      </c>
      <c r="I1841" s="256"/>
      <c r="J1841" s="256"/>
      <c r="K1841" s="602">
        <f t="shared" si="259"/>
        <v>0</v>
      </c>
      <c r="L1841" s="39" t="s">
        <v>173</v>
      </c>
      <c r="M1841" s="39" t="s">
        <v>167</v>
      </c>
      <c r="N1841" s="39" t="str">
        <f>IF(AND('331-CT'!$E$7=TH!H1841,OR(L1841="331",M1841="331")),"331",IF(AND(OR(L1841="131",M1841="131"),H1841='131-CT'!$E$7),"131",""))</f>
        <v/>
      </c>
      <c r="O1841" s="39" t="str">
        <f>IF(AND($B1841&gt;='111'!$N$11,$B1841&lt;='111'!$O$11,OR($L1841=$O$7,$M1841=$O$7)),"x","")</f>
        <v/>
      </c>
      <c r="P1841" s="39" t="str">
        <f>IF(AND($L1841=$O$7,$B1841&lt;'111'!$N$11),"x","")</f>
        <v/>
      </c>
      <c r="Q1841" s="39" t="str">
        <f>IF(AND($M1841=$O$7,$B1841&lt;'111'!$N$11),"x","")</f>
        <v/>
      </c>
      <c r="R1841" s="39" t="str">
        <f>IF(ISERROR(FIND('112'!$M$9,G1841,1)),"",IF((AND(FIND('112'!$M$9,G1841,1)&gt;=1,$B1841&gt;='112'!$N$8,$B1841&lt;='112'!$O$8,OR($L1841='112'!$I$6,$M1841='112'!$I$6))),"x",""))</f>
        <v/>
      </c>
      <c r="S1841" s="39" t="str">
        <f>IF(ISERROR(FIND('112'!$M$9,G1841,1)),"",IF((AND(LEFT(G1841,2)=LEFT('112'!$M$9,2),B1841&lt;'112'!$N$8,$L1841='112'!$I$6)),"x",""))</f>
        <v/>
      </c>
      <c r="T1841" s="39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39" t="str">
        <f>IF(OR(TH!L1841=TH!$V$7,M1841=TH!$V$7),"x","")</f>
        <v/>
      </c>
      <c r="W1841" s="39" t="str">
        <f>IF(AND(B1841&gt;='IN-NX'!$P$3,B1841&lt;='IN-NX'!$Q$3,'IN-NX'!$D$7=D1841,OR(LEFT(L1841,2)="15",AND(LEFT(M1841,2)&lt;&gt;"15",LEFT(M1841,2)&lt;&gt;"33"))),"x","")</f>
        <v/>
      </c>
      <c r="X1841" s="39" t="str">
        <f>IF(AND(OR(LEFT(TH!L1841,2)="15",LEFT(TH!M1841,2)="15"),'152-CT'!$J$8=TH!F1841),"x","")</f>
        <v/>
      </c>
      <c r="Y1841" s="39" t="str">
        <f>IF(AND(OR(LEFT(TH!L1841,2)="15",LEFT(TH!M1841,2)="15"),TK!$E$7=TH!F1841),"x","")</f>
        <v/>
      </c>
      <c r="Z1841" s="39" t="str">
        <f>IF(AND(B1841&lt;=NKC!$N$8,B1841&gt;=NKC!$M$8),"x","")</f>
        <v>x</v>
      </c>
      <c r="AA1841" s="886"/>
    </row>
    <row r="1842" spans="1:27" s="211" customFormat="1" ht="15.75" customHeight="1">
      <c r="A1842" s="204" t="str">
        <f>IF(B1842&lt;&gt;"",IF(AND(B1842&gt;=_TM1,B1842&lt;=_TM2,OR(TH!L1842="1111",TH!M1842="1111")),TH!D1842,""),"")</f>
        <v/>
      </c>
      <c r="B1842" s="36">
        <f t="shared" si="258"/>
        <v>7</v>
      </c>
      <c r="C1842" s="191">
        <f t="shared" si="257"/>
        <v>41480</v>
      </c>
      <c r="D1842" s="191"/>
      <c r="E1842" s="191">
        <v>41480</v>
      </c>
      <c r="F1842" s="192" t="s">
        <v>887</v>
      </c>
      <c r="G1842" s="487" t="s">
        <v>888</v>
      </c>
      <c r="H1842" s="7" t="s">
        <v>1293</v>
      </c>
      <c r="I1842" s="256"/>
      <c r="J1842" s="256"/>
      <c r="K1842" s="602">
        <f t="shared" si="259"/>
        <v>0</v>
      </c>
      <c r="L1842" s="39" t="s">
        <v>173</v>
      </c>
      <c r="M1842" s="39" t="s">
        <v>167</v>
      </c>
      <c r="N1842" s="39" t="str">
        <f>IF(AND('331-CT'!$E$7=TH!H1842,OR(L1842="331",M1842="331")),"331",IF(AND(OR(L1842="131",M1842="131"),H1842='131-CT'!$E$7),"131",""))</f>
        <v/>
      </c>
      <c r="O1842" s="39" t="str">
        <f>IF(AND($B1842&gt;='111'!$N$11,$B1842&lt;='111'!$O$11,OR($L1842=$O$7,$M1842=$O$7)),"x","")</f>
        <v/>
      </c>
      <c r="P1842" s="39" t="str">
        <f>IF(AND($L1842=$O$7,$B1842&lt;'111'!$N$11),"x","")</f>
        <v/>
      </c>
      <c r="Q1842" s="39" t="str">
        <f>IF(AND($M1842=$O$7,$B1842&lt;'111'!$N$11),"x","")</f>
        <v/>
      </c>
      <c r="R1842" s="39" t="str">
        <f>IF(ISERROR(FIND('112'!$M$9,G1842,1)),"",IF((AND(FIND('112'!$M$9,G1842,1)&gt;=1,$B1842&gt;='112'!$N$8,$B1842&lt;='112'!$O$8,OR($L1842='112'!$I$6,$M1842='112'!$I$6))),"x",""))</f>
        <v/>
      </c>
      <c r="S1842" s="39" t="str">
        <f>IF(ISERROR(FIND('112'!$M$9,G1842,1)),"",IF((AND(LEFT(G1842,2)=LEFT('112'!$M$9,2),B1842&lt;'112'!$N$8,$L1842='112'!$I$6)),"x",""))</f>
        <v/>
      </c>
      <c r="T1842" s="39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39" t="str">
        <f>IF(OR(TH!L1842=TH!$V$7,M1842=TH!$V$7),"x","")</f>
        <v/>
      </c>
      <c r="W1842" s="39" t="str">
        <f>IF(AND(B1842&gt;='IN-NX'!$P$3,B1842&lt;='IN-NX'!$Q$3,'IN-NX'!$D$7=D1842,OR(LEFT(L1842,2)="15",AND(LEFT(M1842,2)&lt;&gt;"15",LEFT(M1842,2)&lt;&gt;"33"))),"x","")</f>
        <v/>
      </c>
      <c r="X1842" s="39" t="str">
        <f>IF(AND(OR(LEFT(TH!L1842,2)="15",LEFT(TH!M1842,2)="15"),'152-CT'!$J$8=TH!F1842),"x","")</f>
        <v/>
      </c>
      <c r="Y1842" s="39" t="str">
        <f>IF(AND(OR(LEFT(TH!L1842,2)="15",LEFT(TH!M1842,2)="15"),TK!$E$7=TH!F1842),"x","")</f>
        <v/>
      </c>
      <c r="Z1842" s="39" t="str">
        <f>IF(AND(B1842&lt;=NKC!$N$8,B1842&gt;=NKC!$M$8),"x","")</f>
        <v>x</v>
      </c>
      <c r="AA1842" s="886"/>
    </row>
    <row r="1843" spans="1:27" s="211" customFormat="1" ht="15.75" customHeight="1">
      <c r="A1843" s="204" t="str">
        <f>IF(B1843&lt;&gt;"",IF(AND(B1843&gt;=_TM1,B1843&lt;=_TM2,OR(TH!L1843="1111",TH!M1843="1111")),TH!D1843,""),"")</f>
        <v/>
      </c>
      <c r="B1843" s="36">
        <f t="shared" si="258"/>
        <v>7</v>
      </c>
      <c r="C1843" s="191">
        <f t="shared" si="257"/>
        <v>41480</v>
      </c>
      <c r="D1843" s="191"/>
      <c r="E1843" s="191">
        <v>41480</v>
      </c>
      <c r="F1843" s="192" t="s">
        <v>1121</v>
      </c>
      <c r="G1843" s="487" t="s">
        <v>888</v>
      </c>
      <c r="H1843" s="7" t="s">
        <v>1293</v>
      </c>
      <c r="I1843" s="256"/>
      <c r="J1843" s="256"/>
      <c r="K1843" s="602">
        <f t="shared" si="259"/>
        <v>0</v>
      </c>
      <c r="L1843" s="39" t="s">
        <v>173</v>
      </c>
      <c r="M1843" s="39" t="s">
        <v>167</v>
      </c>
      <c r="N1843" s="39" t="str">
        <f>IF(AND('331-CT'!$E$7=TH!H1843,OR(L1843="331",M1843="331")),"331",IF(AND(OR(L1843="131",M1843="131"),H1843='131-CT'!$E$7),"131",""))</f>
        <v/>
      </c>
      <c r="O1843" s="39" t="str">
        <f>IF(AND($B1843&gt;='111'!$N$11,$B1843&lt;='111'!$O$11,OR($L1843=$O$7,$M1843=$O$7)),"x","")</f>
        <v/>
      </c>
      <c r="P1843" s="39" t="str">
        <f>IF(AND($L1843=$O$7,$B1843&lt;'111'!$N$11),"x","")</f>
        <v/>
      </c>
      <c r="Q1843" s="39" t="str">
        <f>IF(AND($M1843=$O$7,$B1843&lt;'111'!$N$11),"x","")</f>
        <v/>
      </c>
      <c r="R1843" s="39" t="str">
        <f>IF(ISERROR(FIND('112'!$M$9,G1843,1)),"",IF((AND(FIND('112'!$M$9,G1843,1)&gt;=1,$B1843&gt;='112'!$N$8,$B1843&lt;='112'!$O$8,OR($L1843='112'!$I$6,$M1843='112'!$I$6))),"x",""))</f>
        <v/>
      </c>
      <c r="S1843" s="39" t="str">
        <f>IF(ISERROR(FIND('112'!$M$9,G1843,1)),"",IF((AND(LEFT(G1843,2)=LEFT('112'!$M$9,2),B1843&lt;'112'!$N$8,$L1843='112'!$I$6)),"x",""))</f>
        <v/>
      </c>
      <c r="T1843" s="39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39" t="str">
        <f>IF(OR(TH!L1843=TH!$V$7,M1843=TH!$V$7),"x","")</f>
        <v/>
      </c>
      <c r="W1843" s="39" t="str">
        <f>IF(AND(B1843&gt;='IN-NX'!$P$3,B1843&lt;='IN-NX'!$Q$3,'IN-NX'!$D$7=D1843,OR(LEFT(L1843,2)="15",AND(LEFT(M1843,2)&lt;&gt;"15",LEFT(M1843,2)&lt;&gt;"33"))),"x","")</f>
        <v/>
      </c>
      <c r="X1843" s="39" t="str">
        <f>IF(AND(OR(LEFT(TH!L1843,2)="15",LEFT(TH!M1843,2)="15"),'152-CT'!$J$8=TH!F1843),"x","")</f>
        <v/>
      </c>
      <c r="Y1843" s="39" t="str">
        <f>IF(AND(OR(LEFT(TH!L1843,2)="15",LEFT(TH!M1843,2)="15"),TK!$E$7=TH!F1843),"x","")</f>
        <v/>
      </c>
      <c r="Z1843" s="39" t="str">
        <f>IF(AND(B1843&lt;=NKC!$N$8,B1843&gt;=NKC!$M$8),"x","")</f>
        <v>x</v>
      </c>
      <c r="AA1843" s="886"/>
    </row>
    <row r="1844" spans="1:27" s="211" customFormat="1" ht="15.75" customHeight="1">
      <c r="A1844" s="204" t="str">
        <f>IF(B1844&lt;&gt;"",IF(AND(B1844&gt;=_TM1,B1844&lt;=_TM2,OR(TH!L1844="1111",TH!M1844="1111")),TH!D1844,""),"")</f>
        <v/>
      </c>
      <c r="B1844" s="36">
        <f t="shared" si="258"/>
        <v>7</v>
      </c>
      <c r="C1844" s="191">
        <f t="shared" si="257"/>
        <v>41480</v>
      </c>
      <c r="D1844" s="191"/>
      <c r="E1844" s="191">
        <v>41480</v>
      </c>
      <c r="F1844" s="192" t="s">
        <v>1165</v>
      </c>
      <c r="G1844" s="487" t="s">
        <v>888</v>
      </c>
      <c r="H1844" s="7" t="s">
        <v>1293</v>
      </c>
      <c r="I1844" s="256"/>
      <c r="J1844" s="256"/>
      <c r="K1844" s="602">
        <f t="shared" si="259"/>
        <v>0</v>
      </c>
      <c r="L1844" s="39" t="s">
        <v>173</v>
      </c>
      <c r="M1844" s="39" t="s">
        <v>167</v>
      </c>
      <c r="N1844" s="39" t="str">
        <f>IF(AND('331-CT'!$E$7=TH!H1844,OR(L1844="331",M1844="331")),"331",IF(AND(OR(L1844="131",M1844="131"),H1844='131-CT'!$E$7),"131",""))</f>
        <v/>
      </c>
      <c r="O1844" s="39" t="str">
        <f>IF(AND($B1844&gt;='111'!$N$11,$B1844&lt;='111'!$O$11,OR($L1844=$O$7,$M1844=$O$7)),"x","")</f>
        <v/>
      </c>
      <c r="P1844" s="39" t="str">
        <f>IF(AND($L1844=$O$7,$B1844&lt;'111'!$N$11),"x","")</f>
        <v/>
      </c>
      <c r="Q1844" s="39" t="str">
        <f>IF(AND($M1844=$O$7,$B1844&lt;'111'!$N$11),"x","")</f>
        <v/>
      </c>
      <c r="R1844" s="39" t="str">
        <f>IF(ISERROR(FIND('112'!$M$9,G1844,1)),"",IF((AND(FIND('112'!$M$9,G1844,1)&gt;=1,$B1844&gt;='112'!$N$8,$B1844&lt;='112'!$O$8,OR($L1844='112'!$I$6,$M1844='112'!$I$6))),"x",""))</f>
        <v/>
      </c>
      <c r="S1844" s="39" t="str">
        <f>IF(ISERROR(FIND('112'!$M$9,G1844,1)),"",IF((AND(LEFT(G1844,2)=LEFT('112'!$M$9,2),B1844&lt;'112'!$N$8,$L1844='112'!$I$6)),"x",""))</f>
        <v/>
      </c>
      <c r="T1844" s="39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39" t="str">
        <f>IF(OR(TH!L1844=TH!$V$7,M1844=TH!$V$7),"x","")</f>
        <v/>
      </c>
      <c r="W1844" s="39" t="str">
        <f>IF(AND(B1844&gt;='IN-NX'!$P$3,B1844&lt;='IN-NX'!$Q$3,'IN-NX'!$D$7=D1844,OR(LEFT(L1844,2)="15",AND(LEFT(M1844,2)&lt;&gt;"15",LEFT(M1844,2)&lt;&gt;"33"))),"x","")</f>
        <v/>
      </c>
      <c r="X1844" s="39" t="str">
        <f>IF(AND(OR(LEFT(TH!L1844,2)="15",LEFT(TH!M1844,2)="15"),'152-CT'!$J$8=TH!F1844),"x","")</f>
        <v/>
      </c>
      <c r="Y1844" s="39" t="str">
        <f>IF(AND(OR(LEFT(TH!L1844,2)="15",LEFT(TH!M1844,2)="15"),TK!$E$7=TH!F1844),"x","")</f>
        <v/>
      </c>
      <c r="Z1844" s="39" t="str">
        <f>IF(AND(B1844&lt;=NKC!$N$8,B1844&gt;=NKC!$M$8),"x","")</f>
        <v>x</v>
      </c>
      <c r="AA1844" s="886"/>
    </row>
    <row r="1845" spans="1:27" s="211" customFormat="1" ht="15.75" customHeight="1">
      <c r="A1845" s="204" t="str">
        <f>IF(B1845&lt;&gt;"",IF(AND(B1845&gt;=_TM1,B1845&lt;=_TM2,OR(TH!L1845="1111",TH!M1845="1111")),TH!D1845,""),"")</f>
        <v/>
      </c>
      <c r="B1845" s="36">
        <f t="shared" si="258"/>
        <v>7</v>
      </c>
      <c r="C1845" s="191">
        <f t="shared" si="257"/>
        <v>41480</v>
      </c>
      <c r="D1845" s="191"/>
      <c r="E1845" s="191">
        <v>41480</v>
      </c>
      <c r="F1845" s="192" t="s">
        <v>889</v>
      </c>
      <c r="G1845" s="487" t="s">
        <v>888</v>
      </c>
      <c r="H1845" s="7" t="s">
        <v>1293</v>
      </c>
      <c r="I1845" s="256"/>
      <c r="J1845" s="256"/>
      <c r="K1845" s="602">
        <f t="shared" si="259"/>
        <v>0</v>
      </c>
      <c r="L1845" s="39" t="s">
        <v>173</v>
      </c>
      <c r="M1845" s="39" t="s">
        <v>167</v>
      </c>
      <c r="N1845" s="39" t="str">
        <f>IF(AND('331-CT'!$E$7=TH!H1845,OR(L1845="331",M1845="331")),"331",IF(AND(OR(L1845="131",M1845="131"),H1845='131-CT'!$E$7),"131",""))</f>
        <v/>
      </c>
      <c r="O1845" s="39" t="str">
        <f>IF(AND($B1845&gt;='111'!$N$11,$B1845&lt;='111'!$O$11,OR($L1845=$O$7,$M1845=$O$7)),"x","")</f>
        <v/>
      </c>
      <c r="P1845" s="39" t="str">
        <f>IF(AND($L1845=$O$7,$B1845&lt;'111'!$N$11),"x","")</f>
        <v/>
      </c>
      <c r="Q1845" s="39" t="str">
        <f>IF(AND($M1845=$O$7,$B1845&lt;'111'!$N$11),"x","")</f>
        <v/>
      </c>
      <c r="R1845" s="39" t="str">
        <f>IF(ISERROR(FIND('112'!$M$9,G1845,1)),"",IF((AND(FIND('112'!$M$9,G1845,1)&gt;=1,$B1845&gt;='112'!$N$8,$B1845&lt;='112'!$O$8,OR($L1845='112'!$I$6,$M1845='112'!$I$6))),"x",""))</f>
        <v/>
      </c>
      <c r="S1845" s="39" t="str">
        <f>IF(ISERROR(FIND('112'!$M$9,G1845,1)),"",IF((AND(LEFT(G1845,2)=LEFT('112'!$M$9,2),B1845&lt;'112'!$N$8,$L1845='112'!$I$6)),"x",""))</f>
        <v/>
      </c>
      <c r="T1845" s="39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39" t="str">
        <f>IF(OR(TH!L1845=TH!$V$7,M1845=TH!$V$7),"x","")</f>
        <v/>
      </c>
      <c r="W1845" s="39" t="str">
        <f>IF(AND(B1845&gt;='IN-NX'!$P$3,B1845&lt;='IN-NX'!$Q$3,'IN-NX'!$D$7=D1845,OR(LEFT(L1845,2)="15",AND(LEFT(M1845,2)&lt;&gt;"15",LEFT(M1845,2)&lt;&gt;"33"))),"x","")</f>
        <v/>
      </c>
      <c r="X1845" s="39" t="str">
        <f>IF(AND(OR(LEFT(TH!L1845,2)="15",LEFT(TH!M1845,2)="15"),'152-CT'!$J$8=TH!F1845),"x","")</f>
        <v/>
      </c>
      <c r="Y1845" s="39" t="str">
        <f>IF(AND(OR(LEFT(TH!L1845,2)="15",LEFT(TH!M1845,2)="15"),TK!$E$7=TH!F1845),"x","")</f>
        <v/>
      </c>
      <c r="Z1845" s="39" t="str">
        <f>IF(AND(B1845&lt;=NKC!$N$8,B1845&gt;=NKC!$M$8),"x","")</f>
        <v>x</v>
      </c>
      <c r="AA1845" s="886"/>
    </row>
    <row r="1846" spans="1:27" s="211" customFormat="1" ht="15.75" customHeight="1">
      <c r="A1846" s="204" t="str">
        <f>IF(B1846&lt;&gt;"",IF(AND(B1846&gt;=_TM1,B1846&lt;=_TM2,OR(TH!L1846="1111",TH!M1846="1111")),TH!D1846,""),"")</f>
        <v/>
      </c>
      <c r="B1846" s="36">
        <f t="shared" si="258"/>
        <v>7</v>
      </c>
      <c r="C1846" s="191">
        <f t="shared" si="257"/>
        <v>41481</v>
      </c>
      <c r="D1846" s="191"/>
      <c r="E1846" s="191">
        <v>41481</v>
      </c>
      <c r="F1846" s="192" t="s">
        <v>1137</v>
      </c>
      <c r="G1846" s="487" t="s">
        <v>890</v>
      </c>
      <c r="H1846" s="7" t="s">
        <v>1293</v>
      </c>
      <c r="I1846" s="256"/>
      <c r="J1846" s="256"/>
      <c r="K1846" s="602">
        <f t="shared" si="259"/>
        <v>0</v>
      </c>
      <c r="L1846" s="39" t="s">
        <v>173</v>
      </c>
      <c r="M1846" s="39" t="s">
        <v>167</v>
      </c>
      <c r="N1846" s="39" t="str">
        <f>IF(AND('331-CT'!$E$7=TH!H1846,OR(L1846="331",M1846="331")),"331",IF(AND(OR(L1846="131",M1846="131"),H1846='131-CT'!$E$7),"131",""))</f>
        <v/>
      </c>
      <c r="O1846" s="39" t="str">
        <f>IF(AND($B1846&gt;='111'!$N$11,$B1846&lt;='111'!$O$11,OR($L1846=$O$7,$M1846=$O$7)),"x","")</f>
        <v/>
      </c>
      <c r="P1846" s="39" t="str">
        <f>IF(AND($L1846=$O$7,$B1846&lt;'111'!$N$11),"x","")</f>
        <v/>
      </c>
      <c r="Q1846" s="39" t="str">
        <f>IF(AND($M1846=$O$7,$B1846&lt;'111'!$N$11),"x","")</f>
        <v/>
      </c>
      <c r="R1846" s="39" t="str">
        <f>IF(ISERROR(FIND('112'!$M$9,G1846,1)),"",IF((AND(FIND('112'!$M$9,G1846,1)&gt;=1,$B1846&gt;='112'!$N$8,$B1846&lt;='112'!$O$8,OR($L1846='112'!$I$6,$M1846='112'!$I$6))),"x",""))</f>
        <v/>
      </c>
      <c r="S1846" s="39" t="str">
        <f>IF(ISERROR(FIND('112'!$M$9,G1846,1)),"",IF((AND(LEFT(G1846,2)=LEFT('112'!$M$9,2),B1846&lt;'112'!$N$8,$L1846='112'!$I$6)),"x",""))</f>
        <v/>
      </c>
      <c r="T1846" s="39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39" t="str">
        <f>IF(OR(TH!L1846=TH!$V$7,M1846=TH!$V$7),"x","")</f>
        <v/>
      </c>
      <c r="W1846" s="39" t="str">
        <f>IF(AND(B1846&gt;='IN-NX'!$P$3,B1846&lt;='IN-NX'!$Q$3,'IN-NX'!$D$7=D1846,OR(LEFT(L1846,2)="15",AND(LEFT(M1846,2)&lt;&gt;"15",LEFT(M1846,2)&lt;&gt;"33"))),"x","")</f>
        <v/>
      </c>
      <c r="X1846" s="39" t="str">
        <f>IF(AND(OR(LEFT(TH!L1846,2)="15",LEFT(TH!M1846,2)="15"),'152-CT'!$J$8=TH!F1846),"x","")</f>
        <v/>
      </c>
      <c r="Y1846" s="39" t="str">
        <f>IF(AND(OR(LEFT(TH!L1846,2)="15",LEFT(TH!M1846,2)="15"),TK!$E$7=TH!F1846),"x","")</f>
        <v/>
      </c>
      <c r="Z1846" s="39" t="str">
        <f>IF(AND(B1846&lt;=NKC!$N$8,B1846&gt;=NKC!$M$8),"x","")</f>
        <v>x</v>
      </c>
      <c r="AA1846" s="886"/>
    </row>
    <row r="1847" spans="1:27" s="211" customFormat="1" ht="15.75" customHeight="1">
      <c r="A1847" s="204" t="str">
        <f>IF(B1847&lt;&gt;"",IF(AND(B1847&gt;=_TM1,B1847&lt;=_TM2,OR(TH!L1847="1111",TH!M1847="1111")),TH!D1847,""),"")</f>
        <v/>
      </c>
      <c r="B1847" s="36">
        <f t="shared" si="258"/>
        <v>7</v>
      </c>
      <c r="C1847" s="191">
        <f t="shared" si="257"/>
        <v>41484</v>
      </c>
      <c r="D1847" s="191"/>
      <c r="E1847" s="191">
        <v>41484</v>
      </c>
      <c r="F1847" s="192" t="s">
        <v>838</v>
      </c>
      <c r="G1847" s="487" t="s">
        <v>891</v>
      </c>
      <c r="H1847" s="7" t="s">
        <v>1293</v>
      </c>
      <c r="I1847" s="256"/>
      <c r="J1847" s="256"/>
      <c r="K1847" s="602">
        <f t="shared" si="259"/>
        <v>0</v>
      </c>
      <c r="L1847" s="39" t="s">
        <v>173</v>
      </c>
      <c r="M1847" s="39" t="s">
        <v>167</v>
      </c>
      <c r="N1847" s="39" t="str">
        <f>IF(AND('331-CT'!$E$7=TH!H1847,OR(L1847="331",M1847="331")),"331",IF(AND(OR(L1847="131",M1847="131"),H1847='131-CT'!$E$7),"131",""))</f>
        <v/>
      </c>
      <c r="O1847" s="39" t="str">
        <f>IF(AND($B1847&gt;='111'!$N$11,$B1847&lt;='111'!$O$11,OR($L1847=$O$7,$M1847=$O$7)),"x","")</f>
        <v/>
      </c>
      <c r="P1847" s="39" t="str">
        <f>IF(AND($L1847=$O$7,$B1847&lt;'111'!$N$11),"x","")</f>
        <v/>
      </c>
      <c r="Q1847" s="39" t="str">
        <f>IF(AND($M1847=$O$7,$B1847&lt;'111'!$N$11),"x","")</f>
        <v/>
      </c>
      <c r="R1847" s="39" t="str">
        <f>IF(ISERROR(FIND('112'!$M$9,G1847,1)),"",IF((AND(FIND('112'!$M$9,G1847,1)&gt;=1,$B1847&gt;='112'!$N$8,$B1847&lt;='112'!$O$8,OR($L1847='112'!$I$6,$M1847='112'!$I$6))),"x",""))</f>
        <v/>
      </c>
      <c r="S1847" s="39" t="str">
        <f>IF(ISERROR(FIND('112'!$M$9,G1847,1)),"",IF((AND(LEFT(G1847,2)=LEFT('112'!$M$9,2),B1847&lt;'112'!$N$8,$L1847='112'!$I$6)),"x",""))</f>
        <v/>
      </c>
      <c r="T1847" s="39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39" t="str">
        <f>IF(OR(TH!L1847=TH!$V$7,M1847=TH!$V$7),"x","")</f>
        <v/>
      </c>
      <c r="W1847" s="39" t="str">
        <f>IF(AND(B1847&gt;='IN-NX'!$P$3,B1847&lt;='IN-NX'!$Q$3,'IN-NX'!$D$7=D1847,OR(LEFT(L1847,2)="15",AND(LEFT(M1847,2)&lt;&gt;"15",LEFT(M1847,2)&lt;&gt;"33"))),"x","")</f>
        <v/>
      </c>
      <c r="X1847" s="39" t="str">
        <f>IF(AND(OR(LEFT(TH!L1847,2)="15",LEFT(TH!M1847,2)="15"),'152-CT'!$J$8=TH!F1847),"x","")</f>
        <v/>
      </c>
      <c r="Y1847" s="39" t="str">
        <f>IF(AND(OR(LEFT(TH!L1847,2)="15",LEFT(TH!M1847,2)="15"),TK!$E$7=TH!F1847),"x","")</f>
        <v/>
      </c>
      <c r="Z1847" s="39" t="str">
        <f>IF(AND(B1847&lt;=NKC!$N$8,B1847&gt;=NKC!$M$8),"x","")</f>
        <v>x</v>
      </c>
      <c r="AA1847" s="886"/>
    </row>
    <row r="1848" spans="1:27" s="211" customFormat="1" ht="15.75" customHeight="1">
      <c r="A1848" s="204" t="str">
        <f>IF(B1848&lt;&gt;"",IF(AND(B1848&gt;=_TM1,B1848&lt;=_TM2,OR(TH!L1848="1111",TH!M1848="1111")),TH!D1848,""),"")</f>
        <v/>
      </c>
      <c r="B1848" s="36">
        <f t="shared" si="258"/>
        <v>8</v>
      </c>
      <c r="C1848" s="191">
        <f t="shared" si="257"/>
        <v>41487</v>
      </c>
      <c r="D1848" s="191"/>
      <c r="E1848" s="191">
        <v>41487</v>
      </c>
      <c r="F1848" s="192" t="s">
        <v>1145</v>
      </c>
      <c r="G1848" s="487" t="s">
        <v>892</v>
      </c>
      <c r="H1848" s="7" t="s">
        <v>1293</v>
      </c>
      <c r="I1848" s="256"/>
      <c r="J1848" s="256"/>
      <c r="K1848" s="602">
        <f t="shared" si="259"/>
        <v>0</v>
      </c>
      <c r="L1848" s="39" t="s">
        <v>173</v>
      </c>
      <c r="M1848" s="39" t="s">
        <v>167</v>
      </c>
      <c r="N1848" s="39" t="str">
        <f>IF(AND('331-CT'!$E$7=TH!H1848,OR(L1848="331",M1848="331")),"331",IF(AND(OR(L1848="131",M1848="131"),H1848='131-CT'!$E$7),"131",""))</f>
        <v/>
      </c>
      <c r="O1848" s="39" t="str">
        <f>IF(AND($B1848&gt;='111'!$N$11,$B1848&lt;='111'!$O$11,OR($L1848=$O$7,$M1848=$O$7)),"x","")</f>
        <v/>
      </c>
      <c r="P1848" s="39" t="str">
        <f>IF(AND($L1848=$O$7,$B1848&lt;'111'!$N$11),"x","")</f>
        <v/>
      </c>
      <c r="Q1848" s="39" t="str">
        <f>IF(AND($M1848=$O$7,$B1848&lt;'111'!$N$11),"x","")</f>
        <v/>
      </c>
      <c r="R1848" s="39" t="str">
        <f>IF(ISERROR(FIND('112'!$M$9,G1848,1)),"",IF((AND(FIND('112'!$M$9,G1848,1)&gt;=1,$B1848&gt;='112'!$N$8,$B1848&lt;='112'!$O$8,OR($L1848='112'!$I$6,$M1848='112'!$I$6))),"x",""))</f>
        <v/>
      </c>
      <c r="S1848" s="39" t="str">
        <f>IF(ISERROR(FIND('112'!$M$9,G1848,1)),"",IF((AND(LEFT(G1848,2)=LEFT('112'!$M$9,2),B1848&lt;'112'!$N$8,$L1848='112'!$I$6)),"x",""))</f>
        <v/>
      </c>
      <c r="T1848" s="39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39" t="str">
        <f>IF(OR(TH!L1848=TH!$V$7,M1848=TH!$V$7),"x","")</f>
        <v/>
      </c>
      <c r="W1848" s="39" t="str">
        <f>IF(AND(B1848&gt;='IN-NX'!$P$3,B1848&lt;='IN-NX'!$Q$3,'IN-NX'!$D$7=D1848,OR(LEFT(L1848,2)="15",AND(LEFT(M1848,2)&lt;&gt;"15",LEFT(M1848,2)&lt;&gt;"33"))),"x","")</f>
        <v/>
      </c>
      <c r="X1848" s="39" t="str">
        <f>IF(AND(OR(LEFT(TH!L1848,2)="15",LEFT(TH!M1848,2)="15"),'152-CT'!$J$8=TH!F1848),"x","")</f>
        <v/>
      </c>
      <c r="Y1848" s="39" t="str">
        <f>IF(AND(OR(LEFT(TH!L1848,2)="15",LEFT(TH!M1848,2)="15"),TK!$E$7=TH!F1848),"x","")</f>
        <v/>
      </c>
      <c r="Z1848" s="39" t="str">
        <f>IF(AND(B1848&lt;=NKC!$N$8,B1848&gt;=NKC!$M$8),"x","")</f>
        <v>x</v>
      </c>
      <c r="AA1848" s="886"/>
    </row>
    <row r="1849" spans="1:27" s="211" customFormat="1" ht="15.75" customHeight="1">
      <c r="A1849" s="204" t="str">
        <f>IF(B1849&lt;&gt;"",IF(AND(B1849&gt;=_TM1,B1849&lt;=_TM2,OR(TH!L1849="1111",TH!M1849="1111")),TH!D1849,""),"")</f>
        <v/>
      </c>
      <c r="B1849" s="36">
        <f t="shared" si="258"/>
        <v>8</v>
      </c>
      <c r="C1849" s="191">
        <f t="shared" si="257"/>
        <v>41487</v>
      </c>
      <c r="D1849" s="191"/>
      <c r="E1849" s="191">
        <v>41487</v>
      </c>
      <c r="F1849" s="192" t="s">
        <v>867</v>
      </c>
      <c r="G1849" s="487" t="s">
        <v>893</v>
      </c>
      <c r="H1849" s="7" t="s">
        <v>1293</v>
      </c>
      <c r="I1849" s="256"/>
      <c r="J1849" s="256"/>
      <c r="K1849" s="602">
        <f t="shared" si="259"/>
        <v>0</v>
      </c>
      <c r="L1849" s="39" t="s">
        <v>173</v>
      </c>
      <c r="M1849" s="39" t="s">
        <v>167</v>
      </c>
      <c r="N1849" s="39" t="str">
        <f>IF(AND('331-CT'!$E$7=TH!H1849,OR(L1849="331",M1849="331")),"331",IF(AND(OR(L1849="131",M1849="131"),H1849='131-CT'!$E$7),"131",""))</f>
        <v/>
      </c>
      <c r="O1849" s="39" t="str">
        <f>IF(AND($B1849&gt;='111'!$N$11,$B1849&lt;='111'!$O$11,OR($L1849=$O$7,$M1849=$O$7)),"x","")</f>
        <v/>
      </c>
      <c r="P1849" s="39" t="str">
        <f>IF(AND($L1849=$O$7,$B1849&lt;'111'!$N$11),"x","")</f>
        <v/>
      </c>
      <c r="Q1849" s="39" t="str">
        <f>IF(AND($M1849=$O$7,$B1849&lt;'111'!$N$11),"x","")</f>
        <v/>
      </c>
      <c r="R1849" s="39" t="str">
        <f>IF(ISERROR(FIND('112'!$M$9,G1849,1)),"",IF((AND(FIND('112'!$M$9,G1849,1)&gt;=1,$B1849&gt;='112'!$N$8,$B1849&lt;='112'!$O$8,OR($L1849='112'!$I$6,$M1849='112'!$I$6))),"x",""))</f>
        <v/>
      </c>
      <c r="S1849" s="39" t="str">
        <f>IF(ISERROR(FIND('112'!$M$9,G1849,1)),"",IF((AND(LEFT(G1849,2)=LEFT('112'!$M$9,2),B1849&lt;'112'!$N$8,$L1849='112'!$I$6)),"x",""))</f>
        <v/>
      </c>
      <c r="T1849" s="39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39" t="str">
        <f>IF(OR(TH!L1849=TH!$V$7,M1849=TH!$V$7),"x","")</f>
        <v/>
      </c>
      <c r="W1849" s="39" t="str">
        <f>IF(AND(B1849&gt;='IN-NX'!$P$3,B1849&lt;='IN-NX'!$Q$3,'IN-NX'!$D$7=D1849,OR(LEFT(L1849,2)="15",AND(LEFT(M1849,2)&lt;&gt;"15",LEFT(M1849,2)&lt;&gt;"33"))),"x","")</f>
        <v/>
      </c>
      <c r="X1849" s="39" t="str">
        <f>IF(AND(OR(LEFT(TH!L1849,2)="15",LEFT(TH!M1849,2)="15"),'152-CT'!$J$8=TH!F1849),"x","")</f>
        <v/>
      </c>
      <c r="Y1849" s="39" t="str">
        <f>IF(AND(OR(LEFT(TH!L1849,2)="15",LEFT(TH!M1849,2)="15"),TK!$E$7=TH!F1849),"x","")</f>
        <v/>
      </c>
      <c r="Z1849" s="39" t="str">
        <f>IF(AND(B1849&lt;=NKC!$N$8,B1849&gt;=NKC!$M$8),"x","")</f>
        <v>x</v>
      </c>
      <c r="AA1849" s="886"/>
    </row>
    <row r="1850" spans="1:27" s="211" customFormat="1" ht="15.75" customHeight="1">
      <c r="A1850" s="204" t="str">
        <f>IF(B1850&lt;&gt;"",IF(AND(B1850&gt;=_TM1,B1850&lt;=_TM2,OR(TH!L1850="1111",TH!M1850="1111")),TH!D1850,""),"")</f>
        <v/>
      </c>
      <c r="B1850" s="36">
        <f t="shared" si="258"/>
        <v>8</v>
      </c>
      <c r="C1850" s="191">
        <f t="shared" si="257"/>
        <v>41488</v>
      </c>
      <c r="D1850" s="191"/>
      <c r="E1850" s="191">
        <v>41488</v>
      </c>
      <c r="F1850" s="192" t="s">
        <v>887</v>
      </c>
      <c r="G1850" s="487" t="s">
        <v>894</v>
      </c>
      <c r="H1850" s="7" t="s">
        <v>1293</v>
      </c>
      <c r="I1850" s="256"/>
      <c r="J1850" s="256"/>
      <c r="K1850" s="602">
        <f t="shared" si="259"/>
        <v>0</v>
      </c>
      <c r="L1850" s="39" t="s">
        <v>173</v>
      </c>
      <c r="M1850" s="39" t="s">
        <v>167</v>
      </c>
      <c r="N1850" s="39" t="str">
        <f>IF(AND('331-CT'!$E$7=TH!H1850,OR(L1850="331",M1850="331")),"331",IF(AND(OR(L1850="131",M1850="131"),H1850='131-CT'!$E$7),"131",""))</f>
        <v/>
      </c>
      <c r="O1850" s="39" t="str">
        <f>IF(AND($B1850&gt;='111'!$N$11,$B1850&lt;='111'!$O$11,OR($L1850=$O$7,$M1850=$O$7)),"x","")</f>
        <v/>
      </c>
      <c r="P1850" s="39" t="str">
        <f>IF(AND($L1850=$O$7,$B1850&lt;'111'!$N$11),"x","")</f>
        <v/>
      </c>
      <c r="Q1850" s="39" t="str">
        <f>IF(AND($M1850=$O$7,$B1850&lt;'111'!$N$11),"x","")</f>
        <v/>
      </c>
      <c r="R1850" s="39" t="str">
        <f>IF(ISERROR(FIND('112'!$M$9,G1850,1)),"",IF((AND(FIND('112'!$M$9,G1850,1)&gt;=1,$B1850&gt;='112'!$N$8,$B1850&lt;='112'!$O$8,OR($L1850='112'!$I$6,$M1850='112'!$I$6))),"x",""))</f>
        <v/>
      </c>
      <c r="S1850" s="39" t="str">
        <f>IF(ISERROR(FIND('112'!$M$9,G1850,1)),"",IF((AND(LEFT(G1850,2)=LEFT('112'!$M$9,2),B1850&lt;'112'!$N$8,$L1850='112'!$I$6)),"x",""))</f>
        <v/>
      </c>
      <c r="T1850" s="39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39" t="str">
        <f>IF(OR(TH!L1850=TH!$V$7,M1850=TH!$V$7),"x","")</f>
        <v/>
      </c>
      <c r="W1850" s="39" t="str">
        <f>IF(AND(B1850&gt;='IN-NX'!$P$3,B1850&lt;='IN-NX'!$Q$3,'IN-NX'!$D$7=D1850,OR(LEFT(L1850,2)="15",AND(LEFT(M1850,2)&lt;&gt;"15",LEFT(M1850,2)&lt;&gt;"33"))),"x","")</f>
        <v/>
      </c>
      <c r="X1850" s="39" t="str">
        <f>IF(AND(OR(LEFT(TH!L1850,2)="15",LEFT(TH!M1850,2)="15"),'152-CT'!$J$8=TH!F1850),"x","")</f>
        <v/>
      </c>
      <c r="Y1850" s="39" t="str">
        <f>IF(AND(OR(LEFT(TH!L1850,2)="15",LEFT(TH!M1850,2)="15"),TK!$E$7=TH!F1850),"x","")</f>
        <v/>
      </c>
      <c r="Z1850" s="39" t="str">
        <f>IF(AND(B1850&lt;=NKC!$N$8,B1850&gt;=NKC!$M$8),"x","")</f>
        <v>x</v>
      </c>
      <c r="AA1850" s="886"/>
    </row>
    <row r="1851" spans="1:27" s="211" customFormat="1" ht="15.75" customHeight="1">
      <c r="A1851" s="204" t="str">
        <f>IF(B1851&lt;&gt;"",IF(AND(B1851&gt;=_TM1,B1851&lt;=_TM2,OR(TH!L1851="1111",TH!M1851="1111")),TH!D1851,""),"")</f>
        <v/>
      </c>
      <c r="B1851" s="36">
        <f t="shared" si="258"/>
        <v>8</v>
      </c>
      <c r="C1851" s="191">
        <f t="shared" si="257"/>
        <v>41488</v>
      </c>
      <c r="D1851" s="37"/>
      <c r="E1851" s="191">
        <v>41488</v>
      </c>
      <c r="F1851" s="192" t="s">
        <v>1149</v>
      </c>
      <c r="G1851" s="487" t="s">
        <v>895</v>
      </c>
      <c r="H1851" s="7" t="s">
        <v>1293</v>
      </c>
      <c r="I1851" s="256"/>
      <c r="J1851" s="256"/>
      <c r="K1851" s="602">
        <f t="shared" si="259"/>
        <v>0</v>
      </c>
      <c r="L1851" s="39" t="s">
        <v>173</v>
      </c>
      <c r="M1851" s="39" t="s">
        <v>167</v>
      </c>
      <c r="N1851" s="39" t="str">
        <f>IF(AND('331-CT'!$E$7=TH!H1851,OR(L1851="331",M1851="331")),"331",IF(AND(OR(L1851="131",M1851="131"),H1851='131-CT'!$E$7),"131",""))</f>
        <v/>
      </c>
      <c r="O1851" s="39" t="str">
        <f>IF(AND($B1851&gt;='111'!$N$11,$B1851&lt;='111'!$O$11,OR($L1851=$O$7,$M1851=$O$7)),"x","")</f>
        <v/>
      </c>
      <c r="P1851" s="39" t="str">
        <f>IF(AND($L1851=$O$7,$B1851&lt;'111'!$N$11),"x","")</f>
        <v/>
      </c>
      <c r="Q1851" s="39" t="str">
        <f>IF(AND($M1851=$O$7,$B1851&lt;'111'!$N$11),"x","")</f>
        <v/>
      </c>
      <c r="R1851" s="39" t="str">
        <f>IF(ISERROR(FIND('112'!$M$9,G1851,1)),"",IF((AND(FIND('112'!$M$9,G1851,1)&gt;=1,$B1851&gt;='112'!$N$8,$B1851&lt;='112'!$O$8,OR($L1851='112'!$I$6,$M1851='112'!$I$6))),"x",""))</f>
        <v/>
      </c>
      <c r="S1851" s="39" t="str">
        <f>IF(ISERROR(FIND('112'!$M$9,G1851,1)),"",IF((AND(LEFT(G1851,2)=LEFT('112'!$M$9,2),B1851&lt;'112'!$N$8,$L1851='112'!$I$6)),"x",""))</f>
        <v/>
      </c>
      <c r="T1851" s="39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39" t="str">
        <f>IF(OR(TH!L1851=TH!$V$7,M1851=TH!$V$7),"x","")</f>
        <v/>
      </c>
      <c r="W1851" s="39" t="str">
        <f>IF(AND(B1851&gt;='IN-NX'!$P$3,B1851&lt;='IN-NX'!$Q$3,'IN-NX'!$D$7=D1851,OR(LEFT(L1851,2)="15",AND(LEFT(M1851,2)&lt;&gt;"15",LEFT(M1851,2)&lt;&gt;"33"))),"x","")</f>
        <v/>
      </c>
      <c r="X1851" s="39" t="str">
        <f>IF(AND(OR(LEFT(TH!L1851,2)="15",LEFT(TH!M1851,2)="15"),'152-CT'!$J$8=TH!F1851),"x","")</f>
        <v/>
      </c>
      <c r="Y1851" s="39" t="str">
        <f>IF(AND(OR(LEFT(TH!L1851,2)="15",LEFT(TH!M1851,2)="15"),TK!$E$7=TH!F1851),"x","")</f>
        <v/>
      </c>
      <c r="Z1851" s="39" t="str">
        <f>IF(AND(B1851&lt;=NKC!$N$8,B1851&gt;=NKC!$M$8),"x","")</f>
        <v>x</v>
      </c>
      <c r="AA1851" s="886"/>
    </row>
    <row r="1852" spans="1:27" s="211" customFormat="1" ht="15.75" customHeight="1">
      <c r="A1852" s="204" t="str">
        <f>IF(B1852&lt;&gt;"",IF(AND(B1852&gt;=_TM1,B1852&lt;=_TM2,OR(TH!L1852="1111",TH!M1852="1111")),TH!D1852,""),"")</f>
        <v/>
      </c>
      <c r="B1852" s="36">
        <f t="shared" si="258"/>
        <v>8</v>
      </c>
      <c r="C1852" s="191">
        <f t="shared" si="257"/>
        <v>41489</v>
      </c>
      <c r="D1852" s="37"/>
      <c r="E1852" s="191">
        <v>41489</v>
      </c>
      <c r="F1852" s="192" t="s">
        <v>1149</v>
      </c>
      <c r="G1852" s="487" t="s">
        <v>897</v>
      </c>
      <c r="H1852" s="7" t="s">
        <v>1293</v>
      </c>
      <c r="I1852" s="256"/>
      <c r="J1852" s="256"/>
      <c r="K1852" s="602">
        <f t="shared" si="259"/>
        <v>0</v>
      </c>
      <c r="L1852" s="39" t="s">
        <v>173</v>
      </c>
      <c r="M1852" s="39" t="s">
        <v>167</v>
      </c>
      <c r="N1852" s="39" t="str">
        <f>IF(AND('331-CT'!$E$7=TH!H1852,OR(L1852="331",M1852="331")),"331",IF(AND(OR(L1852="131",M1852="131"),H1852='131-CT'!$E$7),"131",""))</f>
        <v/>
      </c>
      <c r="O1852" s="39" t="str">
        <f>IF(AND($B1852&gt;='111'!$N$11,$B1852&lt;='111'!$O$11,OR($L1852=$O$7,$M1852=$O$7)),"x","")</f>
        <v/>
      </c>
      <c r="P1852" s="39" t="str">
        <f>IF(AND($L1852=$O$7,$B1852&lt;'111'!$N$11),"x","")</f>
        <v/>
      </c>
      <c r="Q1852" s="39" t="str">
        <f>IF(AND($M1852=$O$7,$B1852&lt;'111'!$N$11),"x","")</f>
        <v/>
      </c>
      <c r="R1852" s="39" t="str">
        <f>IF(ISERROR(FIND('112'!$M$9,G1852,1)),"",IF((AND(FIND('112'!$M$9,G1852,1)&gt;=1,$B1852&gt;='112'!$N$8,$B1852&lt;='112'!$O$8,OR($L1852='112'!$I$6,$M1852='112'!$I$6))),"x",""))</f>
        <v/>
      </c>
      <c r="S1852" s="39" t="str">
        <f>IF(ISERROR(FIND('112'!$M$9,G1852,1)),"",IF((AND(LEFT(G1852,2)=LEFT('112'!$M$9,2),B1852&lt;'112'!$N$8,$L1852='112'!$I$6)),"x",""))</f>
        <v/>
      </c>
      <c r="T1852" s="39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39" t="str">
        <f>IF(OR(TH!L1852=TH!$V$7,M1852=TH!$V$7),"x","")</f>
        <v/>
      </c>
      <c r="W1852" s="39" t="str">
        <f>IF(AND(B1852&gt;='IN-NX'!$P$3,B1852&lt;='IN-NX'!$Q$3,'IN-NX'!$D$7=D1852,OR(LEFT(L1852,2)="15",AND(LEFT(M1852,2)&lt;&gt;"15",LEFT(M1852,2)&lt;&gt;"33"))),"x","")</f>
        <v/>
      </c>
      <c r="X1852" s="39" t="str">
        <f>IF(AND(OR(LEFT(TH!L1852,2)="15",LEFT(TH!M1852,2)="15"),'152-CT'!$J$8=TH!F1852),"x","")</f>
        <v/>
      </c>
      <c r="Y1852" s="39" t="str">
        <f>IF(AND(OR(LEFT(TH!L1852,2)="15",LEFT(TH!M1852,2)="15"),TK!$E$7=TH!F1852),"x","")</f>
        <v/>
      </c>
      <c r="Z1852" s="39" t="str">
        <f>IF(AND(B1852&lt;=NKC!$N$8,B1852&gt;=NKC!$M$8),"x","")</f>
        <v>x</v>
      </c>
      <c r="AA1852" s="886"/>
    </row>
    <row r="1853" spans="1:27" s="211" customFormat="1" ht="15.75" customHeight="1">
      <c r="A1853" s="204" t="str">
        <f>IF(B1853&lt;&gt;"",IF(AND(B1853&gt;=_TM1,B1853&lt;=_TM2,OR(TH!L1853="1111",TH!M1853="1111")),TH!D1853,""),"")</f>
        <v/>
      </c>
      <c r="B1853" s="36">
        <f t="shared" si="258"/>
        <v>8</v>
      </c>
      <c r="C1853" s="191">
        <f t="shared" si="257"/>
        <v>41492</v>
      </c>
      <c r="D1853" s="191"/>
      <c r="E1853" s="37">
        <v>41492</v>
      </c>
      <c r="F1853" s="40" t="s">
        <v>1149</v>
      </c>
      <c r="G1853" s="40" t="s">
        <v>898</v>
      </c>
      <c r="H1853" s="7" t="s">
        <v>1293</v>
      </c>
      <c r="I1853" s="256"/>
      <c r="J1853" s="256"/>
      <c r="K1853" s="602">
        <f t="shared" si="259"/>
        <v>0</v>
      </c>
      <c r="L1853" s="39" t="s">
        <v>173</v>
      </c>
      <c r="M1853" s="39" t="s">
        <v>167</v>
      </c>
      <c r="N1853" s="39" t="str">
        <f>IF(AND('331-CT'!$E$7=TH!H1853,OR(L1853="331",M1853="331")),"331",IF(AND(OR(L1853="131",M1853="131"),H1853='131-CT'!$E$7),"131",""))</f>
        <v/>
      </c>
      <c r="O1853" s="39" t="str">
        <f>IF(AND($B1853&gt;='111'!$N$11,$B1853&lt;='111'!$O$11,OR($L1853=$O$7,$M1853=$O$7)),"x","")</f>
        <v/>
      </c>
      <c r="P1853" s="39" t="str">
        <f>IF(AND($L1853=$O$7,$B1853&lt;'111'!$N$11),"x","")</f>
        <v/>
      </c>
      <c r="Q1853" s="39" t="str">
        <f>IF(AND($M1853=$O$7,$B1853&lt;'111'!$N$11),"x","")</f>
        <v/>
      </c>
      <c r="R1853" s="39" t="str">
        <f>IF(ISERROR(FIND('112'!$M$9,G1853,1)),"",IF((AND(FIND('112'!$M$9,G1853,1)&gt;=1,$B1853&gt;='112'!$N$8,$B1853&lt;='112'!$O$8,OR($L1853='112'!$I$6,$M1853='112'!$I$6))),"x",""))</f>
        <v/>
      </c>
      <c r="S1853" s="39" t="str">
        <f>IF(ISERROR(FIND('112'!$M$9,G1853,1)),"",IF((AND(LEFT(G1853,2)=LEFT('112'!$M$9,2),B1853&lt;'112'!$N$8,$L1853='112'!$I$6)),"x",""))</f>
        <v/>
      </c>
      <c r="T1853" s="39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39" t="str">
        <f>IF(OR(TH!L1853=TH!$V$7,M1853=TH!$V$7),"x","")</f>
        <v/>
      </c>
      <c r="W1853" s="39" t="str">
        <f>IF(AND(B1853&gt;='IN-NX'!$P$3,B1853&lt;='IN-NX'!$Q$3,'IN-NX'!$D$7=D1853,OR(LEFT(L1853,2)="15",AND(LEFT(M1853,2)&lt;&gt;"15",LEFT(M1853,2)&lt;&gt;"33"))),"x","")</f>
        <v/>
      </c>
      <c r="X1853" s="39" t="str">
        <f>IF(AND(OR(LEFT(TH!L1853,2)="15",LEFT(TH!M1853,2)="15"),'152-CT'!$J$8=TH!F1853),"x","")</f>
        <v/>
      </c>
      <c r="Y1853" s="39" t="str">
        <f>IF(AND(OR(LEFT(TH!L1853,2)="15",LEFT(TH!M1853,2)="15"),TK!$E$7=TH!F1853),"x","")</f>
        <v/>
      </c>
      <c r="Z1853" s="39" t="str">
        <f>IF(AND(B1853&lt;=NKC!$N$8,B1853&gt;=NKC!$M$8),"x","")</f>
        <v>x</v>
      </c>
      <c r="AA1853" s="886"/>
    </row>
    <row r="1854" spans="1:27" s="211" customFormat="1" ht="15.75" customHeight="1">
      <c r="A1854" s="204" t="str">
        <f>IF(B1854&lt;&gt;"",IF(AND(B1854&gt;=_TM1,B1854&lt;=_TM2,OR(TH!L1854="1111",TH!M1854="1111")),TH!D1854,""),"")</f>
        <v/>
      </c>
      <c r="B1854" s="36">
        <f t="shared" si="258"/>
        <v>8</v>
      </c>
      <c r="C1854" s="191">
        <f t="shared" si="257"/>
        <v>41492</v>
      </c>
      <c r="D1854" s="191"/>
      <c r="E1854" s="37">
        <v>41492</v>
      </c>
      <c r="F1854" s="40" t="s">
        <v>899</v>
      </c>
      <c r="G1854" s="40" t="s">
        <v>900</v>
      </c>
      <c r="H1854" s="7" t="s">
        <v>1293</v>
      </c>
      <c r="I1854" s="256"/>
      <c r="J1854" s="256"/>
      <c r="K1854" s="602">
        <f t="shared" si="259"/>
        <v>0</v>
      </c>
      <c r="L1854" s="39" t="s">
        <v>173</v>
      </c>
      <c r="M1854" s="39" t="s">
        <v>167</v>
      </c>
      <c r="N1854" s="39" t="str">
        <f>IF(AND('331-CT'!$E$7=TH!H1854,OR(L1854="331",M1854="331")),"331",IF(AND(OR(L1854="131",M1854="131"),H1854='131-CT'!$E$7),"131",""))</f>
        <v/>
      </c>
      <c r="O1854" s="39" t="str">
        <f>IF(AND($B1854&gt;='111'!$N$11,$B1854&lt;='111'!$O$11,OR($L1854=$O$7,$M1854=$O$7)),"x","")</f>
        <v/>
      </c>
      <c r="P1854" s="39" t="str">
        <f>IF(AND($L1854=$O$7,$B1854&lt;'111'!$N$11),"x","")</f>
        <v/>
      </c>
      <c r="Q1854" s="39" t="str">
        <f>IF(AND($M1854=$O$7,$B1854&lt;'111'!$N$11),"x","")</f>
        <v/>
      </c>
      <c r="R1854" s="39" t="str">
        <f>IF(ISERROR(FIND('112'!$M$9,G1854,1)),"",IF((AND(FIND('112'!$M$9,G1854,1)&gt;=1,$B1854&gt;='112'!$N$8,$B1854&lt;='112'!$O$8,OR($L1854='112'!$I$6,$M1854='112'!$I$6))),"x",""))</f>
        <v/>
      </c>
      <c r="S1854" s="39" t="str">
        <f>IF(ISERROR(FIND('112'!$M$9,G1854,1)),"",IF((AND(LEFT(G1854,2)=LEFT('112'!$M$9,2),B1854&lt;'112'!$N$8,$L1854='112'!$I$6)),"x",""))</f>
        <v/>
      </c>
      <c r="T1854" s="39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39" t="str">
        <f>IF(OR(TH!L1854=TH!$V$7,M1854=TH!$V$7),"x","")</f>
        <v/>
      </c>
      <c r="W1854" s="39" t="str">
        <f>IF(AND(B1854&gt;='IN-NX'!$P$3,B1854&lt;='IN-NX'!$Q$3,'IN-NX'!$D$7=D1854,OR(LEFT(L1854,2)="15",AND(LEFT(M1854,2)&lt;&gt;"15",LEFT(M1854,2)&lt;&gt;"33"))),"x","")</f>
        <v/>
      </c>
      <c r="X1854" s="39" t="str">
        <f>IF(AND(OR(LEFT(TH!L1854,2)="15",LEFT(TH!M1854,2)="15"),'152-CT'!$J$8=TH!F1854),"x","")</f>
        <v/>
      </c>
      <c r="Y1854" s="39" t="str">
        <f>IF(AND(OR(LEFT(TH!L1854,2)="15",LEFT(TH!M1854,2)="15"),TK!$E$7=TH!F1854),"x","")</f>
        <v/>
      </c>
      <c r="Z1854" s="39" t="str">
        <f>IF(AND(B1854&lt;=NKC!$N$8,B1854&gt;=NKC!$M$8),"x","")</f>
        <v>x</v>
      </c>
      <c r="AA1854" s="886"/>
    </row>
    <row r="1855" spans="1:27" s="211" customFormat="1" ht="15.75" customHeight="1">
      <c r="A1855" s="204" t="str">
        <f>IF(B1855&lt;&gt;"",IF(AND(B1855&gt;=_TM1,B1855&lt;=_TM2,OR(TH!L1855="1111",TH!M1855="1111")),TH!D1855,""),"")</f>
        <v/>
      </c>
      <c r="B1855" s="36">
        <f t="shared" si="258"/>
        <v>8</v>
      </c>
      <c r="C1855" s="191">
        <f t="shared" si="257"/>
        <v>41492</v>
      </c>
      <c r="D1855" s="191"/>
      <c r="E1855" s="37">
        <v>41492</v>
      </c>
      <c r="F1855" s="40" t="s">
        <v>1138</v>
      </c>
      <c r="G1855" s="40" t="s">
        <v>900</v>
      </c>
      <c r="H1855" s="7" t="s">
        <v>1293</v>
      </c>
      <c r="I1855" s="256"/>
      <c r="J1855" s="256"/>
      <c r="K1855" s="602">
        <f t="shared" si="259"/>
        <v>0</v>
      </c>
      <c r="L1855" s="39" t="s">
        <v>173</v>
      </c>
      <c r="M1855" s="39" t="s">
        <v>167</v>
      </c>
      <c r="N1855" s="39" t="str">
        <f>IF(AND('331-CT'!$E$7=TH!H1855,OR(L1855="331",M1855="331")),"331",IF(AND(OR(L1855="131",M1855="131"),H1855='131-CT'!$E$7),"131",""))</f>
        <v/>
      </c>
      <c r="O1855" s="39" t="str">
        <f>IF(AND($B1855&gt;='111'!$N$11,$B1855&lt;='111'!$O$11,OR($L1855=$O$7,$M1855=$O$7)),"x","")</f>
        <v/>
      </c>
      <c r="P1855" s="39" t="str">
        <f>IF(AND($L1855=$O$7,$B1855&lt;'111'!$N$11),"x","")</f>
        <v/>
      </c>
      <c r="Q1855" s="39" t="str">
        <f>IF(AND($M1855=$O$7,$B1855&lt;'111'!$N$11),"x","")</f>
        <v/>
      </c>
      <c r="R1855" s="39" t="str">
        <f>IF(ISERROR(FIND('112'!$M$9,G1855,1)),"",IF((AND(FIND('112'!$M$9,G1855,1)&gt;=1,$B1855&gt;='112'!$N$8,$B1855&lt;='112'!$O$8,OR($L1855='112'!$I$6,$M1855='112'!$I$6))),"x",""))</f>
        <v/>
      </c>
      <c r="S1855" s="39" t="str">
        <f>IF(ISERROR(FIND('112'!$M$9,G1855,1)),"",IF((AND(LEFT(G1855,2)=LEFT('112'!$M$9,2),B1855&lt;'112'!$N$8,$L1855='112'!$I$6)),"x",""))</f>
        <v/>
      </c>
      <c r="T1855" s="39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39" t="str">
        <f>IF(OR(TH!L1855=TH!$V$7,M1855=TH!$V$7),"x","")</f>
        <v/>
      </c>
      <c r="W1855" s="39" t="str">
        <f>IF(AND(B1855&gt;='IN-NX'!$P$3,B1855&lt;='IN-NX'!$Q$3,'IN-NX'!$D$7=D1855,OR(LEFT(L1855,2)="15",AND(LEFT(M1855,2)&lt;&gt;"15",LEFT(M1855,2)&lt;&gt;"33"))),"x","")</f>
        <v/>
      </c>
      <c r="X1855" s="39" t="str">
        <f>IF(AND(OR(LEFT(TH!L1855,2)="15",LEFT(TH!M1855,2)="15"),'152-CT'!$J$8=TH!F1855),"x","")</f>
        <v/>
      </c>
      <c r="Y1855" s="39" t="str">
        <f>IF(AND(OR(LEFT(TH!L1855,2)="15",LEFT(TH!M1855,2)="15"),TK!$E$7=TH!F1855),"x","")</f>
        <v/>
      </c>
      <c r="Z1855" s="39" t="str">
        <f>IF(AND(B1855&lt;=NKC!$N$8,B1855&gt;=NKC!$M$8),"x","")</f>
        <v>x</v>
      </c>
      <c r="AA1855" s="886"/>
    </row>
    <row r="1856" spans="1:27" s="211" customFormat="1" ht="15.75" customHeight="1">
      <c r="A1856" s="204" t="str">
        <f>IF(B1856&lt;&gt;"",IF(AND(B1856&gt;=_TM1,B1856&lt;=_TM2,OR(TH!L1856="1111",TH!M1856="1111")),TH!D1856,""),"")</f>
        <v/>
      </c>
      <c r="B1856" s="36">
        <f t="shared" si="258"/>
        <v>8</v>
      </c>
      <c r="C1856" s="191">
        <f t="shared" si="257"/>
        <v>41492</v>
      </c>
      <c r="D1856" s="191"/>
      <c r="E1856" s="37">
        <v>41492</v>
      </c>
      <c r="F1856" s="40" t="s">
        <v>725</v>
      </c>
      <c r="G1856" s="40" t="s">
        <v>901</v>
      </c>
      <c r="H1856" s="7" t="s">
        <v>1293</v>
      </c>
      <c r="I1856" s="256"/>
      <c r="J1856" s="256"/>
      <c r="K1856" s="602">
        <f t="shared" si="259"/>
        <v>0</v>
      </c>
      <c r="L1856" s="39" t="s">
        <v>173</v>
      </c>
      <c r="M1856" s="39" t="s">
        <v>167</v>
      </c>
      <c r="N1856" s="39" t="str">
        <f>IF(AND('331-CT'!$E$7=TH!H1856,OR(L1856="331",M1856="331")),"331",IF(AND(OR(L1856="131",M1856="131"),H1856='131-CT'!$E$7),"131",""))</f>
        <v/>
      </c>
      <c r="O1856" s="39" t="str">
        <f>IF(AND($B1856&gt;='111'!$N$11,$B1856&lt;='111'!$O$11,OR($L1856=$O$7,$M1856=$O$7)),"x","")</f>
        <v/>
      </c>
      <c r="P1856" s="39" t="str">
        <f>IF(AND($L1856=$O$7,$B1856&lt;'111'!$N$11),"x","")</f>
        <v/>
      </c>
      <c r="Q1856" s="39" t="str">
        <f>IF(AND($M1856=$O$7,$B1856&lt;'111'!$N$11),"x","")</f>
        <v/>
      </c>
      <c r="R1856" s="39" t="str">
        <f>IF(ISERROR(FIND('112'!$M$9,G1856,1)),"",IF((AND(FIND('112'!$M$9,G1856,1)&gt;=1,$B1856&gt;='112'!$N$8,$B1856&lt;='112'!$O$8,OR($L1856='112'!$I$6,$M1856='112'!$I$6))),"x",""))</f>
        <v/>
      </c>
      <c r="S1856" s="39" t="str">
        <f>IF(ISERROR(FIND('112'!$M$9,G1856,1)),"",IF((AND(LEFT(G1856,2)=LEFT('112'!$M$9,2),B1856&lt;'112'!$N$8,$L1856='112'!$I$6)),"x",""))</f>
        <v/>
      </c>
      <c r="T1856" s="39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39" t="str">
        <f>IF(OR(TH!L1856=TH!$V$7,M1856=TH!$V$7),"x","")</f>
        <v/>
      </c>
      <c r="W1856" s="39" t="str">
        <f>IF(AND(B1856&gt;='IN-NX'!$P$3,B1856&lt;='IN-NX'!$Q$3,'IN-NX'!$D$7=D1856,OR(LEFT(L1856,2)="15",AND(LEFT(M1856,2)&lt;&gt;"15",LEFT(M1856,2)&lt;&gt;"33"))),"x","")</f>
        <v/>
      </c>
      <c r="X1856" s="39" t="str">
        <f>IF(AND(OR(LEFT(TH!L1856,2)="15",LEFT(TH!M1856,2)="15"),'152-CT'!$J$8=TH!F1856),"x","")</f>
        <v/>
      </c>
      <c r="Y1856" s="39" t="str">
        <f>IF(AND(OR(LEFT(TH!L1856,2)="15",LEFT(TH!M1856,2)="15"),TK!$E$7=TH!F1856),"x","")</f>
        <v/>
      </c>
      <c r="Z1856" s="39" t="str">
        <f>IF(AND(B1856&lt;=NKC!$N$8,B1856&gt;=NKC!$M$8),"x","")</f>
        <v>x</v>
      </c>
      <c r="AA1856" s="886"/>
    </row>
    <row r="1857" spans="1:27" s="211" customFormat="1" ht="15.75" customHeight="1">
      <c r="A1857" s="204" t="str">
        <f>IF(B1857&lt;&gt;"",IF(AND(B1857&gt;=_TM1,B1857&lt;=_TM2,OR(TH!L1857="1111",TH!M1857="1111")),TH!D1857,""),"")</f>
        <v/>
      </c>
      <c r="B1857" s="36">
        <f t="shared" si="258"/>
        <v>8</v>
      </c>
      <c r="C1857" s="191">
        <f t="shared" si="257"/>
        <v>41492</v>
      </c>
      <c r="D1857" s="191"/>
      <c r="E1857" s="37">
        <v>41492</v>
      </c>
      <c r="F1857" s="40" t="s">
        <v>871</v>
      </c>
      <c r="G1857" s="40" t="s">
        <v>901</v>
      </c>
      <c r="H1857" s="7" t="s">
        <v>1293</v>
      </c>
      <c r="I1857" s="256"/>
      <c r="J1857" s="256"/>
      <c r="K1857" s="602">
        <f t="shared" si="259"/>
        <v>0</v>
      </c>
      <c r="L1857" s="39" t="s">
        <v>173</v>
      </c>
      <c r="M1857" s="39" t="s">
        <v>167</v>
      </c>
      <c r="N1857" s="39" t="str">
        <f>IF(AND('331-CT'!$E$7=TH!H1857,OR(L1857="331",M1857="331")),"331",IF(AND(OR(L1857="131",M1857="131"),H1857='131-CT'!$E$7),"131",""))</f>
        <v/>
      </c>
      <c r="O1857" s="39" t="str">
        <f>IF(AND($B1857&gt;='111'!$N$11,$B1857&lt;='111'!$O$11,OR($L1857=$O$7,$M1857=$O$7)),"x","")</f>
        <v/>
      </c>
      <c r="P1857" s="39" t="str">
        <f>IF(AND($L1857=$O$7,$B1857&lt;'111'!$N$11),"x","")</f>
        <v/>
      </c>
      <c r="Q1857" s="39" t="str">
        <f>IF(AND($M1857=$O$7,$B1857&lt;'111'!$N$11),"x","")</f>
        <v/>
      </c>
      <c r="R1857" s="39" t="str">
        <f>IF(ISERROR(FIND('112'!$M$9,G1857,1)),"",IF((AND(FIND('112'!$M$9,G1857,1)&gt;=1,$B1857&gt;='112'!$N$8,$B1857&lt;='112'!$O$8,OR($L1857='112'!$I$6,$M1857='112'!$I$6))),"x",""))</f>
        <v/>
      </c>
      <c r="S1857" s="39" t="str">
        <f>IF(ISERROR(FIND('112'!$M$9,G1857,1)),"",IF((AND(LEFT(G1857,2)=LEFT('112'!$M$9,2),B1857&lt;'112'!$N$8,$L1857='112'!$I$6)),"x",""))</f>
        <v/>
      </c>
      <c r="T1857" s="39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39" t="str">
        <f>IF(OR(TH!L1857=TH!$V$7,M1857=TH!$V$7),"x","")</f>
        <v/>
      </c>
      <c r="W1857" s="39" t="str">
        <f>IF(AND(B1857&gt;='IN-NX'!$P$3,B1857&lt;='IN-NX'!$Q$3,'IN-NX'!$D$7=D1857,OR(LEFT(L1857,2)="15",AND(LEFT(M1857,2)&lt;&gt;"15",LEFT(M1857,2)&lt;&gt;"33"))),"x","")</f>
        <v/>
      </c>
      <c r="X1857" s="39" t="str">
        <f>IF(AND(OR(LEFT(TH!L1857,2)="15",LEFT(TH!M1857,2)="15"),'152-CT'!$J$8=TH!F1857),"x","")</f>
        <v/>
      </c>
      <c r="Y1857" s="39" t="str">
        <f>IF(AND(OR(LEFT(TH!L1857,2)="15",LEFT(TH!M1857,2)="15"),TK!$E$7=TH!F1857),"x","")</f>
        <v/>
      </c>
      <c r="Z1857" s="39" t="str">
        <f>IF(AND(B1857&lt;=NKC!$N$8,B1857&gt;=NKC!$M$8),"x","")</f>
        <v>x</v>
      </c>
      <c r="AA1857" s="886"/>
    </row>
    <row r="1858" spans="1:27" s="211" customFormat="1" ht="15.75" customHeight="1">
      <c r="A1858" s="204" t="str">
        <f>IF(B1858&lt;&gt;"",IF(AND(B1858&gt;=_TM1,B1858&lt;=_TM2,OR(TH!L1858="1111",TH!M1858="1111")),TH!D1858,""),"")</f>
        <v/>
      </c>
      <c r="B1858" s="36">
        <f t="shared" si="258"/>
        <v>8</v>
      </c>
      <c r="C1858" s="191">
        <f t="shared" si="257"/>
        <v>41495</v>
      </c>
      <c r="D1858" s="191"/>
      <c r="E1858" s="37">
        <v>41495</v>
      </c>
      <c r="F1858" s="40" t="s">
        <v>838</v>
      </c>
      <c r="G1858" s="40" t="s">
        <v>902</v>
      </c>
      <c r="H1858" s="7" t="s">
        <v>1293</v>
      </c>
      <c r="I1858" s="256"/>
      <c r="J1858" s="256"/>
      <c r="K1858" s="602">
        <f t="shared" si="259"/>
        <v>0</v>
      </c>
      <c r="L1858" s="39" t="s">
        <v>173</v>
      </c>
      <c r="M1858" s="39" t="s">
        <v>167</v>
      </c>
      <c r="N1858" s="39" t="str">
        <f>IF(AND('331-CT'!$E$7=TH!H1858,OR(L1858="331",M1858="331")),"331",IF(AND(OR(L1858="131",M1858="131"),H1858='131-CT'!$E$7),"131",""))</f>
        <v/>
      </c>
      <c r="O1858" s="39" t="str">
        <f>IF(AND($B1858&gt;='111'!$N$11,$B1858&lt;='111'!$O$11,OR($L1858=$O$7,$M1858=$O$7)),"x","")</f>
        <v/>
      </c>
      <c r="P1858" s="39" t="str">
        <f>IF(AND($L1858=$O$7,$B1858&lt;'111'!$N$11),"x","")</f>
        <v/>
      </c>
      <c r="Q1858" s="39" t="str">
        <f>IF(AND($M1858=$O$7,$B1858&lt;'111'!$N$11),"x","")</f>
        <v/>
      </c>
      <c r="R1858" s="39" t="str">
        <f>IF(ISERROR(FIND('112'!$M$9,G1858,1)),"",IF((AND(FIND('112'!$M$9,G1858,1)&gt;=1,$B1858&gt;='112'!$N$8,$B1858&lt;='112'!$O$8,OR($L1858='112'!$I$6,$M1858='112'!$I$6))),"x",""))</f>
        <v/>
      </c>
      <c r="S1858" s="39" t="str">
        <f>IF(ISERROR(FIND('112'!$M$9,G1858,1)),"",IF((AND(LEFT(G1858,2)=LEFT('112'!$M$9,2),B1858&lt;'112'!$N$8,$L1858='112'!$I$6)),"x",""))</f>
        <v/>
      </c>
      <c r="T1858" s="39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39" t="str">
        <f>IF(OR(TH!L1858=TH!$V$7,M1858=TH!$V$7),"x","")</f>
        <v/>
      </c>
      <c r="W1858" s="39" t="str">
        <f>IF(AND(B1858&gt;='IN-NX'!$P$3,B1858&lt;='IN-NX'!$Q$3,'IN-NX'!$D$7=D1858,OR(LEFT(L1858,2)="15",AND(LEFT(M1858,2)&lt;&gt;"15",LEFT(M1858,2)&lt;&gt;"33"))),"x","")</f>
        <v/>
      </c>
      <c r="X1858" s="39" t="str">
        <f>IF(AND(OR(LEFT(TH!L1858,2)="15",LEFT(TH!M1858,2)="15"),'152-CT'!$J$8=TH!F1858),"x","")</f>
        <v/>
      </c>
      <c r="Y1858" s="39" t="str">
        <f>IF(AND(OR(LEFT(TH!L1858,2)="15",LEFT(TH!M1858,2)="15"),TK!$E$7=TH!F1858),"x","")</f>
        <v/>
      </c>
      <c r="Z1858" s="39" t="str">
        <f>IF(AND(B1858&lt;=NKC!$N$8,B1858&gt;=NKC!$M$8),"x","")</f>
        <v>x</v>
      </c>
      <c r="AA1858" s="886"/>
    </row>
    <row r="1859" spans="1:27" s="211" customFormat="1" ht="15.75" customHeight="1">
      <c r="A1859" s="204" t="str">
        <f>IF(B1859&lt;&gt;"",IF(AND(B1859&gt;=_TM1,B1859&lt;=_TM2,OR(TH!L1859="1111",TH!M1859="1111")),TH!D1859,""),"")</f>
        <v/>
      </c>
      <c r="B1859" s="36">
        <f t="shared" si="258"/>
        <v>8</v>
      </c>
      <c r="C1859" s="191">
        <f t="shared" si="257"/>
        <v>41495</v>
      </c>
      <c r="D1859" s="191"/>
      <c r="E1859" s="37">
        <v>41495</v>
      </c>
      <c r="F1859" s="40" t="s">
        <v>1149</v>
      </c>
      <c r="G1859" s="40" t="s">
        <v>903</v>
      </c>
      <c r="H1859" s="7" t="s">
        <v>1293</v>
      </c>
      <c r="I1859" s="256"/>
      <c r="J1859" s="256"/>
      <c r="K1859" s="602">
        <f t="shared" si="259"/>
        <v>0</v>
      </c>
      <c r="L1859" s="39" t="s">
        <v>173</v>
      </c>
      <c r="M1859" s="39" t="s">
        <v>167</v>
      </c>
      <c r="N1859" s="39" t="str">
        <f>IF(AND('331-CT'!$E$7=TH!H1859,OR(L1859="331",M1859="331")),"331",IF(AND(OR(L1859="131",M1859="131"),H1859='131-CT'!$E$7),"131",""))</f>
        <v/>
      </c>
      <c r="O1859" s="39" t="str">
        <f>IF(AND($B1859&gt;='111'!$N$11,$B1859&lt;='111'!$O$11,OR($L1859=$O$7,$M1859=$O$7)),"x","")</f>
        <v/>
      </c>
      <c r="P1859" s="39" t="str">
        <f>IF(AND($L1859=$O$7,$B1859&lt;'111'!$N$11),"x","")</f>
        <v/>
      </c>
      <c r="Q1859" s="39" t="str">
        <f>IF(AND($M1859=$O$7,$B1859&lt;'111'!$N$11),"x","")</f>
        <v/>
      </c>
      <c r="R1859" s="39" t="str">
        <f>IF(ISERROR(FIND('112'!$M$9,G1859,1)),"",IF((AND(FIND('112'!$M$9,G1859,1)&gt;=1,$B1859&gt;='112'!$N$8,$B1859&lt;='112'!$O$8,OR($L1859='112'!$I$6,$M1859='112'!$I$6))),"x",""))</f>
        <v/>
      </c>
      <c r="S1859" s="39" t="str">
        <f>IF(ISERROR(FIND('112'!$M$9,G1859,1)),"",IF((AND(LEFT(G1859,2)=LEFT('112'!$M$9,2),B1859&lt;'112'!$N$8,$L1859='112'!$I$6)),"x",""))</f>
        <v/>
      </c>
      <c r="T1859" s="39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39" t="str">
        <f>IF(OR(TH!L1859=TH!$V$7,M1859=TH!$V$7),"x","")</f>
        <v/>
      </c>
      <c r="W1859" s="39" t="str">
        <f>IF(AND(B1859&gt;='IN-NX'!$P$3,B1859&lt;='IN-NX'!$Q$3,'IN-NX'!$D$7=D1859,OR(LEFT(L1859,2)="15",AND(LEFT(M1859,2)&lt;&gt;"15",LEFT(M1859,2)&lt;&gt;"33"))),"x","")</f>
        <v/>
      </c>
      <c r="X1859" s="39" t="str">
        <f>IF(AND(OR(LEFT(TH!L1859,2)="15",LEFT(TH!M1859,2)="15"),'152-CT'!$J$8=TH!F1859),"x","")</f>
        <v/>
      </c>
      <c r="Y1859" s="39" t="str">
        <f>IF(AND(OR(LEFT(TH!L1859,2)="15",LEFT(TH!M1859,2)="15"),TK!$E$7=TH!F1859),"x","")</f>
        <v/>
      </c>
      <c r="Z1859" s="39" t="str">
        <f>IF(AND(B1859&lt;=NKC!$N$8,B1859&gt;=NKC!$M$8),"x","")</f>
        <v>x</v>
      </c>
      <c r="AA1859" s="886"/>
    </row>
    <row r="1860" spans="1:27" s="211" customFormat="1" ht="15.75" customHeight="1">
      <c r="A1860" s="204" t="str">
        <f>IF(B1860&lt;&gt;"",IF(AND(B1860&gt;=_TM1,B1860&lt;=_TM2,OR(TH!L1860="1111",TH!M1860="1111")),TH!D1860,""),"")</f>
        <v/>
      </c>
      <c r="B1860" s="36">
        <f t="shared" si="258"/>
        <v>8</v>
      </c>
      <c r="C1860" s="191">
        <f t="shared" si="257"/>
        <v>41496</v>
      </c>
      <c r="D1860" s="191"/>
      <c r="E1860" s="37">
        <v>41496</v>
      </c>
      <c r="F1860" s="40" t="s">
        <v>1137</v>
      </c>
      <c r="G1860" s="40" t="s">
        <v>904</v>
      </c>
      <c r="H1860" s="7" t="s">
        <v>1293</v>
      </c>
      <c r="I1860" s="256"/>
      <c r="J1860" s="256"/>
      <c r="K1860" s="602">
        <f t="shared" si="259"/>
        <v>0</v>
      </c>
      <c r="L1860" s="39" t="s">
        <v>173</v>
      </c>
      <c r="M1860" s="39" t="s">
        <v>167</v>
      </c>
      <c r="N1860" s="39" t="str">
        <f>IF(AND('331-CT'!$E$7=TH!H1860,OR(L1860="331",M1860="331")),"331",IF(AND(OR(L1860="131",M1860="131"),H1860='131-CT'!$E$7),"131",""))</f>
        <v/>
      </c>
      <c r="O1860" s="39" t="str">
        <f>IF(AND($B1860&gt;='111'!$N$11,$B1860&lt;='111'!$O$11,OR($L1860=$O$7,$M1860=$O$7)),"x","")</f>
        <v/>
      </c>
      <c r="P1860" s="39" t="str">
        <f>IF(AND($L1860=$O$7,$B1860&lt;'111'!$N$11),"x","")</f>
        <v/>
      </c>
      <c r="Q1860" s="39" t="str">
        <f>IF(AND($M1860=$O$7,$B1860&lt;'111'!$N$11),"x","")</f>
        <v/>
      </c>
      <c r="R1860" s="39" t="str">
        <f>IF(ISERROR(FIND('112'!$M$9,G1860,1)),"",IF((AND(FIND('112'!$M$9,G1860,1)&gt;=1,$B1860&gt;='112'!$N$8,$B1860&lt;='112'!$O$8,OR($L1860='112'!$I$6,$M1860='112'!$I$6))),"x",""))</f>
        <v/>
      </c>
      <c r="S1860" s="39" t="str">
        <f>IF(ISERROR(FIND('112'!$M$9,G1860,1)),"",IF((AND(LEFT(G1860,2)=LEFT('112'!$M$9,2),B1860&lt;'112'!$N$8,$L1860='112'!$I$6)),"x",""))</f>
        <v/>
      </c>
      <c r="T1860" s="39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39" t="str">
        <f>IF(OR(TH!L1860=TH!$V$7,M1860=TH!$V$7),"x","")</f>
        <v/>
      </c>
      <c r="W1860" s="39" t="str">
        <f>IF(AND(B1860&gt;='IN-NX'!$P$3,B1860&lt;='IN-NX'!$Q$3,'IN-NX'!$D$7=D1860,OR(LEFT(L1860,2)="15",AND(LEFT(M1860,2)&lt;&gt;"15",LEFT(M1860,2)&lt;&gt;"33"))),"x","")</f>
        <v/>
      </c>
      <c r="X1860" s="39" t="str">
        <f>IF(AND(OR(LEFT(TH!L1860,2)="15",LEFT(TH!M1860,2)="15"),'152-CT'!$J$8=TH!F1860),"x","")</f>
        <v/>
      </c>
      <c r="Y1860" s="39" t="str">
        <f>IF(AND(OR(LEFT(TH!L1860,2)="15",LEFT(TH!M1860,2)="15"),TK!$E$7=TH!F1860),"x","")</f>
        <v/>
      </c>
      <c r="Z1860" s="39" t="str">
        <f>IF(AND(B1860&lt;=NKC!$N$8,B1860&gt;=NKC!$M$8),"x","")</f>
        <v>x</v>
      </c>
      <c r="AA1860" s="886"/>
    </row>
    <row r="1861" spans="1:27" s="211" customFormat="1" ht="15.75" customHeight="1">
      <c r="A1861" s="204" t="str">
        <f>IF(B1861&lt;&gt;"",IF(AND(B1861&gt;=_TM1,B1861&lt;=_TM2,OR(TH!L1861="1111",TH!M1861="1111")),TH!D1861,""),"")</f>
        <v/>
      </c>
      <c r="B1861" s="36">
        <f t="shared" si="258"/>
        <v>8</v>
      </c>
      <c r="C1861" s="191">
        <f t="shared" si="257"/>
        <v>41496</v>
      </c>
      <c r="D1861" s="191"/>
      <c r="E1861" s="37">
        <v>41496</v>
      </c>
      <c r="F1861" s="40" t="s">
        <v>905</v>
      </c>
      <c r="G1861" s="40" t="s">
        <v>906</v>
      </c>
      <c r="H1861" s="7" t="s">
        <v>1293</v>
      </c>
      <c r="I1861" s="256"/>
      <c r="J1861" s="256"/>
      <c r="K1861" s="602">
        <f t="shared" si="259"/>
        <v>0</v>
      </c>
      <c r="L1861" s="39" t="s">
        <v>173</v>
      </c>
      <c r="M1861" s="39" t="s">
        <v>167</v>
      </c>
      <c r="N1861" s="39" t="str">
        <f>IF(AND('331-CT'!$E$7=TH!H1861,OR(L1861="331",M1861="331")),"331",IF(AND(OR(L1861="131",M1861="131"),H1861='131-CT'!$E$7),"131",""))</f>
        <v/>
      </c>
      <c r="O1861" s="39" t="str">
        <f>IF(AND($B1861&gt;='111'!$N$11,$B1861&lt;='111'!$O$11,OR($L1861=$O$7,$M1861=$O$7)),"x","")</f>
        <v/>
      </c>
      <c r="P1861" s="39" t="str">
        <f>IF(AND($L1861=$O$7,$B1861&lt;'111'!$N$11),"x","")</f>
        <v/>
      </c>
      <c r="Q1861" s="39" t="str">
        <f>IF(AND($M1861=$O$7,$B1861&lt;'111'!$N$11),"x","")</f>
        <v/>
      </c>
      <c r="R1861" s="39" t="str">
        <f>IF(ISERROR(FIND('112'!$M$9,G1861,1)),"",IF((AND(FIND('112'!$M$9,G1861,1)&gt;=1,$B1861&gt;='112'!$N$8,$B1861&lt;='112'!$O$8,OR($L1861='112'!$I$6,$M1861='112'!$I$6))),"x",""))</f>
        <v/>
      </c>
      <c r="S1861" s="39" t="str">
        <f>IF(ISERROR(FIND('112'!$M$9,G1861,1)),"",IF((AND(LEFT(G1861,2)=LEFT('112'!$M$9,2),B1861&lt;'112'!$N$8,$L1861='112'!$I$6)),"x",""))</f>
        <v/>
      </c>
      <c r="T1861" s="39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39" t="str">
        <f>IF(OR(TH!L1861=TH!$V$7,M1861=TH!$V$7),"x","")</f>
        <v/>
      </c>
      <c r="W1861" s="39" t="str">
        <f>IF(AND(B1861&gt;='IN-NX'!$P$3,B1861&lt;='IN-NX'!$Q$3,'IN-NX'!$D$7=D1861,OR(LEFT(L1861,2)="15",AND(LEFT(M1861,2)&lt;&gt;"15",LEFT(M1861,2)&lt;&gt;"33"))),"x","")</f>
        <v/>
      </c>
      <c r="X1861" s="39" t="str">
        <f>IF(AND(OR(LEFT(TH!L1861,2)="15",LEFT(TH!M1861,2)="15"),'152-CT'!$J$8=TH!F1861),"x","")</f>
        <v/>
      </c>
      <c r="Y1861" s="39" t="str">
        <f>IF(AND(OR(LEFT(TH!L1861,2)="15",LEFT(TH!M1861,2)="15"),TK!$E$7=TH!F1861),"x","")</f>
        <v/>
      </c>
      <c r="Z1861" s="39" t="str">
        <f>IF(AND(B1861&lt;=NKC!$N$8,B1861&gt;=NKC!$M$8),"x","")</f>
        <v>x</v>
      </c>
      <c r="AA1861" s="886"/>
    </row>
    <row r="1862" spans="1:27" s="211" customFormat="1" ht="15.75" customHeight="1">
      <c r="A1862" s="204" t="str">
        <f>IF(B1862&lt;&gt;"",IF(AND(B1862&gt;=_TM1,B1862&lt;=_TM2,OR(TH!L1862="1111",TH!M1862="1111")),TH!D1862,""),"")</f>
        <v/>
      </c>
      <c r="B1862" s="36">
        <f t="shared" si="258"/>
        <v>8</v>
      </c>
      <c r="C1862" s="191">
        <f t="shared" si="257"/>
        <v>41496</v>
      </c>
      <c r="D1862" s="191"/>
      <c r="E1862" s="37">
        <v>41496</v>
      </c>
      <c r="F1862" s="40" t="s">
        <v>905</v>
      </c>
      <c r="G1862" s="40" t="s">
        <v>906</v>
      </c>
      <c r="H1862" s="7" t="s">
        <v>1293</v>
      </c>
      <c r="I1862" s="256"/>
      <c r="J1862" s="256"/>
      <c r="K1862" s="602">
        <f t="shared" si="259"/>
        <v>0</v>
      </c>
      <c r="L1862" s="39" t="s">
        <v>173</v>
      </c>
      <c r="M1862" s="39" t="s">
        <v>167</v>
      </c>
      <c r="N1862" s="39" t="str">
        <f>IF(AND('331-CT'!$E$7=TH!H1862,OR(L1862="331",M1862="331")),"331",IF(AND(OR(L1862="131",M1862="131"),H1862='131-CT'!$E$7),"131",""))</f>
        <v/>
      </c>
      <c r="O1862" s="39" t="str">
        <f>IF(AND($B1862&gt;='111'!$N$11,$B1862&lt;='111'!$O$11,OR($L1862=$O$7,$M1862=$O$7)),"x","")</f>
        <v/>
      </c>
      <c r="P1862" s="39" t="str">
        <f>IF(AND($L1862=$O$7,$B1862&lt;'111'!$N$11),"x","")</f>
        <v/>
      </c>
      <c r="Q1862" s="39" t="str">
        <f>IF(AND($M1862=$O$7,$B1862&lt;'111'!$N$11),"x","")</f>
        <v/>
      </c>
      <c r="R1862" s="39" t="str">
        <f>IF(ISERROR(FIND('112'!$M$9,G1862,1)),"",IF((AND(FIND('112'!$M$9,G1862,1)&gt;=1,$B1862&gt;='112'!$N$8,$B1862&lt;='112'!$O$8,OR($L1862='112'!$I$6,$M1862='112'!$I$6))),"x",""))</f>
        <v/>
      </c>
      <c r="S1862" s="39" t="str">
        <f>IF(ISERROR(FIND('112'!$M$9,G1862,1)),"",IF((AND(LEFT(G1862,2)=LEFT('112'!$M$9,2),B1862&lt;'112'!$N$8,$L1862='112'!$I$6)),"x",""))</f>
        <v/>
      </c>
      <c r="T1862" s="39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39" t="str">
        <f>IF(OR(TH!L1862=TH!$V$7,M1862=TH!$V$7),"x","")</f>
        <v/>
      </c>
      <c r="W1862" s="39" t="str">
        <f>IF(AND(B1862&gt;='IN-NX'!$P$3,B1862&lt;='IN-NX'!$Q$3,'IN-NX'!$D$7=D1862,OR(LEFT(L1862,2)="15",AND(LEFT(M1862,2)&lt;&gt;"15",LEFT(M1862,2)&lt;&gt;"33"))),"x","")</f>
        <v/>
      </c>
      <c r="X1862" s="39" t="str">
        <f>IF(AND(OR(LEFT(TH!L1862,2)="15",LEFT(TH!M1862,2)="15"),'152-CT'!$J$8=TH!F1862),"x","")</f>
        <v/>
      </c>
      <c r="Y1862" s="39" t="str">
        <f>IF(AND(OR(LEFT(TH!L1862,2)="15",LEFT(TH!M1862,2)="15"),TK!$E$7=TH!F1862),"x","")</f>
        <v/>
      </c>
      <c r="Z1862" s="39" t="str">
        <f>IF(AND(B1862&lt;=NKC!$N$8,B1862&gt;=NKC!$M$8),"x","")</f>
        <v>x</v>
      </c>
      <c r="AA1862" s="886"/>
    </row>
    <row r="1863" spans="1:27" s="211" customFormat="1" ht="15.75" customHeight="1">
      <c r="A1863" s="204" t="str">
        <f>IF(B1863&lt;&gt;"",IF(AND(B1863&gt;=_TM1,B1863&lt;=_TM2,OR(TH!L1863="1111",TH!M1863="1111")),TH!D1863,""),"")</f>
        <v/>
      </c>
      <c r="B1863" s="36">
        <f t="shared" si="258"/>
        <v>8</v>
      </c>
      <c r="C1863" s="191">
        <f t="shared" ref="C1863:C1926" si="260">E1863</f>
        <v>41498</v>
      </c>
      <c r="D1863" s="191"/>
      <c r="E1863" s="37">
        <v>41498</v>
      </c>
      <c r="F1863" s="40" t="s">
        <v>731</v>
      </c>
      <c r="G1863" s="40" t="s">
        <v>908</v>
      </c>
      <c r="H1863" s="7" t="s">
        <v>1293</v>
      </c>
      <c r="I1863" s="256"/>
      <c r="J1863" s="256"/>
      <c r="K1863" s="602">
        <f t="shared" si="259"/>
        <v>0</v>
      </c>
      <c r="L1863" s="39" t="s">
        <v>173</v>
      </c>
      <c r="M1863" s="39" t="s">
        <v>167</v>
      </c>
      <c r="N1863" s="39" t="str">
        <f>IF(AND('331-CT'!$E$7=TH!H1863,OR(L1863="331",M1863="331")),"331",IF(AND(OR(L1863="131",M1863="131"),H1863='131-CT'!$E$7),"131",""))</f>
        <v/>
      </c>
      <c r="O1863" s="39" t="str">
        <f>IF(AND($B1863&gt;='111'!$N$11,$B1863&lt;='111'!$O$11,OR($L1863=$O$7,$M1863=$O$7)),"x","")</f>
        <v/>
      </c>
      <c r="P1863" s="39" t="str">
        <f>IF(AND($L1863=$O$7,$B1863&lt;'111'!$N$11),"x","")</f>
        <v/>
      </c>
      <c r="Q1863" s="39" t="str">
        <f>IF(AND($M1863=$O$7,$B1863&lt;'111'!$N$11),"x","")</f>
        <v/>
      </c>
      <c r="R1863" s="39" t="str">
        <f>IF(ISERROR(FIND('112'!$M$9,G1863,1)),"",IF((AND(FIND('112'!$M$9,G1863,1)&gt;=1,$B1863&gt;='112'!$N$8,$B1863&lt;='112'!$O$8,OR($L1863='112'!$I$6,$M1863='112'!$I$6))),"x",""))</f>
        <v/>
      </c>
      <c r="S1863" s="39" t="str">
        <f>IF(ISERROR(FIND('112'!$M$9,G1863,1)),"",IF((AND(LEFT(G1863,2)=LEFT('112'!$M$9,2),B1863&lt;'112'!$N$8,$L1863='112'!$I$6)),"x",""))</f>
        <v/>
      </c>
      <c r="T1863" s="39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39" t="str">
        <f>IF(OR(TH!L1863=TH!$V$7,M1863=TH!$V$7),"x","")</f>
        <v/>
      </c>
      <c r="W1863" s="39" t="str">
        <f>IF(AND(B1863&gt;='IN-NX'!$P$3,B1863&lt;='IN-NX'!$Q$3,'IN-NX'!$D$7=D1863,OR(LEFT(L1863,2)="15",AND(LEFT(M1863,2)&lt;&gt;"15",LEFT(M1863,2)&lt;&gt;"33"))),"x","")</f>
        <v/>
      </c>
      <c r="X1863" s="39" t="str">
        <f>IF(AND(OR(LEFT(TH!L1863,2)="15",LEFT(TH!M1863,2)="15"),'152-CT'!$J$8=TH!F1863),"x","")</f>
        <v/>
      </c>
      <c r="Y1863" s="39" t="str">
        <f>IF(AND(OR(LEFT(TH!L1863,2)="15",LEFT(TH!M1863,2)="15"),TK!$E$7=TH!F1863),"x","")</f>
        <v/>
      </c>
      <c r="Z1863" s="39" t="str">
        <f>IF(AND(B1863&lt;=NKC!$N$8,B1863&gt;=NKC!$M$8),"x","")</f>
        <v>x</v>
      </c>
      <c r="AA1863" s="886"/>
    </row>
    <row r="1864" spans="1:27" s="211" customFormat="1" ht="15.75" customHeight="1">
      <c r="A1864" s="204" t="str">
        <f>IF(B1864&lt;&gt;"",IF(AND(B1864&gt;=_TM1,B1864&lt;=_TM2,OR(TH!L1864="1111",TH!M1864="1111")),TH!D1864,""),"")</f>
        <v/>
      </c>
      <c r="B1864" s="36">
        <f t="shared" si="258"/>
        <v>8</v>
      </c>
      <c r="C1864" s="191">
        <f t="shared" si="260"/>
        <v>41499</v>
      </c>
      <c r="D1864" s="191"/>
      <c r="E1864" s="37">
        <v>41499</v>
      </c>
      <c r="F1864" s="40" t="s">
        <v>814</v>
      </c>
      <c r="G1864" s="40" t="s">
        <v>909</v>
      </c>
      <c r="H1864" s="7" t="s">
        <v>1293</v>
      </c>
      <c r="I1864" s="256"/>
      <c r="J1864" s="256"/>
      <c r="K1864" s="602">
        <f t="shared" si="259"/>
        <v>0</v>
      </c>
      <c r="L1864" s="39" t="s">
        <v>173</v>
      </c>
      <c r="M1864" s="39" t="s">
        <v>167</v>
      </c>
      <c r="N1864" s="39" t="str">
        <f>IF(AND('331-CT'!$E$7=TH!H1864,OR(L1864="331",M1864="331")),"331",IF(AND(OR(L1864="131",M1864="131"),H1864='131-CT'!$E$7),"131",""))</f>
        <v/>
      </c>
      <c r="O1864" s="39" t="str">
        <f>IF(AND($B1864&gt;='111'!$N$11,$B1864&lt;='111'!$O$11,OR($L1864=$O$7,$M1864=$O$7)),"x","")</f>
        <v/>
      </c>
      <c r="P1864" s="39" t="str">
        <f>IF(AND($L1864=$O$7,$B1864&lt;'111'!$N$11),"x","")</f>
        <v/>
      </c>
      <c r="Q1864" s="39" t="str">
        <f>IF(AND($M1864=$O$7,$B1864&lt;'111'!$N$11),"x","")</f>
        <v/>
      </c>
      <c r="R1864" s="39" t="str">
        <f>IF(ISERROR(FIND('112'!$M$9,G1864,1)),"",IF((AND(FIND('112'!$M$9,G1864,1)&gt;=1,$B1864&gt;='112'!$N$8,$B1864&lt;='112'!$O$8,OR($L1864='112'!$I$6,$M1864='112'!$I$6))),"x",""))</f>
        <v/>
      </c>
      <c r="S1864" s="39" t="str">
        <f>IF(ISERROR(FIND('112'!$M$9,G1864,1)),"",IF((AND(LEFT(G1864,2)=LEFT('112'!$M$9,2),B1864&lt;'112'!$N$8,$L1864='112'!$I$6)),"x",""))</f>
        <v/>
      </c>
      <c r="T1864" s="39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39" t="str">
        <f>IF(OR(TH!L1864=TH!$V$7,M1864=TH!$V$7),"x","")</f>
        <v/>
      </c>
      <c r="W1864" s="39" t="str">
        <f>IF(AND(B1864&gt;='IN-NX'!$P$3,B1864&lt;='IN-NX'!$Q$3,'IN-NX'!$D$7=D1864,OR(LEFT(L1864,2)="15",AND(LEFT(M1864,2)&lt;&gt;"15",LEFT(M1864,2)&lt;&gt;"33"))),"x","")</f>
        <v/>
      </c>
      <c r="X1864" s="39" t="str">
        <f>IF(AND(OR(LEFT(TH!L1864,2)="15",LEFT(TH!M1864,2)="15"),'152-CT'!$J$8=TH!F1864),"x","")</f>
        <v/>
      </c>
      <c r="Y1864" s="39" t="str">
        <f>IF(AND(OR(LEFT(TH!L1864,2)="15",LEFT(TH!M1864,2)="15"),TK!$E$7=TH!F1864),"x","")</f>
        <v/>
      </c>
      <c r="Z1864" s="39" t="str">
        <f>IF(AND(B1864&lt;=NKC!$N$8,B1864&gt;=NKC!$M$8),"x","")</f>
        <v>x</v>
      </c>
      <c r="AA1864" s="886"/>
    </row>
    <row r="1865" spans="1:27" s="211" customFormat="1" ht="15.75" customHeight="1">
      <c r="A1865" s="204" t="str">
        <f>IF(B1865&lt;&gt;"",IF(AND(B1865&gt;=_TM1,B1865&lt;=_TM2,OR(TH!L1865="1111",TH!M1865="1111")),TH!D1865,""),"")</f>
        <v/>
      </c>
      <c r="B1865" s="36">
        <f t="shared" si="258"/>
        <v>8</v>
      </c>
      <c r="C1865" s="191">
        <f t="shared" si="260"/>
        <v>41499</v>
      </c>
      <c r="D1865" s="191"/>
      <c r="E1865" s="37">
        <v>41499</v>
      </c>
      <c r="F1865" s="40" t="s">
        <v>1134</v>
      </c>
      <c r="G1865" s="40" t="s">
        <v>909</v>
      </c>
      <c r="H1865" s="7" t="s">
        <v>1293</v>
      </c>
      <c r="I1865" s="256"/>
      <c r="J1865" s="256"/>
      <c r="K1865" s="602">
        <f t="shared" si="259"/>
        <v>0</v>
      </c>
      <c r="L1865" s="39" t="s">
        <v>173</v>
      </c>
      <c r="M1865" s="39" t="s">
        <v>167</v>
      </c>
      <c r="N1865" s="39" t="str">
        <f>IF(AND('331-CT'!$E$7=TH!H1865,OR(L1865="331",M1865="331")),"331",IF(AND(OR(L1865="131",M1865="131"),H1865='131-CT'!$E$7),"131",""))</f>
        <v/>
      </c>
      <c r="O1865" s="39" t="str">
        <f>IF(AND($B1865&gt;='111'!$N$11,$B1865&lt;='111'!$O$11,OR($L1865=$O$7,$M1865=$O$7)),"x","")</f>
        <v/>
      </c>
      <c r="P1865" s="39" t="str">
        <f>IF(AND($L1865=$O$7,$B1865&lt;'111'!$N$11),"x","")</f>
        <v/>
      </c>
      <c r="Q1865" s="39" t="str">
        <f>IF(AND($M1865=$O$7,$B1865&lt;'111'!$N$11),"x","")</f>
        <v/>
      </c>
      <c r="R1865" s="39" t="str">
        <f>IF(ISERROR(FIND('112'!$M$9,G1865,1)),"",IF((AND(FIND('112'!$M$9,G1865,1)&gt;=1,$B1865&gt;='112'!$N$8,$B1865&lt;='112'!$O$8,OR($L1865='112'!$I$6,$M1865='112'!$I$6))),"x",""))</f>
        <v/>
      </c>
      <c r="S1865" s="39" t="str">
        <f>IF(ISERROR(FIND('112'!$M$9,G1865,1)),"",IF((AND(LEFT(G1865,2)=LEFT('112'!$M$9,2),B1865&lt;'112'!$N$8,$L1865='112'!$I$6)),"x",""))</f>
        <v/>
      </c>
      <c r="T1865" s="39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39" t="str">
        <f>IF(OR(TH!L1865=TH!$V$7,M1865=TH!$V$7),"x","")</f>
        <v/>
      </c>
      <c r="W1865" s="39" t="str">
        <f>IF(AND(B1865&gt;='IN-NX'!$P$3,B1865&lt;='IN-NX'!$Q$3,'IN-NX'!$D$7=D1865,OR(LEFT(L1865,2)="15",AND(LEFT(M1865,2)&lt;&gt;"15",LEFT(M1865,2)&lt;&gt;"33"))),"x","")</f>
        <v/>
      </c>
      <c r="X1865" s="39" t="str">
        <f>IF(AND(OR(LEFT(TH!L1865,2)="15",LEFT(TH!M1865,2)="15"),'152-CT'!$J$8=TH!F1865),"x","")</f>
        <v/>
      </c>
      <c r="Y1865" s="39" t="str">
        <f>IF(AND(OR(LEFT(TH!L1865,2)="15",LEFT(TH!M1865,2)="15"),TK!$E$7=TH!F1865),"x","")</f>
        <v/>
      </c>
      <c r="Z1865" s="39" t="str">
        <f>IF(AND(B1865&lt;=NKC!$N$8,B1865&gt;=NKC!$M$8),"x","")</f>
        <v>x</v>
      </c>
      <c r="AA1865" s="886"/>
    </row>
    <row r="1866" spans="1:27" s="211" customFormat="1" ht="15.75" customHeight="1">
      <c r="A1866" s="204" t="str">
        <f>IF(B1866&lt;&gt;"",IF(AND(B1866&gt;=_TM1,B1866&lt;=_TM2,OR(TH!L1866="1111",TH!M1866="1111")),TH!D1866,""),"")</f>
        <v/>
      </c>
      <c r="B1866" s="36">
        <f t="shared" si="258"/>
        <v>8</v>
      </c>
      <c r="C1866" s="191">
        <f t="shared" si="260"/>
        <v>41499</v>
      </c>
      <c r="D1866" s="191"/>
      <c r="E1866" s="37">
        <v>41499</v>
      </c>
      <c r="F1866" s="40" t="s">
        <v>885</v>
      </c>
      <c r="G1866" s="40" t="s">
        <v>909</v>
      </c>
      <c r="H1866" s="7" t="s">
        <v>1293</v>
      </c>
      <c r="I1866" s="256"/>
      <c r="J1866" s="256"/>
      <c r="K1866" s="602">
        <f t="shared" si="259"/>
        <v>0</v>
      </c>
      <c r="L1866" s="39" t="s">
        <v>173</v>
      </c>
      <c r="M1866" s="39" t="s">
        <v>167</v>
      </c>
      <c r="N1866" s="39" t="str">
        <f>IF(AND('331-CT'!$E$7=TH!H1866,OR(L1866="331",M1866="331")),"331",IF(AND(OR(L1866="131",M1866="131"),H1866='131-CT'!$E$7),"131",""))</f>
        <v/>
      </c>
      <c r="O1866" s="39" t="str">
        <f>IF(AND($B1866&gt;='111'!$N$11,$B1866&lt;='111'!$O$11,OR($L1866=$O$7,$M1866=$O$7)),"x","")</f>
        <v/>
      </c>
      <c r="P1866" s="39" t="str">
        <f>IF(AND($L1866=$O$7,$B1866&lt;'111'!$N$11),"x","")</f>
        <v/>
      </c>
      <c r="Q1866" s="39" t="str">
        <f>IF(AND($M1866=$O$7,$B1866&lt;'111'!$N$11),"x","")</f>
        <v/>
      </c>
      <c r="R1866" s="39" t="str">
        <f>IF(ISERROR(FIND('112'!$M$9,G1866,1)),"",IF((AND(FIND('112'!$M$9,G1866,1)&gt;=1,$B1866&gt;='112'!$N$8,$B1866&lt;='112'!$O$8,OR($L1866='112'!$I$6,$M1866='112'!$I$6))),"x",""))</f>
        <v/>
      </c>
      <c r="S1866" s="39" t="str">
        <f>IF(ISERROR(FIND('112'!$M$9,G1866,1)),"",IF((AND(LEFT(G1866,2)=LEFT('112'!$M$9,2),B1866&lt;'112'!$N$8,$L1866='112'!$I$6)),"x",""))</f>
        <v/>
      </c>
      <c r="T1866" s="39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39" t="str">
        <f>IF(OR(TH!L1866=TH!$V$7,M1866=TH!$V$7),"x","")</f>
        <v/>
      </c>
      <c r="W1866" s="39" t="str">
        <f>IF(AND(B1866&gt;='IN-NX'!$P$3,B1866&lt;='IN-NX'!$Q$3,'IN-NX'!$D$7=D1866,OR(LEFT(L1866,2)="15",AND(LEFT(M1866,2)&lt;&gt;"15",LEFT(M1866,2)&lt;&gt;"33"))),"x","")</f>
        <v/>
      </c>
      <c r="X1866" s="39" t="str">
        <f>IF(AND(OR(LEFT(TH!L1866,2)="15",LEFT(TH!M1866,2)="15"),'152-CT'!$J$8=TH!F1866),"x","")</f>
        <v/>
      </c>
      <c r="Y1866" s="39" t="str">
        <f>IF(AND(OR(LEFT(TH!L1866,2)="15",LEFT(TH!M1866,2)="15"),TK!$E$7=TH!F1866),"x","")</f>
        <v/>
      </c>
      <c r="Z1866" s="39" t="str">
        <f>IF(AND(B1866&lt;=NKC!$N$8,B1866&gt;=NKC!$M$8),"x","")</f>
        <v>x</v>
      </c>
      <c r="AA1866" s="886"/>
    </row>
    <row r="1867" spans="1:27" s="211" customFormat="1" ht="15.75" customHeight="1">
      <c r="A1867" s="204" t="str">
        <f>IF(B1867&lt;&gt;"",IF(AND(B1867&gt;=_TM1,B1867&lt;=_TM2,OR(TH!L1867="1111",TH!M1867="1111")),TH!D1867,""),"")</f>
        <v/>
      </c>
      <c r="B1867" s="36">
        <f t="shared" si="258"/>
        <v>8</v>
      </c>
      <c r="C1867" s="191">
        <f t="shared" si="260"/>
        <v>41500</v>
      </c>
      <c r="D1867" s="191"/>
      <c r="E1867" s="37">
        <v>41500</v>
      </c>
      <c r="F1867" s="40" t="s">
        <v>910</v>
      </c>
      <c r="G1867" s="40" t="s">
        <v>911</v>
      </c>
      <c r="H1867" s="7" t="s">
        <v>1293</v>
      </c>
      <c r="I1867" s="256"/>
      <c r="J1867" s="256"/>
      <c r="K1867" s="602">
        <f t="shared" si="259"/>
        <v>0</v>
      </c>
      <c r="L1867" s="39" t="s">
        <v>173</v>
      </c>
      <c r="M1867" s="39" t="s">
        <v>167</v>
      </c>
      <c r="N1867" s="39" t="str">
        <f>IF(AND('331-CT'!$E$7=TH!H1867,OR(L1867="331",M1867="331")),"331",IF(AND(OR(L1867="131",M1867="131"),H1867='131-CT'!$E$7),"131",""))</f>
        <v/>
      </c>
      <c r="O1867" s="39" t="str">
        <f>IF(AND($B1867&gt;='111'!$N$11,$B1867&lt;='111'!$O$11,OR($L1867=$O$7,$M1867=$O$7)),"x","")</f>
        <v/>
      </c>
      <c r="P1867" s="39" t="str">
        <f>IF(AND($L1867=$O$7,$B1867&lt;'111'!$N$11),"x","")</f>
        <v/>
      </c>
      <c r="Q1867" s="39" t="str">
        <f>IF(AND($M1867=$O$7,$B1867&lt;'111'!$N$11),"x","")</f>
        <v/>
      </c>
      <c r="R1867" s="39" t="str">
        <f>IF(ISERROR(FIND('112'!$M$9,G1867,1)),"",IF((AND(FIND('112'!$M$9,G1867,1)&gt;=1,$B1867&gt;='112'!$N$8,$B1867&lt;='112'!$O$8,OR($L1867='112'!$I$6,$M1867='112'!$I$6))),"x",""))</f>
        <v/>
      </c>
      <c r="S1867" s="39" t="str">
        <f>IF(ISERROR(FIND('112'!$M$9,G1867,1)),"",IF((AND(LEFT(G1867,2)=LEFT('112'!$M$9,2),B1867&lt;'112'!$N$8,$L1867='112'!$I$6)),"x",""))</f>
        <v/>
      </c>
      <c r="T1867" s="39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39" t="str">
        <f>IF(OR(TH!L1867=TH!$V$7,M1867=TH!$V$7),"x","")</f>
        <v/>
      </c>
      <c r="W1867" s="39" t="str">
        <f>IF(AND(B1867&gt;='IN-NX'!$P$3,B1867&lt;='IN-NX'!$Q$3,'IN-NX'!$D$7=D1867,OR(LEFT(L1867,2)="15",AND(LEFT(M1867,2)&lt;&gt;"15",LEFT(M1867,2)&lt;&gt;"33"))),"x","")</f>
        <v/>
      </c>
      <c r="X1867" s="39" t="str">
        <f>IF(AND(OR(LEFT(TH!L1867,2)="15",LEFT(TH!M1867,2)="15"),'152-CT'!$J$8=TH!F1867),"x","")</f>
        <v/>
      </c>
      <c r="Y1867" s="39" t="str">
        <f>IF(AND(OR(LEFT(TH!L1867,2)="15",LEFT(TH!M1867,2)="15"),TK!$E$7=TH!F1867),"x","")</f>
        <v/>
      </c>
      <c r="Z1867" s="39" t="str">
        <f>IF(AND(B1867&lt;=NKC!$N$8,B1867&gt;=NKC!$M$8),"x","")</f>
        <v>x</v>
      </c>
      <c r="AA1867" s="886"/>
    </row>
    <row r="1868" spans="1:27" s="211" customFormat="1" ht="15.75" customHeight="1">
      <c r="A1868" s="204" t="str">
        <f>IF(B1868&lt;&gt;"",IF(AND(B1868&gt;=_TM1,B1868&lt;=_TM2,OR(TH!L1868="1111",TH!M1868="1111")),TH!D1868,""),"")</f>
        <v/>
      </c>
      <c r="B1868" s="36">
        <f t="shared" si="258"/>
        <v>8</v>
      </c>
      <c r="C1868" s="191">
        <f t="shared" si="260"/>
        <v>41502</v>
      </c>
      <c r="D1868" s="191"/>
      <c r="E1868" s="37">
        <v>41502</v>
      </c>
      <c r="F1868" s="40" t="s">
        <v>1133</v>
      </c>
      <c r="G1868" s="40" t="s">
        <v>912</v>
      </c>
      <c r="H1868" s="7" t="s">
        <v>1293</v>
      </c>
      <c r="I1868" s="256"/>
      <c r="J1868" s="256"/>
      <c r="K1868" s="602">
        <f t="shared" si="259"/>
        <v>0</v>
      </c>
      <c r="L1868" s="39" t="s">
        <v>173</v>
      </c>
      <c r="M1868" s="39" t="s">
        <v>167</v>
      </c>
      <c r="N1868" s="39" t="str">
        <f>IF(AND('331-CT'!$E$7=TH!H1868,OR(L1868="331",M1868="331")),"331",IF(AND(OR(L1868="131",M1868="131"),H1868='131-CT'!$E$7),"131",""))</f>
        <v/>
      </c>
      <c r="O1868" s="39" t="str">
        <f>IF(AND($B1868&gt;='111'!$N$11,$B1868&lt;='111'!$O$11,OR($L1868=$O$7,$M1868=$O$7)),"x","")</f>
        <v/>
      </c>
      <c r="P1868" s="39" t="str">
        <f>IF(AND($L1868=$O$7,$B1868&lt;'111'!$N$11),"x","")</f>
        <v/>
      </c>
      <c r="Q1868" s="39" t="str">
        <f>IF(AND($M1868=$O$7,$B1868&lt;'111'!$N$11),"x","")</f>
        <v/>
      </c>
      <c r="R1868" s="39" t="str">
        <f>IF(ISERROR(FIND('112'!$M$9,G1868,1)),"",IF((AND(FIND('112'!$M$9,G1868,1)&gt;=1,$B1868&gt;='112'!$N$8,$B1868&lt;='112'!$O$8,OR($L1868='112'!$I$6,$M1868='112'!$I$6))),"x",""))</f>
        <v/>
      </c>
      <c r="S1868" s="39" t="str">
        <f>IF(ISERROR(FIND('112'!$M$9,G1868,1)),"",IF((AND(LEFT(G1868,2)=LEFT('112'!$M$9,2),B1868&lt;'112'!$N$8,$L1868='112'!$I$6)),"x",""))</f>
        <v/>
      </c>
      <c r="T1868" s="39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39" t="str">
        <f>IF(OR(TH!L1868=TH!$V$7,M1868=TH!$V$7),"x","")</f>
        <v/>
      </c>
      <c r="W1868" s="39" t="str">
        <f>IF(AND(B1868&gt;='IN-NX'!$P$3,B1868&lt;='IN-NX'!$Q$3,'IN-NX'!$D$7=D1868,OR(LEFT(L1868,2)="15",AND(LEFT(M1868,2)&lt;&gt;"15",LEFT(M1868,2)&lt;&gt;"33"))),"x","")</f>
        <v/>
      </c>
      <c r="X1868" s="39" t="str">
        <f>IF(AND(OR(LEFT(TH!L1868,2)="15",LEFT(TH!M1868,2)="15"),'152-CT'!$J$8=TH!F1868),"x","")</f>
        <v/>
      </c>
      <c r="Y1868" s="39" t="str">
        <f>IF(AND(OR(LEFT(TH!L1868,2)="15",LEFT(TH!M1868,2)="15"),TK!$E$7=TH!F1868),"x","")</f>
        <v/>
      </c>
      <c r="Z1868" s="39" t="str">
        <f>IF(AND(B1868&lt;=NKC!$N$8,B1868&gt;=NKC!$M$8),"x","")</f>
        <v>x</v>
      </c>
      <c r="AA1868" s="886"/>
    </row>
    <row r="1869" spans="1:27" s="211" customFormat="1" ht="15.75" customHeight="1">
      <c r="A1869" s="204" t="str">
        <f>IF(B1869&lt;&gt;"",IF(AND(B1869&gt;=_TM1,B1869&lt;=_TM2,OR(TH!L1869="1111",TH!M1869="1111")),TH!D1869,""),"")</f>
        <v/>
      </c>
      <c r="B1869" s="36">
        <f t="shared" si="258"/>
        <v>8</v>
      </c>
      <c r="C1869" s="191">
        <f t="shared" si="260"/>
        <v>41502</v>
      </c>
      <c r="D1869" s="191"/>
      <c r="E1869" s="37">
        <v>41502</v>
      </c>
      <c r="F1869" s="40" t="s">
        <v>744</v>
      </c>
      <c r="G1869" s="40" t="s">
        <v>913</v>
      </c>
      <c r="H1869" s="7" t="s">
        <v>1293</v>
      </c>
      <c r="I1869" s="256"/>
      <c r="J1869" s="256"/>
      <c r="K1869" s="602">
        <f t="shared" si="259"/>
        <v>0</v>
      </c>
      <c r="L1869" s="39" t="s">
        <v>173</v>
      </c>
      <c r="M1869" s="39" t="s">
        <v>167</v>
      </c>
      <c r="N1869" s="39" t="str">
        <f>IF(AND('331-CT'!$E$7=TH!H1869,OR(L1869="331",M1869="331")),"331",IF(AND(OR(L1869="131",M1869="131"),H1869='131-CT'!$E$7),"131",""))</f>
        <v/>
      </c>
      <c r="O1869" s="39" t="str">
        <f>IF(AND($B1869&gt;='111'!$N$11,$B1869&lt;='111'!$O$11,OR($L1869=$O$7,$M1869=$O$7)),"x","")</f>
        <v/>
      </c>
      <c r="P1869" s="39" t="str">
        <f>IF(AND($L1869=$O$7,$B1869&lt;'111'!$N$11),"x","")</f>
        <v/>
      </c>
      <c r="Q1869" s="39" t="str">
        <f>IF(AND($M1869=$O$7,$B1869&lt;'111'!$N$11),"x","")</f>
        <v/>
      </c>
      <c r="R1869" s="39" t="str">
        <f>IF(ISERROR(FIND('112'!$M$9,G1869,1)),"",IF((AND(FIND('112'!$M$9,G1869,1)&gt;=1,$B1869&gt;='112'!$N$8,$B1869&lt;='112'!$O$8,OR($L1869='112'!$I$6,$M1869='112'!$I$6))),"x",""))</f>
        <v/>
      </c>
      <c r="S1869" s="39" t="str">
        <f>IF(ISERROR(FIND('112'!$M$9,G1869,1)),"",IF((AND(LEFT(G1869,2)=LEFT('112'!$M$9,2),B1869&lt;'112'!$N$8,$L1869='112'!$I$6)),"x",""))</f>
        <v/>
      </c>
      <c r="T1869" s="39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39" t="str">
        <f>IF(OR(TH!L1869=TH!$V$7,M1869=TH!$V$7),"x","")</f>
        <v/>
      </c>
      <c r="W1869" s="39" t="str">
        <f>IF(AND(B1869&gt;='IN-NX'!$P$3,B1869&lt;='IN-NX'!$Q$3,'IN-NX'!$D$7=D1869,OR(LEFT(L1869,2)="15",AND(LEFT(M1869,2)&lt;&gt;"15",LEFT(M1869,2)&lt;&gt;"33"))),"x","")</f>
        <v/>
      </c>
      <c r="X1869" s="39" t="str">
        <f>IF(AND(OR(LEFT(TH!L1869,2)="15",LEFT(TH!M1869,2)="15"),'152-CT'!$J$8=TH!F1869),"x","")</f>
        <v/>
      </c>
      <c r="Y1869" s="39" t="str">
        <f>IF(AND(OR(LEFT(TH!L1869,2)="15",LEFT(TH!M1869,2)="15"),TK!$E$7=TH!F1869),"x","")</f>
        <v/>
      </c>
      <c r="Z1869" s="39" t="str">
        <f>IF(AND(B1869&lt;=NKC!$N$8,B1869&gt;=NKC!$M$8),"x","")</f>
        <v>x</v>
      </c>
      <c r="AA1869" s="886"/>
    </row>
    <row r="1870" spans="1:27" s="211" customFormat="1" ht="15.75" customHeight="1">
      <c r="A1870" s="204" t="str">
        <f>IF(B1870&lt;&gt;"",IF(AND(B1870&gt;=_TM1,B1870&lt;=_TM2,OR(TH!L1870="1111",TH!M1870="1111")),TH!D1870,""),"")</f>
        <v/>
      </c>
      <c r="B1870" s="36">
        <f t="shared" si="258"/>
        <v>8</v>
      </c>
      <c r="C1870" s="191">
        <f t="shared" si="260"/>
        <v>41505</v>
      </c>
      <c r="D1870" s="191"/>
      <c r="E1870" s="37">
        <v>41505</v>
      </c>
      <c r="F1870" s="40" t="s">
        <v>867</v>
      </c>
      <c r="G1870" s="40" t="s">
        <v>914</v>
      </c>
      <c r="H1870" s="7" t="s">
        <v>1293</v>
      </c>
      <c r="I1870" s="256"/>
      <c r="J1870" s="256"/>
      <c r="K1870" s="602">
        <f t="shared" si="259"/>
        <v>0</v>
      </c>
      <c r="L1870" s="39" t="s">
        <v>173</v>
      </c>
      <c r="M1870" s="39" t="s">
        <v>167</v>
      </c>
      <c r="N1870" s="39" t="str">
        <f>IF(AND('331-CT'!$E$7=TH!H1870,OR(L1870="331",M1870="331")),"331",IF(AND(OR(L1870="131",M1870="131"),H1870='131-CT'!$E$7),"131",""))</f>
        <v/>
      </c>
      <c r="O1870" s="39" t="str">
        <f>IF(AND($B1870&gt;='111'!$N$11,$B1870&lt;='111'!$O$11,OR($L1870=$O$7,$M1870=$O$7)),"x","")</f>
        <v/>
      </c>
      <c r="P1870" s="39" t="str">
        <f>IF(AND($L1870=$O$7,$B1870&lt;'111'!$N$11),"x","")</f>
        <v/>
      </c>
      <c r="Q1870" s="39" t="str">
        <f>IF(AND($M1870=$O$7,$B1870&lt;'111'!$N$11),"x","")</f>
        <v/>
      </c>
      <c r="R1870" s="39" t="str">
        <f>IF(ISERROR(FIND('112'!$M$9,G1870,1)),"",IF((AND(FIND('112'!$M$9,G1870,1)&gt;=1,$B1870&gt;='112'!$N$8,$B1870&lt;='112'!$O$8,OR($L1870='112'!$I$6,$M1870='112'!$I$6))),"x",""))</f>
        <v/>
      </c>
      <c r="S1870" s="39" t="str">
        <f>IF(ISERROR(FIND('112'!$M$9,G1870,1)),"",IF((AND(LEFT(G1870,2)=LEFT('112'!$M$9,2),B1870&lt;'112'!$N$8,$L1870='112'!$I$6)),"x",""))</f>
        <v/>
      </c>
      <c r="T1870" s="39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39" t="str">
        <f>IF(OR(TH!L1870=TH!$V$7,M1870=TH!$V$7),"x","")</f>
        <v/>
      </c>
      <c r="W1870" s="39" t="str">
        <f>IF(AND(B1870&gt;='IN-NX'!$P$3,B1870&lt;='IN-NX'!$Q$3,'IN-NX'!$D$7=D1870,OR(LEFT(L1870,2)="15",AND(LEFT(M1870,2)&lt;&gt;"15",LEFT(M1870,2)&lt;&gt;"33"))),"x","")</f>
        <v/>
      </c>
      <c r="X1870" s="39" t="str">
        <f>IF(AND(OR(LEFT(TH!L1870,2)="15",LEFT(TH!M1870,2)="15"),'152-CT'!$J$8=TH!F1870),"x","")</f>
        <v/>
      </c>
      <c r="Y1870" s="39" t="str">
        <f>IF(AND(OR(LEFT(TH!L1870,2)="15",LEFT(TH!M1870,2)="15"),TK!$E$7=TH!F1870),"x","")</f>
        <v/>
      </c>
      <c r="Z1870" s="39" t="str">
        <f>IF(AND(B1870&lt;=NKC!$N$8,B1870&gt;=NKC!$M$8),"x","")</f>
        <v>x</v>
      </c>
      <c r="AA1870" s="886"/>
    </row>
    <row r="1871" spans="1:27" s="211" customFormat="1" ht="15.75" customHeight="1">
      <c r="A1871" s="204" t="str">
        <f>IF(B1871&lt;&gt;"",IF(AND(B1871&gt;=_TM1,B1871&lt;=_TM2,OR(TH!L1871="1111",TH!M1871="1111")),TH!D1871,""),"")</f>
        <v/>
      </c>
      <c r="B1871" s="36">
        <f t="shared" si="258"/>
        <v>8</v>
      </c>
      <c r="C1871" s="191">
        <f t="shared" si="260"/>
        <v>41506</v>
      </c>
      <c r="D1871" s="191"/>
      <c r="E1871" s="37">
        <v>41506</v>
      </c>
      <c r="F1871" s="40" t="s">
        <v>1154</v>
      </c>
      <c r="G1871" s="40" t="s">
        <v>915</v>
      </c>
      <c r="H1871" s="7" t="s">
        <v>1293</v>
      </c>
      <c r="I1871" s="256"/>
      <c r="J1871" s="256"/>
      <c r="K1871" s="602">
        <f t="shared" si="259"/>
        <v>0</v>
      </c>
      <c r="L1871" s="39" t="s">
        <v>173</v>
      </c>
      <c r="M1871" s="39" t="s">
        <v>167</v>
      </c>
      <c r="N1871" s="39" t="str">
        <f>IF(AND('331-CT'!$E$7=TH!H1871,OR(L1871="331",M1871="331")),"331",IF(AND(OR(L1871="131",M1871="131"),H1871='131-CT'!$E$7),"131",""))</f>
        <v/>
      </c>
      <c r="O1871" s="39" t="str">
        <f>IF(AND($B1871&gt;='111'!$N$11,$B1871&lt;='111'!$O$11,OR($L1871=$O$7,$M1871=$O$7)),"x","")</f>
        <v/>
      </c>
      <c r="P1871" s="39" t="str">
        <f>IF(AND($L1871=$O$7,$B1871&lt;'111'!$N$11),"x","")</f>
        <v/>
      </c>
      <c r="Q1871" s="39" t="str">
        <f>IF(AND($M1871=$O$7,$B1871&lt;'111'!$N$11),"x","")</f>
        <v/>
      </c>
      <c r="R1871" s="39" t="str">
        <f>IF(ISERROR(FIND('112'!$M$9,G1871,1)),"",IF((AND(FIND('112'!$M$9,G1871,1)&gt;=1,$B1871&gt;='112'!$N$8,$B1871&lt;='112'!$O$8,OR($L1871='112'!$I$6,$M1871='112'!$I$6))),"x",""))</f>
        <v/>
      </c>
      <c r="S1871" s="39" t="str">
        <f>IF(ISERROR(FIND('112'!$M$9,G1871,1)),"",IF((AND(LEFT(G1871,2)=LEFT('112'!$M$9,2),B1871&lt;'112'!$N$8,$L1871='112'!$I$6)),"x",""))</f>
        <v/>
      </c>
      <c r="T1871" s="39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39" t="str">
        <f>IF(OR(TH!L1871=TH!$V$7,M1871=TH!$V$7),"x","")</f>
        <v/>
      </c>
      <c r="W1871" s="39" t="str">
        <f>IF(AND(B1871&gt;='IN-NX'!$P$3,B1871&lt;='IN-NX'!$Q$3,'IN-NX'!$D$7=D1871,OR(LEFT(L1871,2)="15",AND(LEFT(M1871,2)&lt;&gt;"15",LEFT(M1871,2)&lt;&gt;"33"))),"x","")</f>
        <v/>
      </c>
      <c r="X1871" s="39" t="str">
        <f>IF(AND(OR(LEFT(TH!L1871,2)="15",LEFT(TH!M1871,2)="15"),'152-CT'!$J$8=TH!F1871),"x","")</f>
        <v/>
      </c>
      <c r="Y1871" s="39" t="str">
        <f>IF(AND(OR(LEFT(TH!L1871,2)="15",LEFT(TH!M1871,2)="15"),TK!$E$7=TH!F1871),"x","")</f>
        <v/>
      </c>
      <c r="Z1871" s="39" t="str">
        <f>IF(AND(B1871&lt;=NKC!$N$8,B1871&gt;=NKC!$M$8),"x","")</f>
        <v>x</v>
      </c>
      <c r="AA1871" s="886"/>
    </row>
    <row r="1872" spans="1:27" s="211" customFormat="1" ht="15.75" customHeight="1">
      <c r="A1872" s="204" t="str">
        <f>IF(B1872&lt;&gt;"",IF(AND(B1872&gt;=_TM1,B1872&lt;=_TM2,OR(TH!L1872="1111",TH!M1872="1111")),TH!D1872,""),"")</f>
        <v/>
      </c>
      <c r="B1872" s="36">
        <f t="shared" si="258"/>
        <v>8</v>
      </c>
      <c r="C1872" s="191">
        <f t="shared" si="260"/>
        <v>41506</v>
      </c>
      <c r="D1872" s="191"/>
      <c r="E1872" s="37">
        <v>41506</v>
      </c>
      <c r="F1872" s="40" t="s">
        <v>1149</v>
      </c>
      <c r="G1872" s="40" t="s">
        <v>917</v>
      </c>
      <c r="H1872" s="7" t="s">
        <v>1293</v>
      </c>
      <c r="I1872" s="256"/>
      <c r="J1872" s="256"/>
      <c r="K1872" s="602">
        <f t="shared" si="259"/>
        <v>0</v>
      </c>
      <c r="L1872" s="39" t="s">
        <v>173</v>
      </c>
      <c r="M1872" s="39" t="s">
        <v>167</v>
      </c>
      <c r="N1872" s="39" t="str">
        <f>IF(AND('331-CT'!$E$7=TH!H1872,OR(L1872="331",M1872="331")),"331",IF(AND(OR(L1872="131",M1872="131"),H1872='131-CT'!$E$7),"131",""))</f>
        <v/>
      </c>
      <c r="O1872" s="39" t="str">
        <f>IF(AND($B1872&gt;='111'!$N$11,$B1872&lt;='111'!$O$11,OR($L1872=$O$7,$M1872=$O$7)),"x","")</f>
        <v/>
      </c>
      <c r="P1872" s="39" t="str">
        <f>IF(AND($L1872=$O$7,$B1872&lt;'111'!$N$11),"x","")</f>
        <v/>
      </c>
      <c r="Q1872" s="39" t="str">
        <f>IF(AND($M1872=$O$7,$B1872&lt;'111'!$N$11),"x","")</f>
        <v/>
      </c>
      <c r="R1872" s="39" t="str">
        <f>IF(ISERROR(FIND('112'!$M$9,G1872,1)),"",IF((AND(FIND('112'!$M$9,G1872,1)&gt;=1,$B1872&gt;='112'!$N$8,$B1872&lt;='112'!$O$8,OR($L1872='112'!$I$6,$M1872='112'!$I$6))),"x",""))</f>
        <v/>
      </c>
      <c r="S1872" s="39" t="str">
        <f>IF(ISERROR(FIND('112'!$M$9,G1872,1)),"",IF((AND(LEFT(G1872,2)=LEFT('112'!$M$9,2),B1872&lt;'112'!$N$8,$L1872='112'!$I$6)),"x",""))</f>
        <v/>
      </c>
      <c r="T1872" s="39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39" t="str">
        <f>IF(OR(TH!L1872=TH!$V$7,M1872=TH!$V$7),"x","")</f>
        <v/>
      </c>
      <c r="W1872" s="39" t="str">
        <f>IF(AND(B1872&gt;='IN-NX'!$P$3,B1872&lt;='IN-NX'!$Q$3,'IN-NX'!$D$7=D1872,OR(LEFT(L1872,2)="15",AND(LEFT(M1872,2)&lt;&gt;"15",LEFT(M1872,2)&lt;&gt;"33"))),"x","")</f>
        <v/>
      </c>
      <c r="X1872" s="39" t="str">
        <f>IF(AND(OR(LEFT(TH!L1872,2)="15",LEFT(TH!M1872,2)="15"),'152-CT'!$J$8=TH!F1872),"x","")</f>
        <v/>
      </c>
      <c r="Y1872" s="39" t="str">
        <f>IF(AND(OR(LEFT(TH!L1872,2)="15",LEFT(TH!M1872,2)="15"),TK!$E$7=TH!F1872),"x","")</f>
        <v/>
      </c>
      <c r="Z1872" s="39" t="str">
        <f>IF(AND(B1872&lt;=NKC!$N$8,B1872&gt;=NKC!$M$8),"x","")</f>
        <v>x</v>
      </c>
      <c r="AA1872" s="886"/>
    </row>
    <row r="1873" spans="1:27" s="211" customFormat="1" ht="15.75" customHeight="1">
      <c r="A1873" s="204" t="str">
        <f>IF(B1873&lt;&gt;"",IF(AND(B1873&gt;=_TM1,B1873&lt;=_TM2,OR(TH!L1873="1111",TH!M1873="1111")),TH!D1873,""),"")</f>
        <v/>
      </c>
      <c r="B1873" s="36">
        <f t="shared" si="258"/>
        <v>8</v>
      </c>
      <c r="C1873" s="191">
        <f t="shared" si="260"/>
        <v>41506</v>
      </c>
      <c r="D1873" s="191"/>
      <c r="E1873" s="37">
        <v>41506</v>
      </c>
      <c r="F1873" s="40" t="s">
        <v>1149</v>
      </c>
      <c r="G1873" s="40" t="s">
        <v>918</v>
      </c>
      <c r="H1873" s="7" t="s">
        <v>1293</v>
      </c>
      <c r="I1873" s="256"/>
      <c r="J1873" s="256"/>
      <c r="K1873" s="602">
        <f t="shared" si="259"/>
        <v>0</v>
      </c>
      <c r="L1873" s="39" t="s">
        <v>173</v>
      </c>
      <c r="M1873" s="39" t="s">
        <v>167</v>
      </c>
      <c r="N1873" s="39" t="str">
        <f>IF(AND('331-CT'!$E$7=TH!H1873,OR(L1873="331",M1873="331")),"331",IF(AND(OR(L1873="131",M1873="131"),H1873='131-CT'!$E$7),"131",""))</f>
        <v/>
      </c>
      <c r="O1873" s="39" t="str">
        <f>IF(AND($B1873&gt;='111'!$N$11,$B1873&lt;='111'!$O$11,OR($L1873=$O$7,$M1873=$O$7)),"x","")</f>
        <v/>
      </c>
      <c r="P1873" s="39" t="str">
        <f>IF(AND($L1873=$O$7,$B1873&lt;'111'!$N$11),"x","")</f>
        <v/>
      </c>
      <c r="Q1873" s="39" t="str">
        <f>IF(AND($M1873=$O$7,$B1873&lt;'111'!$N$11),"x","")</f>
        <v/>
      </c>
      <c r="R1873" s="39" t="str">
        <f>IF(ISERROR(FIND('112'!$M$9,G1873,1)),"",IF((AND(FIND('112'!$M$9,G1873,1)&gt;=1,$B1873&gt;='112'!$N$8,$B1873&lt;='112'!$O$8,OR($L1873='112'!$I$6,$M1873='112'!$I$6))),"x",""))</f>
        <v/>
      </c>
      <c r="S1873" s="39" t="str">
        <f>IF(ISERROR(FIND('112'!$M$9,G1873,1)),"",IF((AND(LEFT(G1873,2)=LEFT('112'!$M$9,2),B1873&lt;'112'!$N$8,$L1873='112'!$I$6)),"x",""))</f>
        <v/>
      </c>
      <c r="T1873" s="39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39" t="str">
        <f>IF(OR(TH!L1873=TH!$V$7,M1873=TH!$V$7),"x","")</f>
        <v/>
      </c>
      <c r="W1873" s="39" t="str">
        <f>IF(AND(B1873&gt;='IN-NX'!$P$3,B1873&lt;='IN-NX'!$Q$3,'IN-NX'!$D$7=D1873,OR(LEFT(L1873,2)="15",AND(LEFT(M1873,2)&lt;&gt;"15",LEFT(M1873,2)&lt;&gt;"33"))),"x","")</f>
        <v/>
      </c>
      <c r="X1873" s="39" t="str">
        <f>IF(AND(OR(LEFT(TH!L1873,2)="15",LEFT(TH!M1873,2)="15"),'152-CT'!$J$8=TH!F1873),"x","")</f>
        <v/>
      </c>
      <c r="Y1873" s="39" t="str">
        <f>IF(AND(OR(LEFT(TH!L1873,2)="15",LEFT(TH!M1873,2)="15"),TK!$E$7=TH!F1873),"x","")</f>
        <v/>
      </c>
      <c r="Z1873" s="39" t="str">
        <f>IF(AND(B1873&lt;=NKC!$N$8,B1873&gt;=NKC!$M$8),"x","")</f>
        <v>x</v>
      </c>
      <c r="AA1873" s="886"/>
    </row>
    <row r="1874" spans="1:27" s="211" customFormat="1" ht="15.75" customHeight="1">
      <c r="A1874" s="204" t="str">
        <f>IF(B1874&lt;&gt;"",IF(AND(B1874&gt;=_TM1,B1874&lt;=_TM2,OR(TH!L1874="1111",TH!M1874="1111")),TH!D1874,""),"")</f>
        <v/>
      </c>
      <c r="B1874" s="36">
        <f t="shared" si="258"/>
        <v>8</v>
      </c>
      <c r="C1874" s="191">
        <f t="shared" si="260"/>
        <v>41507</v>
      </c>
      <c r="D1874" s="191"/>
      <c r="E1874" s="37">
        <v>41507</v>
      </c>
      <c r="F1874" s="40" t="s">
        <v>760</v>
      </c>
      <c r="G1874" s="40" t="s">
        <v>919</v>
      </c>
      <c r="H1874" s="7" t="s">
        <v>1293</v>
      </c>
      <c r="I1874" s="256"/>
      <c r="J1874" s="256"/>
      <c r="K1874" s="602">
        <f t="shared" si="259"/>
        <v>0</v>
      </c>
      <c r="L1874" s="39" t="s">
        <v>173</v>
      </c>
      <c r="M1874" s="39" t="s">
        <v>167</v>
      </c>
      <c r="N1874" s="39" t="str">
        <f>IF(AND('331-CT'!$E$7=TH!H1874,OR(L1874="331",M1874="331")),"331",IF(AND(OR(L1874="131",M1874="131"),H1874='131-CT'!$E$7),"131",""))</f>
        <v/>
      </c>
      <c r="O1874" s="39" t="str">
        <f>IF(AND($B1874&gt;='111'!$N$11,$B1874&lt;='111'!$O$11,OR($L1874=$O$7,$M1874=$O$7)),"x","")</f>
        <v/>
      </c>
      <c r="P1874" s="39" t="str">
        <f>IF(AND($L1874=$O$7,$B1874&lt;'111'!$N$11),"x","")</f>
        <v/>
      </c>
      <c r="Q1874" s="39" t="str">
        <f>IF(AND($M1874=$O$7,$B1874&lt;'111'!$N$11),"x","")</f>
        <v/>
      </c>
      <c r="R1874" s="39" t="str">
        <f>IF(ISERROR(FIND('112'!$M$9,G1874,1)),"",IF((AND(FIND('112'!$M$9,G1874,1)&gt;=1,$B1874&gt;='112'!$N$8,$B1874&lt;='112'!$O$8,OR($L1874='112'!$I$6,$M1874='112'!$I$6))),"x",""))</f>
        <v/>
      </c>
      <c r="S1874" s="39" t="str">
        <f>IF(ISERROR(FIND('112'!$M$9,G1874,1)),"",IF((AND(LEFT(G1874,2)=LEFT('112'!$M$9,2),B1874&lt;'112'!$N$8,$L1874='112'!$I$6)),"x",""))</f>
        <v/>
      </c>
      <c r="T1874" s="39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39" t="str">
        <f>IF(OR(TH!L1874=TH!$V$7,M1874=TH!$V$7),"x","")</f>
        <v/>
      </c>
      <c r="W1874" s="39" t="str">
        <f>IF(AND(B1874&gt;='IN-NX'!$P$3,B1874&lt;='IN-NX'!$Q$3,'IN-NX'!$D$7=D1874,OR(LEFT(L1874,2)="15",AND(LEFT(M1874,2)&lt;&gt;"15",LEFT(M1874,2)&lt;&gt;"33"))),"x","")</f>
        <v/>
      </c>
      <c r="X1874" s="39" t="str">
        <f>IF(AND(OR(LEFT(TH!L1874,2)="15",LEFT(TH!M1874,2)="15"),'152-CT'!$J$8=TH!F1874),"x","")</f>
        <v/>
      </c>
      <c r="Y1874" s="39" t="str">
        <f>IF(AND(OR(LEFT(TH!L1874,2)="15",LEFT(TH!M1874,2)="15"),TK!$E$7=TH!F1874),"x","")</f>
        <v/>
      </c>
      <c r="Z1874" s="39" t="str">
        <f>IF(AND(B1874&lt;=NKC!$N$8,B1874&gt;=NKC!$M$8),"x","")</f>
        <v>x</v>
      </c>
      <c r="AA1874" s="886"/>
    </row>
    <row r="1875" spans="1:27" s="211" customFormat="1" ht="15.75" customHeight="1">
      <c r="A1875" s="204" t="str">
        <f>IF(B1875&lt;&gt;"",IF(AND(B1875&gt;=_TM1,B1875&lt;=_TM2,OR(TH!L1875="1111",TH!M1875="1111")),TH!D1875,""),"")</f>
        <v/>
      </c>
      <c r="B1875" s="36">
        <f t="shared" si="258"/>
        <v>8</v>
      </c>
      <c r="C1875" s="191">
        <f t="shared" si="260"/>
        <v>41511</v>
      </c>
      <c r="D1875" s="191"/>
      <c r="E1875" s="37">
        <v>41511</v>
      </c>
      <c r="F1875" s="40" t="s">
        <v>920</v>
      </c>
      <c r="G1875" s="40" t="s">
        <v>921</v>
      </c>
      <c r="H1875" s="7" t="s">
        <v>1293</v>
      </c>
      <c r="I1875" s="256"/>
      <c r="J1875" s="256"/>
      <c r="K1875" s="602">
        <f t="shared" si="259"/>
        <v>0</v>
      </c>
      <c r="L1875" s="39" t="s">
        <v>173</v>
      </c>
      <c r="M1875" s="39" t="s">
        <v>167</v>
      </c>
      <c r="N1875" s="39" t="str">
        <f>IF(AND('331-CT'!$E$7=TH!H1875,OR(L1875="331",M1875="331")),"331",IF(AND(OR(L1875="131",M1875="131"),H1875='131-CT'!$E$7),"131",""))</f>
        <v/>
      </c>
      <c r="O1875" s="39" t="str">
        <f>IF(AND($B1875&gt;='111'!$N$11,$B1875&lt;='111'!$O$11,OR($L1875=$O$7,$M1875=$O$7)),"x","")</f>
        <v/>
      </c>
      <c r="P1875" s="39" t="str">
        <f>IF(AND($L1875=$O$7,$B1875&lt;'111'!$N$11),"x","")</f>
        <v/>
      </c>
      <c r="Q1875" s="39" t="str">
        <f>IF(AND($M1875=$O$7,$B1875&lt;'111'!$N$11),"x","")</f>
        <v/>
      </c>
      <c r="R1875" s="39" t="str">
        <f>IF(ISERROR(FIND('112'!$M$9,G1875,1)),"",IF((AND(FIND('112'!$M$9,G1875,1)&gt;=1,$B1875&gt;='112'!$N$8,$B1875&lt;='112'!$O$8,OR($L1875='112'!$I$6,$M1875='112'!$I$6))),"x",""))</f>
        <v/>
      </c>
      <c r="S1875" s="39" t="str">
        <f>IF(ISERROR(FIND('112'!$M$9,G1875,1)),"",IF((AND(LEFT(G1875,2)=LEFT('112'!$M$9,2),B1875&lt;'112'!$N$8,$L1875='112'!$I$6)),"x",""))</f>
        <v/>
      </c>
      <c r="T1875" s="39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39" t="str">
        <f>IF(OR(TH!L1875=TH!$V$7,M1875=TH!$V$7),"x","")</f>
        <v/>
      </c>
      <c r="W1875" s="39" t="str">
        <f>IF(AND(B1875&gt;='IN-NX'!$P$3,B1875&lt;='IN-NX'!$Q$3,'IN-NX'!$D$7=D1875,OR(LEFT(L1875,2)="15",AND(LEFT(M1875,2)&lt;&gt;"15",LEFT(M1875,2)&lt;&gt;"33"))),"x","")</f>
        <v/>
      </c>
      <c r="X1875" s="39" t="str">
        <f>IF(AND(OR(LEFT(TH!L1875,2)="15",LEFT(TH!M1875,2)="15"),'152-CT'!$J$8=TH!F1875),"x","")</f>
        <v/>
      </c>
      <c r="Y1875" s="39" t="str">
        <f>IF(AND(OR(LEFT(TH!L1875,2)="15",LEFT(TH!M1875,2)="15"),TK!$E$7=TH!F1875),"x","")</f>
        <v/>
      </c>
      <c r="Z1875" s="39" t="str">
        <f>IF(AND(B1875&lt;=NKC!$N$8,B1875&gt;=NKC!$M$8),"x","")</f>
        <v>x</v>
      </c>
      <c r="AA1875" s="886"/>
    </row>
    <row r="1876" spans="1:27" s="211" customFormat="1" ht="15.75" customHeight="1">
      <c r="A1876" s="204" t="str">
        <f>IF(B1876&lt;&gt;"",IF(AND(B1876&gt;=_TM1,B1876&lt;=_TM2,OR(TH!L1876="1111",TH!M1876="1111")),TH!D1876,""),"")</f>
        <v/>
      </c>
      <c r="B1876" s="36">
        <f t="shared" si="258"/>
        <v>8</v>
      </c>
      <c r="C1876" s="191">
        <f t="shared" si="260"/>
        <v>41511</v>
      </c>
      <c r="D1876" s="191"/>
      <c r="E1876" s="37">
        <v>41511</v>
      </c>
      <c r="F1876" s="40" t="s">
        <v>1162</v>
      </c>
      <c r="G1876" s="40" t="s">
        <v>921</v>
      </c>
      <c r="H1876" s="7" t="s">
        <v>1293</v>
      </c>
      <c r="I1876" s="256"/>
      <c r="J1876" s="256"/>
      <c r="K1876" s="602">
        <f t="shared" si="259"/>
        <v>0</v>
      </c>
      <c r="L1876" s="39" t="s">
        <v>173</v>
      </c>
      <c r="M1876" s="39" t="s">
        <v>167</v>
      </c>
      <c r="N1876" s="39" t="str">
        <f>IF(AND('331-CT'!$E$7=TH!H1876,OR(L1876="331",M1876="331")),"331",IF(AND(OR(L1876="131",M1876="131"),H1876='131-CT'!$E$7),"131",""))</f>
        <v/>
      </c>
      <c r="O1876" s="39" t="str">
        <f>IF(AND($B1876&gt;='111'!$N$11,$B1876&lt;='111'!$O$11,OR($L1876=$O$7,$M1876=$O$7)),"x","")</f>
        <v/>
      </c>
      <c r="P1876" s="39" t="str">
        <f>IF(AND($L1876=$O$7,$B1876&lt;'111'!$N$11),"x","")</f>
        <v/>
      </c>
      <c r="Q1876" s="39" t="str">
        <f>IF(AND($M1876=$O$7,$B1876&lt;'111'!$N$11),"x","")</f>
        <v/>
      </c>
      <c r="R1876" s="39" t="str">
        <f>IF(ISERROR(FIND('112'!$M$9,G1876,1)),"",IF((AND(FIND('112'!$M$9,G1876,1)&gt;=1,$B1876&gt;='112'!$N$8,$B1876&lt;='112'!$O$8,OR($L1876='112'!$I$6,$M1876='112'!$I$6))),"x",""))</f>
        <v/>
      </c>
      <c r="S1876" s="39" t="str">
        <f>IF(ISERROR(FIND('112'!$M$9,G1876,1)),"",IF((AND(LEFT(G1876,2)=LEFT('112'!$M$9,2),B1876&lt;'112'!$N$8,$L1876='112'!$I$6)),"x",""))</f>
        <v/>
      </c>
      <c r="T1876" s="39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39" t="str">
        <f>IF(OR(TH!L1876=TH!$V$7,M1876=TH!$V$7),"x","")</f>
        <v/>
      </c>
      <c r="W1876" s="39" t="str">
        <f>IF(AND(B1876&gt;='IN-NX'!$P$3,B1876&lt;='IN-NX'!$Q$3,'IN-NX'!$D$7=D1876,OR(LEFT(L1876,2)="15",AND(LEFT(M1876,2)&lt;&gt;"15",LEFT(M1876,2)&lt;&gt;"33"))),"x","")</f>
        <v/>
      </c>
      <c r="X1876" s="39" t="str">
        <f>IF(AND(OR(LEFT(TH!L1876,2)="15",LEFT(TH!M1876,2)="15"),'152-CT'!$J$8=TH!F1876),"x","")</f>
        <v/>
      </c>
      <c r="Y1876" s="39" t="str">
        <f>IF(AND(OR(LEFT(TH!L1876,2)="15",LEFT(TH!M1876,2)="15"),TK!$E$7=TH!F1876),"x","")</f>
        <v/>
      </c>
      <c r="Z1876" s="39" t="str">
        <f>IF(AND(B1876&lt;=NKC!$N$8,B1876&gt;=NKC!$M$8),"x","")</f>
        <v>x</v>
      </c>
      <c r="AA1876" s="886"/>
    </row>
    <row r="1877" spans="1:27" s="211" customFormat="1" ht="15.75" customHeight="1">
      <c r="A1877" s="204" t="str">
        <f>IF(B1877&lt;&gt;"",IF(AND(B1877&gt;=_TM1,B1877&lt;=_TM2,OR(TH!L1877="1111",TH!M1877="1111")),TH!D1877,""),"")</f>
        <v/>
      </c>
      <c r="B1877" s="36">
        <f t="shared" si="258"/>
        <v>8</v>
      </c>
      <c r="C1877" s="191">
        <f t="shared" si="260"/>
        <v>41511</v>
      </c>
      <c r="D1877" s="191"/>
      <c r="E1877" s="37">
        <v>41511</v>
      </c>
      <c r="F1877" s="40" t="s">
        <v>922</v>
      </c>
      <c r="G1877" s="40" t="s">
        <v>921</v>
      </c>
      <c r="H1877" s="7" t="s">
        <v>1293</v>
      </c>
      <c r="I1877" s="256"/>
      <c r="J1877" s="256"/>
      <c r="K1877" s="602">
        <f t="shared" si="259"/>
        <v>0</v>
      </c>
      <c r="L1877" s="39" t="s">
        <v>173</v>
      </c>
      <c r="M1877" s="39" t="s">
        <v>167</v>
      </c>
      <c r="N1877" s="39" t="str">
        <f>IF(AND('331-CT'!$E$7=TH!H1877,OR(L1877="331",M1877="331")),"331",IF(AND(OR(L1877="131",M1877="131"),H1877='131-CT'!$E$7),"131",""))</f>
        <v/>
      </c>
      <c r="O1877" s="39" t="str">
        <f>IF(AND($B1877&gt;='111'!$N$11,$B1877&lt;='111'!$O$11,OR($L1877=$O$7,$M1877=$O$7)),"x","")</f>
        <v/>
      </c>
      <c r="P1877" s="39" t="str">
        <f>IF(AND($L1877=$O$7,$B1877&lt;'111'!$N$11),"x","")</f>
        <v/>
      </c>
      <c r="Q1877" s="39" t="str">
        <f>IF(AND($M1877=$O$7,$B1877&lt;'111'!$N$11),"x","")</f>
        <v/>
      </c>
      <c r="R1877" s="39" t="str">
        <f>IF(ISERROR(FIND('112'!$M$9,G1877,1)),"",IF((AND(FIND('112'!$M$9,G1877,1)&gt;=1,$B1877&gt;='112'!$N$8,$B1877&lt;='112'!$O$8,OR($L1877='112'!$I$6,$M1877='112'!$I$6))),"x",""))</f>
        <v/>
      </c>
      <c r="S1877" s="39" t="str">
        <f>IF(ISERROR(FIND('112'!$M$9,G1877,1)),"",IF((AND(LEFT(G1877,2)=LEFT('112'!$M$9,2),B1877&lt;'112'!$N$8,$L1877='112'!$I$6)),"x",""))</f>
        <v/>
      </c>
      <c r="T1877" s="39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39" t="str">
        <f>IF(OR(TH!L1877=TH!$V$7,M1877=TH!$V$7),"x","")</f>
        <v/>
      </c>
      <c r="W1877" s="39" t="str">
        <f>IF(AND(B1877&gt;='IN-NX'!$P$3,B1877&lt;='IN-NX'!$Q$3,'IN-NX'!$D$7=D1877,OR(LEFT(L1877,2)="15",AND(LEFT(M1877,2)&lt;&gt;"15",LEFT(M1877,2)&lt;&gt;"33"))),"x","")</f>
        <v/>
      </c>
      <c r="X1877" s="39" t="str">
        <f>IF(AND(OR(LEFT(TH!L1877,2)="15",LEFT(TH!M1877,2)="15"),'152-CT'!$J$8=TH!F1877),"x","")</f>
        <v/>
      </c>
      <c r="Y1877" s="39" t="str">
        <f>IF(AND(OR(LEFT(TH!L1877,2)="15",LEFT(TH!M1877,2)="15"),TK!$E$7=TH!F1877),"x","")</f>
        <v/>
      </c>
      <c r="Z1877" s="39" t="str">
        <f>IF(AND(B1877&lt;=NKC!$N$8,B1877&gt;=NKC!$M$8),"x","")</f>
        <v>x</v>
      </c>
      <c r="AA1877" s="886"/>
    </row>
    <row r="1878" spans="1:27" s="211" customFormat="1" ht="15.75" customHeight="1">
      <c r="A1878" s="204" t="str">
        <f>IF(B1878&lt;&gt;"",IF(AND(B1878&gt;=_TM1,B1878&lt;=_TM2,OR(TH!L1878="1111",TH!M1878="1111")),TH!D1878,""),"")</f>
        <v/>
      </c>
      <c r="B1878" s="36">
        <f t="shared" si="258"/>
        <v>8</v>
      </c>
      <c r="C1878" s="191">
        <f t="shared" si="260"/>
        <v>41511</v>
      </c>
      <c r="D1878" s="191"/>
      <c r="E1878" s="37">
        <v>41511</v>
      </c>
      <c r="F1878" s="40" t="s">
        <v>920</v>
      </c>
      <c r="G1878" s="40" t="s">
        <v>921</v>
      </c>
      <c r="H1878" s="7" t="s">
        <v>1293</v>
      </c>
      <c r="I1878" s="256"/>
      <c r="J1878" s="256"/>
      <c r="K1878" s="602">
        <f t="shared" si="259"/>
        <v>0</v>
      </c>
      <c r="L1878" s="39" t="s">
        <v>173</v>
      </c>
      <c r="M1878" s="39" t="s">
        <v>167</v>
      </c>
      <c r="N1878" s="39" t="str">
        <f>IF(AND('331-CT'!$E$7=TH!H1878,OR(L1878="331",M1878="331")),"331",IF(AND(OR(L1878="131",M1878="131"),H1878='131-CT'!$E$7),"131",""))</f>
        <v/>
      </c>
      <c r="O1878" s="39" t="str">
        <f>IF(AND($B1878&gt;='111'!$N$11,$B1878&lt;='111'!$O$11,OR($L1878=$O$7,$M1878=$O$7)),"x","")</f>
        <v/>
      </c>
      <c r="P1878" s="39" t="str">
        <f>IF(AND($L1878=$O$7,$B1878&lt;'111'!$N$11),"x","")</f>
        <v/>
      </c>
      <c r="Q1878" s="39" t="str">
        <f>IF(AND($M1878=$O$7,$B1878&lt;'111'!$N$11),"x","")</f>
        <v/>
      </c>
      <c r="R1878" s="39" t="str">
        <f>IF(ISERROR(FIND('112'!$M$9,G1878,1)),"",IF((AND(FIND('112'!$M$9,G1878,1)&gt;=1,$B1878&gt;='112'!$N$8,$B1878&lt;='112'!$O$8,OR($L1878='112'!$I$6,$M1878='112'!$I$6))),"x",""))</f>
        <v/>
      </c>
      <c r="S1878" s="39" t="str">
        <f>IF(ISERROR(FIND('112'!$M$9,G1878,1)),"",IF((AND(LEFT(G1878,2)=LEFT('112'!$M$9,2),B1878&lt;'112'!$N$8,$L1878='112'!$I$6)),"x",""))</f>
        <v/>
      </c>
      <c r="T1878" s="39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39" t="str">
        <f>IF(OR(TH!L1878=TH!$V$7,M1878=TH!$V$7),"x","")</f>
        <v/>
      </c>
      <c r="W1878" s="39" t="str">
        <f>IF(AND(B1878&gt;='IN-NX'!$P$3,B1878&lt;='IN-NX'!$Q$3,'IN-NX'!$D$7=D1878,OR(LEFT(L1878,2)="15",AND(LEFT(M1878,2)&lt;&gt;"15",LEFT(M1878,2)&lt;&gt;"33"))),"x","")</f>
        <v/>
      </c>
      <c r="X1878" s="39" t="str">
        <f>IF(AND(OR(LEFT(TH!L1878,2)="15",LEFT(TH!M1878,2)="15"),'152-CT'!$J$8=TH!F1878),"x","")</f>
        <v/>
      </c>
      <c r="Y1878" s="39" t="str">
        <f>IF(AND(OR(LEFT(TH!L1878,2)="15",LEFT(TH!M1878,2)="15"),TK!$E$7=TH!F1878),"x","")</f>
        <v/>
      </c>
      <c r="Z1878" s="39" t="str">
        <f>IF(AND(B1878&lt;=NKC!$N$8,B1878&gt;=NKC!$M$8),"x","")</f>
        <v>x</v>
      </c>
      <c r="AA1878" s="886"/>
    </row>
    <row r="1879" spans="1:27" s="211" customFormat="1" ht="15.75" customHeight="1">
      <c r="A1879" s="204" t="str">
        <f>IF(B1879&lt;&gt;"",IF(AND(B1879&gt;=_TM1,B1879&lt;=_TM2,OR(TH!L1879="1111",TH!M1879="1111")),TH!D1879,""),"")</f>
        <v/>
      </c>
      <c r="B1879" s="36">
        <f t="shared" si="258"/>
        <v>8</v>
      </c>
      <c r="C1879" s="191">
        <f t="shared" si="260"/>
        <v>41512</v>
      </c>
      <c r="D1879" s="191"/>
      <c r="E1879" s="37">
        <v>41512</v>
      </c>
      <c r="F1879" s="40" t="s">
        <v>1151</v>
      </c>
      <c r="G1879" s="40" t="s">
        <v>923</v>
      </c>
      <c r="H1879" s="7" t="s">
        <v>1293</v>
      </c>
      <c r="I1879" s="256"/>
      <c r="J1879" s="256"/>
      <c r="K1879" s="602">
        <f t="shared" si="259"/>
        <v>0</v>
      </c>
      <c r="L1879" s="39" t="s">
        <v>173</v>
      </c>
      <c r="M1879" s="39" t="s">
        <v>167</v>
      </c>
      <c r="N1879" s="39" t="str">
        <f>IF(AND('331-CT'!$E$7=TH!H1879,OR(L1879="331",M1879="331")),"331",IF(AND(OR(L1879="131",M1879="131"),H1879='131-CT'!$E$7),"131",""))</f>
        <v/>
      </c>
      <c r="O1879" s="39" t="str">
        <f>IF(AND($B1879&gt;='111'!$N$11,$B1879&lt;='111'!$O$11,OR($L1879=$O$7,$M1879=$O$7)),"x","")</f>
        <v/>
      </c>
      <c r="P1879" s="39" t="str">
        <f>IF(AND($L1879=$O$7,$B1879&lt;'111'!$N$11),"x","")</f>
        <v/>
      </c>
      <c r="Q1879" s="39" t="str">
        <f>IF(AND($M1879=$O$7,$B1879&lt;'111'!$N$11),"x","")</f>
        <v/>
      </c>
      <c r="R1879" s="39" t="str">
        <f>IF(ISERROR(FIND('112'!$M$9,G1879,1)),"",IF((AND(FIND('112'!$M$9,G1879,1)&gt;=1,$B1879&gt;='112'!$N$8,$B1879&lt;='112'!$O$8,OR($L1879='112'!$I$6,$M1879='112'!$I$6))),"x",""))</f>
        <v/>
      </c>
      <c r="S1879" s="39" t="str">
        <f>IF(ISERROR(FIND('112'!$M$9,G1879,1)),"",IF((AND(LEFT(G1879,2)=LEFT('112'!$M$9,2),B1879&lt;'112'!$N$8,$L1879='112'!$I$6)),"x",""))</f>
        <v/>
      </c>
      <c r="T1879" s="39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39" t="str">
        <f>IF(OR(TH!L1879=TH!$V$7,M1879=TH!$V$7),"x","")</f>
        <v/>
      </c>
      <c r="W1879" s="39" t="str">
        <f>IF(AND(B1879&gt;='IN-NX'!$P$3,B1879&lt;='IN-NX'!$Q$3,'IN-NX'!$D$7=D1879,OR(LEFT(L1879,2)="15",AND(LEFT(M1879,2)&lt;&gt;"15",LEFT(M1879,2)&lt;&gt;"33"))),"x","")</f>
        <v/>
      </c>
      <c r="X1879" s="39" t="str">
        <f>IF(AND(OR(LEFT(TH!L1879,2)="15",LEFT(TH!M1879,2)="15"),'152-CT'!$J$8=TH!F1879),"x","")</f>
        <v/>
      </c>
      <c r="Y1879" s="39" t="str">
        <f>IF(AND(OR(LEFT(TH!L1879,2)="15",LEFT(TH!M1879,2)="15"),TK!$E$7=TH!F1879),"x","")</f>
        <v/>
      </c>
      <c r="Z1879" s="39" t="str">
        <f>IF(AND(B1879&lt;=NKC!$N$8,B1879&gt;=NKC!$M$8),"x","")</f>
        <v>x</v>
      </c>
      <c r="AA1879" s="886"/>
    </row>
    <row r="1880" spans="1:27" s="211" customFormat="1" ht="15.75" customHeight="1">
      <c r="A1880" s="204" t="str">
        <f>IF(B1880&lt;&gt;"",IF(AND(B1880&gt;=_TM1,B1880&lt;=_TM2,OR(TH!L1880="1111",TH!M1880="1111")),TH!D1880,""),"")</f>
        <v/>
      </c>
      <c r="B1880" s="36">
        <f t="shared" si="258"/>
        <v>8</v>
      </c>
      <c r="C1880" s="191">
        <f t="shared" si="260"/>
        <v>41512</v>
      </c>
      <c r="D1880" s="191"/>
      <c r="E1880" s="37">
        <v>41512</v>
      </c>
      <c r="F1880" s="40" t="s">
        <v>1151</v>
      </c>
      <c r="G1880" s="40" t="s">
        <v>923</v>
      </c>
      <c r="H1880" s="7" t="s">
        <v>1293</v>
      </c>
      <c r="I1880" s="256"/>
      <c r="J1880" s="256"/>
      <c r="K1880" s="602">
        <f t="shared" si="259"/>
        <v>0</v>
      </c>
      <c r="L1880" s="39" t="s">
        <v>173</v>
      </c>
      <c r="M1880" s="39" t="s">
        <v>167</v>
      </c>
      <c r="N1880" s="39" t="str">
        <f>IF(AND('331-CT'!$E$7=TH!H1880,OR(L1880="331",M1880="331")),"331",IF(AND(OR(L1880="131",M1880="131"),H1880='131-CT'!$E$7),"131",""))</f>
        <v/>
      </c>
      <c r="O1880" s="39" t="str">
        <f>IF(AND($B1880&gt;='111'!$N$11,$B1880&lt;='111'!$O$11,OR($L1880=$O$7,$M1880=$O$7)),"x","")</f>
        <v/>
      </c>
      <c r="P1880" s="39" t="str">
        <f>IF(AND($L1880=$O$7,$B1880&lt;'111'!$N$11),"x","")</f>
        <v/>
      </c>
      <c r="Q1880" s="39" t="str">
        <f>IF(AND($M1880=$O$7,$B1880&lt;'111'!$N$11),"x","")</f>
        <v/>
      </c>
      <c r="R1880" s="39" t="str">
        <f>IF(ISERROR(FIND('112'!$M$9,G1880,1)),"",IF((AND(FIND('112'!$M$9,G1880,1)&gt;=1,$B1880&gt;='112'!$N$8,$B1880&lt;='112'!$O$8,OR($L1880='112'!$I$6,$M1880='112'!$I$6))),"x",""))</f>
        <v/>
      </c>
      <c r="S1880" s="39" t="str">
        <f>IF(ISERROR(FIND('112'!$M$9,G1880,1)),"",IF((AND(LEFT(G1880,2)=LEFT('112'!$M$9,2),B1880&lt;'112'!$N$8,$L1880='112'!$I$6)),"x",""))</f>
        <v/>
      </c>
      <c r="T1880" s="39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39" t="str">
        <f>IF(OR(TH!L1880=TH!$V$7,M1880=TH!$V$7),"x","")</f>
        <v/>
      </c>
      <c r="W1880" s="39" t="str">
        <f>IF(AND(B1880&gt;='IN-NX'!$P$3,B1880&lt;='IN-NX'!$Q$3,'IN-NX'!$D$7=D1880,OR(LEFT(L1880,2)="15",AND(LEFT(M1880,2)&lt;&gt;"15",LEFT(M1880,2)&lt;&gt;"33"))),"x","")</f>
        <v/>
      </c>
      <c r="X1880" s="39" t="str">
        <f>IF(AND(OR(LEFT(TH!L1880,2)="15",LEFT(TH!M1880,2)="15"),'152-CT'!$J$8=TH!F1880),"x","")</f>
        <v/>
      </c>
      <c r="Y1880" s="39" t="str">
        <f>IF(AND(OR(LEFT(TH!L1880,2)="15",LEFT(TH!M1880,2)="15"),TK!$E$7=TH!F1880),"x","")</f>
        <v/>
      </c>
      <c r="Z1880" s="39" t="str">
        <f>IF(AND(B1880&lt;=NKC!$N$8,B1880&gt;=NKC!$M$8),"x","")</f>
        <v>x</v>
      </c>
      <c r="AA1880" s="886"/>
    </row>
    <row r="1881" spans="1:27" s="211" customFormat="1" ht="15.75" customHeight="1">
      <c r="A1881" s="204" t="str">
        <f>IF(B1881&lt;&gt;"",IF(AND(B1881&gt;=_TM1,B1881&lt;=_TM2,OR(TH!L1881="1111",TH!M1881="1111")),TH!D1881,""),"")</f>
        <v/>
      </c>
      <c r="B1881" s="36">
        <f t="shared" si="258"/>
        <v>8</v>
      </c>
      <c r="C1881" s="191">
        <f t="shared" si="260"/>
        <v>41512</v>
      </c>
      <c r="D1881" s="191"/>
      <c r="E1881" s="37">
        <v>41512</v>
      </c>
      <c r="F1881" s="40" t="s">
        <v>1142</v>
      </c>
      <c r="G1881" s="40" t="s">
        <v>1116</v>
      </c>
      <c r="H1881" s="7" t="s">
        <v>1293</v>
      </c>
      <c r="I1881" s="256"/>
      <c r="J1881" s="256"/>
      <c r="K1881" s="602">
        <f t="shared" si="259"/>
        <v>0</v>
      </c>
      <c r="L1881" s="39" t="s">
        <v>173</v>
      </c>
      <c r="M1881" s="39" t="s">
        <v>167</v>
      </c>
      <c r="N1881" s="39" t="str">
        <f>IF(AND('331-CT'!$E$7=TH!H1881,OR(L1881="331",M1881="331")),"331",IF(AND(OR(L1881="131",M1881="131"),H1881='131-CT'!$E$7),"131",""))</f>
        <v/>
      </c>
      <c r="O1881" s="39" t="str">
        <f>IF(AND($B1881&gt;='111'!$N$11,$B1881&lt;='111'!$O$11,OR($L1881=$O$7,$M1881=$O$7)),"x","")</f>
        <v/>
      </c>
      <c r="P1881" s="39" t="str">
        <f>IF(AND($L1881=$O$7,$B1881&lt;'111'!$N$11),"x","")</f>
        <v/>
      </c>
      <c r="Q1881" s="39" t="str">
        <f>IF(AND($M1881=$O$7,$B1881&lt;'111'!$N$11),"x","")</f>
        <v/>
      </c>
      <c r="R1881" s="39" t="str">
        <f>IF(ISERROR(FIND('112'!$M$9,G1881,1)),"",IF((AND(FIND('112'!$M$9,G1881,1)&gt;=1,$B1881&gt;='112'!$N$8,$B1881&lt;='112'!$O$8,OR($L1881='112'!$I$6,$M1881='112'!$I$6))),"x",""))</f>
        <v/>
      </c>
      <c r="S1881" s="39" t="str">
        <f>IF(ISERROR(FIND('112'!$M$9,G1881,1)),"",IF((AND(LEFT(G1881,2)=LEFT('112'!$M$9,2),B1881&lt;'112'!$N$8,$L1881='112'!$I$6)),"x",""))</f>
        <v/>
      </c>
      <c r="T1881" s="39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39" t="str">
        <f>IF(OR(TH!L1881=TH!$V$7,M1881=TH!$V$7),"x","")</f>
        <v/>
      </c>
      <c r="W1881" s="39" t="str">
        <f>IF(AND(B1881&gt;='IN-NX'!$P$3,B1881&lt;='IN-NX'!$Q$3,'IN-NX'!$D$7=D1881,OR(LEFT(L1881,2)="15",AND(LEFT(M1881,2)&lt;&gt;"15",LEFT(M1881,2)&lt;&gt;"33"))),"x","")</f>
        <v/>
      </c>
      <c r="X1881" s="39" t="str">
        <f>IF(AND(OR(LEFT(TH!L1881,2)="15",LEFT(TH!M1881,2)="15"),'152-CT'!$J$8=TH!F1881),"x","")</f>
        <v/>
      </c>
      <c r="Y1881" s="39" t="str">
        <f>IF(AND(OR(LEFT(TH!L1881,2)="15",LEFT(TH!M1881,2)="15"),TK!$E$7=TH!F1881),"x","")</f>
        <v/>
      </c>
      <c r="Z1881" s="39" t="str">
        <f>IF(AND(B1881&lt;=NKC!$N$8,B1881&gt;=NKC!$M$8),"x","")</f>
        <v>x</v>
      </c>
      <c r="AA1881" s="886"/>
    </row>
    <row r="1882" spans="1:27" s="211" customFormat="1" ht="15.75" customHeight="1">
      <c r="A1882" s="204" t="str">
        <f>IF(B1882&lt;&gt;"",IF(AND(B1882&gt;=_TM1,B1882&lt;=_TM2,OR(TH!L1882="1111",TH!M1882="1111")),TH!D1882,""),"")</f>
        <v/>
      </c>
      <c r="B1882" s="36">
        <f t="shared" si="258"/>
        <v>8</v>
      </c>
      <c r="C1882" s="191">
        <f t="shared" si="260"/>
        <v>41512</v>
      </c>
      <c r="D1882" s="191"/>
      <c r="E1882" s="37">
        <v>41512</v>
      </c>
      <c r="F1882" s="40" t="s">
        <v>1146</v>
      </c>
      <c r="G1882" s="40" t="s">
        <v>1116</v>
      </c>
      <c r="H1882" s="7" t="s">
        <v>1293</v>
      </c>
      <c r="I1882" s="256"/>
      <c r="J1882" s="256"/>
      <c r="K1882" s="602">
        <f t="shared" si="259"/>
        <v>0</v>
      </c>
      <c r="L1882" s="39" t="s">
        <v>173</v>
      </c>
      <c r="M1882" s="39" t="s">
        <v>167</v>
      </c>
      <c r="N1882" s="39" t="str">
        <f>IF(AND('331-CT'!$E$7=TH!H1882,OR(L1882="331",M1882="331")),"331",IF(AND(OR(L1882="131",M1882="131"),H1882='131-CT'!$E$7),"131",""))</f>
        <v/>
      </c>
      <c r="O1882" s="39" t="str">
        <f>IF(AND($B1882&gt;='111'!$N$11,$B1882&lt;='111'!$O$11,OR($L1882=$O$7,$M1882=$O$7)),"x","")</f>
        <v/>
      </c>
      <c r="P1882" s="39" t="str">
        <f>IF(AND($L1882=$O$7,$B1882&lt;'111'!$N$11),"x","")</f>
        <v/>
      </c>
      <c r="Q1882" s="39" t="str">
        <f>IF(AND($M1882=$O$7,$B1882&lt;'111'!$N$11),"x","")</f>
        <v/>
      </c>
      <c r="R1882" s="39" t="str">
        <f>IF(ISERROR(FIND('112'!$M$9,G1882,1)),"",IF((AND(FIND('112'!$M$9,G1882,1)&gt;=1,$B1882&gt;='112'!$N$8,$B1882&lt;='112'!$O$8,OR($L1882='112'!$I$6,$M1882='112'!$I$6))),"x",""))</f>
        <v/>
      </c>
      <c r="S1882" s="39" t="str">
        <f>IF(ISERROR(FIND('112'!$M$9,G1882,1)),"",IF((AND(LEFT(G1882,2)=LEFT('112'!$M$9,2),B1882&lt;'112'!$N$8,$L1882='112'!$I$6)),"x",""))</f>
        <v/>
      </c>
      <c r="T1882" s="39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39" t="str">
        <f>IF(OR(TH!L1882=TH!$V$7,M1882=TH!$V$7),"x","")</f>
        <v/>
      </c>
      <c r="W1882" s="39" t="str">
        <f>IF(AND(B1882&gt;='IN-NX'!$P$3,B1882&lt;='IN-NX'!$Q$3,'IN-NX'!$D$7=D1882,OR(LEFT(L1882,2)="15",AND(LEFT(M1882,2)&lt;&gt;"15",LEFT(M1882,2)&lt;&gt;"33"))),"x","")</f>
        <v/>
      </c>
      <c r="X1882" s="39" t="str">
        <f>IF(AND(OR(LEFT(TH!L1882,2)="15",LEFT(TH!M1882,2)="15"),'152-CT'!$J$8=TH!F1882),"x","")</f>
        <v/>
      </c>
      <c r="Y1882" s="39" t="str">
        <f>IF(AND(OR(LEFT(TH!L1882,2)="15",LEFT(TH!M1882,2)="15"),TK!$E$7=TH!F1882),"x","")</f>
        <v/>
      </c>
      <c r="Z1882" s="39" t="str">
        <f>IF(AND(B1882&lt;=NKC!$N$8,B1882&gt;=NKC!$M$8),"x","")</f>
        <v>x</v>
      </c>
      <c r="AA1882" s="886"/>
    </row>
    <row r="1883" spans="1:27" s="211" customFormat="1" ht="15.75" customHeight="1">
      <c r="A1883" s="204" t="str">
        <f>IF(B1883&lt;&gt;"",IF(AND(B1883&gt;=_TM1,B1883&lt;=_TM2,OR(TH!L1883="1111",TH!M1883="1111")),TH!D1883,""),"")</f>
        <v/>
      </c>
      <c r="B1883" s="36">
        <f t="shared" si="258"/>
        <v>8</v>
      </c>
      <c r="C1883" s="191">
        <f t="shared" si="260"/>
        <v>41516</v>
      </c>
      <c r="D1883" s="191"/>
      <c r="E1883" s="191">
        <v>41516</v>
      </c>
      <c r="F1883" s="192" t="s">
        <v>1010</v>
      </c>
      <c r="G1883" s="487" t="s">
        <v>1117</v>
      </c>
      <c r="H1883" s="7" t="s">
        <v>1293</v>
      </c>
      <c r="I1883" s="256"/>
      <c r="J1883" s="256"/>
      <c r="K1883" s="602">
        <f t="shared" si="259"/>
        <v>0</v>
      </c>
      <c r="L1883" s="39" t="s">
        <v>173</v>
      </c>
      <c r="M1883" s="39" t="s">
        <v>167</v>
      </c>
      <c r="N1883" s="39" t="str">
        <f>IF(AND('331-CT'!$E$7=TH!H1883,OR(L1883="331",M1883="331")),"331",IF(AND(OR(L1883="131",M1883="131"),H1883='131-CT'!$E$7),"131",""))</f>
        <v/>
      </c>
      <c r="O1883" s="39" t="str">
        <f>IF(AND($B1883&gt;='111'!$N$11,$B1883&lt;='111'!$O$11,OR($L1883=$O$7,$M1883=$O$7)),"x","")</f>
        <v/>
      </c>
      <c r="P1883" s="39" t="str">
        <f>IF(AND($L1883=$O$7,$B1883&lt;'111'!$N$11),"x","")</f>
        <v/>
      </c>
      <c r="Q1883" s="39" t="str">
        <f>IF(AND($M1883=$O$7,$B1883&lt;'111'!$N$11),"x","")</f>
        <v/>
      </c>
      <c r="R1883" s="39" t="str">
        <f>IF(ISERROR(FIND('112'!$M$9,G1883,1)),"",IF((AND(FIND('112'!$M$9,G1883,1)&gt;=1,$B1883&gt;='112'!$N$8,$B1883&lt;='112'!$O$8,OR($L1883='112'!$I$6,$M1883='112'!$I$6))),"x",""))</f>
        <v/>
      </c>
      <c r="S1883" s="39" t="str">
        <f>IF(ISERROR(FIND('112'!$M$9,G1883,1)),"",IF((AND(LEFT(G1883,2)=LEFT('112'!$M$9,2),B1883&lt;'112'!$N$8,$L1883='112'!$I$6)),"x",""))</f>
        <v/>
      </c>
      <c r="T1883" s="39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39" t="str">
        <f>IF(OR(TH!L1883=TH!$V$7,M1883=TH!$V$7),"x","")</f>
        <v/>
      </c>
      <c r="W1883" s="39" t="str">
        <f>IF(AND(B1883&gt;='IN-NX'!$P$3,B1883&lt;='IN-NX'!$Q$3,'IN-NX'!$D$7=D1883,OR(LEFT(L1883,2)="15",AND(LEFT(M1883,2)&lt;&gt;"15",LEFT(M1883,2)&lt;&gt;"33"))),"x","")</f>
        <v/>
      </c>
      <c r="X1883" s="39" t="str">
        <f>IF(AND(OR(LEFT(TH!L1883,2)="15",LEFT(TH!M1883,2)="15"),'152-CT'!$J$8=TH!F1883),"x","")</f>
        <v/>
      </c>
      <c r="Y1883" s="39" t="str">
        <f>IF(AND(OR(LEFT(TH!L1883,2)="15",LEFT(TH!M1883,2)="15"),TK!$E$7=TH!F1883),"x","")</f>
        <v/>
      </c>
      <c r="Z1883" s="39" t="str">
        <f>IF(AND(B1883&lt;=NKC!$N$8,B1883&gt;=NKC!$M$8),"x","")</f>
        <v>x</v>
      </c>
      <c r="AA1883" s="886"/>
    </row>
    <row r="1884" spans="1:27" s="211" customFormat="1" ht="15.75" customHeight="1">
      <c r="A1884" s="204" t="str">
        <f>IF(B1884&lt;&gt;"",IF(AND(B1884&gt;=_TM1,B1884&lt;=_TM2,OR(TH!L1884="1111",TH!M1884="1111")),TH!D1884,""),"")</f>
        <v/>
      </c>
      <c r="B1884" s="36">
        <f t="shared" si="258"/>
        <v>8</v>
      </c>
      <c r="C1884" s="191">
        <f t="shared" si="260"/>
        <v>41516</v>
      </c>
      <c r="D1884" s="37"/>
      <c r="E1884" s="191">
        <v>41516</v>
      </c>
      <c r="F1884" s="192" t="s">
        <v>1009</v>
      </c>
      <c r="G1884" s="487" t="s">
        <v>1117</v>
      </c>
      <c r="H1884" s="7" t="s">
        <v>1293</v>
      </c>
      <c r="I1884" s="256"/>
      <c r="J1884" s="256"/>
      <c r="K1884" s="602">
        <f t="shared" si="259"/>
        <v>0</v>
      </c>
      <c r="L1884" s="39" t="s">
        <v>173</v>
      </c>
      <c r="M1884" s="39" t="s">
        <v>167</v>
      </c>
      <c r="N1884" s="39" t="str">
        <f>IF(AND('331-CT'!$E$7=TH!H1884,OR(L1884="331",M1884="331")),"331",IF(AND(OR(L1884="131",M1884="131"),H1884='131-CT'!$E$7),"131",""))</f>
        <v/>
      </c>
      <c r="O1884" s="39" t="str">
        <f>IF(AND($B1884&gt;='111'!$N$11,$B1884&lt;='111'!$O$11,OR($L1884=$O$7,$M1884=$O$7)),"x","")</f>
        <v/>
      </c>
      <c r="P1884" s="39" t="str">
        <f>IF(AND($L1884=$O$7,$B1884&lt;'111'!$N$11),"x","")</f>
        <v/>
      </c>
      <c r="Q1884" s="39" t="str">
        <f>IF(AND($M1884=$O$7,$B1884&lt;'111'!$N$11),"x","")</f>
        <v/>
      </c>
      <c r="R1884" s="39" t="str">
        <f>IF(ISERROR(FIND('112'!$M$9,G1884,1)),"",IF((AND(FIND('112'!$M$9,G1884,1)&gt;=1,$B1884&gt;='112'!$N$8,$B1884&lt;='112'!$O$8,OR($L1884='112'!$I$6,$M1884='112'!$I$6))),"x",""))</f>
        <v/>
      </c>
      <c r="S1884" s="39" t="str">
        <f>IF(ISERROR(FIND('112'!$M$9,G1884,1)),"",IF((AND(LEFT(G1884,2)=LEFT('112'!$M$9,2),B1884&lt;'112'!$N$8,$L1884='112'!$I$6)),"x",""))</f>
        <v/>
      </c>
      <c r="T1884" s="39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39" t="str">
        <f>IF(OR(TH!L1884=TH!$V$7,M1884=TH!$V$7),"x","")</f>
        <v/>
      </c>
      <c r="W1884" s="39" t="str">
        <f>IF(AND(B1884&gt;='IN-NX'!$P$3,B1884&lt;='IN-NX'!$Q$3,'IN-NX'!$D$7=D1884,OR(LEFT(L1884,2)="15",AND(LEFT(M1884,2)&lt;&gt;"15",LEFT(M1884,2)&lt;&gt;"33"))),"x","")</f>
        <v/>
      </c>
      <c r="X1884" s="39" t="str">
        <f>IF(AND(OR(LEFT(TH!L1884,2)="15",LEFT(TH!M1884,2)="15"),'152-CT'!$J$8=TH!F1884),"x","")</f>
        <v/>
      </c>
      <c r="Y1884" s="39" t="str">
        <f>IF(AND(OR(LEFT(TH!L1884,2)="15",LEFT(TH!M1884,2)="15"),TK!$E$7=TH!F1884),"x","")</f>
        <v/>
      </c>
      <c r="Z1884" s="39" t="str">
        <f>IF(AND(B1884&lt;=NKC!$N$8,B1884&gt;=NKC!$M$8),"x","")</f>
        <v>x</v>
      </c>
      <c r="AA1884" s="886"/>
    </row>
    <row r="1885" spans="1:27" s="211" customFormat="1" ht="15.75" customHeight="1">
      <c r="A1885" s="204" t="str">
        <f>IF(B1885&lt;&gt;"",IF(AND(B1885&gt;=_TM1,B1885&lt;=_TM2,OR(TH!L1885="1111",TH!M1885="1111")),TH!D1885,""),"")</f>
        <v/>
      </c>
      <c r="B1885" s="36">
        <f t="shared" si="258"/>
        <v>8</v>
      </c>
      <c r="C1885" s="191">
        <f t="shared" si="260"/>
        <v>41516</v>
      </c>
      <c r="D1885" s="37"/>
      <c r="E1885" s="191">
        <v>41516</v>
      </c>
      <c r="F1885" s="192" t="s">
        <v>1006</v>
      </c>
      <c r="G1885" s="487" t="s">
        <v>1117</v>
      </c>
      <c r="H1885" s="7" t="s">
        <v>1293</v>
      </c>
      <c r="I1885" s="256"/>
      <c r="J1885" s="256"/>
      <c r="K1885" s="602">
        <f t="shared" si="259"/>
        <v>0</v>
      </c>
      <c r="L1885" s="39" t="s">
        <v>173</v>
      </c>
      <c r="M1885" s="39" t="s">
        <v>167</v>
      </c>
      <c r="N1885" s="39" t="str">
        <f>IF(AND('331-CT'!$E$7=TH!H1885,OR(L1885="331",M1885="331")),"331",IF(AND(OR(L1885="131",M1885="131"),H1885='131-CT'!$E$7),"131",""))</f>
        <v/>
      </c>
      <c r="O1885" s="39" t="str">
        <f>IF(AND($B1885&gt;='111'!$N$11,$B1885&lt;='111'!$O$11,OR($L1885=$O$7,$M1885=$O$7)),"x","")</f>
        <v/>
      </c>
      <c r="P1885" s="39" t="str">
        <f>IF(AND($L1885=$O$7,$B1885&lt;'111'!$N$11),"x","")</f>
        <v/>
      </c>
      <c r="Q1885" s="39" t="str">
        <f>IF(AND($M1885=$O$7,$B1885&lt;'111'!$N$11),"x","")</f>
        <v/>
      </c>
      <c r="R1885" s="39" t="str">
        <f>IF(ISERROR(FIND('112'!$M$9,G1885,1)),"",IF((AND(FIND('112'!$M$9,G1885,1)&gt;=1,$B1885&gt;='112'!$N$8,$B1885&lt;='112'!$O$8,OR($L1885='112'!$I$6,$M1885='112'!$I$6))),"x",""))</f>
        <v/>
      </c>
      <c r="S1885" s="39" t="str">
        <f>IF(ISERROR(FIND('112'!$M$9,G1885,1)),"",IF((AND(LEFT(G1885,2)=LEFT('112'!$M$9,2),B1885&lt;'112'!$N$8,$L1885='112'!$I$6)),"x",""))</f>
        <v/>
      </c>
      <c r="T1885" s="39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39" t="str">
        <f>IF(OR(TH!L1885=TH!$V$7,M1885=TH!$V$7),"x","")</f>
        <v/>
      </c>
      <c r="W1885" s="39" t="str">
        <f>IF(AND(B1885&gt;='IN-NX'!$P$3,B1885&lt;='IN-NX'!$Q$3,'IN-NX'!$D$7=D1885,OR(LEFT(L1885,2)="15",AND(LEFT(M1885,2)&lt;&gt;"15",LEFT(M1885,2)&lt;&gt;"33"))),"x","")</f>
        <v/>
      </c>
      <c r="X1885" s="39" t="str">
        <f>IF(AND(OR(LEFT(TH!L1885,2)="15",LEFT(TH!M1885,2)="15"),'152-CT'!$J$8=TH!F1885),"x","")</f>
        <v/>
      </c>
      <c r="Y1885" s="39" t="str">
        <f>IF(AND(OR(LEFT(TH!L1885,2)="15",LEFT(TH!M1885,2)="15"),TK!$E$7=TH!F1885),"x","")</f>
        <v/>
      </c>
      <c r="Z1885" s="39" t="str">
        <f>IF(AND(B1885&lt;=NKC!$N$8,B1885&gt;=NKC!$M$8),"x","")</f>
        <v>x</v>
      </c>
      <c r="AA1885" s="886"/>
    </row>
    <row r="1886" spans="1:27" s="211" customFormat="1" ht="15.75" customHeight="1">
      <c r="A1886" s="204" t="str">
        <f>IF(B1886&lt;&gt;"",IF(AND(B1886&gt;=_TM1,B1886&lt;=_TM2,OR(TH!L1886="1111",TH!M1886="1111")),TH!D1886,""),"")</f>
        <v/>
      </c>
      <c r="B1886" s="36">
        <f t="shared" si="258"/>
        <v>8</v>
      </c>
      <c r="C1886" s="191">
        <f t="shared" si="260"/>
        <v>41512</v>
      </c>
      <c r="D1886" s="37"/>
      <c r="E1886" s="191">
        <v>41512</v>
      </c>
      <c r="F1886" s="192" t="s">
        <v>940</v>
      </c>
      <c r="G1886" s="487" t="s">
        <v>1118</v>
      </c>
      <c r="H1886" s="7" t="s">
        <v>1293</v>
      </c>
      <c r="I1886" s="256"/>
      <c r="J1886" s="256"/>
      <c r="K1886" s="602">
        <f t="shared" si="259"/>
        <v>0</v>
      </c>
      <c r="L1886" s="39" t="s">
        <v>173</v>
      </c>
      <c r="M1886" s="39" t="s">
        <v>167</v>
      </c>
      <c r="N1886" s="39" t="str">
        <f>IF(AND('331-CT'!$E$7=TH!H1886,OR(L1886="331",M1886="331")),"331",IF(AND(OR(L1886="131",M1886="131"),H1886='131-CT'!$E$7),"131",""))</f>
        <v/>
      </c>
      <c r="O1886" s="39" t="str">
        <f>IF(AND($B1886&gt;='111'!$N$11,$B1886&lt;='111'!$O$11,OR($L1886=$O$7,$M1886=$O$7)),"x","")</f>
        <v/>
      </c>
      <c r="P1886" s="39" t="str">
        <f>IF(AND($L1886=$O$7,$B1886&lt;'111'!$N$11),"x","")</f>
        <v/>
      </c>
      <c r="Q1886" s="39" t="str">
        <f>IF(AND($M1886=$O$7,$B1886&lt;'111'!$N$11),"x","")</f>
        <v/>
      </c>
      <c r="R1886" s="39" t="str">
        <f>IF(ISERROR(FIND('112'!$M$9,G1886,1)),"",IF((AND(FIND('112'!$M$9,G1886,1)&gt;=1,$B1886&gt;='112'!$N$8,$B1886&lt;='112'!$O$8,OR($L1886='112'!$I$6,$M1886='112'!$I$6))),"x",""))</f>
        <v/>
      </c>
      <c r="S1886" s="39" t="str">
        <f>IF(ISERROR(FIND('112'!$M$9,G1886,1)),"",IF((AND(LEFT(G1886,2)=LEFT('112'!$M$9,2),B1886&lt;'112'!$N$8,$L1886='112'!$I$6)),"x",""))</f>
        <v/>
      </c>
      <c r="T1886" s="39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39" t="str">
        <f>IF(OR(TH!L1886=TH!$V$7,M1886=TH!$V$7),"x","")</f>
        <v/>
      </c>
      <c r="W1886" s="39" t="str">
        <f>IF(AND(B1886&gt;='IN-NX'!$P$3,B1886&lt;='IN-NX'!$Q$3,'IN-NX'!$D$7=D1886,OR(LEFT(L1886,2)="15",AND(LEFT(M1886,2)&lt;&gt;"15",LEFT(M1886,2)&lt;&gt;"33"))),"x","")</f>
        <v/>
      </c>
      <c r="X1886" s="39" t="str">
        <f>IF(AND(OR(LEFT(TH!L1886,2)="15",LEFT(TH!M1886,2)="15"),'152-CT'!$J$8=TH!F1886),"x","")</f>
        <v/>
      </c>
      <c r="Y1886" s="39" t="str">
        <f>IF(AND(OR(LEFT(TH!L1886,2)="15",LEFT(TH!M1886,2)="15"),TK!$E$7=TH!F1886),"x","")</f>
        <v/>
      </c>
      <c r="Z1886" s="39" t="str">
        <f>IF(AND(B1886&lt;=NKC!$N$8,B1886&gt;=NKC!$M$8),"x","")</f>
        <v>x</v>
      </c>
      <c r="AA1886" s="886"/>
    </row>
    <row r="1887" spans="1:27" s="211" customFormat="1" ht="15.75" customHeight="1">
      <c r="A1887" s="204" t="str">
        <f>IF(B1887&lt;&gt;"",IF(AND(B1887&gt;=_TM1,B1887&lt;=_TM2,OR(TH!L1887="1111",TH!M1887="1111")),TH!D1887,""),"")</f>
        <v/>
      </c>
      <c r="B1887" s="36">
        <f t="shared" si="258"/>
        <v>8</v>
      </c>
      <c r="C1887" s="191">
        <f t="shared" si="260"/>
        <v>41512</v>
      </c>
      <c r="D1887" s="37"/>
      <c r="E1887" s="191">
        <v>41512</v>
      </c>
      <c r="F1887" s="192" t="s">
        <v>942</v>
      </c>
      <c r="G1887" s="487" t="s">
        <v>1118</v>
      </c>
      <c r="H1887" s="7" t="s">
        <v>1293</v>
      </c>
      <c r="I1887" s="256"/>
      <c r="J1887" s="256"/>
      <c r="K1887" s="602">
        <f t="shared" si="259"/>
        <v>0</v>
      </c>
      <c r="L1887" s="39" t="s">
        <v>173</v>
      </c>
      <c r="M1887" s="39" t="s">
        <v>167</v>
      </c>
      <c r="N1887" s="39" t="str">
        <f>IF(AND('331-CT'!$E$7=TH!H1887,OR(L1887="331",M1887="331")),"331",IF(AND(OR(L1887="131",M1887="131"),H1887='131-CT'!$E$7),"131",""))</f>
        <v/>
      </c>
      <c r="O1887" s="39" t="str">
        <f>IF(AND($B1887&gt;='111'!$N$11,$B1887&lt;='111'!$O$11,OR($L1887=$O$7,$M1887=$O$7)),"x","")</f>
        <v/>
      </c>
      <c r="P1887" s="39" t="str">
        <f>IF(AND($L1887=$O$7,$B1887&lt;'111'!$N$11),"x","")</f>
        <v/>
      </c>
      <c r="Q1887" s="39" t="str">
        <f>IF(AND($M1887=$O$7,$B1887&lt;'111'!$N$11),"x","")</f>
        <v/>
      </c>
      <c r="R1887" s="39" t="str">
        <f>IF(ISERROR(FIND('112'!$M$9,G1887,1)),"",IF((AND(FIND('112'!$M$9,G1887,1)&gt;=1,$B1887&gt;='112'!$N$8,$B1887&lt;='112'!$O$8,OR($L1887='112'!$I$6,$M1887='112'!$I$6))),"x",""))</f>
        <v/>
      </c>
      <c r="S1887" s="39" t="str">
        <f>IF(ISERROR(FIND('112'!$M$9,G1887,1)),"",IF((AND(LEFT(G1887,2)=LEFT('112'!$M$9,2),B1887&lt;'112'!$N$8,$L1887='112'!$I$6)),"x",""))</f>
        <v/>
      </c>
      <c r="T1887" s="39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39" t="str">
        <f>IF(OR(TH!L1887=TH!$V$7,M1887=TH!$V$7),"x","")</f>
        <v/>
      </c>
      <c r="W1887" s="39" t="str">
        <f>IF(AND(B1887&gt;='IN-NX'!$P$3,B1887&lt;='IN-NX'!$Q$3,'IN-NX'!$D$7=D1887,OR(LEFT(L1887,2)="15",AND(LEFT(M1887,2)&lt;&gt;"15",LEFT(M1887,2)&lt;&gt;"33"))),"x","")</f>
        <v/>
      </c>
      <c r="X1887" s="39" t="str">
        <f>IF(AND(OR(LEFT(TH!L1887,2)="15",LEFT(TH!M1887,2)="15"),'152-CT'!$J$8=TH!F1887),"x","")</f>
        <v/>
      </c>
      <c r="Y1887" s="39" t="str">
        <f>IF(AND(OR(LEFT(TH!L1887,2)="15",LEFT(TH!M1887,2)="15"),TK!$E$7=TH!F1887),"x","")</f>
        <v/>
      </c>
      <c r="Z1887" s="39" t="str">
        <f>IF(AND(B1887&lt;=NKC!$N$8,B1887&gt;=NKC!$M$8),"x","")</f>
        <v>x</v>
      </c>
      <c r="AA1887" s="886"/>
    </row>
    <row r="1888" spans="1:27" s="211" customFormat="1" ht="15.75" customHeight="1">
      <c r="A1888" s="204" t="str">
        <f>IF(B1888&lt;&gt;"",IF(AND(B1888&gt;=_TM1,B1888&lt;=_TM2,OR(TH!L1888="1111",TH!M1888="1111")),TH!D1888,""),"")</f>
        <v/>
      </c>
      <c r="B1888" s="36">
        <f t="shared" si="258"/>
        <v>9</v>
      </c>
      <c r="C1888" s="191">
        <f t="shared" si="260"/>
        <v>41522</v>
      </c>
      <c r="D1888" s="37"/>
      <c r="E1888" s="191">
        <v>41522</v>
      </c>
      <c r="F1888" s="192" t="s">
        <v>1150</v>
      </c>
      <c r="G1888" s="487" t="s">
        <v>1119</v>
      </c>
      <c r="H1888" s="7" t="s">
        <v>1293</v>
      </c>
      <c r="I1888" s="256"/>
      <c r="J1888" s="256"/>
      <c r="K1888" s="602">
        <f t="shared" si="259"/>
        <v>0</v>
      </c>
      <c r="L1888" s="39" t="s">
        <v>173</v>
      </c>
      <c r="M1888" s="39" t="s">
        <v>167</v>
      </c>
      <c r="N1888" s="39" t="str">
        <f>IF(AND('331-CT'!$E$7=TH!H1888,OR(L1888="331",M1888="331")),"331",IF(AND(OR(L1888="131",M1888="131"),H1888='131-CT'!$E$7),"131",""))</f>
        <v/>
      </c>
      <c r="O1888" s="39" t="str">
        <f>IF(AND($B1888&gt;='111'!$N$11,$B1888&lt;='111'!$O$11,OR($L1888=$O$7,$M1888=$O$7)),"x","")</f>
        <v/>
      </c>
      <c r="P1888" s="39" t="str">
        <f>IF(AND($L1888=$O$7,$B1888&lt;'111'!$N$11),"x","")</f>
        <v/>
      </c>
      <c r="Q1888" s="39" t="str">
        <f>IF(AND($M1888=$O$7,$B1888&lt;'111'!$N$11),"x","")</f>
        <v/>
      </c>
      <c r="R1888" s="39" t="str">
        <f>IF(ISERROR(FIND('112'!$M$9,G1888,1)),"",IF((AND(FIND('112'!$M$9,G1888,1)&gt;=1,$B1888&gt;='112'!$N$8,$B1888&lt;='112'!$O$8,OR($L1888='112'!$I$6,$M1888='112'!$I$6))),"x",""))</f>
        <v/>
      </c>
      <c r="S1888" s="39" t="str">
        <f>IF(ISERROR(FIND('112'!$M$9,G1888,1)),"",IF((AND(LEFT(G1888,2)=LEFT('112'!$M$9,2),B1888&lt;'112'!$N$8,$L1888='112'!$I$6)),"x",""))</f>
        <v/>
      </c>
      <c r="T1888" s="39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39" t="str">
        <f>IF(OR(TH!L1888=TH!$V$7,M1888=TH!$V$7),"x","")</f>
        <v/>
      </c>
      <c r="W1888" s="39" t="str">
        <f>IF(AND(B1888&gt;='IN-NX'!$P$3,B1888&lt;='IN-NX'!$Q$3,'IN-NX'!$D$7=D1888,OR(LEFT(L1888,2)="15",AND(LEFT(M1888,2)&lt;&gt;"15",LEFT(M1888,2)&lt;&gt;"33"))),"x","")</f>
        <v/>
      </c>
      <c r="X1888" s="39" t="str">
        <f>IF(AND(OR(LEFT(TH!L1888,2)="15",LEFT(TH!M1888,2)="15"),'152-CT'!$J$8=TH!F1888),"x","")</f>
        <v/>
      </c>
      <c r="Y1888" s="39" t="str">
        <f>IF(AND(OR(LEFT(TH!L1888,2)="15",LEFT(TH!M1888,2)="15"),TK!$E$7=TH!F1888),"x","")</f>
        <v/>
      </c>
      <c r="Z1888" s="39" t="str">
        <f>IF(AND(B1888&lt;=NKC!$N$8,B1888&gt;=NKC!$M$8),"x","")</f>
        <v>x</v>
      </c>
      <c r="AA1888" s="886"/>
    </row>
    <row r="1889" spans="1:27" s="211" customFormat="1" ht="15.75" customHeight="1">
      <c r="A1889" s="204" t="str">
        <f>IF(B1889&lt;&gt;"",IF(AND(B1889&gt;=_TM1,B1889&lt;=_TM2,OR(TH!L1889="1111",TH!M1889="1111")),TH!D1889,""),"")</f>
        <v/>
      </c>
      <c r="B1889" s="36">
        <f t="shared" ref="B1889:B1952" si="261">IF(C1889&lt;&gt;"",MONTH(C1889),"")</f>
        <v>9</v>
      </c>
      <c r="C1889" s="191">
        <f t="shared" si="260"/>
        <v>41523</v>
      </c>
      <c r="D1889" s="37"/>
      <c r="E1889" s="191">
        <v>41523</v>
      </c>
      <c r="F1889" s="192" t="s">
        <v>1121</v>
      </c>
      <c r="G1889" s="487" t="s">
        <v>1120</v>
      </c>
      <c r="H1889" s="7" t="s">
        <v>1293</v>
      </c>
      <c r="I1889" s="256"/>
      <c r="J1889" s="256"/>
      <c r="K1889" s="602">
        <f t="shared" si="259"/>
        <v>0</v>
      </c>
      <c r="L1889" s="39" t="s">
        <v>173</v>
      </c>
      <c r="M1889" s="39" t="s">
        <v>167</v>
      </c>
      <c r="N1889" s="39" t="str">
        <f>IF(AND('331-CT'!$E$7=TH!H1889,OR(L1889="331",M1889="331")),"331",IF(AND(OR(L1889="131",M1889="131"),H1889='131-CT'!$E$7),"131",""))</f>
        <v/>
      </c>
      <c r="O1889" s="39" t="str">
        <f>IF(AND($B1889&gt;='111'!$N$11,$B1889&lt;='111'!$O$11,OR($L1889=$O$7,$M1889=$O$7)),"x","")</f>
        <v/>
      </c>
      <c r="P1889" s="39" t="str">
        <f>IF(AND($L1889=$O$7,$B1889&lt;'111'!$N$11),"x","")</f>
        <v/>
      </c>
      <c r="Q1889" s="39" t="str">
        <f>IF(AND($M1889=$O$7,$B1889&lt;'111'!$N$11),"x","")</f>
        <v/>
      </c>
      <c r="R1889" s="39" t="str">
        <f>IF(ISERROR(FIND('112'!$M$9,G1889,1)),"",IF((AND(FIND('112'!$M$9,G1889,1)&gt;=1,$B1889&gt;='112'!$N$8,$B1889&lt;='112'!$O$8,OR($L1889='112'!$I$6,$M1889='112'!$I$6))),"x",""))</f>
        <v/>
      </c>
      <c r="S1889" s="39" t="str">
        <f>IF(ISERROR(FIND('112'!$M$9,G1889,1)),"",IF((AND(LEFT(G1889,2)=LEFT('112'!$M$9,2),B1889&lt;'112'!$N$8,$L1889='112'!$I$6)),"x",""))</f>
        <v/>
      </c>
      <c r="T1889" s="39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39" t="str">
        <f>IF(OR(TH!L1889=TH!$V$7,M1889=TH!$V$7),"x","")</f>
        <v/>
      </c>
      <c r="W1889" s="39" t="str">
        <f>IF(AND(B1889&gt;='IN-NX'!$P$3,B1889&lt;='IN-NX'!$Q$3,'IN-NX'!$D$7=D1889,OR(LEFT(L1889,2)="15",AND(LEFT(M1889,2)&lt;&gt;"15",LEFT(M1889,2)&lt;&gt;"33"))),"x","")</f>
        <v/>
      </c>
      <c r="X1889" s="39" t="str">
        <f>IF(AND(OR(LEFT(TH!L1889,2)="15",LEFT(TH!M1889,2)="15"),'152-CT'!$J$8=TH!F1889),"x","")</f>
        <v/>
      </c>
      <c r="Y1889" s="39" t="str">
        <f>IF(AND(OR(LEFT(TH!L1889,2)="15",LEFT(TH!M1889,2)="15"),TK!$E$7=TH!F1889),"x","")</f>
        <v/>
      </c>
      <c r="Z1889" s="39" t="str">
        <f>IF(AND(B1889&lt;=NKC!$N$8,B1889&gt;=NKC!$M$8),"x","")</f>
        <v>x</v>
      </c>
      <c r="AA1889" s="886"/>
    </row>
    <row r="1890" spans="1:27" s="211" customFormat="1" ht="15.75" customHeight="1">
      <c r="A1890" s="204" t="str">
        <f>IF(B1890&lt;&gt;"",IF(AND(B1890&gt;=_TM1,B1890&lt;=_TM2,OR(TH!L1890="1111",TH!M1890="1111")),TH!D1890,""),"")</f>
        <v/>
      </c>
      <c r="B1890" s="36">
        <f t="shared" si="261"/>
        <v>9</v>
      </c>
      <c r="C1890" s="191">
        <f t="shared" si="260"/>
        <v>41523</v>
      </c>
      <c r="D1890" s="37"/>
      <c r="E1890" s="191">
        <v>41523</v>
      </c>
      <c r="F1890" s="192" t="s">
        <v>1122</v>
      </c>
      <c r="G1890" s="487" t="s">
        <v>1120</v>
      </c>
      <c r="H1890" s="7" t="s">
        <v>1293</v>
      </c>
      <c r="I1890" s="256"/>
      <c r="J1890" s="256"/>
      <c r="K1890" s="602">
        <f t="shared" si="259"/>
        <v>0</v>
      </c>
      <c r="L1890" s="39" t="s">
        <v>173</v>
      </c>
      <c r="M1890" s="39" t="s">
        <v>167</v>
      </c>
      <c r="N1890" s="39" t="str">
        <f>IF(AND('331-CT'!$E$7=TH!H1890,OR(L1890="331",M1890="331")),"331",IF(AND(OR(L1890="131",M1890="131"),H1890='131-CT'!$E$7),"131",""))</f>
        <v/>
      </c>
      <c r="O1890" s="39" t="str">
        <f>IF(AND($B1890&gt;='111'!$N$11,$B1890&lt;='111'!$O$11,OR($L1890=$O$7,$M1890=$O$7)),"x","")</f>
        <v/>
      </c>
      <c r="P1890" s="39" t="str">
        <f>IF(AND($L1890=$O$7,$B1890&lt;'111'!$N$11),"x","")</f>
        <v/>
      </c>
      <c r="Q1890" s="39" t="str">
        <f>IF(AND($M1890=$O$7,$B1890&lt;'111'!$N$11),"x","")</f>
        <v/>
      </c>
      <c r="R1890" s="39" t="str">
        <f>IF(ISERROR(FIND('112'!$M$9,G1890,1)),"",IF((AND(FIND('112'!$M$9,G1890,1)&gt;=1,$B1890&gt;='112'!$N$8,$B1890&lt;='112'!$O$8,OR($L1890='112'!$I$6,$M1890='112'!$I$6))),"x",""))</f>
        <v/>
      </c>
      <c r="S1890" s="39" t="str">
        <f>IF(ISERROR(FIND('112'!$M$9,G1890,1)),"",IF((AND(LEFT(G1890,2)=LEFT('112'!$M$9,2),B1890&lt;'112'!$N$8,$L1890='112'!$I$6)),"x",""))</f>
        <v/>
      </c>
      <c r="T1890" s="39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39" t="str">
        <f>IF(OR(TH!L1890=TH!$V$7,M1890=TH!$V$7),"x","")</f>
        <v/>
      </c>
      <c r="W1890" s="39" t="str">
        <f>IF(AND(B1890&gt;='IN-NX'!$P$3,B1890&lt;='IN-NX'!$Q$3,'IN-NX'!$D$7=D1890,OR(LEFT(L1890,2)="15",AND(LEFT(M1890,2)&lt;&gt;"15",LEFT(M1890,2)&lt;&gt;"33"))),"x","")</f>
        <v/>
      </c>
      <c r="X1890" s="39" t="str">
        <f>IF(AND(OR(LEFT(TH!L1890,2)="15",LEFT(TH!M1890,2)="15"),'152-CT'!$J$8=TH!F1890),"x","")</f>
        <v/>
      </c>
      <c r="Y1890" s="39" t="str">
        <f>IF(AND(OR(LEFT(TH!L1890,2)="15",LEFT(TH!M1890,2)="15"),TK!$E$7=TH!F1890),"x","")</f>
        <v/>
      </c>
      <c r="Z1890" s="39" t="str">
        <f>IF(AND(B1890&lt;=NKC!$N$8,B1890&gt;=NKC!$M$8),"x","")</f>
        <v>x</v>
      </c>
      <c r="AA1890" s="886"/>
    </row>
    <row r="1891" spans="1:27" s="211" customFormat="1" ht="15.75" customHeight="1">
      <c r="A1891" s="204" t="str">
        <f>IF(B1891&lt;&gt;"",IF(AND(B1891&gt;=_TM1,B1891&lt;=_TM2,OR(TH!L1891="1111",TH!M1891="1111")),TH!D1891,""),"")</f>
        <v/>
      </c>
      <c r="B1891" s="36">
        <f t="shared" si="261"/>
        <v>9</v>
      </c>
      <c r="C1891" s="191">
        <f t="shared" si="260"/>
        <v>41526</v>
      </c>
      <c r="D1891" s="37"/>
      <c r="E1891" s="37">
        <v>41526</v>
      </c>
      <c r="F1891" s="40" t="s">
        <v>1137</v>
      </c>
      <c r="G1891" s="40" t="s">
        <v>1123</v>
      </c>
      <c r="H1891" s="7" t="s">
        <v>1293</v>
      </c>
      <c r="I1891" s="256"/>
      <c r="J1891" s="256"/>
      <c r="K1891" s="602">
        <f t="shared" si="259"/>
        <v>0</v>
      </c>
      <c r="L1891" s="39" t="s">
        <v>173</v>
      </c>
      <c r="M1891" s="39" t="s">
        <v>167</v>
      </c>
      <c r="N1891" s="39" t="str">
        <f>IF(AND('331-CT'!$E$7=TH!H1891,OR(L1891="331",M1891="331")),"331",IF(AND(OR(L1891="131",M1891="131"),H1891='131-CT'!$E$7),"131",""))</f>
        <v/>
      </c>
      <c r="O1891" s="39" t="str">
        <f>IF(AND($B1891&gt;='111'!$N$11,$B1891&lt;='111'!$O$11,OR($L1891=$O$7,$M1891=$O$7)),"x","")</f>
        <v/>
      </c>
      <c r="P1891" s="39" t="str">
        <f>IF(AND($L1891=$O$7,$B1891&lt;'111'!$N$11),"x","")</f>
        <v/>
      </c>
      <c r="Q1891" s="39" t="str">
        <f>IF(AND($M1891=$O$7,$B1891&lt;'111'!$N$11),"x","")</f>
        <v/>
      </c>
      <c r="R1891" s="39" t="str">
        <f>IF(ISERROR(FIND('112'!$M$9,G1891,1)),"",IF((AND(FIND('112'!$M$9,G1891,1)&gt;=1,$B1891&gt;='112'!$N$8,$B1891&lt;='112'!$O$8,OR($L1891='112'!$I$6,$M1891='112'!$I$6))),"x",""))</f>
        <v/>
      </c>
      <c r="S1891" s="39" t="str">
        <f>IF(ISERROR(FIND('112'!$M$9,G1891,1)),"",IF((AND(LEFT(G1891,2)=LEFT('112'!$M$9,2),B1891&lt;'112'!$N$8,$L1891='112'!$I$6)),"x",""))</f>
        <v/>
      </c>
      <c r="T1891" s="39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39" t="str">
        <f>IF(OR(TH!L1891=TH!$V$7,M1891=TH!$V$7),"x","")</f>
        <v/>
      </c>
      <c r="W1891" s="39" t="str">
        <f>IF(AND(B1891&gt;='IN-NX'!$P$3,B1891&lt;='IN-NX'!$Q$3,'IN-NX'!$D$7=D1891,OR(LEFT(L1891,2)="15",AND(LEFT(M1891,2)&lt;&gt;"15",LEFT(M1891,2)&lt;&gt;"33"))),"x","")</f>
        <v/>
      </c>
      <c r="X1891" s="39" t="str">
        <f>IF(AND(OR(LEFT(TH!L1891,2)="15",LEFT(TH!M1891,2)="15"),'152-CT'!$J$8=TH!F1891),"x","")</f>
        <v/>
      </c>
      <c r="Y1891" s="39" t="str">
        <f>IF(AND(OR(LEFT(TH!L1891,2)="15",LEFT(TH!M1891,2)="15"),TK!$E$7=TH!F1891),"x","")</f>
        <v/>
      </c>
      <c r="Z1891" s="39" t="str">
        <f>IF(AND(B1891&lt;=NKC!$N$8,B1891&gt;=NKC!$M$8),"x","")</f>
        <v>x</v>
      </c>
      <c r="AA1891" s="886"/>
    </row>
    <row r="1892" spans="1:27" s="211" customFormat="1" ht="15.75" customHeight="1">
      <c r="A1892" s="204" t="str">
        <f>IF(B1892&lt;&gt;"",IF(AND(B1892&gt;=_TM1,B1892&lt;=_TM2,OR(TH!L1892="1111",TH!M1892="1111")),TH!D1892,""),"")</f>
        <v/>
      </c>
      <c r="B1892" s="36">
        <f t="shared" si="261"/>
        <v>9</v>
      </c>
      <c r="C1892" s="191">
        <f t="shared" si="260"/>
        <v>41526</v>
      </c>
      <c r="D1892" s="37"/>
      <c r="E1892" s="37">
        <v>41526</v>
      </c>
      <c r="F1892" s="40" t="s">
        <v>867</v>
      </c>
      <c r="G1892" s="40" t="s">
        <v>1124</v>
      </c>
      <c r="H1892" s="7" t="s">
        <v>1293</v>
      </c>
      <c r="I1892" s="256"/>
      <c r="J1892" s="256"/>
      <c r="K1892" s="602">
        <f t="shared" si="259"/>
        <v>0</v>
      </c>
      <c r="L1892" s="39" t="s">
        <v>173</v>
      </c>
      <c r="M1892" s="39" t="s">
        <v>167</v>
      </c>
      <c r="N1892" s="39" t="str">
        <f>IF(AND('331-CT'!$E$7=TH!H1892,OR(L1892="331",M1892="331")),"331",IF(AND(OR(L1892="131",M1892="131"),H1892='131-CT'!$E$7),"131",""))</f>
        <v/>
      </c>
      <c r="O1892" s="39" t="str">
        <f>IF(AND($B1892&gt;='111'!$N$11,$B1892&lt;='111'!$O$11,OR($L1892=$O$7,$M1892=$O$7)),"x","")</f>
        <v/>
      </c>
      <c r="P1892" s="39" t="str">
        <f>IF(AND($L1892=$O$7,$B1892&lt;'111'!$N$11),"x","")</f>
        <v/>
      </c>
      <c r="Q1892" s="39" t="str">
        <f>IF(AND($M1892=$O$7,$B1892&lt;'111'!$N$11),"x","")</f>
        <v/>
      </c>
      <c r="R1892" s="39" t="str">
        <f>IF(ISERROR(FIND('112'!$M$9,G1892,1)),"",IF((AND(FIND('112'!$M$9,G1892,1)&gt;=1,$B1892&gt;='112'!$N$8,$B1892&lt;='112'!$O$8,OR($L1892='112'!$I$6,$M1892='112'!$I$6))),"x",""))</f>
        <v/>
      </c>
      <c r="S1892" s="39" t="str">
        <f>IF(ISERROR(FIND('112'!$M$9,G1892,1)),"",IF((AND(LEFT(G1892,2)=LEFT('112'!$M$9,2),B1892&lt;'112'!$N$8,$L1892='112'!$I$6)),"x",""))</f>
        <v/>
      </c>
      <c r="T1892" s="39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39" t="str">
        <f>IF(OR(TH!L1892=TH!$V$7,M1892=TH!$V$7),"x","")</f>
        <v/>
      </c>
      <c r="W1892" s="39" t="str">
        <f>IF(AND(B1892&gt;='IN-NX'!$P$3,B1892&lt;='IN-NX'!$Q$3,'IN-NX'!$D$7=D1892,OR(LEFT(L1892,2)="15",AND(LEFT(M1892,2)&lt;&gt;"15",LEFT(M1892,2)&lt;&gt;"33"))),"x","")</f>
        <v/>
      </c>
      <c r="X1892" s="39" t="str">
        <f>IF(AND(OR(LEFT(TH!L1892,2)="15",LEFT(TH!M1892,2)="15"),'152-CT'!$J$8=TH!F1892),"x","")</f>
        <v/>
      </c>
      <c r="Y1892" s="39" t="str">
        <f>IF(AND(OR(LEFT(TH!L1892,2)="15",LEFT(TH!M1892,2)="15"),TK!$E$7=TH!F1892),"x","")</f>
        <v/>
      </c>
      <c r="Z1892" s="39" t="str">
        <f>IF(AND(B1892&lt;=NKC!$N$8,B1892&gt;=NKC!$M$8),"x","")</f>
        <v>x</v>
      </c>
      <c r="AA1892" s="886"/>
    </row>
    <row r="1893" spans="1:27" s="211" customFormat="1" ht="15.75" customHeight="1">
      <c r="A1893" s="204" t="str">
        <f>IF(B1893&lt;&gt;"",IF(AND(B1893&gt;=_TM1,B1893&lt;=_TM2,OR(TH!L1893="1111",TH!M1893="1111")),TH!D1893,""),"")</f>
        <v/>
      </c>
      <c r="B1893" s="36">
        <f t="shared" si="261"/>
        <v>9</v>
      </c>
      <c r="C1893" s="191">
        <f t="shared" si="260"/>
        <v>41526</v>
      </c>
      <c r="D1893" s="37"/>
      <c r="E1893" s="37">
        <v>41526</v>
      </c>
      <c r="F1893" s="40" t="s">
        <v>940</v>
      </c>
      <c r="G1893" s="40" t="s">
        <v>1125</v>
      </c>
      <c r="H1893" s="7" t="s">
        <v>1293</v>
      </c>
      <c r="I1893" s="256"/>
      <c r="J1893" s="256"/>
      <c r="K1893" s="602">
        <f t="shared" ref="K1893:K1956" si="262">ROUND(I1893*J1893,0)</f>
        <v>0</v>
      </c>
      <c r="L1893" s="39" t="s">
        <v>173</v>
      </c>
      <c r="M1893" s="39" t="s">
        <v>167</v>
      </c>
      <c r="N1893" s="39" t="str">
        <f>IF(AND('331-CT'!$E$7=TH!H1893,OR(L1893="331",M1893="331")),"331",IF(AND(OR(L1893="131",M1893="131"),H1893='131-CT'!$E$7),"131",""))</f>
        <v/>
      </c>
      <c r="O1893" s="39" t="str">
        <f>IF(AND($B1893&gt;='111'!$N$11,$B1893&lt;='111'!$O$11,OR($L1893=$O$7,$M1893=$O$7)),"x","")</f>
        <v/>
      </c>
      <c r="P1893" s="39" t="str">
        <f>IF(AND($L1893=$O$7,$B1893&lt;'111'!$N$11),"x","")</f>
        <v/>
      </c>
      <c r="Q1893" s="39" t="str">
        <f>IF(AND($M1893=$O$7,$B1893&lt;'111'!$N$11),"x","")</f>
        <v/>
      </c>
      <c r="R1893" s="39" t="str">
        <f>IF(ISERROR(FIND('112'!$M$9,G1893,1)),"",IF((AND(FIND('112'!$M$9,G1893,1)&gt;=1,$B1893&gt;='112'!$N$8,$B1893&lt;='112'!$O$8,OR($L1893='112'!$I$6,$M1893='112'!$I$6))),"x",""))</f>
        <v/>
      </c>
      <c r="S1893" s="39" t="str">
        <f>IF(ISERROR(FIND('112'!$M$9,G1893,1)),"",IF((AND(LEFT(G1893,2)=LEFT('112'!$M$9,2),B1893&lt;'112'!$N$8,$L1893='112'!$I$6)),"x",""))</f>
        <v/>
      </c>
      <c r="T1893" s="39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39" t="str">
        <f>IF(OR(TH!L1893=TH!$V$7,M1893=TH!$V$7),"x","")</f>
        <v/>
      </c>
      <c r="W1893" s="39" t="str">
        <f>IF(AND(B1893&gt;='IN-NX'!$P$3,B1893&lt;='IN-NX'!$Q$3,'IN-NX'!$D$7=D1893,OR(LEFT(L1893,2)="15",AND(LEFT(M1893,2)&lt;&gt;"15",LEFT(M1893,2)&lt;&gt;"33"))),"x","")</f>
        <v/>
      </c>
      <c r="X1893" s="39" t="str">
        <f>IF(AND(OR(LEFT(TH!L1893,2)="15",LEFT(TH!M1893,2)="15"),'152-CT'!$J$8=TH!F1893),"x","")</f>
        <v/>
      </c>
      <c r="Y1893" s="39" t="str">
        <f>IF(AND(OR(LEFT(TH!L1893,2)="15",LEFT(TH!M1893,2)="15"),TK!$E$7=TH!F1893),"x","")</f>
        <v/>
      </c>
      <c r="Z1893" s="39" t="str">
        <f>IF(AND(B1893&lt;=NKC!$N$8,B1893&gt;=NKC!$M$8),"x","")</f>
        <v>x</v>
      </c>
      <c r="AA1893" s="886"/>
    </row>
    <row r="1894" spans="1:27" s="211" customFormat="1" ht="15.75" customHeight="1">
      <c r="A1894" s="204" t="str">
        <f>IF(B1894&lt;&gt;"",IF(AND(B1894&gt;=_TM1,B1894&lt;=_TM2,OR(TH!L1894="1111",TH!M1894="1111")),TH!D1894,""),"")</f>
        <v/>
      </c>
      <c r="B1894" s="36">
        <f t="shared" si="261"/>
        <v>9</v>
      </c>
      <c r="C1894" s="191">
        <f t="shared" si="260"/>
        <v>41526</v>
      </c>
      <c r="D1894" s="37"/>
      <c r="E1894" s="37">
        <v>41526</v>
      </c>
      <c r="F1894" s="40" t="s">
        <v>942</v>
      </c>
      <c r="G1894" s="40" t="s">
        <v>1125</v>
      </c>
      <c r="H1894" s="7" t="s">
        <v>1293</v>
      </c>
      <c r="I1894" s="256"/>
      <c r="J1894" s="256"/>
      <c r="K1894" s="602">
        <f t="shared" si="262"/>
        <v>0</v>
      </c>
      <c r="L1894" s="39" t="s">
        <v>173</v>
      </c>
      <c r="M1894" s="39" t="s">
        <v>167</v>
      </c>
      <c r="N1894" s="39" t="str">
        <f>IF(AND('331-CT'!$E$7=TH!H1894,OR(L1894="331",M1894="331")),"331",IF(AND(OR(L1894="131",M1894="131"),H1894='131-CT'!$E$7),"131",""))</f>
        <v/>
      </c>
      <c r="O1894" s="39" t="str">
        <f>IF(AND($B1894&gt;='111'!$N$11,$B1894&lt;='111'!$O$11,OR($L1894=$O$7,$M1894=$O$7)),"x","")</f>
        <v/>
      </c>
      <c r="P1894" s="39" t="str">
        <f>IF(AND($L1894=$O$7,$B1894&lt;'111'!$N$11),"x","")</f>
        <v/>
      </c>
      <c r="Q1894" s="39" t="str">
        <f>IF(AND($M1894=$O$7,$B1894&lt;'111'!$N$11),"x","")</f>
        <v/>
      </c>
      <c r="R1894" s="39" t="str">
        <f>IF(ISERROR(FIND('112'!$M$9,G1894,1)),"",IF((AND(FIND('112'!$M$9,G1894,1)&gt;=1,$B1894&gt;='112'!$N$8,$B1894&lt;='112'!$O$8,OR($L1894='112'!$I$6,$M1894='112'!$I$6))),"x",""))</f>
        <v/>
      </c>
      <c r="S1894" s="39" t="str">
        <f>IF(ISERROR(FIND('112'!$M$9,G1894,1)),"",IF((AND(LEFT(G1894,2)=LEFT('112'!$M$9,2),B1894&lt;'112'!$N$8,$L1894='112'!$I$6)),"x",""))</f>
        <v/>
      </c>
      <c r="T1894" s="39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39" t="str">
        <f>IF(OR(TH!L1894=TH!$V$7,M1894=TH!$V$7),"x","")</f>
        <v/>
      </c>
      <c r="W1894" s="39" t="str">
        <f>IF(AND(B1894&gt;='IN-NX'!$P$3,B1894&lt;='IN-NX'!$Q$3,'IN-NX'!$D$7=D1894,OR(LEFT(L1894,2)="15",AND(LEFT(M1894,2)&lt;&gt;"15",LEFT(M1894,2)&lt;&gt;"33"))),"x","")</f>
        <v/>
      </c>
      <c r="X1894" s="39" t="str">
        <f>IF(AND(OR(LEFT(TH!L1894,2)="15",LEFT(TH!M1894,2)="15"),'152-CT'!$J$8=TH!F1894),"x","")</f>
        <v/>
      </c>
      <c r="Y1894" s="39" t="str">
        <f>IF(AND(OR(LEFT(TH!L1894,2)="15",LEFT(TH!M1894,2)="15"),TK!$E$7=TH!F1894),"x","")</f>
        <v/>
      </c>
      <c r="Z1894" s="39" t="str">
        <f>IF(AND(B1894&lt;=NKC!$N$8,B1894&gt;=NKC!$M$8),"x","")</f>
        <v>x</v>
      </c>
      <c r="AA1894" s="886"/>
    </row>
    <row r="1895" spans="1:27" s="211" customFormat="1" ht="15.75" customHeight="1">
      <c r="A1895" s="204" t="str">
        <f>IF(B1895&lt;&gt;"",IF(AND(B1895&gt;=_TM1,B1895&lt;=_TM2,OR(TH!L1895="1111",TH!M1895="1111")),TH!D1895,""),"")</f>
        <v/>
      </c>
      <c r="B1895" s="36">
        <f t="shared" si="261"/>
        <v>9</v>
      </c>
      <c r="C1895" s="191">
        <f t="shared" si="260"/>
        <v>41526</v>
      </c>
      <c r="D1895" s="37"/>
      <c r="E1895" s="37">
        <v>41526</v>
      </c>
      <c r="F1895" s="40" t="s">
        <v>1150</v>
      </c>
      <c r="G1895" s="40" t="s">
        <v>924</v>
      </c>
      <c r="H1895" s="7" t="s">
        <v>1293</v>
      </c>
      <c r="I1895" s="256"/>
      <c r="J1895" s="256"/>
      <c r="K1895" s="602">
        <f t="shared" si="262"/>
        <v>0</v>
      </c>
      <c r="L1895" s="39" t="s">
        <v>173</v>
      </c>
      <c r="M1895" s="39" t="s">
        <v>167</v>
      </c>
      <c r="N1895" s="39" t="str">
        <f>IF(AND('331-CT'!$E$7=TH!H1895,OR(L1895="331",M1895="331")),"331",IF(AND(OR(L1895="131",M1895="131"),H1895='131-CT'!$E$7),"131",""))</f>
        <v/>
      </c>
      <c r="O1895" s="39" t="str">
        <f>IF(AND($B1895&gt;='111'!$N$11,$B1895&lt;='111'!$O$11,OR($L1895=$O$7,$M1895=$O$7)),"x","")</f>
        <v/>
      </c>
      <c r="P1895" s="39" t="str">
        <f>IF(AND($L1895=$O$7,$B1895&lt;'111'!$N$11),"x","")</f>
        <v/>
      </c>
      <c r="Q1895" s="39" t="str">
        <f>IF(AND($M1895=$O$7,$B1895&lt;'111'!$N$11),"x","")</f>
        <v/>
      </c>
      <c r="R1895" s="39" t="str">
        <f>IF(ISERROR(FIND('112'!$M$9,G1895,1)),"",IF((AND(FIND('112'!$M$9,G1895,1)&gt;=1,$B1895&gt;='112'!$N$8,$B1895&lt;='112'!$O$8,OR($L1895='112'!$I$6,$M1895='112'!$I$6))),"x",""))</f>
        <v/>
      </c>
      <c r="S1895" s="39" t="str">
        <f>IF(ISERROR(FIND('112'!$M$9,G1895,1)),"",IF((AND(LEFT(G1895,2)=LEFT('112'!$M$9,2),B1895&lt;'112'!$N$8,$L1895='112'!$I$6)),"x",""))</f>
        <v/>
      </c>
      <c r="T1895" s="39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39" t="str">
        <f>IF(OR(TH!L1895=TH!$V$7,M1895=TH!$V$7),"x","")</f>
        <v/>
      </c>
      <c r="W1895" s="39" t="str">
        <f>IF(AND(B1895&gt;='IN-NX'!$P$3,B1895&lt;='IN-NX'!$Q$3,'IN-NX'!$D$7=D1895,OR(LEFT(L1895,2)="15",AND(LEFT(M1895,2)&lt;&gt;"15",LEFT(M1895,2)&lt;&gt;"33"))),"x","")</f>
        <v/>
      </c>
      <c r="X1895" s="39" t="str">
        <f>IF(AND(OR(LEFT(TH!L1895,2)="15",LEFT(TH!M1895,2)="15"),'152-CT'!$J$8=TH!F1895),"x","")</f>
        <v/>
      </c>
      <c r="Y1895" s="39" t="str">
        <f>IF(AND(OR(LEFT(TH!L1895,2)="15",LEFT(TH!M1895,2)="15"),TK!$E$7=TH!F1895),"x","")</f>
        <v/>
      </c>
      <c r="Z1895" s="39" t="str">
        <f>IF(AND(B1895&lt;=NKC!$N$8,B1895&gt;=NKC!$M$8),"x","")</f>
        <v>x</v>
      </c>
      <c r="AA1895" s="886"/>
    </row>
    <row r="1896" spans="1:27" s="211" customFormat="1" ht="15.75" customHeight="1">
      <c r="A1896" s="204" t="str">
        <f>IF(B1896&lt;&gt;"",IF(AND(B1896&gt;=_TM1,B1896&lt;=_TM2,OR(TH!L1896="1111",TH!M1896="1111")),TH!D1896,""),"")</f>
        <v/>
      </c>
      <c r="B1896" s="36">
        <f t="shared" si="261"/>
        <v>9</v>
      </c>
      <c r="C1896" s="191">
        <f t="shared" si="260"/>
        <v>41528</v>
      </c>
      <c r="D1896" s="37"/>
      <c r="E1896" s="37">
        <v>41528</v>
      </c>
      <c r="F1896" s="40" t="s">
        <v>925</v>
      </c>
      <c r="G1896" s="40" t="s">
        <v>926</v>
      </c>
      <c r="H1896" s="7" t="s">
        <v>1293</v>
      </c>
      <c r="I1896" s="256"/>
      <c r="J1896" s="256"/>
      <c r="K1896" s="602">
        <f t="shared" si="262"/>
        <v>0</v>
      </c>
      <c r="L1896" s="39" t="s">
        <v>173</v>
      </c>
      <c r="M1896" s="39" t="s">
        <v>167</v>
      </c>
      <c r="N1896" s="39" t="str">
        <f>IF(AND('331-CT'!$E$7=TH!H1896,OR(L1896="331",M1896="331")),"331",IF(AND(OR(L1896="131",M1896="131"),H1896='131-CT'!$E$7),"131",""))</f>
        <v/>
      </c>
      <c r="O1896" s="39" t="str">
        <f>IF(AND($B1896&gt;='111'!$N$11,$B1896&lt;='111'!$O$11,OR($L1896=$O$7,$M1896=$O$7)),"x","")</f>
        <v/>
      </c>
      <c r="P1896" s="39" t="str">
        <f>IF(AND($L1896=$O$7,$B1896&lt;'111'!$N$11),"x","")</f>
        <v/>
      </c>
      <c r="Q1896" s="39" t="str">
        <f>IF(AND($M1896=$O$7,$B1896&lt;'111'!$N$11),"x","")</f>
        <v/>
      </c>
      <c r="R1896" s="39" t="str">
        <f>IF(ISERROR(FIND('112'!$M$9,G1896,1)),"",IF((AND(FIND('112'!$M$9,G1896,1)&gt;=1,$B1896&gt;='112'!$N$8,$B1896&lt;='112'!$O$8,OR($L1896='112'!$I$6,$M1896='112'!$I$6))),"x",""))</f>
        <v/>
      </c>
      <c r="S1896" s="39" t="str">
        <f>IF(ISERROR(FIND('112'!$M$9,G1896,1)),"",IF((AND(LEFT(G1896,2)=LEFT('112'!$M$9,2),B1896&lt;'112'!$N$8,$L1896='112'!$I$6)),"x",""))</f>
        <v/>
      </c>
      <c r="T1896" s="39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39" t="str">
        <f>IF(OR(TH!L1896=TH!$V$7,M1896=TH!$V$7),"x","")</f>
        <v/>
      </c>
      <c r="W1896" s="39" t="str">
        <f>IF(AND(B1896&gt;='IN-NX'!$P$3,B1896&lt;='IN-NX'!$Q$3,'IN-NX'!$D$7=D1896,OR(LEFT(L1896,2)="15",AND(LEFT(M1896,2)&lt;&gt;"15",LEFT(M1896,2)&lt;&gt;"33"))),"x","")</f>
        <v/>
      </c>
      <c r="X1896" s="39" t="str">
        <f>IF(AND(OR(LEFT(TH!L1896,2)="15",LEFT(TH!M1896,2)="15"),'152-CT'!$J$8=TH!F1896),"x","")</f>
        <v/>
      </c>
      <c r="Y1896" s="39" t="str">
        <f>IF(AND(OR(LEFT(TH!L1896,2)="15",LEFT(TH!M1896,2)="15"),TK!$E$7=TH!F1896),"x","")</f>
        <v/>
      </c>
      <c r="Z1896" s="39" t="str">
        <f>IF(AND(B1896&lt;=NKC!$N$8,B1896&gt;=NKC!$M$8),"x","")</f>
        <v>x</v>
      </c>
      <c r="AA1896" s="886"/>
    </row>
    <row r="1897" spans="1:27" s="211" customFormat="1" ht="15.75" customHeight="1">
      <c r="A1897" s="204" t="str">
        <f>IF(B1897&lt;&gt;"",IF(AND(B1897&gt;=_TM1,B1897&lt;=_TM2,OR(TH!L1897="1111",TH!M1897="1111")),TH!D1897,""),"")</f>
        <v/>
      </c>
      <c r="B1897" s="36">
        <f t="shared" si="261"/>
        <v>9</v>
      </c>
      <c r="C1897" s="191">
        <f t="shared" si="260"/>
        <v>41528</v>
      </c>
      <c r="D1897" s="37"/>
      <c r="E1897" s="37">
        <v>41528</v>
      </c>
      <c r="F1897" s="40" t="s">
        <v>928</v>
      </c>
      <c r="G1897" s="40" t="s">
        <v>926</v>
      </c>
      <c r="H1897" s="7" t="s">
        <v>1293</v>
      </c>
      <c r="I1897" s="256"/>
      <c r="J1897" s="256"/>
      <c r="K1897" s="602">
        <f t="shared" si="262"/>
        <v>0</v>
      </c>
      <c r="L1897" s="39" t="s">
        <v>173</v>
      </c>
      <c r="M1897" s="39" t="s">
        <v>167</v>
      </c>
      <c r="N1897" s="39" t="str">
        <f>IF(AND('331-CT'!$E$7=TH!H1897,OR(L1897="331",M1897="331")),"331",IF(AND(OR(L1897="131",M1897="131"),H1897='131-CT'!$E$7),"131",""))</f>
        <v/>
      </c>
      <c r="O1897" s="39" t="str">
        <f>IF(AND($B1897&gt;='111'!$N$11,$B1897&lt;='111'!$O$11,OR($L1897=$O$7,$M1897=$O$7)),"x","")</f>
        <v/>
      </c>
      <c r="P1897" s="39" t="str">
        <f>IF(AND($L1897=$O$7,$B1897&lt;'111'!$N$11),"x","")</f>
        <v/>
      </c>
      <c r="Q1897" s="39" t="str">
        <f>IF(AND($M1897=$O$7,$B1897&lt;'111'!$N$11),"x","")</f>
        <v/>
      </c>
      <c r="R1897" s="39" t="str">
        <f>IF(ISERROR(FIND('112'!$M$9,G1897,1)),"",IF((AND(FIND('112'!$M$9,G1897,1)&gt;=1,$B1897&gt;='112'!$N$8,$B1897&lt;='112'!$O$8,OR($L1897='112'!$I$6,$M1897='112'!$I$6))),"x",""))</f>
        <v/>
      </c>
      <c r="S1897" s="39" t="str">
        <f>IF(ISERROR(FIND('112'!$M$9,G1897,1)),"",IF((AND(LEFT(G1897,2)=LEFT('112'!$M$9,2),B1897&lt;'112'!$N$8,$L1897='112'!$I$6)),"x",""))</f>
        <v/>
      </c>
      <c r="T1897" s="39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39" t="str">
        <f>IF(OR(TH!L1897=TH!$V$7,M1897=TH!$V$7),"x","")</f>
        <v/>
      </c>
      <c r="W1897" s="39" t="str">
        <f>IF(AND(B1897&gt;='IN-NX'!$P$3,B1897&lt;='IN-NX'!$Q$3,'IN-NX'!$D$7=D1897,OR(LEFT(L1897,2)="15",AND(LEFT(M1897,2)&lt;&gt;"15",LEFT(M1897,2)&lt;&gt;"33"))),"x","")</f>
        <v/>
      </c>
      <c r="X1897" s="39" t="str">
        <f>IF(AND(OR(LEFT(TH!L1897,2)="15",LEFT(TH!M1897,2)="15"),'152-CT'!$J$8=TH!F1897),"x","")</f>
        <v/>
      </c>
      <c r="Y1897" s="39" t="str">
        <f>IF(AND(OR(LEFT(TH!L1897,2)="15",LEFT(TH!M1897,2)="15"),TK!$E$7=TH!F1897),"x","")</f>
        <v/>
      </c>
      <c r="Z1897" s="39" t="str">
        <f>IF(AND(B1897&lt;=NKC!$N$8,B1897&gt;=NKC!$M$8),"x","")</f>
        <v>x</v>
      </c>
      <c r="AA1897" s="886"/>
    </row>
    <row r="1898" spans="1:27" s="211" customFormat="1" ht="15.75" customHeight="1">
      <c r="A1898" s="204" t="str">
        <f>IF(B1898&lt;&gt;"",IF(AND(B1898&gt;=_TM1,B1898&lt;=_TM2,OR(TH!L1898="1111",TH!M1898="1111")),TH!D1898,""),"")</f>
        <v/>
      </c>
      <c r="B1898" s="36">
        <f t="shared" si="261"/>
        <v>9</v>
      </c>
      <c r="C1898" s="191">
        <f t="shared" si="260"/>
        <v>41533</v>
      </c>
      <c r="D1898" s="37"/>
      <c r="E1898" s="37">
        <v>41533</v>
      </c>
      <c r="F1898" s="40" t="s">
        <v>838</v>
      </c>
      <c r="G1898" s="40" t="s">
        <v>929</v>
      </c>
      <c r="H1898" s="7" t="s">
        <v>1293</v>
      </c>
      <c r="I1898" s="256"/>
      <c r="J1898" s="256"/>
      <c r="K1898" s="602">
        <f t="shared" si="262"/>
        <v>0</v>
      </c>
      <c r="L1898" s="39" t="s">
        <v>173</v>
      </c>
      <c r="M1898" s="39" t="s">
        <v>167</v>
      </c>
      <c r="N1898" s="39" t="str">
        <f>IF(AND('331-CT'!$E$7=TH!H1898,OR(L1898="331",M1898="331")),"331",IF(AND(OR(L1898="131",M1898="131"),H1898='131-CT'!$E$7),"131",""))</f>
        <v/>
      </c>
      <c r="O1898" s="39" t="str">
        <f>IF(AND($B1898&gt;='111'!$N$11,$B1898&lt;='111'!$O$11,OR($L1898=$O$7,$M1898=$O$7)),"x","")</f>
        <v/>
      </c>
      <c r="P1898" s="39" t="str">
        <f>IF(AND($L1898=$O$7,$B1898&lt;'111'!$N$11),"x","")</f>
        <v/>
      </c>
      <c r="Q1898" s="39" t="str">
        <f>IF(AND($M1898=$O$7,$B1898&lt;'111'!$N$11),"x","")</f>
        <v/>
      </c>
      <c r="R1898" s="39" t="str">
        <f>IF(ISERROR(FIND('112'!$M$9,G1898,1)),"",IF((AND(FIND('112'!$M$9,G1898,1)&gt;=1,$B1898&gt;='112'!$N$8,$B1898&lt;='112'!$O$8,OR($L1898='112'!$I$6,$M1898='112'!$I$6))),"x",""))</f>
        <v/>
      </c>
      <c r="S1898" s="39" t="str">
        <f>IF(ISERROR(FIND('112'!$M$9,G1898,1)),"",IF((AND(LEFT(G1898,2)=LEFT('112'!$M$9,2),B1898&lt;'112'!$N$8,$L1898='112'!$I$6)),"x",""))</f>
        <v/>
      </c>
      <c r="T1898" s="39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39" t="str">
        <f>IF(OR(TH!L1898=TH!$V$7,M1898=TH!$V$7),"x","")</f>
        <v/>
      </c>
      <c r="W1898" s="39" t="str">
        <f>IF(AND(B1898&gt;='IN-NX'!$P$3,B1898&lt;='IN-NX'!$Q$3,'IN-NX'!$D$7=D1898,OR(LEFT(L1898,2)="15",AND(LEFT(M1898,2)&lt;&gt;"15",LEFT(M1898,2)&lt;&gt;"33"))),"x","")</f>
        <v/>
      </c>
      <c r="X1898" s="39" t="str">
        <f>IF(AND(OR(LEFT(TH!L1898,2)="15",LEFT(TH!M1898,2)="15"),'152-CT'!$J$8=TH!F1898),"x","")</f>
        <v/>
      </c>
      <c r="Y1898" s="39" t="str">
        <f>IF(AND(OR(LEFT(TH!L1898,2)="15",LEFT(TH!M1898,2)="15"),TK!$E$7=TH!F1898),"x","")</f>
        <v/>
      </c>
      <c r="Z1898" s="39" t="str">
        <f>IF(AND(B1898&lt;=NKC!$N$8,B1898&gt;=NKC!$M$8),"x","")</f>
        <v>x</v>
      </c>
      <c r="AA1898" s="886"/>
    </row>
    <row r="1899" spans="1:27" s="211" customFormat="1" ht="15.75" customHeight="1">
      <c r="A1899" s="204" t="str">
        <f>IF(B1899&lt;&gt;"",IF(AND(B1899&gt;=_TM1,B1899&lt;=_TM2,OR(TH!L1899="1111",TH!M1899="1111")),TH!D1899,""),"")</f>
        <v/>
      </c>
      <c r="B1899" s="36">
        <f t="shared" si="261"/>
        <v>9</v>
      </c>
      <c r="C1899" s="191">
        <f t="shared" si="260"/>
        <v>41535</v>
      </c>
      <c r="D1899" s="37"/>
      <c r="E1899" s="37">
        <v>41535</v>
      </c>
      <c r="F1899" s="40" t="s">
        <v>867</v>
      </c>
      <c r="G1899" s="40" t="s">
        <v>930</v>
      </c>
      <c r="H1899" s="7" t="s">
        <v>1293</v>
      </c>
      <c r="I1899" s="256"/>
      <c r="J1899" s="256"/>
      <c r="K1899" s="602">
        <f t="shared" si="262"/>
        <v>0</v>
      </c>
      <c r="L1899" s="39" t="s">
        <v>173</v>
      </c>
      <c r="M1899" s="39" t="s">
        <v>167</v>
      </c>
      <c r="N1899" s="39" t="str">
        <f>IF(AND('331-CT'!$E$7=TH!H1899,OR(L1899="331",M1899="331")),"331",IF(AND(OR(L1899="131",M1899="131"),H1899='131-CT'!$E$7),"131",""))</f>
        <v/>
      </c>
      <c r="O1899" s="39" t="str">
        <f>IF(AND($B1899&gt;='111'!$N$11,$B1899&lt;='111'!$O$11,OR($L1899=$O$7,$M1899=$O$7)),"x","")</f>
        <v/>
      </c>
      <c r="P1899" s="39" t="str">
        <f>IF(AND($L1899=$O$7,$B1899&lt;'111'!$N$11),"x","")</f>
        <v/>
      </c>
      <c r="Q1899" s="39" t="str">
        <f>IF(AND($M1899=$O$7,$B1899&lt;'111'!$N$11),"x","")</f>
        <v/>
      </c>
      <c r="R1899" s="39" t="str">
        <f>IF(ISERROR(FIND('112'!$M$9,G1899,1)),"",IF((AND(FIND('112'!$M$9,G1899,1)&gt;=1,$B1899&gt;='112'!$N$8,$B1899&lt;='112'!$O$8,OR($L1899='112'!$I$6,$M1899='112'!$I$6))),"x",""))</f>
        <v/>
      </c>
      <c r="S1899" s="39" t="str">
        <f>IF(ISERROR(FIND('112'!$M$9,G1899,1)),"",IF((AND(LEFT(G1899,2)=LEFT('112'!$M$9,2),B1899&lt;'112'!$N$8,$L1899='112'!$I$6)),"x",""))</f>
        <v/>
      </c>
      <c r="T1899" s="39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39" t="str">
        <f>IF(OR(TH!L1899=TH!$V$7,M1899=TH!$V$7),"x","")</f>
        <v/>
      </c>
      <c r="W1899" s="39" t="str">
        <f>IF(AND(B1899&gt;='IN-NX'!$P$3,B1899&lt;='IN-NX'!$Q$3,'IN-NX'!$D$7=D1899,OR(LEFT(L1899,2)="15",AND(LEFT(M1899,2)&lt;&gt;"15",LEFT(M1899,2)&lt;&gt;"33"))),"x","")</f>
        <v/>
      </c>
      <c r="X1899" s="39" t="str">
        <f>IF(AND(OR(LEFT(TH!L1899,2)="15",LEFT(TH!M1899,2)="15"),'152-CT'!$J$8=TH!F1899),"x","")</f>
        <v/>
      </c>
      <c r="Y1899" s="39" t="str">
        <f>IF(AND(OR(LEFT(TH!L1899,2)="15",LEFT(TH!M1899,2)="15"),TK!$E$7=TH!F1899),"x","")</f>
        <v/>
      </c>
      <c r="Z1899" s="39" t="str">
        <f>IF(AND(B1899&lt;=NKC!$N$8,B1899&gt;=NKC!$M$8),"x","")</f>
        <v>x</v>
      </c>
      <c r="AA1899" s="886"/>
    </row>
    <row r="1900" spans="1:27" s="211" customFormat="1" ht="15.75" customHeight="1">
      <c r="A1900" s="204" t="str">
        <f>IF(B1900&lt;&gt;"",IF(AND(B1900&gt;=_TM1,B1900&lt;=_TM2,OR(TH!L1900="1111",TH!M1900="1111")),TH!D1900,""),"")</f>
        <v/>
      </c>
      <c r="B1900" s="36">
        <f t="shared" si="261"/>
        <v>9</v>
      </c>
      <c r="C1900" s="191">
        <f t="shared" si="260"/>
        <v>41536</v>
      </c>
      <c r="D1900" s="37"/>
      <c r="E1900" s="37">
        <v>41536</v>
      </c>
      <c r="F1900" s="40" t="s">
        <v>931</v>
      </c>
      <c r="G1900" s="40" t="s">
        <v>932</v>
      </c>
      <c r="H1900" s="7" t="s">
        <v>1293</v>
      </c>
      <c r="I1900" s="256"/>
      <c r="J1900" s="256"/>
      <c r="K1900" s="602">
        <f t="shared" si="262"/>
        <v>0</v>
      </c>
      <c r="L1900" s="39" t="s">
        <v>173</v>
      </c>
      <c r="M1900" s="39" t="s">
        <v>167</v>
      </c>
      <c r="N1900" s="39" t="str">
        <f>IF(AND('331-CT'!$E$7=TH!H1900,OR(L1900="331",M1900="331")),"331",IF(AND(OR(L1900="131",M1900="131"),H1900='131-CT'!$E$7),"131",""))</f>
        <v/>
      </c>
      <c r="O1900" s="39" t="str">
        <f>IF(AND($B1900&gt;='111'!$N$11,$B1900&lt;='111'!$O$11,OR($L1900=$O$7,$M1900=$O$7)),"x","")</f>
        <v/>
      </c>
      <c r="P1900" s="39" t="str">
        <f>IF(AND($L1900=$O$7,$B1900&lt;'111'!$N$11),"x","")</f>
        <v/>
      </c>
      <c r="Q1900" s="39" t="str">
        <f>IF(AND($M1900=$O$7,$B1900&lt;'111'!$N$11),"x","")</f>
        <v/>
      </c>
      <c r="R1900" s="39" t="str">
        <f>IF(ISERROR(FIND('112'!$M$9,G1900,1)),"",IF((AND(FIND('112'!$M$9,G1900,1)&gt;=1,$B1900&gt;='112'!$N$8,$B1900&lt;='112'!$O$8,OR($L1900='112'!$I$6,$M1900='112'!$I$6))),"x",""))</f>
        <v/>
      </c>
      <c r="S1900" s="39" t="str">
        <f>IF(ISERROR(FIND('112'!$M$9,G1900,1)),"",IF((AND(LEFT(G1900,2)=LEFT('112'!$M$9,2),B1900&lt;'112'!$N$8,$L1900='112'!$I$6)),"x",""))</f>
        <v/>
      </c>
      <c r="T1900" s="39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39" t="str">
        <f>IF(OR(TH!L1900=TH!$V$7,M1900=TH!$V$7),"x","")</f>
        <v/>
      </c>
      <c r="W1900" s="39" t="str">
        <f>IF(AND(B1900&gt;='IN-NX'!$P$3,B1900&lt;='IN-NX'!$Q$3,'IN-NX'!$D$7=D1900,OR(LEFT(L1900,2)="15",AND(LEFT(M1900,2)&lt;&gt;"15",LEFT(M1900,2)&lt;&gt;"33"))),"x","")</f>
        <v/>
      </c>
      <c r="X1900" s="39" t="str">
        <f>IF(AND(OR(LEFT(TH!L1900,2)="15",LEFT(TH!M1900,2)="15"),'152-CT'!$J$8=TH!F1900),"x","")</f>
        <v/>
      </c>
      <c r="Y1900" s="39" t="str">
        <f>IF(AND(OR(LEFT(TH!L1900,2)="15",LEFT(TH!M1900,2)="15"),TK!$E$7=TH!F1900),"x","")</f>
        <v/>
      </c>
      <c r="Z1900" s="39" t="str">
        <f>IF(AND(B1900&lt;=NKC!$N$8,B1900&gt;=NKC!$M$8),"x","")</f>
        <v>x</v>
      </c>
      <c r="AA1900" s="886"/>
    </row>
    <row r="1901" spans="1:27" s="211" customFormat="1" ht="15.75" customHeight="1">
      <c r="A1901" s="204" t="str">
        <f>IF(B1901&lt;&gt;"",IF(AND(B1901&gt;=_TM1,B1901&lt;=_TM2,OR(TH!L1901="1111",TH!M1901="1111")),TH!D1901,""),"")</f>
        <v/>
      </c>
      <c r="B1901" s="36">
        <f t="shared" si="261"/>
        <v>9</v>
      </c>
      <c r="C1901" s="191">
        <f t="shared" si="260"/>
        <v>41537</v>
      </c>
      <c r="D1901" s="37"/>
      <c r="E1901" s="37">
        <v>41537</v>
      </c>
      <c r="F1901" s="40" t="s">
        <v>887</v>
      </c>
      <c r="G1901" s="40" t="s">
        <v>933</v>
      </c>
      <c r="H1901" s="7" t="s">
        <v>1293</v>
      </c>
      <c r="I1901" s="256"/>
      <c r="J1901" s="256"/>
      <c r="K1901" s="602">
        <f t="shared" si="262"/>
        <v>0</v>
      </c>
      <c r="L1901" s="39" t="s">
        <v>173</v>
      </c>
      <c r="M1901" s="39" t="s">
        <v>167</v>
      </c>
      <c r="N1901" s="39" t="str">
        <f>IF(AND('331-CT'!$E$7=TH!H1901,OR(L1901="331",M1901="331")),"331",IF(AND(OR(L1901="131",M1901="131"),H1901='131-CT'!$E$7),"131",""))</f>
        <v/>
      </c>
      <c r="O1901" s="39" t="str">
        <f>IF(AND($B1901&gt;='111'!$N$11,$B1901&lt;='111'!$O$11,OR($L1901=$O$7,$M1901=$O$7)),"x","")</f>
        <v/>
      </c>
      <c r="P1901" s="39" t="str">
        <f>IF(AND($L1901=$O$7,$B1901&lt;'111'!$N$11),"x","")</f>
        <v/>
      </c>
      <c r="Q1901" s="39" t="str">
        <f>IF(AND($M1901=$O$7,$B1901&lt;'111'!$N$11),"x","")</f>
        <v/>
      </c>
      <c r="R1901" s="39" t="str">
        <f>IF(ISERROR(FIND('112'!$M$9,G1901,1)),"",IF((AND(FIND('112'!$M$9,G1901,1)&gt;=1,$B1901&gt;='112'!$N$8,$B1901&lt;='112'!$O$8,OR($L1901='112'!$I$6,$M1901='112'!$I$6))),"x",""))</f>
        <v/>
      </c>
      <c r="S1901" s="39" t="str">
        <f>IF(ISERROR(FIND('112'!$M$9,G1901,1)),"",IF((AND(LEFT(G1901,2)=LEFT('112'!$M$9,2),B1901&lt;'112'!$N$8,$L1901='112'!$I$6)),"x",""))</f>
        <v/>
      </c>
      <c r="T1901" s="39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39" t="str">
        <f>IF(OR(TH!L1901=TH!$V$7,M1901=TH!$V$7),"x","")</f>
        <v/>
      </c>
      <c r="W1901" s="39" t="str">
        <f>IF(AND(B1901&gt;='IN-NX'!$P$3,B1901&lt;='IN-NX'!$Q$3,'IN-NX'!$D$7=D1901,OR(LEFT(L1901,2)="15",AND(LEFT(M1901,2)&lt;&gt;"15",LEFT(M1901,2)&lt;&gt;"33"))),"x","")</f>
        <v/>
      </c>
      <c r="X1901" s="39" t="str">
        <f>IF(AND(OR(LEFT(TH!L1901,2)="15",LEFT(TH!M1901,2)="15"),'152-CT'!$J$8=TH!F1901),"x","")</f>
        <v/>
      </c>
      <c r="Y1901" s="39" t="str">
        <f>IF(AND(OR(LEFT(TH!L1901,2)="15",LEFT(TH!M1901,2)="15"),TK!$E$7=TH!F1901),"x","")</f>
        <v/>
      </c>
      <c r="Z1901" s="39" t="str">
        <f>IF(AND(B1901&lt;=NKC!$N$8,B1901&gt;=NKC!$M$8),"x","")</f>
        <v>x</v>
      </c>
      <c r="AA1901" s="886"/>
    </row>
    <row r="1902" spans="1:27" s="211" customFormat="1" ht="15.75" customHeight="1">
      <c r="A1902" s="204" t="str">
        <f>IF(B1902&lt;&gt;"",IF(AND(B1902&gt;=_TM1,B1902&lt;=_TM2,OR(TH!L1902="1111",TH!M1902="1111")),TH!D1902,""),"")</f>
        <v/>
      </c>
      <c r="B1902" s="36">
        <f t="shared" si="261"/>
        <v>9</v>
      </c>
      <c r="C1902" s="191">
        <f t="shared" si="260"/>
        <v>41538</v>
      </c>
      <c r="D1902" s="37"/>
      <c r="E1902" s="37">
        <v>41538</v>
      </c>
      <c r="F1902" s="40" t="s">
        <v>744</v>
      </c>
      <c r="G1902" s="40" t="s">
        <v>934</v>
      </c>
      <c r="H1902" s="7" t="s">
        <v>1293</v>
      </c>
      <c r="I1902" s="256"/>
      <c r="J1902" s="256"/>
      <c r="K1902" s="602">
        <f t="shared" si="262"/>
        <v>0</v>
      </c>
      <c r="L1902" s="39" t="s">
        <v>173</v>
      </c>
      <c r="M1902" s="39" t="s">
        <v>167</v>
      </c>
      <c r="N1902" s="39" t="str">
        <f>IF(AND('331-CT'!$E$7=TH!H1902,OR(L1902="331",M1902="331")),"331",IF(AND(OR(L1902="131",M1902="131"),H1902='131-CT'!$E$7),"131",""))</f>
        <v/>
      </c>
      <c r="O1902" s="39" t="str">
        <f>IF(AND($B1902&gt;='111'!$N$11,$B1902&lt;='111'!$O$11,OR($L1902=$O$7,$M1902=$O$7)),"x","")</f>
        <v/>
      </c>
      <c r="P1902" s="39" t="str">
        <f>IF(AND($L1902=$O$7,$B1902&lt;'111'!$N$11),"x","")</f>
        <v/>
      </c>
      <c r="Q1902" s="39" t="str">
        <f>IF(AND($M1902=$O$7,$B1902&lt;'111'!$N$11),"x","")</f>
        <v/>
      </c>
      <c r="R1902" s="39" t="str">
        <f>IF(ISERROR(FIND('112'!$M$9,G1902,1)),"",IF((AND(FIND('112'!$M$9,G1902,1)&gt;=1,$B1902&gt;='112'!$N$8,$B1902&lt;='112'!$O$8,OR($L1902='112'!$I$6,$M1902='112'!$I$6))),"x",""))</f>
        <v/>
      </c>
      <c r="S1902" s="39" t="str">
        <f>IF(ISERROR(FIND('112'!$M$9,G1902,1)),"",IF((AND(LEFT(G1902,2)=LEFT('112'!$M$9,2),B1902&lt;'112'!$N$8,$L1902='112'!$I$6)),"x",""))</f>
        <v/>
      </c>
      <c r="T1902" s="39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39" t="str">
        <f>IF(OR(TH!L1902=TH!$V$7,M1902=TH!$V$7),"x","")</f>
        <v/>
      </c>
      <c r="W1902" s="39" t="str">
        <f>IF(AND(B1902&gt;='IN-NX'!$P$3,B1902&lt;='IN-NX'!$Q$3,'IN-NX'!$D$7=D1902,OR(LEFT(L1902,2)="15",AND(LEFT(M1902,2)&lt;&gt;"15",LEFT(M1902,2)&lt;&gt;"33"))),"x","")</f>
        <v/>
      </c>
      <c r="X1902" s="39" t="str">
        <f>IF(AND(OR(LEFT(TH!L1902,2)="15",LEFT(TH!M1902,2)="15"),'152-CT'!$J$8=TH!F1902),"x","")</f>
        <v/>
      </c>
      <c r="Y1902" s="39" t="str">
        <f>IF(AND(OR(LEFT(TH!L1902,2)="15",LEFT(TH!M1902,2)="15"),TK!$E$7=TH!F1902),"x","")</f>
        <v/>
      </c>
      <c r="Z1902" s="39" t="str">
        <f>IF(AND(B1902&lt;=NKC!$N$8,B1902&gt;=NKC!$M$8),"x","")</f>
        <v>x</v>
      </c>
      <c r="AA1902" s="886"/>
    </row>
    <row r="1903" spans="1:27" s="211" customFormat="1" ht="15.75" customHeight="1">
      <c r="A1903" s="204" t="str">
        <f>IF(B1903&lt;&gt;"",IF(AND(B1903&gt;=_TM1,B1903&lt;=_TM2,OR(TH!L1903="1111",TH!M1903="1111")),TH!D1903,""),"")</f>
        <v/>
      </c>
      <c r="B1903" s="36">
        <f t="shared" si="261"/>
        <v>9</v>
      </c>
      <c r="C1903" s="191">
        <f t="shared" si="260"/>
        <v>41540</v>
      </c>
      <c r="D1903" s="37"/>
      <c r="E1903" s="37">
        <v>41540</v>
      </c>
      <c r="F1903" s="40" t="s">
        <v>885</v>
      </c>
      <c r="G1903" s="40" t="s">
        <v>1126</v>
      </c>
      <c r="H1903" s="7" t="s">
        <v>1293</v>
      </c>
      <c r="I1903" s="256"/>
      <c r="J1903" s="256"/>
      <c r="K1903" s="602">
        <f t="shared" si="262"/>
        <v>0</v>
      </c>
      <c r="L1903" s="39" t="s">
        <v>173</v>
      </c>
      <c r="M1903" s="39" t="s">
        <v>167</v>
      </c>
      <c r="N1903" s="39" t="str">
        <f>IF(AND('331-CT'!$E$7=TH!H1903,OR(L1903="331",M1903="331")),"331",IF(AND(OR(L1903="131",M1903="131"),H1903='131-CT'!$E$7),"131",""))</f>
        <v/>
      </c>
      <c r="O1903" s="39" t="str">
        <f>IF(AND($B1903&gt;='111'!$N$11,$B1903&lt;='111'!$O$11,OR($L1903=$O$7,$M1903=$O$7)),"x","")</f>
        <v/>
      </c>
      <c r="P1903" s="39" t="str">
        <f>IF(AND($L1903=$O$7,$B1903&lt;'111'!$N$11),"x","")</f>
        <v/>
      </c>
      <c r="Q1903" s="39" t="str">
        <f>IF(AND($M1903=$O$7,$B1903&lt;'111'!$N$11),"x","")</f>
        <v/>
      </c>
      <c r="R1903" s="39" t="str">
        <f>IF(ISERROR(FIND('112'!$M$9,G1903,1)),"",IF((AND(FIND('112'!$M$9,G1903,1)&gt;=1,$B1903&gt;='112'!$N$8,$B1903&lt;='112'!$O$8,OR($L1903='112'!$I$6,$M1903='112'!$I$6))),"x",""))</f>
        <v/>
      </c>
      <c r="S1903" s="39" t="str">
        <f>IF(ISERROR(FIND('112'!$M$9,G1903,1)),"",IF((AND(LEFT(G1903,2)=LEFT('112'!$M$9,2),B1903&lt;'112'!$N$8,$L1903='112'!$I$6)),"x",""))</f>
        <v/>
      </c>
      <c r="T1903" s="39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39" t="str">
        <f>IF(OR(TH!L1903=TH!$V$7,M1903=TH!$V$7),"x","")</f>
        <v/>
      </c>
      <c r="W1903" s="39" t="str">
        <f>IF(AND(B1903&gt;='IN-NX'!$P$3,B1903&lt;='IN-NX'!$Q$3,'IN-NX'!$D$7=D1903,OR(LEFT(L1903,2)="15",AND(LEFT(M1903,2)&lt;&gt;"15",LEFT(M1903,2)&lt;&gt;"33"))),"x","")</f>
        <v/>
      </c>
      <c r="X1903" s="39" t="str">
        <f>IF(AND(OR(LEFT(TH!L1903,2)="15",LEFT(TH!M1903,2)="15"),'152-CT'!$J$8=TH!F1903),"x","")</f>
        <v/>
      </c>
      <c r="Y1903" s="39" t="str">
        <f>IF(AND(OR(LEFT(TH!L1903,2)="15",LEFT(TH!M1903,2)="15"),TK!$E$7=TH!F1903),"x","")</f>
        <v/>
      </c>
      <c r="Z1903" s="39" t="str">
        <f>IF(AND(B1903&lt;=NKC!$N$8,B1903&gt;=NKC!$M$8),"x","")</f>
        <v>x</v>
      </c>
      <c r="AA1903" s="886"/>
    </row>
    <row r="1904" spans="1:27" s="211" customFormat="1" ht="15.75" customHeight="1">
      <c r="A1904" s="204" t="str">
        <f>IF(B1904&lt;&gt;"",IF(AND(B1904&gt;=_TM1,B1904&lt;=_TM2,OR(TH!L1904="1111",TH!M1904="1111")),TH!D1904,""),"")</f>
        <v/>
      </c>
      <c r="B1904" s="36">
        <f t="shared" si="261"/>
        <v>9</v>
      </c>
      <c r="C1904" s="191">
        <f t="shared" si="260"/>
        <v>41540</v>
      </c>
      <c r="D1904" s="37"/>
      <c r="E1904" s="37">
        <v>41540</v>
      </c>
      <c r="F1904" s="40" t="s">
        <v>1134</v>
      </c>
      <c r="G1904" s="40" t="s">
        <v>1126</v>
      </c>
      <c r="H1904" s="7" t="s">
        <v>1293</v>
      </c>
      <c r="I1904" s="256"/>
      <c r="J1904" s="256"/>
      <c r="K1904" s="602">
        <f t="shared" si="262"/>
        <v>0</v>
      </c>
      <c r="L1904" s="39" t="s">
        <v>173</v>
      </c>
      <c r="M1904" s="39" t="s">
        <v>167</v>
      </c>
      <c r="N1904" s="39" t="str">
        <f>IF(AND('331-CT'!$E$7=TH!H1904,OR(L1904="331",M1904="331")),"331",IF(AND(OR(L1904="131",M1904="131"),H1904='131-CT'!$E$7),"131",""))</f>
        <v/>
      </c>
      <c r="O1904" s="39" t="str">
        <f>IF(AND($B1904&gt;='111'!$N$11,$B1904&lt;='111'!$O$11,OR($L1904=$O$7,$M1904=$O$7)),"x","")</f>
        <v/>
      </c>
      <c r="P1904" s="39" t="str">
        <f>IF(AND($L1904=$O$7,$B1904&lt;'111'!$N$11),"x","")</f>
        <v/>
      </c>
      <c r="Q1904" s="39" t="str">
        <f>IF(AND($M1904=$O$7,$B1904&lt;'111'!$N$11),"x","")</f>
        <v/>
      </c>
      <c r="R1904" s="39" t="str">
        <f>IF(ISERROR(FIND('112'!$M$9,G1904,1)),"",IF((AND(FIND('112'!$M$9,G1904,1)&gt;=1,$B1904&gt;='112'!$N$8,$B1904&lt;='112'!$O$8,OR($L1904='112'!$I$6,$M1904='112'!$I$6))),"x",""))</f>
        <v/>
      </c>
      <c r="S1904" s="39" t="str">
        <f>IF(ISERROR(FIND('112'!$M$9,G1904,1)),"",IF((AND(LEFT(G1904,2)=LEFT('112'!$M$9,2),B1904&lt;'112'!$N$8,$L1904='112'!$I$6)),"x",""))</f>
        <v/>
      </c>
      <c r="T1904" s="39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39" t="str">
        <f>IF(OR(TH!L1904=TH!$V$7,M1904=TH!$V$7),"x","")</f>
        <v/>
      </c>
      <c r="W1904" s="39" t="str">
        <f>IF(AND(B1904&gt;='IN-NX'!$P$3,B1904&lt;='IN-NX'!$Q$3,'IN-NX'!$D$7=D1904,OR(LEFT(L1904,2)="15",AND(LEFT(M1904,2)&lt;&gt;"15",LEFT(M1904,2)&lt;&gt;"33"))),"x","")</f>
        <v/>
      </c>
      <c r="X1904" s="39" t="str">
        <f>IF(AND(OR(LEFT(TH!L1904,2)="15",LEFT(TH!M1904,2)="15"),'152-CT'!$J$8=TH!F1904),"x","")</f>
        <v/>
      </c>
      <c r="Y1904" s="39" t="str">
        <f>IF(AND(OR(LEFT(TH!L1904,2)="15",LEFT(TH!M1904,2)="15"),TK!$E$7=TH!F1904),"x","")</f>
        <v/>
      </c>
      <c r="Z1904" s="39" t="str">
        <f>IF(AND(B1904&lt;=NKC!$N$8,B1904&gt;=NKC!$M$8),"x","")</f>
        <v>x</v>
      </c>
      <c r="AA1904" s="886"/>
    </row>
    <row r="1905" spans="1:27" s="211" customFormat="1" ht="15.75" customHeight="1">
      <c r="A1905" s="204" t="str">
        <f>IF(B1905&lt;&gt;"",IF(AND(B1905&gt;=_TM1,B1905&lt;=_TM2,OR(TH!L1905="1111",TH!M1905="1111")),TH!D1905,""),"")</f>
        <v/>
      </c>
      <c r="B1905" s="36">
        <f t="shared" si="261"/>
        <v>9</v>
      </c>
      <c r="C1905" s="191">
        <f t="shared" si="260"/>
        <v>41540</v>
      </c>
      <c r="D1905" s="37"/>
      <c r="E1905" s="191">
        <v>41540</v>
      </c>
      <c r="F1905" s="189" t="s">
        <v>1132</v>
      </c>
      <c r="G1905" s="604" t="s">
        <v>1126</v>
      </c>
      <c r="H1905" s="7" t="s">
        <v>1293</v>
      </c>
      <c r="I1905" s="256"/>
      <c r="J1905" s="256"/>
      <c r="K1905" s="602">
        <f t="shared" si="262"/>
        <v>0</v>
      </c>
      <c r="L1905" s="39" t="s">
        <v>173</v>
      </c>
      <c r="M1905" s="39" t="s">
        <v>167</v>
      </c>
      <c r="N1905" s="39" t="str">
        <f>IF(AND('331-CT'!$E$7=TH!H1905,OR(L1905="331",M1905="331")),"331",IF(AND(OR(L1905="131",M1905="131"),H1905='131-CT'!$E$7),"131",""))</f>
        <v/>
      </c>
      <c r="O1905" s="39" t="str">
        <f>IF(AND($B1905&gt;='111'!$N$11,$B1905&lt;='111'!$O$11,OR($L1905=$O$7,$M1905=$O$7)),"x","")</f>
        <v/>
      </c>
      <c r="P1905" s="39" t="str">
        <f>IF(AND($L1905=$O$7,$B1905&lt;'111'!$N$11),"x","")</f>
        <v/>
      </c>
      <c r="Q1905" s="39" t="str">
        <f>IF(AND($M1905=$O$7,$B1905&lt;'111'!$N$11),"x","")</f>
        <v/>
      </c>
      <c r="R1905" s="39" t="str">
        <f>IF(ISERROR(FIND('112'!$M$9,G1905,1)),"",IF((AND(FIND('112'!$M$9,G1905,1)&gt;=1,$B1905&gt;='112'!$N$8,$B1905&lt;='112'!$O$8,OR($L1905='112'!$I$6,$M1905='112'!$I$6))),"x",""))</f>
        <v/>
      </c>
      <c r="S1905" s="39" t="str">
        <f>IF(ISERROR(FIND('112'!$M$9,G1905,1)),"",IF((AND(LEFT(G1905,2)=LEFT('112'!$M$9,2),B1905&lt;'112'!$N$8,$L1905='112'!$I$6)),"x",""))</f>
        <v/>
      </c>
      <c r="T1905" s="39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39" t="str">
        <f>IF(OR(TH!L1905=TH!$V$7,M1905=TH!$V$7),"x","")</f>
        <v/>
      </c>
      <c r="W1905" s="39" t="str">
        <f>IF(AND(B1905&gt;='IN-NX'!$P$3,B1905&lt;='IN-NX'!$Q$3,'IN-NX'!$D$7=D1905,OR(LEFT(L1905,2)="15",AND(LEFT(M1905,2)&lt;&gt;"15",LEFT(M1905,2)&lt;&gt;"33"))),"x","")</f>
        <v/>
      </c>
      <c r="X1905" s="39" t="str">
        <f>IF(AND(OR(LEFT(TH!L1905,2)="15",LEFT(TH!M1905,2)="15"),'152-CT'!$J$8=TH!F1905),"x","")</f>
        <v/>
      </c>
      <c r="Y1905" s="39" t="str">
        <f>IF(AND(OR(LEFT(TH!L1905,2)="15",LEFT(TH!M1905,2)="15"),TK!$E$7=TH!F1905),"x","")</f>
        <v/>
      </c>
      <c r="Z1905" s="39" t="str">
        <f>IF(AND(B1905&lt;=NKC!$N$8,B1905&gt;=NKC!$M$8),"x","")</f>
        <v>x</v>
      </c>
      <c r="AA1905" s="886"/>
    </row>
    <row r="1906" spans="1:27" s="211" customFormat="1" ht="15.75" customHeight="1">
      <c r="A1906" s="204" t="str">
        <f>IF(B1906&lt;&gt;"",IF(AND(B1906&gt;=_TM1,B1906&lt;=_TM2,OR(TH!L1906="1111",TH!M1906="1111")),TH!D1906,""),"")</f>
        <v/>
      </c>
      <c r="B1906" s="36">
        <f t="shared" si="261"/>
        <v>9</v>
      </c>
      <c r="C1906" s="191">
        <f t="shared" si="260"/>
        <v>41540</v>
      </c>
      <c r="D1906" s="37"/>
      <c r="E1906" s="191">
        <v>41540</v>
      </c>
      <c r="F1906" s="189" t="s">
        <v>1135</v>
      </c>
      <c r="G1906" s="604" t="s">
        <v>1126</v>
      </c>
      <c r="H1906" s="7" t="s">
        <v>1293</v>
      </c>
      <c r="I1906" s="256"/>
      <c r="J1906" s="256"/>
      <c r="K1906" s="602">
        <f t="shared" si="262"/>
        <v>0</v>
      </c>
      <c r="L1906" s="39" t="s">
        <v>173</v>
      </c>
      <c r="M1906" s="39" t="s">
        <v>167</v>
      </c>
      <c r="N1906" s="39" t="str">
        <f>IF(AND('331-CT'!$E$7=TH!H1906,OR(L1906="331",M1906="331")),"331",IF(AND(OR(L1906="131",M1906="131"),H1906='131-CT'!$E$7),"131",""))</f>
        <v/>
      </c>
      <c r="O1906" s="39" t="str">
        <f>IF(AND($B1906&gt;='111'!$N$11,$B1906&lt;='111'!$O$11,OR($L1906=$O$7,$M1906=$O$7)),"x","")</f>
        <v/>
      </c>
      <c r="P1906" s="39" t="str">
        <f>IF(AND($L1906=$O$7,$B1906&lt;'111'!$N$11),"x","")</f>
        <v/>
      </c>
      <c r="Q1906" s="39" t="str">
        <f>IF(AND($M1906=$O$7,$B1906&lt;'111'!$N$11),"x","")</f>
        <v/>
      </c>
      <c r="R1906" s="39" t="str">
        <f>IF(ISERROR(FIND('112'!$M$9,G1906,1)),"",IF((AND(FIND('112'!$M$9,G1906,1)&gt;=1,$B1906&gt;='112'!$N$8,$B1906&lt;='112'!$O$8,OR($L1906='112'!$I$6,$M1906='112'!$I$6))),"x",""))</f>
        <v/>
      </c>
      <c r="S1906" s="39" t="str">
        <f>IF(ISERROR(FIND('112'!$M$9,G1906,1)),"",IF((AND(LEFT(G1906,2)=LEFT('112'!$M$9,2),B1906&lt;'112'!$N$8,$L1906='112'!$I$6)),"x",""))</f>
        <v/>
      </c>
      <c r="T1906" s="39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39" t="str">
        <f>IF(OR(TH!L1906=TH!$V$7,M1906=TH!$V$7),"x","")</f>
        <v/>
      </c>
      <c r="W1906" s="39" t="str">
        <f>IF(AND(B1906&gt;='IN-NX'!$P$3,B1906&lt;='IN-NX'!$Q$3,'IN-NX'!$D$7=D1906,OR(LEFT(L1906,2)="15",AND(LEFT(M1906,2)&lt;&gt;"15",LEFT(M1906,2)&lt;&gt;"33"))),"x","")</f>
        <v/>
      </c>
      <c r="X1906" s="39" t="str">
        <f>IF(AND(OR(LEFT(TH!L1906,2)="15",LEFT(TH!M1906,2)="15"),'152-CT'!$J$8=TH!F1906),"x","")</f>
        <v/>
      </c>
      <c r="Y1906" s="39" t="str">
        <f>IF(AND(OR(LEFT(TH!L1906,2)="15",LEFT(TH!M1906,2)="15"),TK!$E$7=TH!F1906),"x","")</f>
        <v/>
      </c>
      <c r="Z1906" s="39" t="str">
        <f>IF(AND(B1906&lt;=NKC!$N$8,B1906&gt;=NKC!$M$8),"x","")</f>
        <v>x</v>
      </c>
      <c r="AA1906" s="886"/>
    </row>
    <row r="1907" spans="1:27" s="211" customFormat="1" ht="15.75" customHeight="1">
      <c r="A1907" s="204" t="str">
        <f>IF(B1907&lt;&gt;"",IF(AND(B1907&gt;=_TM1,B1907&lt;=_TM2,OR(TH!L1907="1111",TH!M1907="1111")),TH!D1907,""),"")</f>
        <v/>
      </c>
      <c r="B1907" s="36">
        <f t="shared" si="261"/>
        <v>9</v>
      </c>
      <c r="C1907" s="191">
        <f t="shared" si="260"/>
        <v>41540</v>
      </c>
      <c r="D1907" s="37"/>
      <c r="E1907" s="191">
        <v>41540</v>
      </c>
      <c r="F1907" s="189" t="s">
        <v>817</v>
      </c>
      <c r="G1907" s="604" t="s">
        <v>935</v>
      </c>
      <c r="H1907" s="7" t="s">
        <v>1293</v>
      </c>
      <c r="I1907" s="256"/>
      <c r="J1907" s="256"/>
      <c r="K1907" s="602">
        <f t="shared" si="262"/>
        <v>0</v>
      </c>
      <c r="L1907" s="39" t="s">
        <v>173</v>
      </c>
      <c r="M1907" s="39" t="s">
        <v>167</v>
      </c>
      <c r="N1907" s="39" t="str">
        <f>IF(AND('331-CT'!$E$7=TH!H1907,OR(L1907="331",M1907="331")),"331",IF(AND(OR(L1907="131",M1907="131"),H1907='131-CT'!$E$7),"131",""))</f>
        <v/>
      </c>
      <c r="O1907" s="39" t="str">
        <f>IF(AND($B1907&gt;='111'!$N$11,$B1907&lt;='111'!$O$11,OR($L1907=$O$7,$M1907=$O$7)),"x","")</f>
        <v/>
      </c>
      <c r="P1907" s="39" t="str">
        <f>IF(AND($L1907=$O$7,$B1907&lt;'111'!$N$11),"x","")</f>
        <v/>
      </c>
      <c r="Q1907" s="39" t="str">
        <f>IF(AND($M1907=$O$7,$B1907&lt;'111'!$N$11),"x","")</f>
        <v/>
      </c>
      <c r="R1907" s="39" t="str">
        <f>IF(ISERROR(FIND('112'!$M$9,G1907,1)),"",IF((AND(FIND('112'!$M$9,G1907,1)&gt;=1,$B1907&gt;='112'!$N$8,$B1907&lt;='112'!$O$8,OR($L1907='112'!$I$6,$M1907='112'!$I$6))),"x",""))</f>
        <v/>
      </c>
      <c r="S1907" s="39" t="str">
        <f>IF(ISERROR(FIND('112'!$M$9,G1907,1)),"",IF((AND(LEFT(G1907,2)=LEFT('112'!$M$9,2),B1907&lt;'112'!$N$8,$L1907='112'!$I$6)),"x",""))</f>
        <v/>
      </c>
      <c r="T1907" s="39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39" t="str">
        <f>IF(OR(TH!L1907=TH!$V$7,M1907=TH!$V$7),"x","")</f>
        <v/>
      </c>
      <c r="W1907" s="39" t="str">
        <f>IF(AND(B1907&gt;='IN-NX'!$P$3,B1907&lt;='IN-NX'!$Q$3,'IN-NX'!$D$7=D1907,OR(LEFT(L1907,2)="15",AND(LEFT(M1907,2)&lt;&gt;"15",LEFT(M1907,2)&lt;&gt;"33"))),"x","")</f>
        <v/>
      </c>
      <c r="X1907" s="39" t="str">
        <f>IF(AND(OR(LEFT(TH!L1907,2)="15",LEFT(TH!M1907,2)="15"),'152-CT'!$J$8=TH!F1907),"x","")</f>
        <v/>
      </c>
      <c r="Y1907" s="39" t="str">
        <f>IF(AND(OR(LEFT(TH!L1907,2)="15",LEFT(TH!M1907,2)="15"),TK!$E$7=TH!F1907),"x","")</f>
        <v/>
      </c>
      <c r="Z1907" s="39" t="str">
        <f>IF(AND(B1907&lt;=NKC!$N$8,B1907&gt;=NKC!$M$8),"x","")</f>
        <v>x</v>
      </c>
      <c r="AA1907" s="886"/>
    </row>
    <row r="1908" spans="1:27" s="211" customFormat="1" ht="15.75" customHeight="1">
      <c r="A1908" s="204" t="str">
        <f>IF(B1908&lt;&gt;"",IF(AND(B1908&gt;=_TM1,B1908&lt;=_TM2,OR(TH!L1908="1111",TH!M1908="1111")),TH!D1908,""),"")</f>
        <v/>
      </c>
      <c r="B1908" s="36">
        <f t="shared" si="261"/>
        <v>9</v>
      </c>
      <c r="C1908" s="191">
        <f t="shared" si="260"/>
        <v>41540</v>
      </c>
      <c r="D1908" s="184"/>
      <c r="E1908" s="774">
        <v>41540</v>
      </c>
      <c r="F1908" s="189" t="s">
        <v>889</v>
      </c>
      <c r="G1908" s="40" t="s">
        <v>936</v>
      </c>
      <c r="H1908" s="7" t="s">
        <v>1293</v>
      </c>
      <c r="I1908" s="256"/>
      <c r="J1908" s="256"/>
      <c r="K1908" s="602">
        <f t="shared" si="262"/>
        <v>0</v>
      </c>
      <c r="L1908" s="39" t="s">
        <v>173</v>
      </c>
      <c r="M1908" s="39" t="s">
        <v>167</v>
      </c>
      <c r="N1908" s="39" t="str">
        <f>IF(AND('331-CT'!$E$7=TH!H1908,OR(L1908="331",M1908="331")),"331",IF(AND(OR(L1908="131",M1908="131"),H1908='131-CT'!$E$7),"131",""))</f>
        <v/>
      </c>
      <c r="O1908" s="39" t="str">
        <f>IF(AND($B1908&gt;='111'!$N$11,$B1908&lt;='111'!$O$11,OR($L1908=$O$7,$M1908=$O$7)),"x","")</f>
        <v/>
      </c>
      <c r="P1908" s="39" t="str">
        <f>IF(AND($L1908=$O$7,$B1908&lt;'111'!$N$11),"x","")</f>
        <v/>
      </c>
      <c r="Q1908" s="39" t="str">
        <f>IF(AND($M1908=$O$7,$B1908&lt;'111'!$N$11),"x","")</f>
        <v/>
      </c>
      <c r="R1908" s="39" t="str">
        <f>IF(ISERROR(FIND('112'!$M$9,G1908,1)),"",IF((AND(FIND('112'!$M$9,G1908,1)&gt;=1,$B1908&gt;='112'!$N$8,$B1908&lt;='112'!$O$8,OR($L1908='112'!$I$6,$M1908='112'!$I$6))),"x",""))</f>
        <v/>
      </c>
      <c r="S1908" s="39" t="str">
        <f>IF(ISERROR(FIND('112'!$M$9,G1908,1)),"",IF((AND(LEFT(G1908,2)=LEFT('112'!$M$9,2),B1908&lt;'112'!$N$8,$L1908='112'!$I$6)),"x",""))</f>
        <v/>
      </c>
      <c r="T1908" s="39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39" t="str">
        <f>IF(OR(TH!L1908=TH!$V$7,M1908=TH!$V$7),"x","")</f>
        <v/>
      </c>
      <c r="W1908" s="39" t="str">
        <f>IF(AND(B1908&gt;='IN-NX'!$P$3,B1908&lt;='IN-NX'!$Q$3,'IN-NX'!$D$7=D1908,OR(LEFT(L1908,2)="15",AND(LEFT(M1908,2)&lt;&gt;"15",LEFT(M1908,2)&lt;&gt;"33"))),"x","")</f>
        <v/>
      </c>
      <c r="X1908" s="39" t="str">
        <f>IF(AND(OR(LEFT(TH!L1908,2)="15",LEFT(TH!M1908,2)="15"),'152-CT'!$J$8=TH!F1908),"x","")</f>
        <v/>
      </c>
      <c r="Y1908" s="39" t="str">
        <f>IF(AND(OR(LEFT(TH!L1908,2)="15",LEFT(TH!M1908,2)="15"),TK!$E$7=TH!F1908),"x","")</f>
        <v/>
      </c>
      <c r="Z1908" s="39" t="str">
        <f>IF(AND(B1908&lt;=NKC!$N$8,B1908&gt;=NKC!$M$8),"x","")</f>
        <v>x</v>
      </c>
      <c r="AA1908" s="886"/>
    </row>
    <row r="1909" spans="1:27" s="211" customFormat="1" ht="15.75" customHeight="1">
      <c r="A1909" s="204" t="str">
        <f>IF(B1909&lt;&gt;"",IF(AND(B1909&gt;=_TM1,B1909&lt;=_TM2,OR(TH!L1909="1111",TH!M1909="1111")),TH!D1909,""),"")</f>
        <v/>
      </c>
      <c r="B1909" s="36">
        <f t="shared" si="261"/>
        <v>9</v>
      </c>
      <c r="C1909" s="191">
        <f t="shared" si="260"/>
        <v>41542</v>
      </c>
      <c r="D1909" s="184"/>
      <c r="E1909" s="774">
        <v>41542</v>
      </c>
      <c r="F1909" s="40" t="s">
        <v>1150</v>
      </c>
      <c r="G1909" s="40" t="s">
        <v>937</v>
      </c>
      <c r="H1909" s="7" t="s">
        <v>1293</v>
      </c>
      <c r="I1909" s="256"/>
      <c r="J1909" s="256"/>
      <c r="K1909" s="602">
        <f t="shared" si="262"/>
        <v>0</v>
      </c>
      <c r="L1909" s="39" t="s">
        <v>173</v>
      </c>
      <c r="M1909" s="39" t="s">
        <v>167</v>
      </c>
      <c r="N1909" s="39" t="str">
        <f>IF(AND('331-CT'!$E$7=TH!H1909,OR(L1909="331",M1909="331")),"331",IF(AND(OR(L1909="131",M1909="131"),H1909='131-CT'!$E$7),"131",""))</f>
        <v/>
      </c>
      <c r="O1909" s="39" t="str">
        <f>IF(AND($B1909&gt;='111'!$N$11,$B1909&lt;='111'!$O$11,OR($L1909=$O$7,$M1909=$O$7)),"x","")</f>
        <v/>
      </c>
      <c r="P1909" s="39" t="str">
        <f>IF(AND($L1909=$O$7,$B1909&lt;'111'!$N$11),"x","")</f>
        <v/>
      </c>
      <c r="Q1909" s="39" t="str">
        <f>IF(AND($M1909=$O$7,$B1909&lt;'111'!$N$11),"x","")</f>
        <v/>
      </c>
      <c r="R1909" s="39" t="str">
        <f>IF(ISERROR(FIND('112'!$M$9,G1909,1)),"",IF((AND(FIND('112'!$M$9,G1909,1)&gt;=1,$B1909&gt;='112'!$N$8,$B1909&lt;='112'!$O$8,OR($L1909='112'!$I$6,$M1909='112'!$I$6))),"x",""))</f>
        <v/>
      </c>
      <c r="S1909" s="39" t="str">
        <f>IF(ISERROR(FIND('112'!$M$9,G1909,1)),"",IF((AND(LEFT(G1909,2)=LEFT('112'!$M$9,2),B1909&lt;'112'!$N$8,$L1909='112'!$I$6)),"x",""))</f>
        <v/>
      </c>
      <c r="T1909" s="39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39" t="str">
        <f>IF(OR(TH!L1909=TH!$V$7,M1909=TH!$V$7),"x","")</f>
        <v/>
      </c>
      <c r="W1909" s="39" t="str">
        <f>IF(AND(B1909&gt;='IN-NX'!$P$3,B1909&lt;='IN-NX'!$Q$3,'IN-NX'!$D$7=D1909,OR(LEFT(L1909,2)="15",AND(LEFT(M1909,2)&lt;&gt;"15",LEFT(M1909,2)&lt;&gt;"33"))),"x","")</f>
        <v/>
      </c>
      <c r="X1909" s="39" t="str">
        <f>IF(AND(OR(LEFT(TH!L1909,2)="15",LEFT(TH!M1909,2)="15"),'152-CT'!$J$8=TH!F1909),"x","")</f>
        <v/>
      </c>
      <c r="Y1909" s="39" t="str">
        <f>IF(AND(OR(LEFT(TH!L1909,2)="15",LEFT(TH!M1909,2)="15"),TK!$E$7=TH!F1909),"x","")</f>
        <v/>
      </c>
      <c r="Z1909" s="39" t="str">
        <f>IF(AND(B1909&lt;=NKC!$N$8,B1909&gt;=NKC!$M$8),"x","")</f>
        <v>x</v>
      </c>
      <c r="AA1909" s="886"/>
    </row>
    <row r="1910" spans="1:27" s="211" customFormat="1" ht="15.75" customHeight="1">
      <c r="A1910" s="204" t="str">
        <f>IF(B1910&lt;&gt;"",IF(AND(B1910&gt;=_TM1,B1910&lt;=_TM2,OR(TH!L1910="1111",TH!M1910="1111")),TH!D1910,""),"")</f>
        <v/>
      </c>
      <c r="B1910" s="36">
        <f t="shared" si="261"/>
        <v>9</v>
      </c>
      <c r="C1910" s="191">
        <f t="shared" si="260"/>
        <v>41543</v>
      </c>
      <c r="D1910" s="184"/>
      <c r="E1910" s="774">
        <v>41543</v>
      </c>
      <c r="F1910" s="189" t="s">
        <v>1153</v>
      </c>
      <c r="G1910" s="40" t="s">
        <v>938</v>
      </c>
      <c r="H1910" s="7" t="s">
        <v>1293</v>
      </c>
      <c r="I1910" s="256"/>
      <c r="J1910" s="256"/>
      <c r="K1910" s="602">
        <f t="shared" si="262"/>
        <v>0</v>
      </c>
      <c r="L1910" s="39" t="s">
        <v>173</v>
      </c>
      <c r="M1910" s="39" t="s">
        <v>167</v>
      </c>
      <c r="N1910" s="39" t="str">
        <f>IF(AND('331-CT'!$E$7=TH!H1910,OR(L1910="331",M1910="331")),"331",IF(AND(OR(L1910="131",M1910="131"),H1910='131-CT'!$E$7),"131",""))</f>
        <v/>
      </c>
      <c r="O1910" s="39" t="str">
        <f>IF(AND($B1910&gt;='111'!$N$11,$B1910&lt;='111'!$O$11,OR($L1910=$O$7,$M1910=$O$7)),"x","")</f>
        <v/>
      </c>
      <c r="P1910" s="39" t="str">
        <f>IF(AND($L1910=$O$7,$B1910&lt;'111'!$N$11),"x","")</f>
        <v/>
      </c>
      <c r="Q1910" s="39" t="str">
        <f>IF(AND($M1910=$O$7,$B1910&lt;'111'!$N$11),"x","")</f>
        <v/>
      </c>
      <c r="R1910" s="39" t="str">
        <f>IF(ISERROR(FIND('112'!$M$9,G1910,1)),"",IF((AND(FIND('112'!$M$9,G1910,1)&gt;=1,$B1910&gt;='112'!$N$8,$B1910&lt;='112'!$O$8,OR($L1910='112'!$I$6,$M1910='112'!$I$6))),"x",""))</f>
        <v/>
      </c>
      <c r="S1910" s="39" t="str">
        <f>IF(ISERROR(FIND('112'!$M$9,G1910,1)),"",IF((AND(LEFT(G1910,2)=LEFT('112'!$M$9,2),B1910&lt;'112'!$N$8,$L1910='112'!$I$6)),"x",""))</f>
        <v/>
      </c>
      <c r="T1910" s="39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39" t="str">
        <f>IF(OR(TH!L1910=TH!$V$7,M1910=TH!$V$7),"x","")</f>
        <v/>
      </c>
      <c r="W1910" s="39" t="str">
        <f>IF(AND(B1910&gt;='IN-NX'!$P$3,B1910&lt;='IN-NX'!$Q$3,'IN-NX'!$D$7=D1910,OR(LEFT(L1910,2)="15",AND(LEFT(M1910,2)&lt;&gt;"15",LEFT(M1910,2)&lt;&gt;"33"))),"x","")</f>
        <v/>
      </c>
      <c r="X1910" s="39" t="str">
        <f>IF(AND(OR(LEFT(TH!L1910,2)="15",LEFT(TH!M1910,2)="15"),'152-CT'!$J$8=TH!F1910),"x","")</f>
        <v/>
      </c>
      <c r="Y1910" s="39" t="str">
        <f>IF(AND(OR(LEFT(TH!L1910,2)="15",LEFT(TH!M1910,2)="15"),TK!$E$7=TH!F1910),"x","")</f>
        <v/>
      </c>
      <c r="Z1910" s="39" t="str">
        <f>IF(AND(B1910&lt;=NKC!$N$8,B1910&gt;=NKC!$M$8),"x","")</f>
        <v>x</v>
      </c>
      <c r="AA1910" s="886"/>
    </row>
    <row r="1911" spans="1:27" s="211" customFormat="1" ht="15.75" customHeight="1">
      <c r="A1911" s="204" t="str">
        <f>IF(B1911&lt;&gt;"",IF(AND(B1911&gt;=_TM1,B1911&lt;=_TM2,OR(TH!L1911="1111",TH!M1911="1111")),TH!D1911,""),"")</f>
        <v/>
      </c>
      <c r="B1911" s="36">
        <f t="shared" si="261"/>
        <v>9</v>
      </c>
      <c r="C1911" s="191">
        <f t="shared" si="260"/>
        <v>41547</v>
      </c>
      <c r="D1911" s="184"/>
      <c r="E1911" s="774">
        <v>41547</v>
      </c>
      <c r="F1911" s="297" t="s">
        <v>838</v>
      </c>
      <c r="G1911" s="40" t="s">
        <v>939</v>
      </c>
      <c r="H1911" s="7" t="s">
        <v>1293</v>
      </c>
      <c r="I1911" s="256"/>
      <c r="J1911" s="256"/>
      <c r="K1911" s="602">
        <f t="shared" si="262"/>
        <v>0</v>
      </c>
      <c r="L1911" s="39" t="s">
        <v>173</v>
      </c>
      <c r="M1911" s="39" t="s">
        <v>167</v>
      </c>
      <c r="N1911" s="39" t="str">
        <f>IF(AND('331-CT'!$E$7=TH!H1911,OR(L1911="331",M1911="331")),"331",IF(AND(OR(L1911="131",M1911="131"),H1911='131-CT'!$E$7),"131",""))</f>
        <v/>
      </c>
      <c r="O1911" s="39" t="str">
        <f>IF(AND($B1911&gt;='111'!$N$11,$B1911&lt;='111'!$O$11,OR($L1911=$O$7,$M1911=$O$7)),"x","")</f>
        <v/>
      </c>
      <c r="P1911" s="39" t="str">
        <f>IF(AND($L1911=$O$7,$B1911&lt;'111'!$N$11),"x","")</f>
        <v/>
      </c>
      <c r="Q1911" s="39" t="str">
        <f>IF(AND($M1911=$O$7,$B1911&lt;'111'!$N$11),"x","")</f>
        <v/>
      </c>
      <c r="R1911" s="39" t="str">
        <f>IF(ISERROR(FIND('112'!$M$9,G1911,1)),"",IF((AND(FIND('112'!$M$9,G1911,1)&gt;=1,$B1911&gt;='112'!$N$8,$B1911&lt;='112'!$O$8,OR($L1911='112'!$I$6,$M1911='112'!$I$6))),"x",""))</f>
        <v/>
      </c>
      <c r="S1911" s="39" t="str">
        <f>IF(ISERROR(FIND('112'!$M$9,G1911,1)),"",IF((AND(LEFT(G1911,2)=LEFT('112'!$M$9,2),B1911&lt;'112'!$N$8,$L1911='112'!$I$6)),"x",""))</f>
        <v/>
      </c>
      <c r="T1911" s="39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39" t="str">
        <f>IF(OR(TH!L1911=TH!$V$7,M1911=TH!$V$7),"x","")</f>
        <v/>
      </c>
      <c r="W1911" s="39" t="str">
        <f>IF(AND(B1911&gt;='IN-NX'!$P$3,B1911&lt;='IN-NX'!$Q$3,'IN-NX'!$D$7=D1911,OR(LEFT(L1911,2)="15",AND(LEFT(M1911,2)&lt;&gt;"15",LEFT(M1911,2)&lt;&gt;"33"))),"x","")</f>
        <v/>
      </c>
      <c r="X1911" s="39" t="str">
        <f>IF(AND(OR(LEFT(TH!L1911,2)="15",LEFT(TH!M1911,2)="15"),'152-CT'!$J$8=TH!F1911),"x","")</f>
        <v/>
      </c>
      <c r="Y1911" s="39" t="str">
        <f>IF(AND(OR(LEFT(TH!L1911,2)="15",LEFT(TH!M1911,2)="15"),TK!$E$7=TH!F1911),"x","")</f>
        <v/>
      </c>
      <c r="Z1911" s="39" t="str">
        <f>IF(AND(B1911&lt;=NKC!$N$8,B1911&gt;=NKC!$M$8),"x","")</f>
        <v>x</v>
      </c>
      <c r="AA1911" s="886"/>
    </row>
    <row r="1912" spans="1:27" s="211" customFormat="1" ht="15.75" customHeight="1">
      <c r="A1912" s="204" t="str">
        <f>IF(B1912&lt;&gt;"",IF(AND(B1912&gt;=_TM1,B1912&lt;=_TM2,OR(TH!L1912="1111",TH!M1912="1111")),TH!D1912,""),"")</f>
        <v/>
      </c>
      <c r="B1912" s="36">
        <f t="shared" si="261"/>
        <v>9</v>
      </c>
      <c r="C1912" s="191">
        <f t="shared" si="260"/>
        <v>41547</v>
      </c>
      <c r="D1912" s="184"/>
      <c r="E1912" s="774">
        <v>41547</v>
      </c>
      <c r="F1912" s="40" t="s">
        <v>940</v>
      </c>
      <c r="G1912" s="40" t="s">
        <v>941</v>
      </c>
      <c r="H1912" s="7" t="s">
        <v>1293</v>
      </c>
      <c r="I1912" s="256"/>
      <c r="J1912" s="256"/>
      <c r="K1912" s="602">
        <f t="shared" si="262"/>
        <v>0</v>
      </c>
      <c r="L1912" s="39" t="s">
        <v>173</v>
      </c>
      <c r="M1912" s="39" t="s">
        <v>167</v>
      </c>
      <c r="N1912" s="39" t="str">
        <f>IF(AND('331-CT'!$E$7=TH!H1912,OR(L1912="331",M1912="331")),"331",IF(AND(OR(L1912="131",M1912="131"),H1912='131-CT'!$E$7),"131",""))</f>
        <v/>
      </c>
      <c r="O1912" s="39" t="str">
        <f>IF(AND($B1912&gt;='111'!$N$11,$B1912&lt;='111'!$O$11,OR($L1912=$O$7,$M1912=$O$7)),"x","")</f>
        <v/>
      </c>
      <c r="P1912" s="39" t="str">
        <f>IF(AND($L1912=$O$7,$B1912&lt;'111'!$N$11),"x","")</f>
        <v/>
      </c>
      <c r="Q1912" s="39" t="str">
        <f>IF(AND($M1912=$O$7,$B1912&lt;'111'!$N$11),"x","")</f>
        <v/>
      </c>
      <c r="R1912" s="39" t="str">
        <f>IF(ISERROR(FIND('112'!$M$9,G1912,1)),"",IF((AND(FIND('112'!$M$9,G1912,1)&gt;=1,$B1912&gt;='112'!$N$8,$B1912&lt;='112'!$O$8,OR($L1912='112'!$I$6,$M1912='112'!$I$6))),"x",""))</f>
        <v/>
      </c>
      <c r="S1912" s="39" t="str">
        <f>IF(ISERROR(FIND('112'!$M$9,G1912,1)),"",IF((AND(LEFT(G1912,2)=LEFT('112'!$M$9,2),B1912&lt;'112'!$N$8,$L1912='112'!$I$6)),"x",""))</f>
        <v/>
      </c>
      <c r="T1912" s="39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39" t="str">
        <f>IF(OR(TH!L1912=TH!$V$7,M1912=TH!$V$7),"x","")</f>
        <v/>
      </c>
      <c r="W1912" s="39" t="str">
        <f>IF(AND(B1912&gt;='IN-NX'!$P$3,B1912&lt;='IN-NX'!$Q$3,'IN-NX'!$D$7=D1912,OR(LEFT(L1912,2)="15",AND(LEFT(M1912,2)&lt;&gt;"15",LEFT(M1912,2)&lt;&gt;"33"))),"x","")</f>
        <v/>
      </c>
      <c r="X1912" s="39" t="str">
        <f>IF(AND(OR(LEFT(TH!L1912,2)="15",LEFT(TH!M1912,2)="15"),'152-CT'!$J$8=TH!F1912),"x","")</f>
        <v/>
      </c>
      <c r="Y1912" s="39" t="str">
        <f>IF(AND(OR(LEFT(TH!L1912,2)="15",LEFT(TH!M1912,2)="15"),TK!$E$7=TH!F1912),"x","")</f>
        <v/>
      </c>
      <c r="Z1912" s="39" t="str">
        <f>IF(AND(B1912&lt;=NKC!$N$8,B1912&gt;=NKC!$M$8),"x","")</f>
        <v>x</v>
      </c>
      <c r="AA1912" s="886"/>
    </row>
    <row r="1913" spans="1:27" s="211" customFormat="1" ht="15.75" customHeight="1">
      <c r="A1913" s="204" t="str">
        <f>IF(B1913&lt;&gt;"",IF(AND(B1913&gt;=_TM1,B1913&lt;=_TM2,OR(TH!L1913="1111",TH!M1913="1111")),TH!D1913,""),"")</f>
        <v/>
      </c>
      <c r="B1913" s="36">
        <f t="shared" si="261"/>
        <v>9</v>
      </c>
      <c r="C1913" s="191">
        <f t="shared" si="260"/>
        <v>41547</v>
      </c>
      <c r="D1913" s="184"/>
      <c r="E1913" s="774">
        <v>41547</v>
      </c>
      <c r="F1913" s="189" t="s">
        <v>942</v>
      </c>
      <c r="G1913" s="40" t="s">
        <v>941</v>
      </c>
      <c r="H1913" s="7" t="s">
        <v>1293</v>
      </c>
      <c r="I1913" s="256"/>
      <c r="J1913" s="256"/>
      <c r="K1913" s="602">
        <f t="shared" si="262"/>
        <v>0</v>
      </c>
      <c r="L1913" s="39" t="s">
        <v>173</v>
      </c>
      <c r="M1913" s="39" t="s">
        <v>167</v>
      </c>
      <c r="N1913" s="39" t="str">
        <f>IF(AND('331-CT'!$E$7=TH!H1913,OR(L1913="331",M1913="331")),"331",IF(AND(OR(L1913="131",M1913="131"),H1913='131-CT'!$E$7),"131",""))</f>
        <v/>
      </c>
      <c r="O1913" s="39" t="str">
        <f>IF(AND($B1913&gt;='111'!$N$11,$B1913&lt;='111'!$O$11,OR($L1913=$O$7,$M1913=$O$7)),"x","")</f>
        <v/>
      </c>
      <c r="P1913" s="39" t="str">
        <f>IF(AND($L1913=$O$7,$B1913&lt;'111'!$N$11),"x","")</f>
        <v/>
      </c>
      <c r="Q1913" s="39" t="str">
        <f>IF(AND($M1913=$O$7,$B1913&lt;'111'!$N$11),"x","")</f>
        <v/>
      </c>
      <c r="R1913" s="39" t="str">
        <f>IF(ISERROR(FIND('112'!$M$9,G1913,1)),"",IF((AND(FIND('112'!$M$9,G1913,1)&gt;=1,$B1913&gt;='112'!$N$8,$B1913&lt;='112'!$O$8,OR($L1913='112'!$I$6,$M1913='112'!$I$6))),"x",""))</f>
        <v/>
      </c>
      <c r="S1913" s="39" t="str">
        <f>IF(ISERROR(FIND('112'!$M$9,G1913,1)),"",IF((AND(LEFT(G1913,2)=LEFT('112'!$M$9,2),B1913&lt;'112'!$N$8,$L1913='112'!$I$6)),"x",""))</f>
        <v/>
      </c>
      <c r="T1913" s="39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39" t="str">
        <f>IF(OR(TH!L1913=TH!$V$7,M1913=TH!$V$7),"x","")</f>
        <v/>
      </c>
      <c r="W1913" s="39" t="str">
        <f>IF(AND(B1913&gt;='IN-NX'!$P$3,B1913&lt;='IN-NX'!$Q$3,'IN-NX'!$D$7=D1913,OR(LEFT(L1913,2)="15",AND(LEFT(M1913,2)&lt;&gt;"15",LEFT(M1913,2)&lt;&gt;"33"))),"x","")</f>
        <v/>
      </c>
      <c r="X1913" s="39" t="str">
        <f>IF(AND(OR(LEFT(TH!L1913,2)="15",LEFT(TH!M1913,2)="15"),'152-CT'!$J$8=TH!F1913),"x","")</f>
        <v/>
      </c>
      <c r="Y1913" s="39" t="str">
        <f>IF(AND(OR(LEFT(TH!L1913,2)="15",LEFT(TH!M1913,2)="15"),TK!$E$7=TH!F1913),"x","")</f>
        <v/>
      </c>
      <c r="Z1913" s="39" t="str">
        <f>IF(AND(B1913&lt;=NKC!$N$8,B1913&gt;=NKC!$M$8),"x","")</f>
        <v>x</v>
      </c>
      <c r="AA1913" s="886"/>
    </row>
    <row r="1914" spans="1:27" s="211" customFormat="1" ht="15.75" customHeight="1">
      <c r="A1914" s="204" t="str">
        <f>IF(B1914&lt;&gt;"",IF(AND(B1914&gt;=_TM1,B1914&lt;=_TM2,OR(TH!L1914="1111",TH!M1914="1111")),TH!D1914,""),"")</f>
        <v/>
      </c>
      <c r="B1914" s="36">
        <f t="shared" si="261"/>
        <v>9</v>
      </c>
      <c r="C1914" s="191">
        <f t="shared" si="260"/>
        <v>41547</v>
      </c>
      <c r="D1914" s="191"/>
      <c r="E1914" s="774">
        <v>41547</v>
      </c>
      <c r="F1914" s="40" t="s">
        <v>943</v>
      </c>
      <c r="G1914" s="40" t="s">
        <v>944</v>
      </c>
      <c r="H1914" s="7" t="s">
        <v>1293</v>
      </c>
      <c r="I1914" s="256"/>
      <c r="J1914" s="256"/>
      <c r="K1914" s="602">
        <f t="shared" si="262"/>
        <v>0</v>
      </c>
      <c r="L1914" s="39" t="s">
        <v>173</v>
      </c>
      <c r="M1914" s="39" t="s">
        <v>167</v>
      </c>
      <c r="N1914" s="39" t="str">
        <f>IF(AND('331-CT'!$E$7=TH!H1914,OR(L1914="331",M1914="331")),"331",IF(AND(OR(L1914="131",M1914="131"),H1914='131-CT'!$E$7),"131",""))</f>
        <v/>
      </c>
      <c r="O1914" s="39" t="str">
        <f>IF(AND($B1914&gt;='111'!$N$11,$B1914&lt;='111'!$O$11,OR($L1914=$O$7,$M1914=$O$7)),"x","")</f>
        <v/>
      </c>
      <c r="P1914" s="39" t="str">
        <f>IF(AND($L1914=$O$7,$B1914&lt;'111'!$N$11),"x","")</f>
        <v/>
      </c>
      <c r="Q1914" s="39" t="str">
        <f>IF(AND($M1914=$O$7,$B1914&lt;'111'!$N$11),"x","")</f>
        <v/>
      </c>
      <c r="R1914" s="39" t="str">
        <f>IF(ISERROR(FIND('112'!$M$9,G1914,1)),"",IF((AND(FIND('112'!$M$9,G1914,1)&gt;=1,$B1914&gt;='112'!$N$8,$B1914&lt;='112'!$O$8,OR($L1914='112'!$I$6,$M1914='112'!$I$6))),"x",""))</f>
        <v/>
      </c>
      <c r="S1914" s="39" t="str">
        <f>IF(ISERROR(FIND('112'!$M$9,G1914,1)),"",IF((AND(LEFT(G1914,2)=LEFT('112'!$M$9,2),B1914&lt;'112'!$N$8,$L1914='112'!$I$6)),"x",""))</f>
        <v/>
      </c>
      <c r="T1914" s="39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39" t="str">
        <f>IF(OR(TH!L1914=TH!$V$7,M1914=TH!$V$7),"x","")</f>
        <v/>
      </c>
      <c r="W1914" s="39" t="str">
        <f>IF(AND(B1914&gt;='IN-NX'!$P$3,B1914&lt;='IN-NX'!$Q$3,'IN-NX'!$D$7=D1914,OR(LEFT(L1914,2)="15",AND(LEFT(M1914,2)&lt;&gt;"15",LEFT(M1914,2)&lt;&gt;"33"))),"x","")</f>
        <v/>
      </c>
      <c r="X1914" s="39" t="str">
        <f>IF(AND(OR(LEFT(TH!L1914,2)="15",LEFT(TH!M1914,2)="15"),'152-CT'!$J$8=TH!F1914),"x","")</f>
        <v/>
      </c>
      <c r="Y1914" s="39" t="str">
        <f>IF(AND(OR(LEFT(TH!L1914,2)="15",LEFT(TH!M1914,2)="15"),TK!$E$7=TH!F1914),"x","")</f>
        <v/>
      </c>
      <c r="Z1914" s="39" t="str">
        <f>IF(AND(B1914&lt;=NKC!$N$8,B1914&gt;=NKC!$M$8),"x","")</f>
        <v>x</v>
      </c>
      <c r="AA1914" s="886"/>
    </row>
    <row r="1915" spans="1:27" s="211" customFormat="1" ht="15.75" customHeight="1">
      <c r="A1915" s="204" t="str">
        <f>IF(B1915&lt;&gt;"",IF(AND(B1915&gt;=_TM1,B1915&lt;=_TM2,OR(TH!L1915="1111",TH!M1915="1111")),TH!D1915,""),"")</f>
        <v/>
      </c>
      <c r="B1915" s="36">
        <f t="shared" si="261"/>
        <v>9</v>
      </c>
      <c r="C1915" s="191">
        <f t="shared" si="260"/>
        <v>41547</v>
      </c>
      <c r="D1915" s="191"/>
      <c r="E1915" s="774">
        <v>41547</v>
      </c>
      <c r="F1915" s="189" t="s">
        <v>945</v>
      </c>
      <c r="G1915" s="40" t="s">
        <v>944</v>
      </c>
      <c r="H1915" s="7" t="s">
        <v>1293</v>
      </c>
      <c r="I1915" s="256"/>
      <c r="J1915" s="256"/>
      <c r="K1915" s="602">
        <f t="shared" si="262"/>
        <v>0</v>
      </c>
      <c r="L1915" s="39" t="s">
        <v>173</v>
      </c>
      <c r="M1915" s="39" t="s">
        <v>167</v>
      </c>
      <c r="N1915" s="39" t="str">
        <f>IF(AND('331-CT'!$E$7=TH!H1915,OR(L1915="331",M1915="331")),"331",IF(AND(OR(L1915="131",M1915="131"),H1915='131-CT'!$E$7),"131",""))</f>
        <v/>
      </c>
      <c r="O1915" s="39" t="str">
        <f>IF(AND($B1915&gt;='111'!$N$11,$B1915&lt;='111'!$O$11,OR($L1915=$O$7,$M1915=$O$7)),"x","")</f>
        <v/>
      </c>
      <c r="P1915" s="39" t="str">
        <f>IF(AND($L1915=$O$7,$B1915&lt;'111'!$N$11),"x","")</f>
        <v/>
      </c>
      <c r="Q1915" s="39" t="str">
        <f>IF(AND($M1915=$O$7,$B1915&lt;'111'!$N$11),"x","")</f>
        <v/>
      </c>
      <c r="R1915" s="39" t="str">
        <f>IF(ISERROR(FIND('112'!$M$9,G1915,1)),"",IF((AND(FIND('112'!$M$9,G1915,1)&gt;=1,$B1915&gt;='112'!$N$8,$B1915&lt;='112'!$O$8,OR($L1915='112'!$I$6,$M1915='112'!$I$6))),"x",""))</f>
        <v/>
      </c>
      <c r="S1915" s="39" t="str">
        <f>IF(ISERROR(FIND('112'!$M$9,G1915,1)),"",IF((AND(LEFT(G1915,2)=LEFT('112'!$M$9,2),B1915&lt;'112'!$N$8,$L1915='112'!$I$6)),"x",""))</f>
        <v/>
      </c>
      <c r="T1915" s="39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39" t="str">
        <f>IF(OR(TH!L1915=TH!$V$7,M1915=TH!$V$7),"x","")</f>
        <v/>
      </c>
      <c r="W1915" s="39" t="str">
        <f>IF(AND(B1915&gt;='IN-NX'!$P$3,B1915&lt;='IN-NX'!$Q$3,'IN-NX'!$D$7=D1915,OR(LEFT(L1915,2)="15",AND(LEFT(M1915,2)&lt;&gt;"15",LEFT(M1915,2)&lt;&gt;"33"))),"x","")</f>
        <v/>
      </c>
      <c r="X1915" s="39" t="str">
        <f>IF(AND(OR(LEFT(TH!L1915,2)="15",LEFT(TH!M1915,2)="15"),'152-CT'!$J$8=TH!F1915),"x","")</f>
        <v/>
      </c>
      <c r="Y1915" s="39" t="str">
        <f>IF(AND(OR(LEFT(TH!L1915,2)="15",LEFT(TH!M1915,2)="15"),TK!$E$7=TH!F1915),"x","")</f>
        <v/>
      </c>
      <c r="Z1915" s="39" t="str">
        <f>IF(AND(B1915&lt;=NKC!$N$8,B1915&gt;=NKC!$M$8),"x","")</f>
        <v>x</v>
      </c>
      <c r="AA1915" s="886"/>
    </row>
    <row r="1916" spans="1:27" s="211" customFormat="1" ht="15.75" customHeight="1">
      <c r="A1916" s="204" t="str">
        <f>IF(B1916&lt;&gt;"",IF(AND(B1916&gt;=_TM1,B1916&lt;=_TM2,OR(TH!L1916="1111",TH!M1916="1111")),TH!D1916,""),"")</f>
        <v/>
      </c>
      <c r="B1916" s="36">
        <f t="shared" si="261"/>
        <v>9</v>
      </c>
      <c r="C1916" s="191">
        <f t="shared" si="260"/>
        <v>41547</v>
      </c>
      <c r="D1916" s="191"/>
      <c r="E1916" s="774">
        <v>41547</v>
      </c>
      <c r="F1916" s="189" t="s">
        <v>945</v>
      </c>
      <c r="G1916" s="40" t="s">
        <v>944</v>
      </c>
      <c r="H1916" s="7" t="s">
        <v>1293</v>
      </c>
      <c r="I1916" s="256"/>
      <c r="J1916" s="256"/>
      <c r="K1916" s="602">
        <f t="shared" si="262"/>
        <v>0</v>
      </c>
      <c r="L1916" s="39" t="s">
        <v>173</v>
      </c>
      <c r="M1916" s="39" t="s">
        <v>167</v>
      </c>
      <c r="N1916" s="39" t="str">
        <f>IF(AND('331-CT'!$E$7=TH!H1916,OR(L1916="331",M1916="331")),"331",IF(AND(OR(L1916="131",M1916="131"),H1916='131-CT'!$E$7),"131",""))</f>
        <v/>
      </c>
      <c r="O1916" s="39" t="str">
        <f>IF(AND($B1916&gt;='111'!$N$11,$B1916&lt;='111'!$O$11,OR($L1916=$O$7,$M1916=$O$7)),"x","")</f>
        <v/>
      </c>
      <c r="P1916" s="39" t="str">
        <f>IF(AND($L1916=$O$7,$B1916&lt;'111'!$N$11),"x","")</f>
        <v/>
      </c>
      <c r="Q1916" s="39" t="str">
        <f>IF(AND($M1916=$O$7,$B1916&lt;'111'!$N$11),"x","")</f>
        <v/>
      </c>
      <c r="R1916" s="39" t="str">
        <f>IF(ISERROR(FIND('112'!$M$9,G1916,1)),"",IF((AND(FIND('112'!$M$9,G1916,1)&gt;=1,$B1916&gt;='112'!$N$8,$B1916&lt;='112'!$O$8,OR($L1916='112'!$I$6,$M1916='112'!$I$6))),"x",""))</f>
        <v/>
      </c>
      <c r="S1916" s="39" t="str">
        <f>IF(ISERROR(FIND('112'!$M$9,G1916,1)),"",IF((AND(LEFT(G1916,2)=LEFT('112'!$M$9,2),B1916&lt;'112'!$N$8,$L1916='112'!$I$6)),"x",""))</f>
        <v/>
      </c>
      <c r="T1916" s="39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39" t="str">
        <f>IF(OR(TH!L1916=TH!$V$7,M1916=TH!$V$7),"x","")</f>
        <v/>
      </c>
      <c r="W1916" s="39" t="str">
        <f>IF(AND(B1916&gt;='IN-NX'!$P$3,B1916&lt;='IN-NX'!$Q$3,'IN-NX'!$D$7=D1916,OR(LEFT(L1916,2)="15",AND(LEFT(M1916,2)&lt;&gt;"15",LEFT(M1916,2)&lt;&gt;"33"))),"x","")</f>
        <v/>
      </c>
      <c r="X1916" s="39" t="str">
        <f>IF(AND(OR(LEFT(TH!L1916,2)="15",LEFT(TH!M1916,2)="15"),'152-CT'!$J$8=TH!F1916),"x","")</f>
        <v/>
      </c>
      <c r="Y1916" s="39" t="str">
        <f>IF(AND(OR(LEFT(TH!L1916,2)="15",LEFT(TH!M1916,2)="15"),TK!$E$7=TH!F1916),"x","")</f>
        <v/>
      </c>
      <c r="Z1916" s="39" t="str">
        <f>IF(AND(B1916&lt;=NKC!$N$8,B1916&gt;=NKC!$M$8),"x","")</f>
        <v>x</v>
      </c>
      <c r="AA1916" s="886"/>
    </row>
    <row r="1917" spans="1:27" s="211" customFormat="1" ht="15.75" customHeight="1">
      <c r="A1917" s="204" t="str">
        <f>IF(B1917&lt;&gt;"",IF(AND(B1917&gt;=_TM1,B1917&lt;=_TM2,OR(TH!L1917="1111",TH!M1917="1111")),TH!D1917,""),"")</f>
        <v/>
      </c>
      <c r="B1917" s="36">
        <f t="shared" si="261"/>
        <v>9</v>
      </c>
      <c r="C1917" s="191">
        <f t="shared" si="260"/>
        <v>41547</v>
      </c>
      <c r="D1917" s="191"/>
      <c r="E1917" s="184">
        <v>41547</v>
      </c>
      <c r="F1917" s="189" t="s">
        <v>946</v>
      </c>
      <c r="G1917" s="604" t="s">
        <v>944</v>
      </c>
      <c r="H1917" s="7" t="s">
        <v>1293</v>
      </c>
      <c r="I1917" s="256"/>
      <c r="J1917" s="256"/>
      <c r="K1917" s="602">
        <f t="shared" si="262"/>
        <v>0</v>
      </c>
      <c r="L1917" s="39" t="s">
        <v>173</v>
      </c>
      <c r="M1917" s="39" t="s">
        <v>167</v>
      </c>
      <c r="N1917" s="39" t="str">
        <f>IF(AND('331-CT'!$E$7=TH!H1917,OR(L1917="331",M1917="331")),"331",IF(AND(OR(L1917="131",M1917="131"),H1917='131-CT'!$E$7),"131",""))</f>
        <v/>
      </c>
      <c r="O1917" s="39" t="str">
        <f>IF(AND($B1917&gt;='111'!$N$11,$B1917&lt;='111'!$O$11,OR($L1917=$O$7,$M1917=$O$7)),"x","")</f>
        <v/>
      </c>
      <c r="P1917" s="39" t="str">
        <f>IF(AND($L1917=$O$7,$B1917&lt;'111'!$N$11),"x","")</f>
        <v/>
      </c>
      <c r="Q1917" s="39" t="str">
        <f>IF(AND($M1917=$O$7,$B1917&lt;'111'!$N$11),"x","")</f>
        <v/>
      </c>
      <c r="R1917" s="39" t="str">
        <f>IF(ISERROR(FIND('112'!$M$9,G1917,1)),"",IF((AND(FIND('112'!$M$9,G1917,1)&gt;=1,$B1917&gt;='112'!$N$8,$B1917&lt;='112'!$O$8,OR($L1917='112'!$I$6,$M1917='112'!$I$6))),"x",""))</f>
        <v/>
      </c>
      <c r="S1917" s="39" t="str">
        <f>IF(ISERROR(FIND('112'!$M$9,G1917,1)),"",IF((AND(LEFT(G1917,2)=LEFT('112'!$M$9,2),B1917&lt;'112'!$N$8,$L1917='112'!$I$6)),"x",""))</f>
        <v/>
      </c>
      <c r="T1917" s="39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39" t="str">
        <f>IF(OR(TH!L1917=TH!$V$7,M1917=TH!$V$7),"x","")</f>
        <v/>
      </c>
      <c r="W1917" s="39" t="str">
        <f>IF(AND(B1917&gt;='IN-NX'!$P$3,B1917&lt;='IN-NX'!$Q$3,'IN-NX'!$D$7=D1917,OR(LEFT(L1917,2)="15",AND(LEFT(M1917,2)&lt;&gt;"15",LEFT(M1917,2)&lt;&gt;"33"))),"x","")</f>
        <v/>
      </c>
      <c r="X1917" s="39" t="str">
        <f>IF(AND(OR(LEFT(TH!L1917,2)="15",LEFT(TH!M1917,2)="15"),'152-CT'!$J$8=TH!F1917),"x","")</f>
        <v/>
      </c>
      <c r="Y1917" s="39" t="str">
        <f>IF(AND(OR(LEFT(TH!L1917,2)="15",LEFT(TH!M1917,2)="15"),TK!$E$7=TH!F1917),"x","")</f>
        <v/>
      </c>
      <c r="Z1917" s="39" t="str">
        <f>IF(AND(B1917&lt;=NKC!$N$8,B1917&gt;=NKC!$M$8),"x","")</f>
        <v>x</v>
      </c>
      <c r="AA1917" s="886"/>
    </row>
    <row r="1918" spans="1:27" s="211" customFormat="1" ht="15.75" customHeight="1">
      <c r="A1918" s="204" t="str">
        <f>IF(B1918&lt;&gt;"",IF(AND(B1918&gt;=_TM1,B1918&lt;=_TM2,OR(TH!L1918="1111",TH!M1918="1111")),TH!D1918,""),"")</f>
        <v/>
      </c>
      <c r="B1918" s="36">
        <f t="shared" si="261"/>
        <v>9</v>
      </c>
      <c r="C1918" s="191">
        <f t="shared" si="260"/>
        <v>41547</v>
      </c>
      <c r="D1918" s="191"/>
      <c r="E1918" s="774">
        <v>41547</v>
      </c>
      <c r="F1918" s="40" t="s">
        <v>1137</v>
      </c>
      <c r="G1918" s="40" t="s">
        <v>947</v>
      </c>
      <c r="H1918" s="7" t="s">
        <v>1293</v>
      </c>
      <c r="I1918" s="256"/>
      <c r="J1918" s="256"/>
      <c r="K1918" s="602">
        <f t="shared" si="262"/>
        <v>0</v>
      </c>
      <c r="L1918" s="39" t="s">
        <v>173</v>
      </c>
      <c r="M1918" s="39" t="s">
        <v>167</v>
      </c>
      <c r="N1918" s="39" t="str">
        <f>IF(AND('331-CT'!$E$7=TH!H1918,OR(L1918="331",M1918="331")),"331",IF(AND(OR(L1918="131",M1918="131"),H1918='131-CT'!$E$7),"131",""))</f>
        <v/>
      </c>
      <c r="O1918" s="39" t="str">
        <f>IF(AND($B1918&gt;='111'!$N$11,$B1918&lt;='111'!$O$11,OR($L1918=$O$7,$M1918=$O$7)),"x","")</f>
        <v/>
      </c>
      <c r="P1918" s="39" t="str">
        <f>IF(AND($L1918=$O$7,$B1918&lt;'111'!$N$11),"x","")</f>
        <v/>
      </c>
      <c r="Q1918" s="39" t="str">
        <f>IF(AND($M1918=$O$7,$B1918&lt;'111'!$N$11),"x","")</f>
        <v/>
      </c>
      <c r="R1918" s="39" t="str">
        <f>IF(ISERROR(FIND('112'!$M$9,G1918,1)),"",IF((AND(FIND('112'!$M$9,G1918,1)&gt;=1,$B1918&gt;='112'!$N$8,$B1918&lt;='112'!$O$8,OR($L1918='112'!$I$6,$M1918='112'!$I$6))),"x",""))</f>
        <v/>
      </c>
      <c r="S1918" s="39" t="str">
        <f>IF(ISERROR(FIND('112'!$M$9,G1918,1)),"",IF((AND(LEFT(G1918,2)=LEFT('112'!$M$9,2),B1918&lt;'112'!$N$8,$L1918='112'!$I$6)),"x",""))</f>
        <v/>
      </c>
      <c r="T1918" s="39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39" t="str">
        <f>IF(OR(TH!L1918=TH!$V$7,M1918=TH!$V$7),"x","")</f>
        <v/>
      </c>
      <c r="W1918" s="39" t="str">
        <f>IF(AND(B1918&gt;='IN-NX'!$P$3,B1918&lt;='IN-NX'!$Q$3,'IN-NX'!$D$7=D1918,OR(LEFT(L1918,2)="15",AND(LEFT(M1918,2)&lt;&gt;"15",LEFT(M1918,2)&lt;&gt;"33"))),"x","")</f>
        <v/>
      </c>
      <c r="X1918" s="39" t="str">
        <f>IF(AND(OR(LEFT(TH!L1918,2)="15",LEFT(TH!M1918,2)="15"),'152-CT'!$J$8=TH!F1918),"x","")</f>
        <v/>
      </c>
      <c r="Y1918" s="39" t="str">
        <f>IF(AND(OR(LEFT(TH!L1918,2)="15",LEFT(TH!M1918,2)="15"),TK!$E$7=TH!F1918),"x","")</f>
        <v/>
      </c>
      <c r="Z1918" s="39" t="str">
        <f>IF(AND(B1918&lt;=NKC!$N$8,B1918&gt;=NKC!$M$8),"x","")</f>
        <v>x</v>
      </c>
      <c r="AA1918" s="886"/>
    </row>
    <row r="1919" spans="1:27" s="843" customFormat="1" ht="15.75" customHeight="1">
      <c r="A1919" s="1106" t="str">
        <f>IF(B1919&lt;&gt;"",IF(AND(B1919&gt;=_TM1,B1919&lt;=_TM2,OR(TH!L1919="1111",TH!M1919="1111")),TH!D1919,""),"")</f>
        <v/>
      </c>
      <c r="B1919" s="841">
        <f t="shared" si="261"/>
        <v>10</v>
      </c>
      <c r="C1919" s="1107">
        <f t="shared" si="260"/>
        <v>41548</v>
      </c>
      <c r="D1919" s="1107"/>
      <c r="E1919" s="1127">
        <v>41548</v>
      </c>
      <c r="F1919" s="1119" t="s">
        <v>940</v>
      </c>
      <c r="G1919" s="1109" t="s">
        <v>948</v>
      </c>
      <c r="H1919" s="1110" t="s">
        <v>1293</v>
      </c>
      <c r="I1919" s="1118"/>
      <c r="J1919" s="1118"/>
      <c r="K1919" s="838">
        <f t="shared" si="262"/>
        <v>0</v>
      </c>
      <c r="L1919" s="831" t="s">
        <v>173</v>
      </c>
      <c r="M1919" s="831" t="s">
        <v>167</v>
      </c>
      <c r="N1919" s="831" t="str">
        <f>IF(AND('331-CT'!$E$7=TH!H1919,OR(L1919="331",M1919="331")),"331",IF(AND(OR(L1919="131",M1919="131"),H1919='131-CT'!$E$7),"131",""))</f>
        <v/>
      </c>
      <c r="O1919" s="831" t="str">
        <f>IF(AND($B1919&gt;='111'!$N$11,$B1919&lt;='111'!$O$11,OR($L1919=$O$7,$M1919=$O$7)),"x","")</f>
        <v/>
      </c>
      <c r="P1919" s="831" t="str">
        <f>IF(AND($L1919=$O$7,$B1919&lt;'111'!$N$11),"x","")</f>
        <v/>
      </c>
      <c r="Q1919" s="831" t="str">
        <f>IF(AND($M1919=$O$7,$B1919&lt;'111'!$N$11),"x","")</f>
        <v/>
      </c>
      <c r="R1919" s="831" t="str">
        <f>IF(ISERROR(FIND('112'!$M$9,G1919,1)),"",IF((AND(FIND('112'!$M$9,G1919,1)&gt;=1,$B1919&gt;='112'!$N$8,$B1919&lt;='112'!$O$8,OR($L1919='112'!$I$6,$M1919='112'!$I$6))),"x",""))</f>
        <v/>
      </c>
      <c r="S1919" s="831" t="str">
        <f>IF(ISERROR(FIND('112'!$M$9,G1919,1)),"",IF((AND(LEFT(G1919,2)=LEFT('112'!$M$9,2),B1919&lt;'112'!$N$8,$L1919='112'!$I$6)),"x",""))</f>
        <v/>
      </c>
      <c r="T1919" s="831" t="str">
        <f>IF(ISERROR(FIND('112'!$M$9,G1919,1)),"",IF((AND(RIGHT(G1919,2)=RIGHT('112'!$M$9,2),B1919&lt;'112'!$N$8,$M1919='112'!$I$6)),"x",""))</f>
        <v/>
      </c>
      <c r="U1919" s="831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831" t="str">
        <f>IF(OR(TH!L1919=TH!$V$7,M1919=TH!$V$7),"x","")</f>
        <v/>
      </c>
      <c r="W1919" s="831" t="str">
        <f>IF(AND(B1919&gt;='IN-NX'!$P$3,B1919&lt;='IN-NX'!$Q$3,'IN-NX'!$D$7=D1919,OR(LEFT(L1919,2)="15",AND(LEFT(M1919,2)&lt;&gt;"15",LEFT(M1919,2)&lt;&gt;"33"))),"x","")</f>
        <v/>
      </c>
      <c r="X1919" s="831" t="str">
        <f>IF(AND(OR(LEFT(TH!L1919,2)="15",LEFT(TH!M1919,2)="15"),'152-CT'!$J$8=TH!F1919),"x","")</f>
        <v/>
      </c>
      <c r="Y1919" s="831" t="str">
        <f>IF(AND(OR(LEFT(TH!L1919,2)="15",LEFT(TH!M1919,2)="15"),TK!$E$7=TH!F1919),"x","")</f>
        <v/>
      </c>
      <c r="Z1919" s="831" t="str">
        <f>IF(AND(B1919&lt;=NKC!$N$8,B1919&gt;=NKC!$M$8),"x","")</f>
        <v/>
      </c>
      <c r="AA1919" s="1114"/>
    </row>
    <row r="1920" spans="1:27" s="211" customFormat="1" ht="15.75" customHeight="1">
      <c r="A1920" s="204" t="str">
        <f>IF(B1920&lt;&gt;"",IF(AND(B1920&gt;=_TM1,B1920&lt;=_TM2,OR(TH!L1920="1111",TH!M1920="1111")),TH!D1920,""),"")</f>
        <v/>
      </c>
      <c r="B1920" s="36">
        <f t="shared" si="261"/>
        <v>10</v>
      </c>
      <c r="C1920" s="191">
        <f t="shared" si="260"/>
        <v>41548</v>
      </c>
      <c r="D1920" s="191"/>
      <c r="E1920" s="774">
        <v>41548</v>
      </c>
      <c r="F1920" s="189" t="s">
        <v>942</v>
      </c>
      <c r="G1920" s="40" t="s">
        <v>948</v>
      </c>
      <c r="H1920" s="7" t="s">
        <v>1293</v>
      </c>
      <c r="I1920" s="256"/>
      <c r="J1920" s="256"/>
      <c r="K1920" s="602">
        <f t="shared" si="262"/>
        <v>0</v>
      </c>
      <c r="L1920" s="39" t="s">
        <v>173</v>
      </c>
      <c r="M1920" s="39" t="s">
        <v>167</v>
      </c>
      <c r="N1920" s="39" t="str">
        <f>IF(AND('331-CT'!$E$7=TH!H1920,OR(L1920="331",M1920="331")),"331",IF(AND(OR(L1920="131",M1920="131"),H1920='131-CT'!$E$7),"131",""))</f>
        <v/>
      </c>
      <c r="O1920" s="39" t="str">
        <f>IF(AND($B1920&gt;='111'!$N$11,$B1920&lt;='111'!$O$11,OR($L1920=$O$7,$M1920=$O$7)),"x","")</f>
        <v/>
      </c>
      <c r="P1920" s="39" t="str">
        <f>IF(AND($L1920=$O$7,$B1920&lt;'111'!$N$11),"x","")</f>
        <v/>
      </c>
      <c r="Q1920" s="39" t="str">
        <f>IF(AND($M1920=$O$7,$B1920&lt;'111'!$N$11),"x","")</f>
        <v/>
      </c>
      <c r="R1920" s="39" t="str">
        <f>IF(ISERROR(FIND('112'!$M$9,G1920,1)),"",IF((AND(FIND('112'!$M$9,G1920,1)&gt;=1,$B1920&gt;='112'!$N$8,$B1920&lt;='112'!$O$8,OR($L1920='112'!$I$6,$M1920='112'!$I$6))),"x",""))</f>
        <v/>
      </c>
      <c r="S1920" s="39" t="str">
        <f>IF(ISERROR(FIND('112'!$M$9,G1920,1)),"",IF((AND(LEFT(G1920,2)=LEFT('112'!$M$9,2),B1920&lt;'112'!$N$8,$L1920='112'!$I$6)),"x",""))</f>
        <v/>
      </c>
      <c r="T1920" s="39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39" t="str">
        <f>IF(OR(TH!L1920=TH!$V$7,M1920=TH!$V$7),"x","")</f>
        <v/>
      </c>
      <c r="W1920" s="39" t="str">
        <f>IF(AND(B1920&gt;='IN-NX'!$P$3,B1920&lt;='IN-NX'!$Q$3,'IN-NX'!$D$7=D1920,OR(LEFT(L1920,2)="15",AND(LEFT(M1920,2)&lt;&gt;"15",LEFT(M1920,2)&lt;&gt;"33"))),"x","")</f>
        <v/>
      </c>
      <c r="X1920" s="39" t="str">
        <f>IF(AND(OR(LEFT(TH!L1920,2)="15",LEFT(TH!M1920,2)="15"),'152-CT'!$J$8=TH!F1920),"x","")</f>
        <v/>
      </c>
      <c r="Y1920" s="39" t="str">
        <f>IF(AND(OR(LEFT(TH!L1920,2)="15",LEFT(TH!M1920,2)="15"),TK!$E$7=TH!F1920),"x","")</f>
        <v/>
      </c>
      <c r="Z1920" s="39" t="str">
        <f>IF(AND(B1920&lt;=NKC!$N$8,B1920&gt;=NKC!$M$8),"x","")</f>
        <v/>
      </c>
      <c r="AA1920" s="886"/>
    </row>
    <row r="1921" spans="1:27" s="211" customFormat="1" ht="15.75" customHeight="1">
      <c r="A1921" s="204" t="str">
        <f>IF(B1921&lt;&gt;"",IF(AND(B1921&gt;=_TM1,B1921&lt;=_TM2,OR(TH!L1921="1111",TH!M1921="1111")),TH!D1921,""),"")</f>
        <v/>
      </c>
      <c r="B1921" s="36">
        <f t="shared" si="261"/>
        <v>10</v>
      </c>
      <c r="C1921" s="191">
        <f t="shared" si="260"/>
        <v>41548</v>
      </c>
      <c r="D1921" s="191"/>
      <c r="E1921" s="774">
        <v>41548</v>
      </c>
      <c r="F1921" s="189" t="s">
        <v>1156</v>
      </c>
      <c r="G1921" s="40" t="s">
        <v>949</v>
      </c>
      <c r="H1921" s="7" t="s">
        <v>1293</v>
      </c>
      <c r="I1921" s="256"/>
      <c r="J1921" s="256"/>
      <c r="K1921" s="602">
        <f t="shared" si="262"/>
        <v>0</v>
      </c>
      <c r="L1921" s="39" t="s">
        <v>173</v>
      </c>
      <c r="M1921" s="39" t="s">
        <v>167</v>
      </c>
      <c r="N1921" s="39" t="str">
        <f>IF(AND('331-CT'!$E$7=TH!H1921,OR(L1921="331",M1921="331")),"331",IF(AND(OR(L1921="131",M1921="131"),H1921='131-CT'!$E$7),"131",""))</f>
        <v/>
      </c>
      <c r="O1921" s="39" t="str">
        <f>IF(AND($B1921&gt;='111'!$N$11,$B1921&lt;='111'!$O$11,OR($L1921=$O$7,$M1921=$O$7)),"x","")</f>
        <v/>
      </c>
      <c r="P1921" s="39" t="str">
        <f>IF(AND($L1921=$O$7,$B1921&lt;'111'!$N$11),"x","")</f>
        <v/>
      </c>
      <c r="Q1921" s="39" t="str">
        <f>IF(AND($M1921=$O$7,$B1921&lt;'111'!$N$11),"x","")</f>
        <v/>
      </c>
      <c r="R1921" s="39" t="str">
        <f>IF(ISERROR(FIND('112'!$M$9,G1921,1)),"",IF((AND(FIND('112'!$M$9,G1921,1)&gt;=1,$B1921&gt;='112'!$N$8,$B1921&lt;='112'!$O$8,OR($L1921='112'!$I$6,$M1921='112'!$I$6))),"x",""))</f>
        <v/>
      </c>
      <c r="S1921" s="39" t="str">
        <f>IF(ISERROR(FIND('112'!$M$9,G1921,1)),"",IF((AND(LEFT(G1921,2)=LEFT('112'!$M$9,2),B1921&lt;'112'!$N$8,$L1921='112'!$I$6)),"x",""))</f>
        <v/>
      </c>
      <c r="T1921" s="39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39" t="str">
        <f>IF(OR(TH!L1921=TH!$V$7,M1921=TH!$V$7),"x","")</f>
        <v/>
      </c>
      <c r="W1921" s="39" t="str">
        <f>IF(AND(B1921&gt;='IN-NX'!$P$3,B1921&lt;='IN-NX'!$Q$3,'IN-NX'!$D$7=D1921,OR(LEFT(L1921,2)="15",AND(LEFT(M1921,2)&lt;&gt;"15",LEFT(M1921,2)&lt;&gt;"33"))),"x","")</f>
        <v/>
      </c>
      <c r="X1921" s="39" t="str">
        <f>IF(AND(OR(LEFT(TH!L1921,2)="15",LEFT(TH!M1921,2)="15"),'152-CT'!$J$8=TH!F1921),"x","")</f>
        <v/>
      </c>
      <c r="Y1921" s="39" t="str">
        <f>IF(AND(OR(LEFT(TH!L1921,2)="15",LEFT(TH!M1921,2)="15"),TK!$E$7=TH!F1921),"x","")</f>
        <v/>
      </c>
      <c r="Z1921" s="39" t="str">
        <f>IF(AND(B1921&lt;=NKC!$N$8,B1921&gt;=NKC!$M$8),"x","")</f>
        <v/>
      </c>
      <c r="AA1921" s="886"/>
    </row>
    <row r="1922" spans="1:27" s="211" customFormat="1" ht="15.75" customHeight="1">
      <c r="A1922" s="204" t="str">
        <f>IF(B1922&lt;&gt;"",IF(AND(B1922&gt;=_TM1,B1922&lt;=_TM2,OR(TH!L1922="1111",TH!M1922="1111")),TH!D1922,""),"")</f>
        <v/>
      </c>
      <c r="B1922" s="36">
        <f t="shared" si="261"/>
        <v>10</v>
      </c>
      <c r="C1922" s="191">
        <f t="shared" si="260"/>
        <v>41548</v>
      </c>
      <c r="D1922" s="191"/>
      <c r="E1922" s="774">
        <v>41548</v>
      </c>
      <c r="F1922" s="189" t="s">
        <v>876</v>
      </c>
      <c r="G1922" s="40" t="s">
        <v>949</v>
      </c>
      <c r="H1922" s="7" t="s">
        <v>1293</v>
      </c>
      <c r="I1922" s="256"/>
      <c r="J1922" s="256"/>
      <c r="K1922" s="602">
        <f t="shared" si="262"/>
        <v>0</v>
      </c>
      <c r="L1922" s="39" t="s">
        <v>173</v>
      </c>
      <c r="M1922" s="39" t="s">
        <v>167</v>
      </c>
      <c r="N1922" s="39" t="str">
        <f>IF(AND('331-CT'!$E$7=TH!H1922,OR(L1922="331",M1922="331")),"331",IF(AND(OR(L1922="131",M1922="131"),H1922='131-CT'!$E$7),"131",""))</f>
        <v/>
      </c>
      <c r="O1922" s="39" t="str">
        <f>IF(AND($B1922&gt;='111'!$N$11,$B1922&lt;='111'!$O$11,OR($L1922=$O$7,$M1922=$O$7)),"x","")</f>
        <v/>
      </c>
      <c r="P1922" s="39" t="str">
        <f>IF(AND($L1922=$O$7,$B1922&lt;'111'!$N$11),"x","")</f>
        <v/>
      </c>
      <c r="Q1922" s="39" t="str">
        <f>IF(AND($M1922=$O$7,$B1922&lt;'111'!$N$11),"x","")</f>
        <v/>
      </c>
      <c r="R1922" s="39" t="str">
        <f>IF(ISERROR(FIND('112'!$M$9,G1922,1)),"",IF((AND(FIND('112'!$M$9,G1922,1)&gt;=1,$B1922&gt;='112'!$N$8,$B1922&lt;='112'!$O$8,OR($L1922='112'!$I$6,$M1922='112'!$I$6))),"x",""))</f>
        <v/>
      </c>
      <c r="S1922" s="39" t="str">
        <f>IF(ISERROR(FIND('112'!$M$9,G1922,1)),"",IF((AND(LEFT(G1922,2)=LEFT('112'!$M$9,2),B1922&lt;'112'!$N$8,$L1922='112'!$I$6)),"x",""))</f>
        <v/>
      </c>
      <c r="T1922" s="39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39" t="str">
        <f>IF(OR(TH!L1922=TH!$V$7,M1922=TH!$V$7),"x","")</f>
        <v/>
      </c>
      <c r="W1922" s="39" t="str">
        <f>IF(AND(B1922&gt;='IN-NX'!$P$3,B1922&lt;='IN-NX'!$Q$3,'IN-NX'!$D$7=D1922,OR(LEFT(L1922,2)="15",AND(LEFT(M1922,2)&lt;&gt;"15",LEFT(M1922,2)&lt;&gt;"33"))),"x","")</f>
        <v/>
      </c>
      <c r="X1922" s="39" t="str">
        <f>IF(AND(OR(LEFT(TH!L1922,2)="15",LEFT(TH!M1922,2)="15"),'152-CT'!$J$8=TH!F1922),"x","")</f>
        <v/>
      </c>
      <c r="Y1922" s="39" t="str">
        <f>IF(AND(OR(LEFT(TH!L1922,2)="15",LEFT(TH!M1922,2)="15"),TK!$E$7=TH!F1922),"x","")</f>
        <v/>
      </c>
      <c r="Z1922" s="39" t="str">
        <f>IF(AND(B1922&lt;=NKC!$N$8,B1922&gt;=NKC!$M$8),"x","")</f>
        <v/>
      </c>
      <c r="AA1922" s="886"/>
    </row>
    <row r="1923" spans="1:27" s="211" customFormat="1" ht="15.75" customHeight="1">
      <c r="A1923" s="204" t="str">
        <f>IF(B1923&lt;&gt;"",IF(AND(B1923&gt;=_TM1,B1923&lt;=_TM2,OR(TH!L1923="1111",TH!M1923="1111")),TH!D1923,""),"")</f>
        <v/>
      </c>
      <c r="B1923" s="36">
        <f t="shared" si="261"/>
        <v>10</v>
      </c>
      <c r="C1923" s="191">
        <f t="shared" si="260"/>
        <v>41548</v>
      </c>
      <c r="D1923" s="191"/>
      <c r="E1923" s="774">
        <v>41548</v>
      </c>
      <c r="F1923" s="189" t="s">
        <v>847</v>
      </c>
      <c r="G1923" s="40" t="s">
        <v>950</v>
      </c>
      <c r="H1923" s="7" t="s">
        <v>1293</v>
      </c>
      <c r="I1923" s="256"/>
      <c r="J1923" s="256"/>
      <c r="K1923" s="602">
        <f t="shared" si="262"/>
        <v>0</v>
      </c>
      <c r="L1923" s="39" t="s">
        <v>173</v>
      </c>
      <c r="M1923" s="39" t="s">
        <v>167</v>
      </c>
      <c r="N1923" s="39" t="str">
        <f>IF(AND('331-CT'!$E$7=TH!H1923,OR(L1923="331",M1923="331")),"331",IF(AND(OR(L1923="131",M1923="131"),H1923='131-CT'!$E$7),"131",""))</f>
        <v/>
      </c>
      <c r="O1923" s="39" t="str">
        <f>IF(AND($B1923&gt;='111'!$N$11,$B1923&lt;='111'!$O$11,OR($L1923=$O$7,$M1923=$O$7)),"x","")</f>
        <v/>
      </c>
      <c r="P1923" s="39" t="str">
        <f>IF(AND($L1923=$O$7,$B1923&lt;'111'!$N$11),"x","")</f>
        <v/>
      </c>
      <c r="Q1923" s="39" t="str">
        <f>IF(AND($M1923=$O$7,$B1923&lt;'111'!$N$11),"x","")</f>
        <v/>
      </c>
      <c r="R1923" s="39" t="str">
        <f>IF(ISERROR(FIND('112'!$M$9,G1923,1)),"",IF((AND(FIND('112'!$M$9,G1923,1)&gt;=1,$B1923&gt;='112'!$N$8,$B1923&lt;='112'!$O$8,OR($L1923='112'!$I$6,$M1923='112'!$I$6))),"x",""))</f>
        <v/>
      </c>
      <c r="S1923" s="39" t="str">
        <f>IF(ISERROR(FIND('112'!$M$9,G1923,1)),"",IF((AND(LEFT(G1923,2)=LEFT('112'!$M$9,2),B1923&lt;'112'!$N$8,$L1923='112'!$I$6)),"x",""))</f>
        <v/>
      </c>
      <c r="T1923" s="39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39" t="str">
        <f>IF(OR(TH!L1923=TH!$V$7,M1923=TH!$V$7),"x","")</f>
        <v/>
      </c>
      <c r="W1923" s="39" t="str">
        <f>IF(AND(B1923&gt;='IN-NX'!$P$3,B1923&lt;='IN-NX'!$Q$3,'IN-NX'!$D$7=D1923,OR(LEFT(L1923,2)="15",AND(LEFT(M1923,2)&lt;&gt;"15",LEFT(M1923,2)&lt;&gt;"33"))),"x","")</f>
        <v/>
      </c>
      <c r="X1923" s="39" t="str">
        <f>IF(AND(OR(LEFT(TH!L1923,2)="15",LEFT(TH!M1923,2)="15"),'152-CT'!$J$8=TH!F1923),"x","")</f>
        <v/>
      </c>
      <c r="Y1923" s="39" t="str">
        <f>IF(AND(OR(LEFT(TH!L1923,2)="15",LEFT(TH!M1923,2)="15"),TK!$E$7=TH!F1923),"x","")</f>
        <v/>
      </c>
      <c r="Z1923" s="39" t="str">
        <f>IF(AND(B1923&lt;=NKC!$N$8,B1923&gt;=NKC!$M$8),"x","")</f>
        <v/>
      </c>
      <c r="AA1923" s="886"/>
    </row>
    <row r="1924" spans="1:27" s="211" customFormat="1" ht="15.75" customHeight="1">
      <c r="A1924" s="204" t="str">
        <f>IF(B1924&lt;&gt;"",IF(AND(B1924&gt;=_TM1,B1924&lt;=_TM2,OR(TH!L1924="1111",TH!M1924="1111")),TH!D1924,""),"")</f>
        <v/>
      </c>
      <c r="B1924" s="36">
        <f t="shared" si="261"/>
        <v>10</v>
      </c>
      <c r="C1924" s="191">
        <f t="shared" si="260"/>
        <v>41549</v>
      </c>
      <c r="D1924" s="191"/>
      <c r="E1924" s="774">
        <v>41549</v>
      </c>
      <c r="F1924" s="189" t="s">
        <v>1153</v>
      </c>
      <c r="G1924" s="40" t="s">
        <v>951</v>
      </c>
      <c r="H1924" s="7" t="s">
        <v>1293</v>
      </c>
      <c r="I1924" s="256"/>
      <c r="J1924" s="256"/>
      <c r="K1924" s="602">
        <f t="shared" si="262"/>
        <v>0</v>
      </c>
      <c r="L1924" s="39" t="s">
        <v>173</v>
      </c>
      <c r="M1924" s="39" t="s">
        <v>167</v>
      </c>
      <c r="N1924" s="39" t="str">
        <f>IF(AND('331-CT'!$E$7=TH!H1924,OR(L1924="331",M1924="331")),"331",IF(AND(OR(L1924="131",M1924="131"),H1924='131-CT'!$E$7),"131",""))</f>
        <v/>
      </c>
      <c r="O1924" s="39" t="str">
        <f>IF(AND($B1924&gt;='111'!$N$11,$B1924&lt;='111'!$O$11,OR($L1924=$O$7,$M1924=$O$7)),"x","")</f>
        <v/>
      </c>
      <c r="P1924" s="39" t="str">
        <f>IF(AND($L1924=$O$7,$B1924&lt;'111'!$N$11),"x","")</f>
        <v/>
      </c>
      <c r="Q1924" s="39" t="str">
        <f>IF(AND($M1924=$O$7,$B1924&lt;'111'!$N$11),"x","")</f>
        <v/>
      </c>
      <c r="R1924" s="39" t="str">
        <f>IF(ISERROR(FIND('112'!$M$9,G1924,1)),"",IF((AND(FIND('112'!$M$9,G1924,1)&gt;=1,$B1924&gt;='112'!$N$8,$B1924&lt;='112'!$O$8,OR($L1924='112'!$I$6,$M1924='112'!$I$6))),"x",""))</f>
        <v/>
      </c>
      <c r="S1924" s="39" t="str">
        <f>IF(ISERROR(FIND('112'!$M$9,G1924,1)),"",IF((AND(LEFT(G1924,2)=LEFT('112'!$M$9,2),B1924&lt;'112'!$N$8,$L1924='112'!$I$6)),"x",""))</f>
        <v/>
      </c>
      <c r="T1924" s="39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39" t="str">
        <f>IF(OR(TH!L1924=TH!$V$7,M1924=TH!$V$7),"x","")</f>
        <v/>
      </c>
      <c r="W1924" s="39" t="str">
        <f>IF(AND(B1924&gt;='IN-NX'!$P$3,B1924&lt;='IN-NX'!$Q$3,'IN-NX'!$D$7=D1924,OR(LEFT(L1924,2)="15",AND(LEFT(M1924,2)&lt;&gt;"15",LEFT(M1924,2)&lt;&gt;"33"))),"x","")</f>
        <v/>
      </c>
      <c r="X1924" s="39" t="str">
        <f>IF(AND(OR(LEFT(TH!L1924,2)="15",LEFT(TH!M1924,2)="15"),'152-CT'!$J$8=TH!F1924),"x","")</f>
        <v/>
      </c>
      <c r="Y1924" s="39" t="str">
        <f>IF(AND(OR(LEFT(TH!L1924,2)="15",LEFT(TH!M1924,2)="15"),TK!$E$7=TH!F1924),"x","")</f>
        <v/>
      </c>
      <c r="Z1924" s="39" t="str">
        <f>IF(AND(B1924&lt;=NKC!$N$8,B1924&gt;=NKC!$M$8),"x","")</f>
        <v/>
      </c>
      <c r="AA1924" s="886"/>
    </row>
    <row r="1925" spans="1:27" s="211" customFormat="1" ht="15.75" customHeight="1">
      <c r="A1925" s="204" t="str">
        <f>IF(B1925&lt;&gt;"",IF(AND(B1925&gt;=_TM1,B1925&lt;=_TM2,OR(TH!L1925="1111",TH!M1925="1111")),TH!D1925,""),"")</f>
        <v/>
      </c>
      <c r="B1925" s="36">
        <f t="shared" si="261"/>
        <v>10</v>
      </c>
      <c r="C1925" s="191">
        <f t="shared" si="260"/>
        <v>41550</v>
      </c>
      <c r="D1925" s="191"/>
      <c r="E1925" s="774">
        <v>41550</v>
      </c>
      <c r="F1925" s="189" t="s">
        <v>946</v>
      </c>
      <c r="G1925" s="40" t="s">
        <v>953</v>
      </c>
      <c r="H1925" s="7" t="s">
        <v>1293</v>
      </c>
      <c r="I1925" s="256"/>
      <c r="J1925" s="256"/>
      <c r="K1925" s="602">
        <f t="shared" si="262"/>
        <v>0</v>
      </c>
      <c r="L1925" s="39" t="s">
        <v>173</v>
      </c>
      <c r="M1925" s="39" t="s">
        <v>167</v>
      </c>
      <c r="N1925" s="39" t="str">
        <f>IF(AND('331-CT'!$E$7=TH!H1925,OR(L1925="331",M1925="331")),"331",IF(AND(OR(L1925="131",M1925="131"),H1925='131-CT'!$E$7),"131",""))</f>
        <v/>
      </c>
      <c r="O1925" s="39" t="str">
        <f>IF(AND($B1925&gt;='111'!$N$11,$B1925&lt;='111'!$O$11,OR($L1925=$O$7,$M1925=$O$7)),"x","")</f>
        <v/>
      </c>
      <c r="P1925" s="39" t="str">
        <f>IF(AND($L1925=$O$7,$B1925&lt;'111'!$N$11),"x","")</f>
        <v/>
      </c>
      <c r="Q1925" s="39" t="str">
        <f>IF(AND($M1925=$O$7,$B1925&lt;'111'!$N$11),"x","")</f>
        <v/>
      </c>
      <c r="R1925" s="39" t="str">
        <f>IF(ISERROR(FIND('112'!$M$9,G1925,1)),"",IF((AND(FIND('112'!$M$9,G1925,1)&gt;=1,$B1925&gt;='112'!$N$8,$B1925&lt;='112'!$O$8,OR($L1925='112'!$I$6,$M1925='112'!$I$6))),"x",""))</f>
        <v/>
      </c>
      <c r="S1925" s="39" t="str">
        <f>IF(ISERROR(FIND('112'!$M$9,G1925,1)),"",IF((AND(LEFT(G1925,2)=LEFT('112'!$M$9,2),B1925&lt;'112'!$N$8,$L1925='112'!$I$6)),"x",""))</f>
        <v/>
      </c>
      <c r="T1925" s="39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39" t="str">
        <f>IF(OR(TH!L1925=TH!$V$7,M1925=TH!$V$7),"x","")</f>
        <v/>
      </c>
      <c r="W1925" s="39" t="str">
        <f>IF(AND(B1925&gt;='IN-NX'!$P$3,B1925&lt;='IN-NX'!$Q$3,'IN-NX'!$D$7=D1925,OR(LEFT(L1925,2)="15",AND(LEFT(M1925,2)&lt;&gt;"15",LEFT(M1925,2)&lt;&gt;"33"))),"x","")</f>
        <v/>
      </c>
      <c r="X1925" s="39" t="str">
        <f>IF(AND(OR(LEFT(TH!L1925,2)="15",LEFT(TH!M1925,2)="15"),'152-CT'!$J$8=TH!F1925),"x","")</f>
        <v/>
      </c>
      <c r="Y1925" s="39" t="str">
        <f>IF(AND(OR(LEFT(TH!L1925,2)="15",LEFT(TH!M1925,2)="15"),TK!$E$7=TH!F1925),"x","")</f>
        <v/>
      </c>
      <c r="Z1925" s="39" t="str">
        <f>IF(AND(B1925&lt;=NKC!$N$8,B1925&gt;=NKC!$M$8),"x","")</f>
        <v/>
      </c>
      <c r="AA1925" s="886"/>
    </row>
    <row r="1926" spans="1:27" s="211" customFormat="1" ht="15.75" customHeight="1">
      <c r="A1926" s="204" t="str">
        <f>IF(B1926&lt;&gt;"",IF(AND(B1926&gt;=_TM1,B1926&lt;=_TM2,OR(TH!L1926="1111",TH!M1926="1111")),TH!D1926,""),"")</f>
        <v/>
      </c>
      <c r="B1926" s="36">
        <f t="shared" si="261"/>
        <v>10</v>
      </c>
      <c r="C1926" s="191">
        <f t="shared" si="260"/>
        <v>41550</v>
      </c>
      <c r="D1926" s="191"/>
      <c r="E1926" s="774">
        <v>41550</v>
      </c>
      <c r="F1926" s="189" t="s">
        <v>954</v>
      </c>
      <c r="G1926" s="40" t="s">
        <v>953</v>
      </c>
      <c r="H1926" s="7" t="s">
        <v>1293</v>
      </c>
      <c r="I1926" s="256"/>
      <c r="J1926" s="256"/>
      <c r="K1926" s="602">
        <f t="shared" si="262"/>
        <v>0</v>
      </c>
      <c r="L1926" s="39" t="s">
        <v>173</v>
      </c>
      <c r="M1926" s="39" t="s">
        <v>167</v>
      </c>
      <c r="N1926" s="39" t="str">
        <f>IF(AND('331-CT'!$E$7=TH!H1926,OR(L1926="331",M1926="331")),"331",IF(AND(OR(L1926="131",M1926="131"),H1926='131-CT'!$E$7),"131",""))</f>
        <v/>
      </c>
      <c r="O1926" s="39" t="str">
        <f>IF(AND($B1926&gt;='111'!$N$11,$B1926&lt;='111'!$O$11,OR($L1926=$O$7,$M1926=$O$7)),"x","")</f>
        <v/>
      </c>
      <c r="P1926" s="39" t="str">
        <f>IF(AND($L1926=$O$7,$B1926&lt;'111'!$N$11),"x","")</f>
        <v/>
      </c>
      <c r="Q1926" s="39" t="str">
        <f>IF(AND($M1926=$O$7,$B1926&lt;'111'!$N$11),"x","")</f>
        <v/>
      </c>
      <c r="R1926" s="39" t="str">
        <f>IF(ISERROR(FIND('112'!$M$9,G1926,1)),"",IF((AND(FIND('112'!$M$9,G1926,1)&gt;=1,$B1926&gt;='112'!$N$8,$B1926&lt;='112'!$O$8,OR($L1926='112'!$I$6,$M1926='112'!$I$6))),"x",""))</f>
        <v/>
      </c>
      <c r="S1926" s="39" t="str">
        <f>IF(ISERROR(FIND('112'!$M$9,G1926,1)),"",IF((AND(LEFT(G1926,2)=LEFT('112'!$M$9,2),B1926&lt;'112'!$N$8,$L1926='112'!$I$6)),"x",""))</f>
        <v/>
      </c>
      <c r="T1926" s="39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39" t="str">
        <f>IF(OR(TH!L1926=TH!$V$7,M1926=TH!$V$7),"x","")</f>
        <v/>
      </c>
      <c r="W1926" s="39" t="str">
        <f>IF(AND(B1926&gt;='IN-NX'!$P$3,B1926&lt;='IN-NX'!$Q$3,'IN-NX'!$D$7=D1926,OR(LEFT(L1926,2)="15",AND(LEFT(M1926,2)&lt;&gt;"15",LEFT(M1926,2)&lt;&gt;"33"))),"x","")</f>
        <v/>
      </c>
      <c r="X1926" s="39" t="str">
        <f>IF(AND(OR(LEFT(TH!L1926,2)="15",LEFT(TH!M1926,2)="15"),'152-CT'!$J$8=TH!F1926),"x","")</f>
        <v/>
      </c>
      <c r="Y1926" s="39" t="str">
        <f>IF(AND(OR(LEFT(TH!L1926,2)="15",LEFT(TH!M1926,2)="15"),TK!$E$7=TH!F1926),"x","")</f>
        <v/>
      </c>
      <c r="Z1926" s="39" t="str">
        <f>IF(AND(B1926&lt;=NKC!$N$8,B1926&gt;=NKC!$M$8),"x","")</f>
        <v/>
      </c>
      <c r="AA1926" s="886"/>
    </row>
    <row r="1927" spans="1:27" s="211" customFormat="1" ht="15.75" customHeight="1">
      <c r="A1927" s="204" t="str">
        <f>IF(B1927&lt;&gt;"",IF(AND(B1927&gt;=_TM1,B1927&lt;=_TM2,OR(TH!L1927="1111",TH!M1927="1111")),TH!D1927,""),"")</f>
        <v/>
      </c>
      <c r="B1927" s="36">
        <f t="shared" si="261"/>
        <v>10</v>
      </c>
      <c r="C1927" s="191">
        <f t="shared" ref="C1927:C1990" si="263">E1927</f>
        <v>41552</v>
      </c>
      <c r="D1927" s="191"/>
      <c r="E1927" s="774">
        <v>41552</v>
      </c>
      <c r="F1927" s="189" t="s">
        <v>1153</v>
      </c>
      <c r="G1927" s="40" t="s">
        <v>955</v>
      </c>
      <c r="H1927" s="7" t="s">
        <v>1293</v>
      </c>
      <c r="I1927" s="256"/>
      <c r="J1927" s="256"/>
      <c r="K1927" s="602">
        <f t="shared" si="262"/>
        <v>0</v>
      </c>
      <c r="L1927" s="39" t="s">
        <v>173</v>
      </c>
      <c r="M1927" s="39" t="s">
        <v>167</v>
      </c>
      <c r="N1927" s="39" t="str">
        <f>IF(AND('331-CT'!$E$7=TH!H1927,OR(L1927="331",M1927="331")),"331",IF(AND(OR(L1927="131",M1927="131"),H1927='131-CT'!$E$7),"131",""))</f>
        <v/>
      </c>
      <c r="O1927" s="39" t="str">
        <f>IF(AND($B1927&gt;='111'!$N$11,$B1927&lt;='111'!$O$11,OR($L1927=$O$7,$M1927=$O$7)),"x","")</f>
        <v/>
      </c>
      <c r="P1927" s="39" t="str">
        <f>IF(AND($L1927=$O$7,$B1927&lt;'111'!$N$11),"x","")</f>
        <v/>
      </c>
      <c r="Q1927" s="39" t="str">
        <f>IF(AND($M1927=$O$7,$B1927&lt;'111'!$N$11),"x","")</f>
        <v/>
      </c>
      <c r="R1927" s="39" t="str">
        <f>IF(ISERROR(FIND('112'!$M$9,G1927,1)),"",IF((AND(FIND('112'!$M$9,G1927,1)&gt;=1,$B1927&gt;='112'!$N$8,$B1927&lt;='112'!$O$8,OR($L1927='112'!$I$6,$M1927='112'!$I$6))),"x",""))</f>
        <v/>
      </c>
      <c r="S1927" s="39" t="str">
        <f>IF(ISERROR(FIND('112'!$M$9,G1927,1)),"",IF((AND(LEFT(G1927,2)=LEFT('112'!$M$9,2),B1927&lt;'112'!$N$8,$L1927='112'!$I$6)),"x",""))</f>
        <v/>
      </c>
      <c r="T1927" s="39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39" t="str">
        <f>IF(OR(TH!L1927=TH!$V$7,M1927=TH!$V$7),"x","")</f>
        <v/>
      </c>
      <c r="W1927" s="39" t="str">
        <f>IF(AND(B1927&gt;='IN-NX'!$P$3,B1927&lt;='IN-NX'!$Q$3,'IN-NX'!$D$7=D1927,OR(LEFT(L1927,2)="15",AND(LEFT(M1927,2)&lt;&gt;"15",LEFT(M1927,2)&lt;&gt;"33"))),"x","")</f>
        <v/>
      </c>
      <c r="X1927" s="39" t="str">
        <f>IF(AND(OR(LEFT(TH!L1927,2)="15",LEFT(TH!M1927,2)="15"),'152-CT'!$J$8=TH!F1927),"x","")</f>
        <v/>
      </c>
      <c r="Y1927" s="39" t="str">
        <f>IF(AND(OR(LEFT(TH!L1927,2)="15",LEFT(TH!M1927,2)="15"),TK!$E$7=TH!F1927),"x","")</f>
        <v/>
      </c>
      <c r="Z1927" s="39" t="str">
        <f>IF(AND(B1927&lt;=NKC!$N$8,B1927&gt;=NKC!$M$8),"x","")</f>
        <v/>
      </c>
      <c r="AA1927" s="886"/>
    </row>
    <row r="1928" spans="1:27" s="211" customFormat="1" ht="15.75" customHeight="1">
      <c r="A1928" s="204" t="str">
        <f>IF(B1928&lt;&gt;"",IF(AND(B1928&gt;=_TM1,B1928&lt;=_TM2,OR(TH!L1928="1111",TH!M1928="1111")),TH!D1928,""),"")</f>
        <v/>
      </c>
      <c r="B1928" s="36">
        <f t="shared" si="261"/>
        <v>10</v>
      </c>
      <c r="C1928" s="191">
        <f t="shared" si="263"/>
        <v>41552</v>
      </c>
      <c r="D1928" s="191"/>
      <c r="E1928" s="774">
        <v>41552</v>
      </c>
      <c r="F1928" s="189" t="s">
        <v>1150</v>
      </c>
      <c r="G1928" s="40" t="s">
        <v>955</v>
      </c>
      <c r="H1928" s="7" t="s">
        <v>1293</v>
      </c>
      <c r="I1928" s="256"/>
      <c r="J1928" s="256"/>
      <c r="K1928" s="602">
        <f t="shared" si="262"/>
        <v>0</v>
      </c>
      <c r="L1928" s="39" t="s">
        <v>173</v>
      </c>
      <c r="M1928" s="39" t="s">
        <v>167</v>
      </c>
      <c r="N1928" s="39" t="str">
        <f>IF(AND('331-CT'!$E$7=TH!H1928,OR(L1928="331",M1928="331")),"331",IF(AND(OR(L1928="131",M1928="131"),H1928='131-CT'!$E$7),"131",""))</f>
        <v/>
      </c>
      <c r="O1928" s="39" t="str">
        <f>IF(AND($B1928&gt;='111'!$N$11,$B1928&lt;='111'!$O$11,OR($L1928=$O$7,$M1928=$O$7)),"x","")</f>
        <v/>
      </c>
      <c r="P1928" s="39" t="str">
        <f>IF(AND($L1928=$O$7,$B1928&lt;'111'!$N$11),"x","")</f>
        <v/>
      </c>
      <c r="Q1928" s="39" t="str">
        <f>IF(AND($M1928=$O$7,$B1928&lt;'111'!$N$11),"x","")</f>
        <v/>
      </c>
      <c r="R1928" s="39" t="str">
        <f>IF(ISERROR(FIND('112'!$M$9,G1928,1)),"",IF((AND(FIND('112'!$M$9,G1928,1)&gt;=1,$B1928&gt;='112'!$N$8,$B1928&lt;='112'!$O$8,OR($L1928='112'!$I$6,$M1928='112'!$I$6))),"x",""))</f>
        <v/>
      </c>
      <c r="S1928" s="39" t="str">
        <f>IF(ISERROR(FIND('112'!$M$9,G1928,1)),"",IF((AND(LEFT(G1928,2)=LEFT('112'!$M$9,2),B1928&lt;'112'!$N$8,$L1928='112'!$I$6)),"x",""))</f>
        <v/>
      </c>
      <c r="T1928" s="39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39" t="str">
        <f>IF(OR(TH!L1928=TH!$V$7,M1928=TH!$V$7),"x","")</f>
        <v/>
      </c>
      <c r="W1928" s="39" t="str">
        <f>IF(AND(B1928&gt;='IN-NX'!$P$3,B1928&lt;='IN-NX'!$Q$3,'IN-NX'!$D$7=D1928,OR(LEFT(L1928,2)="15",AND(LEFT(M1928,2)&lt;&gt;"15",LEFT(M1928,2)&lt;&gt;"33"))),"x","")</f>
        <v/>
      </c>
      <c r="X1928" s="39" t="str">
        <f>IF(AND(OR(LEFT(TH!L1928,2)="15",LEFT(TH!M1928,2)="15"),'152-CT'!$J$8=TH!F1928),"x","")</f>
        <v/>
      </c>
      <c r="Y1928" s="39" t="str">
        <f>IF(AND(OR(LEFT(TH!L1928,2)="15",LEFT(TH!M1928,2)="15"),TK!$E$7=TH!F1928),"x","")</f>
        <v/>
      </c>
      <c r="Z1928" s="39" t="str">
        <f>IF(AND(B1928&lt;=NKC!$N$8,B1928&gt;=NKC!$M$8),"x","")</f>
        <v/>
      </c>
      <c r="AA1928" s="886"/>
    </row>
    <row r="1929" spans="1:27" s="211" customFormat="1" ht="15.75" customHeight="1">
      <c r="A1929" s="204" t="str">
        <f>IF(B1929&lt;&gt;"",IF(AND(B1929&gt;=_TM1,B1929&lt;=_TM2,OR(TH!L1929="1111",TH!M1929="1111")),TH!D1929,""),"")</f>
        <v/>
      </c>
      <c r="B1929" s="36">
        <f t="shared" si="261"/>
        <v>10</v>
      </c>
      <c r="C1929" s="191">
        <f t="shared" si="263"/>
        <v>41552</v>
      </c>
      <c r="D1929" s="191"/>
      <c r="E1929" s="184">
        <v>41552</v>
      </c>
      <c r="F1929" s="189" t="s">
        <v>1137</v>
      </c>
      <c r="G1929" s="604" t="s">
        <v>956</v>
      </c>
      <c r="H1929" s="7" t="s">
        <v>1293</v>
      </c>
      <c r="I1929" s="256"/>
      <c r="J1929" s="256"/>
      <c r="K1929" s="602">
        <f t="shared" si="262"/>
        <v>0</v>
      </c>
      <c r="L1929" s="39" t="s">
        <v>173</v>
      </c>
      <c r="M1929" s="39" t="s">
        <v>167</v>
      </c>
      <c r="N1929" s="39" t="str">
        <f>IF(AND('331-CT'!$E$7=TH!H1929,OR(L1929="331",M1929="331")),"331",IF(AND(OR(L1929="131",M1929="131"),H1929='131-CT'!$E$7),"131",""))</f>
        <v/>
      </c>
      <c r="O1929" s="39" t="str">
        <f>IF(AND($B1929&gt;='111'!$N$11,$B1929&lt;='111'!$O$11,OR($L1929=$O$7,$M1929=$O$7)),"x","")</f>
        <v/>
      </c>
      <c r="P1929" s="39" t="str">
        <f>IF(AND($L1929=$O$7,$B1929&lt;'111'!$N$11),"x","")</f>
        <v/>
      </c>
      <c r="Q1929" s="39" t="str">
        <f>IF(AND($M1929=$O$7,$B1929&lt;'111'!$N$11),"x","")</f>
        <v/>
      </c>
      <c r="R1929" s="39" t="str">
        <f>IF(ISERROR(FIND('112'!$M$9,G1929,1)),"",IF((AND(FIND('112'!$M$9,G1929,1)&gt;=1,$B1929&gt;='112'!$N$8,$B1929&lt;='112'!$O$8,OR($L1929='112'!$I$6,$M1929='112'!$I$6))),"x",""))</f>
        <v/>
      </c>
      <c r="S1929" s="39" t="str">
        <f>IF(ISERROR(FIND('112'!$M$9,G1929,1)),"",IF((AND(LEFT(G1929,2)=LEFT('112'!$M$9,2),B1929&lt;'112'!$N$8,$L1929='112'!$I$6)),"x",""))</f>
        <v/>
      </c>
      <c r="T1929" s="39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39" t="str">
        <f>IF(OR(TH!L1929=TH!$V$7,M1929=TH!$V$7),"x","")</f>
        <v/>
      </c>
      <c r="W1929" s="39" t="str">
        <f>IF(AND(B1929&gt;='IN-NX'!$P$3,B1929&lt;='IN-NX'!$Q$3,'IN-NX'!$D$7=D1929,OR(LEFT(L1929,2)="15",AND(LEFT(M1929,2)&lt;&gt;"15",LEFT(M1929,2)&lt;&gt;"33"))),"x","")</f>
        <v/>
      </c>
      <c r="X1929" s="39" t="str">
        <f>IF(AND(OR(LEFT(TH!L1929,2)="15",LEFT(TH!M1929,2)="15"),'152-CT'!$J$8=TH!F1929),"x","")</f>
        <v/>
      </c>
      <c r="Y1929" s="39" t="str">
        <f>IF(AND(OR(LEFT(TH!L1929,2)="15",LEFT(TH!M1929,2)="15"),TK!$E$7=TH!F1929),"x","")</f>
        <v/>
      </c>
      <c r="Z1929" s="39" t="str">
        <f>IF(AND(B1929&lt;=NKC!$N$8,B1929&gt;=NKC!$M$8),"x","")</f>
        <v/>
      </c>
      <c r="AA1929" s="886"/>
    </row>
    <row r="1930" spans="1:27" s="211" customFormat="1" ht="15.75" customHeight="1">
      <c r="A1930" s="204" t="str">
        <f>IF(B1930&lt;&gt;"",IF(AND(B1930&gt;=_TM1,B1930&lt;=_TM2,OR(TH!L1930="1111",TH!M1930="1111")),TH!D1930,""),"")</f>
        <v/>
      </c>
      <c r="B1930" s="36">
        <f t="shared" si="261"/>
        <v>10</v>
      </c>
      <c r="C1930" s="191">
        <f t="shared" si="263"/>
        <v>41555</v>
      </c>
      <c r="D1930" s="191"/>
      <c r="E1930" s="191">
        <v>41555</v>
      </c>
      <c r="F1930" s="192" t="s">
        <v>867</v>
      </c>
      <c r="G1930" s="487" t="s">
        <v>957</v>
      </c>
      <c r="H1930" s="7" t="s">
        <v>1293</v>
      </c>
      <c r="I1930" s="256"/>
      <c r="J1930" s="256"/>
      <c r="K1930" s="602">
        <f t="shared" si="262"/>
        <v>0</v>
      </c>
      <c r="L1930" s="39" t="s">
        <v>173</v>
      </c>
      <c r="M1930" s="39" t="s">
        <v>167</v>
      </c>
      <c r="N1930" s="39" t="str">
        <f>IF(AND('331-CT'!$E$7=TH!H1930,OR(L1930="331",M1930="331")),"331",IF(AND(OR(L1930="131",M1930="131"),H1930='131-CT'!$E$7),"131",""))</f>
        <v/>
      </c>
      <c r="O1930" s="39" t="str">
        <f>IF(AND($B1930&gt;='111'!$N$11,$B1930&lt;='111'!$O$11,OR($L1930=$O$7,$M1930=$O$7)),"x","")</f>
        <v/>
      </c>
      <c r="P1930" s="39" t="str">
        <f>IF(AND($L1930=$O$7,$B1930&lt;'111'!$N$11),"x","")</f>
        <v/>
      </c>
      <c r="Q1930" s="39" t="str">
        <f>IF(AND($M1930=$O$7,$B1930&lt;'111'!$N$11),"x","")</f>
        <v/>
      </c>
      <c r="R1930" s="39" t="str">
        <f>IF(ISERROR(FIND('112'!$M$9,G1930,1)),"",IF((AND(FIND('112'!$M$9,G1930,1)&gt;=1,$B1930&gt;='112'!$N$8,$B1930&lt;='112'!$O$8,OR($L1930='112'!$I$6,$M1930='112'!$I$6))),"x",""))</f>
        <v/>
      </c>
      <c r="S1930" s="39" t="str">
        <f>IF(ISERROR(FIND('112'!$M$9,G1930,1)),"",IF((AND(LEFT(G1930,2)=LEFT('112'!$M$9,2),B1930&lt;'112'!$N$8,$L1930='112'!$I$6)),"x",""))</f>
        <v/>
      </c>
      <c r="T1930" s="39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39" t="str">
        <f>IF(OR(TH!L1930=TH!$V$7,M1930=TH!$V$7),"x","")</f>
        <v/>
      </c>
      <c r="W1930" s="39" t="str">
        <f>IF(AND(B1930&gt;='IN-NX'!$P$3,B1930&lt;='IN-NX'!$Q$3,'IN-NX'!$D$7=D1930,OR(LEFT(L1930,2)="15",AND(LEFT(M1930,2)&lt;&gt;"15",LEFT(M1930,2)&lt;&gt;"33"))),"x","")</f>
        <v/>
      </c>
      <c r="X1930" s="39" t="str">
        <f>IF(AND(OR(LEFT(TH!L1930,2)="15",LEFT(TH!M1930,2)="15"),'152-CT'!$J$8=TH!F1930),"x","")</f>
        <v/>
      </c>
      <c r="Y1930" s="39" t="str">
        <f>IF(AND(OR(LEFT(TH!L1930,2)="15",LEFT(TH!M1930,2)="15"),TK!$E$7=TH!F1930),"x","")</f>
        <v/>
      </c>
      <c r="Z1930" s="39" t="str">
        <f>IF(AND(B1930&lt;=NKC!$N$8,B1930&gt;=NKC!$M$8),"x","")</f>
        <v/>
      </c>
      <c r="AA1930" s="886"/>
    </row>
    <row r="1931" spans="1:27" s="211" customFormat="1" ht="15.75" customHeight="1">
      <c r="A1931" s="204" t="str">
        <f>IF(B1931&lt;&gt;"",IF(AND(B1931&gt;=_TM1,B1931&lt;=_TM2,OR(TH!L1931="1111",TH!M1931="1111")),TH!D1931,""),"")</f>
        <v/>
      </c>
      <c r="B1931" s="36">
        <f t="shared" si="261"/>
        <v>10</v>
      </c>
      <c r="C1931" s="191">
        <f t="shared" si="263"/>
        <v>41557</v>
      </c>
      <c r="D1931" s="191"/>
      <c r="E1931" s="191">
        <v>41557</v>
      </c>
      <c r="F1931" s="192" t="s">
        <v>1131</v>
      </c>
      <c r="G1931" s="487" t="s">
        <v>958</v>
      </c>
      <c r="H1931" s="7" t="s">
        <v>1293</v>
      </c>
      <c r="I1931" s="256"/>
      <c r="J1931" s="256"/>
      <c r="K1931" s="602">
        <f t="shared" si="262"/>
        <v>0</v>
      </c>
      <c r="L1931" s="39" t="s">
        <v>173</v>
      </c>
      <c r="M1931" s="39" t="s">
        <v>167</v>
      </c>
      <c r="N1931" s="39" t="str">
        <f>IF(AND('331-CT'!$E$7=TH!H1931,OR(L1931="331",M1931="331")),"331",IF(AND(OR(L1931="131",M1931="131"),H1931='131-CT'!$E$7),"131",""))</f>
        <v/>
      </c>
      <c r="O1931" s="39" t="str">
        <f>IF(AND($B1931&gt;='111'!$N$11,$B1931&lt;='111'!$O$11,OR($L1931=$O$7,$M1931=$O$7)),"x","")</f>
        <v/>
      </c>
      <c r="P1931" s="39" t="str">
        <f>IF(AND($L1931=$O$7,$B1931&lt;'111'!$N$11),"x","")</f>
        <v/>
      </c>
      <c r="Q1931" s="39" t="str">
        <f>IF(AND($M1931=$O$7,$B1931&lt;'111'!$N$11),"x","")</f>
        <v/>
      </c>
      <c r="R1931" s="39" t="str">
        <f>IF(ISERROR(FIND('112'!$M$9,G1931,1)),"",IF((AND(FIND('112'!$M$9,G1931,1)&gt;=1,$B1931&gt;='112'!$N$8,$B1931&lt;='112'!$O$8,OR($L1931='112'!$I$6,$M1931='112'!$I$6))),"x",""))</f>
        <v/>
      </c>
      <c r="S1931" s="39" t="str">
        <f>IF(ISERROR(FIND('112'!$M$9,G1931,1)),"",IF((AND(LEFT(G1931,2)=LEFT('112'!$M$9,2),B1931&lt;'112'!$N$8,$L1931='112'!$I$6)),"x",""))</f>
        <v/>
      </c>
      <c r="T1931" s="39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39" t="str">
        <f>IF(OR(TH!L1931=TH!$V$7,M1931=TH!$V$7),"x","")</f>
        <v/>
      </c>
      <c r="W1931" s="39" t="str">
        <f>IF(AND(B1931&gt;='IN-NX'!$P$3,B1931&lt;='IN-NX'!$Q$3,'IN-NX'!$D$7=D1931,OR(LEFT(L1931,2)="15",AND(LEFT(M1931,2)&lt;&gt;"15",LEFT(M1931,2)&lt;&gt;"33"))),"x","")</f>
        <v/>
      </c>
      <c r="X1931" s="39" t="str">
        <f>IF(AND(OR(LEFT(TH!L1931,2)="15",LEFT(TH!M1931,2)="15"),'152-CT'!$J$8=TH!F1931),"x","")</f>
        <v/>
      </c>
      <c r="Y1931" s="39" t="str">
        <f>IF(AND(OR(LEFT(TH!L1931,2)="15",LEFT(TH!M1931,2)="15"),TK!$E$7=TH!F1931),"x","")</f>
        <v/>
      </c>
      <c r="Z1931" s="39" t="str">
        <f>IF(AND(B1931&lt;=NKC!$N$8,B1931&gt;=NKC!$M$8),"x","")</f>
        <v/>
      </c>
      <c r="AA1931" s="886"/>
    </row>
    <row r="1932" spans="1:27" s="211" customFormat="1" ht="15.75" customHeight="1">
      <c r="A1932" s="204" t="str">
        <f>IF(B1932&lt;&gt;"",IF(AND(B1932&gt;=_TM1,B1932&lt;=_TM2,OR(TH!L1932="1111",TH!M1932="1111")),TH!D1932,""),"")</f>
        <v/>
      </c>
      <c r="B1932" s="36">
        <f t="shared" si="261"/>
        <v>10</v>
      </c>
      <c r="C1932" s="191">
        <f t="shared" si="263"/>
        <v>41563</v>
      </c>
      <c r="D1932" s="191"/>
      <c r="E1932" s="191">
        <v>41563</v>
      </c>
      <c r="F1932" s="192" t="s">
        <v>838</v>
      </c>
      <c r="G1932" s="487" t="s">
        <v>959</v>
      </c>
      <c r="H1932" s="7" t="s">
        <v>1293</v>
      </c>
      <c r="I1932" s="256"/>
      <c r="J1932" s="256"/>
      <c r="K1932" s="602">
        <f t="shared" si="262"/>
        <v>0</v>
      </c>
      <c r="L1932" s="39" t="s">
        <v>173</v>
      </c>
      <c r="M1932" s="39" t="s">
        <v>167</v>
      </c>
      <c r="N1932" s="39" t="str">
        <f>IF(AND('331-CT'!$E$7=TH!H1932,OR(L1932="331",M1932="331")),"331",IF(AND(OR(L1932="131",M1932="131"),H1932='131-CT'!$E$7),"131",""))</f>
        <v/>
      </c>
      <c r="O1932" s="39" t="str">
        <f>IF(AND($B1932&gt;='111'!$N$11,$B1932&lt;='111'!$O$11,OR($L1932=$O$7,$M1932=$O$7)),"x","")</f>
        <v/>
      </c>
      <c r="P1932" s="39" t="str">
        <f>IF(AND($L1932=$O$7,$B1932&lt;'111'!$N$11),"x","")</f>
        <v/>
      </c>
      <c r="Q1932" s="39" t="str">
        <f>IF(AND($M1932=$O$7,$B1932&lt;'111'!$N$11),"x","")</f>
        <v/>
      </c>
      <c r="R1932" s="39" t="str">
        <f>IF(ISERROR(FIND('112'!$M$9,G1932,1)),"",IF((AND(FIND('112'!$M$9,G1932,1)&gt;=1,$B1932&gt;='112'!$N$8,$B1932&lt;='112'!$O$8,OR($L1932='112'!$I$6,$M1932='112'!$I$6))),"x",""))</f>
        <v/>
      </c>
      <c r="S1932" s="39" t="str">
        <f>IF(ISERROR(FIND('112'!$M$9,G1932,1)),"",IF((AND(LEFT(G1932,2)=LEFT('112'!$M$9,2),B1932&lt;'112'!$N$8,$L1932='112'!$I$6)),"x",""))</f>
        <v/>
      </c>
      <c r="T1932" s="39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39" t="str">
        <f>IF(OR(TH!L1932=TH!$V$7,M1932=TH!$V$7),"x","")</f>
        <v/>
      </c>
      <c r="W1932" s="39" t="str">
        <f>IF(AND(B1932&gt;='IN-NX'!$P$3,B1932&lt;='IN-NX'!$Q$3,'IN-NX'!$D$7=D1932,OR(LEFT(L1932,2)="15",AND(LEFT(M1932,2)&lt;&gt;"15",LEFT(M1932,2)&lt;&gt;"33"))),"x","")</f>
        <v/>
      </c>
      <c r="X1932" s="39" t="str">
        <f>IF(AND(OR(LEFT(TH!L1932,2)="15",LEFT(TH!M1932,2)="15"),'152-CT'!$J$8=TH!F1932),"x","")</f>
        <v/>
      </c>
      <c r="Y1932" s="39" t="str">
        <f>IF(AND(OR(LEFT(TH!L1932,2)="15",LEFT(TH!M1932,2)="15"),TK!$E$7=TH!F1932),"x","")</f>
        <v/>
      </c>
      <c r="Z1932" s="39" t="str">
        <f>IF(AND(B1932&lt;=NKC!$N$8,B1932&gt;=NKC!$M$8),"x","")</f>
        <v/>
      </c>
      <c r="AA1932" s="886"/>
    </row>
    <row r="1933" spans="1:27" s="211" customFormat="1" ht="15.75" customHeight="1">
      <c r="A1933" s="204" t="str">
        <f>IF(B1933&lt;&gt;"",IF(AND(B1933&gt;=_TM1,B1933&lt;=_TM2,OR(TH!L1933="1111",TH!M1933="1111")),TH!D1933,""),"")</f>
        <v/>
      </c>
      <c r="B1933" s="36">
        <f t="shared" si="261"/>
        <v>10</v>
      </c>
      <c r="C1933" s="191">
        <f t="shared" si="263"/>
        <v>41563</v>
      </c>
      <c r="D1933" s="191"/>
      <c r="E1933" s="191">
        <v>41563</v>
      </c>
      <c r="F1933" s="192" t="s">
        <v>1160</v>
      </c>
      <c r="G1933" s="487" t="s">
        <v>960</v>
      </c>
      <c r="H1933" s="7" t="s">
        <v>1293</v>
      </c>
      <c r="I1933" s="256"/>
      <c r="J1933" s="256"/>
      <c r="K1933" s="602">
        <f t="shared" si="262"/>
        <v>0</v>
      </c>
      <c r="L1933" s="39" t="s">
        <v>173</v>
      </c>
      <c r="M1933" s="39" t="s">
        <v>167</v>
      </c>
      <c r="N1933" s="39" t="str">
        <f>IF(AND('331-CT'!$E$7=TH!H1933,OR(L1933="331",M1933="331")),"331",IF(AND(OR(L1933="131",M1933="131"),H1933='131-CT'!$E$7),"131",""))</f>
        <v/>
      </c>
      <c r="O1933" s="39" t="str">
        <f>IF(AND($B1933&gt;='111'!$N$11,$B1933&lt;='111'!$O$11,OR($L1933=$O$7,$M1933=$O$7)),"x","")</f>
        <v/>
      </c>
      <c r="P1933" s="39" t="str">
        <f>IF(AND($L1933=$O$7,$B1933&lt;'111'!$N$11),"x","")</f>
        <v/>
      </c>
      <c r="Q1933" s="39" t="str">
        <f>IF(AND($M1933=$O$7,$B1933&lt;'111'!$N$11),"x","")</f>
        <v/>
      </c>
      <c r="R1933" s="39" t="str">
        <f>IF(ISERROR(FIND('112'!$M$9,G1933,1)),"",IF((AND(FIND('112'!$M$9,G1933,1)&gt;=1,$B1933&gt;='112'!$N$8,$B1933&lt;='112'!$O$8,OR($L1933='112'!$I$6,$M1933='112'!$I$6))),"x",""))</f>
        <v/>
      </c>
      <c r="S1933" s="39" t="str">
        <f>IF(ISERROR(FIND('112'!$M$9,G1933,1)),"",IF((AND(LEFT(G1933,2)=LEFT('112'!$M$9,2),B1933&lt;'112'!$N$8,$L1933='112'!$I$6)),"x",""))</f>
        <v/>
      </c>
      <c r="T1933" s="39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39" t="str">
        <f>IF(OR(TH!L1933=TH!$V$7,M1933=TH!$V$7),"x","")</f>
        <v/>
      </c>
      <c r="W1933" s="39" t="str">
        <f>IF(AND(B1933&gt;='IN-NX'!$P$3,B1933&lt;='IN-NX'!$Q$3,'IN-NX'!$D$7=D1933,OR(LEFT(L1933,2)="15",AND(LEFT(M1933,2)&lt;&gt;"15",LEFT(M1933,2)&lt;&gt;"33"))),"x","")</f>
        <v/>
      </c>
      <c r="X1933" s="39" t="str">
        <f>IF(AND(OR(LEFT(TH!L1933,2)="15",LEFT(TH!M1933,2)="15"),'152-CT'!$J$8=TH!F1933),"x","")</f>
        <v/>
      </c>
      <c r="Y1933" s="39" t="str">
        <f>IF(AND(OR(LEFT(TH!L1933,2)="15",LEFT(TH!M1933,2)="15"),TK!$E$7=TH!F1933),"x","")</f>
        <v/>
      </c>
      <c r="Z1933" s="39" t="str">
        <f>IF(AND(B1933&lt;=NKC!$N$8,B1933&gt;=NKC!$M$8),"x","")</f>
        <v/>
      </c>
      <c r="AA1933" s="886"/>
    </row>
    <row r="1934" spans="1:27" s="211" customFormat="1" ht="15.75" customHeight="1">
      <c r="A1934" s="204" t="str">
        <f>IF(B1934&lt;&gt;"",IF(AND(B1934&gt;=_TM1,B1934&lt;=_TM2,OR(TH!L1934="1111",TH!M1934="1111")),TH!D1934,""),"")</f>
        <v/>
      </c>
      <c r="B1934" s="36">
        <f t="shared" si="261"/>
        <v>10</v>
      </c>
      <c r="C1934" s="191">
        <f t="shared" si="263"/>
        <v>41563</v>
      </c>
      <c r="D1934" s="191"/>
      <c r="E1934" s="191">
        <v>41563</v>
      </c>
      <c r="F1934" s="192" t="s">
        <v>1150</v>
      </c>
      <c r="G1934" s="487" t="s">
        <v>961</v>
      </c>
      <c r="H1934" s="7" t="s">
        <v>1293</v>
      </c>
      <c r="I1934" s="256"/>
      <c r="J1934" s="256"/>
      <c r="K1934" s="602">
        <f t="shared" si="262"/>
        <v>0</v>
      </c>
      <c r="L1934" s="39" t="s">
        <v>173</v>
      </c>
      <c r="M1934" s="39" t="s">
        <v>167</v>
      </c>
      <c r="N1934" s="39" t="str">
        <f>IF(AND('331-CT'!$E$7=TH!H1934,OR(L1934="331",M1934="331")),"331",IF(AND(OR(L1934="131",M1934="131"),H1934='131-CT'!$E$7),"131",""))</f>
        <v/>
      </c>
      <c r="O1934" s="39" t="str">
        <f>IF(AND($B1934&gt;='111'!$N$11,$B1934&lt;='111'!$O$11,OR($L1934=$O$7,$M1934=$O$7)),"x","")</f>
        <v/>
      </c>
      <c r="P1934" s="39" t="str">
        <f>IF(AND($L1934=$O$7,$B1934&lt;'111'!$N$11),"x","")</f>
        <v/>
      </c>
      <c r="Q1934" s="39" t="str">
        <f>IF(AND($M1934=$O$7,$B1934&lt;'111'!$N$11),"x","")</f>
        <v/>
      </c>
      <c r="R1934" s="39" t="str">
        <f>IF(ISERROR(FIND('112'!$M$9,G1934,1)),"",IF((AND(FIND('112'!$M$9,G1934,1)&gt;=1,$B1934&gt;='112'!$N$8,$B1934&lt;='112'!$O$8,OR($L1934='112'!$I$6,$M1934='112'!$I$6))),"x",""))</f>
        <v/>
      </c>
      <c r="S1934" s="39" t="str">
        <f>IF(ISERROR(FIND('112'!$M$9,G1934,1)),"",IF((AND(LEFT(G1934,2)=LEFT('112'!$M$9,2),B1934&lt;'112'!$N$8,$L1934='112'!$I$6)),"x",""))</f>
        <v/>
      </c>
      <c r="T1934" s="39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39" t="str">
        <f>IF(OR(TH!L1934=TH!$V$7,M1934=TH!$V$7),"x","")</f>
        <v/>
      </c>
      <c r="W1934" s="39" t="str">
        <f>IF(AND(B1934&gt;='IN-NX'!$P$3,B1934&lt;='IN-NX'!$Q$3,'IN-NX'!$D$7=D1934,OR(LEFT(L1934,2)="15",AND(LEFT(M1934,2)&lt;&gt;"15",LEFT(M1934,2)&lt;&gt;"33"))),"x","")</f>
        <v/>
      </c>
      <c r="X1934" s="39" t="str">
        <f>IF(AND(OR(LEFT(TH!L1934,2)="15",LEFT(TH!M1934,2)="15"),'152-CT'!$J$8=TH!F1934),"x","")</f>
        <v/>
      </c>
      <c r="Y1934" s="39" t="str">
        <f>IF(AND(OR(LEFT(TH!L1934,2)="15",LEFT(TH!M1934,2)="15"),TK!$E$7=TH!F1934),"x","")</f>
        <v/>
      </c>
      <c r="Z1934" s="39" t="str">
        <f>IF(AND(B1934&lt;=NKC!$N$8,B1934&gt;=NKC!$M$8),"x","")</f>
        <v/>
      </c>
      <c r="AA1934" s="886"/>
    </row>
    <row r="1935" spans="1:27" s="211" customFormat="1" ht="15.75" customHeight="1">
      <c r="A1935" s="204" t="str">
        <f>IF(B1935&lt;&gt;"",IF(AND(B1935&gt;=_TM1,B1935&lt;=_TM2,OR(TH!L1935="1111",TH!M1935="1111")),TH!D1935,""),"")</f>
        <v/>
      </c>
      <c r="B1935" s="36">
        <f t="shared" si="261"/>
        <v>10</v>
      </c>
      <c r="C1935" s="191">
        <f t="shared" si="263"/>
        <v>41565</v>
      </c>
      <c r="D1935" s="191"/>
      <c r="E1935" s="37">
        <v>41565</v>
      </c>
      <c r="F1935" s="40" t="s">
        <v>940</v>
      </c>
      <c r="G1935" s="40" t="s">
        <v>962</v>
      </c>
      <c r="H1935" s="7" t="s">
        <v>1293</v>
      </c>
      <c r="I1935" s="256"/>
      <c r="J1935" s="256"/>
      <c r="K1935" s="602">
        <f t="shared" si="262"/>
        <v>0</v>
      </c>
      <c r="L1935" s="39" t="s">
        <v>173</v>
      </c>
      <c r="M1935" s="39" t="s">
        <v>167</v>
      </c>
      <c r="N1935" s="39" t="str">
        <f>IF(AND('331-CT'!$E$7=TH!H1935,OR(L1935="331",M1935="331")),"331",IF(AND(OR(L1935="131",M1935="131"),H1935='131-CT'!$E$7),"131",""))</f>
        <v/>
      </c>
      <c r="O1935" s="39" t="str">
        <f>IF(AND($B1935&gt;='111'!$N$11,$B1935&lt;='111'!$O$11,OR($L1935=$O$7,$M1935=$O$7)),"x","")</f>
        <v/>
      </c>
      <c r="P1935" s="39" t="str">
        <f>IF(AND($L1935=$O$7,$B1935&lt;'111'!$N$11),"x","")</f>
        <v/>
      </c>
      <c r="Q1935" s="39" t="str">
        <f>IF(AND($M1935=$O$7,$B1935&lt;'111'!$N$11),"x","")</f>
        <v/>
      </c>
      <c r="R1935" s="39" t="str">
        <f>IF(ISERROR(FIND('112'!$M$9,G1935,1)),"",IF((AND(FIND('112'!$M$9,G1935,1)&gt;=1,$B1935&gt;='112'!$N$8,$B1935&lt;='112'!$O$8,OR($L1935='112'!$I$6,$M1935='112'!$I$6))),"x",""))</f>
        <v/>
      </c>
      <c r="S1935" s="39" t="str">
        <f>IF(ISERROR(FIND('112'!$M$9,G1935,1)),"",IF((AND(LEFT(G1935,2)=LEFT('112'!$M$9,2),B1935&lt;'112'!$N$8,$L1935='112'!$I$6)),"x",""))</f>
        <v/>
      </c>
      <c r="T1935" s="39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39" t="str">
        <f>IF(OR(TH!L1935=TH!$V$7,M1935=TH!$V$7),"x","")</f>
        <v/>
      </c>
      <c r="W1935" s="39" t="str">
        <f>IF(AND(B1935&gt;='IN-NX'!$P$3,B1935&lt;='IN-NX'!$Q$3,'IN-NX'!$D$7=D1935,OR(LEFT(L1935,2)="15",AND(LEFT(M1935,2)&lt;&gt;"15",LEFT(M1935,2)&lt;&gt;"33"))),"x","")</f>
        <v/>
      </c>
      <c r="X1935" s="39" t="str">
        <f>IF(AND(OR(LEFT(TH!L1935,2)="15",LEFT(TH!M1935,2)="15"),'152-CT'!$J$8=TH!F1935),"x","")</f>
        <v/>
      </c>
      <c r="Y1935" s="39" t="str">
        <f>IF(AND(OR(LEFT(TH!L1935,2)="15",LEFT(TH!M1935,2)="15"),TK!$E$7=TH!F1935),"x","")</f>
        <v/>
      </c>
      <c r="Z1935" s="39" t="str">
        <f>IF(AND(B1935&lt;=NKC!$N$8,B1935&gt;=NKC!$M$8),"x","")</f>
        <v/>
      </c>
      <c r="AA1935" s="886"/>
    </row>
    <row r="1936" spans="1:27" s="211" customFormat="1" ht="15.75" customHeight="1">
      <c r="A1936" s="204" t="str">
        <f>IF(B1936&lt;&gt;"",IF(AND(B1936&gt;=_TM1,B1936&lt;=_TM2,OR(TH!L1936="1111",TH!M1936="1111")),TH!D1936,""),"")</f>
        <v/>
      </c>
      <c r="B1936" s="36">
        <f t="shared" si="261"/>
        <v>10</v>
      </c>
      <c r="C1936" s="191">
        <f t="shared" si="263"/>
        <v>41566</v>
      </c>
      <c r="D1936" s="37"/>
      <c r="E1936" s="37">
        <v>41566</v>
      </c>
      <c r="F1936" s="40" t="s">
        <v>1142</v>
      </c>
      <c r="G1936" s="40" t="s">
        <v>963</v>
      </c>
      <c r="H1936" s="7" t="s">
        <v>1293</v>
      </c>
      <c r="I1936" s="256"/>
      <c r="J1936" s="256"/>
      <c r="K1936" s="602">
        <f t="shared" si="262"/>
        <v>0</v>
      </c>
      <c r="L1936" s="39" t="s">
        <v>173</v>
      </c>
      <c r="M1936" s="39" t="s">
        <v>167</v>
      </c>
      <c r="N1936" s="39" t="str">
        <f>IF(AND('331-CT'!$E$7=TH!H1936,OR(L1936="331",M1936="331")),"331",IF(AND(OR(L1936="131",M1936="131"),H1936='131-CT'!$E$7),"131",""))</f>
        <v/>
      </c>
      <c r="O1936" s="39" t="str">
        <f>IF(AND($B1936&gt;='111'!$N$11,$B1936&lt;='111'!$O$11,OR($L1936=$O$7,$M1936=$O$7)),"x","")</f>
        <v/>
      </c>
      <c r="P1936" s="39" t="str">
        <f>IF(AND($L1936=$O$7,$B1936&lt;'111'!$N$11),"x","")</f>
        <v/>
      </c>
      <c r="Q1936" s="39" t="str">
        <f>IF(AND($M1936=$O$7,$B1936&lt;'111'!$N$11),"x","")</f>
        <v/>
      </c>
      <c r="R1936" s="39" t="str">
        <f>IF(ISERROR(FIND('112'!$M$9,G1936,1)),"",IF((AND(FIND('112'!$M$9,G1936,1)&gt;=1,$B1936&gt;='112'!$N$8,$B1936&lt;='112'!$O$8,OR($L1936='112'!$I$6,$M1936='112'!$I$6))),"x",""))</f>
        <v/>
      </c>
      <c r="S1936" s="39" t="str">
        <f>IF(ISERROR(FIND('112'!$M$9,G1936,1)),"",IF((AND(LEFT(G1936,2)=LEFT('112'!$M$9,2),B1936&lt;'112'!$N$8,$L1936='112'!$I$6)),"x",""))</f>
        <v/>
      </c>
      <c r="T1936" s="39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39" t="str">
        <f>IF(OR(TH!L1936=TH!$V$7,M1936=TH!$V$7),"x","")</f>
        <v/>
      </c>
      <c r="W1936" s="39" t="str">
        <f>IF(AND(B1936&gt;='IN-NX'!$P$3,B1936&lt;='IN-NX'!$Q$3,'IN-NX'!$D$7=D1936,OR(LEFT(L1936,2)="15",AND(LEFT(M1936,2)&lt;&gt;"15",LEFT(M1936,2)&lt;&gt;"33"))),"x","")</f>
        <v/>
      </c>
      <c r="X1936" s="39" t="str">
        <f>IF(AND(OR(LEFT(TH!L1936,2)="15",LEFT(TH!M1936,2)="15"),'152-CT'!$J$8=TH!F1936),"x","")</f>
        <v/>
      </c>
      <c r="Y1936" s="39" t="str">
        <f>IF(AND(OR(LEFT(TH!L1936,2)="15",LEFT(TH!M1936,2)="15"),TK!$E$7=TH!F1936),"x","")</f>
        <v/>
      </c>
      <c r="Z1936" s="39" t="str">
        <f>IF(AND(B1936&lt;=NKC!$N$8,B1936&gt;=NKC!$M$8),"x","")</f>
        <v/>
      </c>
      <c r="AA1936" s="886"/>
    </row>
    <row r="1937" spans="1:27" s="211" customFormat="1" ht="15.75" customHeight="1">
      <c r="A1937" s="204" t="str">
        <f>IF(B1937&lt;&gt;"",IF(AND(B1937&gt;=_TM1,B1937&lt;=_TM2,OR(TH!L1937="1111",TH!M1937="1111")),TH!D1937,""),"")</f>
        <v/>
      </c>
      <c r="B1937" s="36">
        <f t="shared" si="261"/>
        <v>10</v>
      </c>
      <c r="C1937" s="191">
        <f t="shared" si="263"/>
        <v>41566</v>
      </c>
      <c r="D1937" s="37"/>
      <c r="E1937" s="184">
        <v>41566</v>
      </c>
      <c r="F1937" s="189" t="s">
        <v>964</v>
      </c>
      <c r="G1937" s="604" t="s">
        <v>963</v>
      </c>
      <c r="H1937" s="7" t="s">
        <v>1293</v>
      </c>
      <c r="I1937" s="256"/>
      <c r="J1937" s="256"/>
      <c r="K1937" s="602">
        <f t="shared" si="262"/>
        <v>0</v>
      </c>
      <c r="L1937" s="39" t="s">
        <v>173</v>
      </c>
      <c r="M1937" s="39" t="s">
        <v>167</v>
      </c>
      <c r="N1937" s="39" t="str">
        <f>IF(AND('331-CT'!$E$7=TH!H1937,OR(L1937="331",M1937="331")),"331",IF(AND(OR(L1937="131",M1937="131"),H1937='131-CT'!$E$7),"131",""))</f>
        <v/>
      </c>
      <c r="O1937" s="39" t="str">
        <f>IF(AND($B1937&gt;='111'!$N$11,$B1937&lt;='111'!$O$11,OR($L1937=$O$7,$M1937=$O$7)),"x","")</f>
        <v/>
      </c>
      <c r="P1937" s="39" t="str">
        <f>IF(AND($L1937=$O$7,$B1937&lt;'111'!$N$11),"x","")</f>
        <v/>
      </c>
      <c r="Q1937" s="39" t="str">
        <f>IF(AND($M1937=$O$7,$B1937&lt;'111'!$N$11),"x","")</f>
        <v/>
      </c>
      <c r="R1937" s="39" t="str">
        <f>IF(ISERROR(FIND('112'!$M$9,G1937,1)),"",IF((AND(FIND('112'!$M$9,G1937,1)&gt;=1,$B1937&gt;='112'!$N$8,$B1937&lt;='112'!$O$8,OR($L1937='112'!$I$6,$M1937='112'!$I$6))),"x",""))</f>
        <v/>
      </c>
      <c r="S1937" s="39" t="str">
        <f>IF(ISERROR(FIND('112'!$M$9,G1937,1)),"",IF((AND(LEFT(G1937,2)=LEFT('112'!$M$9,2),B1937&lt;'112'!$N$8,$L1937='112'!$I$6)),"x",""))</f>
        <v/>
      </c>
      <c r="T1937" s="39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39" t="str">
        <f>IF(OR(TH!L1937=TH!$V$7,M1937=TH!$V$7),"x","")</f>
        <v/>
      </c>
      <c r="W1937" s="39" t="str">
        <f>IF(AND(B1937&gt;='IN-NX'!$P$3,B1937&lt;='IN-NX'!$Q$3,'IN-NX'!$D$7=D1937,OR(LEFT(L1937,2)="15",AND(LEFT(M1937,2)&lt;&gt;"15",LEFT(M1937,2)&lt;&gt;"33"))),"x","")</f>
        <v/>
      </c>
      <c r="X1937" s="39" t="str">
        <f>IF(AND(OR(LEFT(TH!L1937,2)="15",LEFT(TH!M1937,2)="15"),'152-CT'!$J$8=TH!F1937),"x","")</f>
        <v/>
      </c>
      <c r="Y1937" s="39" t="str">
        <f>IF(AND(OR(LEFT(TH!L1937,2)="15",LEFT(TH!M1937,2)="15"),TK!$E$7=TH!F1937),"x","")</f>
        <v/>
      </c>
      <c r="Z1937" s="39" t="str">
        <f>IF(AND(B1937&lt;=NKC!$N$8,B1937&gt;=NKC!$M$8),"x","")</f>
        <v/>
      </c>
      <c r="AA1937" s="886"/>
    </row>
    <row r="1938" spans="1:27" s="211" customFormat="1" ht="15.75" customHeight="1">
      <c r="A1938" s="204" t="str">
        <f>IF(B1938&lt;&gt;"",IF(AND(B1938&gt;=_TM1,B1938&lt;=_TM2,OR(TH!L1938="1111",TH!M1938="1111")),TH!D1938,""),"")</f>
        <v/>
      </c>
      <c r="B1938" s="36">
        <f t="shared" si="261"/>
        <v>10</v>
      </c>
      <c r="C1938" s="191">
        <f t="shared" si="263"/>
        <v>41568</v>
      </c>
      <c r="D1938" s="37"/>
      <c r="E1938" s="184">
        <v>41568</v>
      </c>
      <c r="F1938" s="189" t="s">
        <v>731</v>
      </c>
      <c r="G1938" s="604" t="s">
        <v>965</v>
      </c>
      <c r="H1938" s="7" t="s">
        <v>1293</v>
      </c>
      <c r="I1938" s="256"/>
      <c r="J1938" s="256"/>
      <c r="K1938" s="602">
        <f t="shared" si="262"/>
        <v>0</v>
      </c>
      <c r="L1938" s="39" t="s">
        <v>173</v>
      </c>
      <c r="M1938" s="39" t="s">
        <v>167</v>
      </c>
      <c r="N1938" s="39" t="str">
        <f>IF(AND('331-CT'!$E$7=TH!H1938,OR(L1938="331",M1938="331")),"331",IF(AND(OR(L1938="131",M1938="131"),H1938='131-CT'!$E$7),"131",""))</f>
        <v/>
      </c>
      <c r="O1938" s="39" t="str">
        <f>IF(AND($B1938&gt;='111'!$N$11,$B1938&lt;='111'!$O$11,OR($L1938=$O$7,$M1938=$O$7)),"x","")</f>
        <v/>
      </c>
      <c r="P1938" s="39" t="str">
        <f>IF(AND($L1938=$O$7,$B1938&lt;'111'!$N$11),"x","")</f>
        <v/>
      </c>
      <c r="Q1938" s="39" t="str">
        <f>IF(AND($M1938=$O$7,$B1938&lt;'111'!$N$11),"x","")</f>
        <v/>
      </c>
      <c r="R1938" s="39" t="str">
        <f>IF(ISERROR(FIND('112'!$M$9,G1938,1)),"",IF((AND(FIND('112'!$M$9,G1938,1)&gt;=1,$B1938&gt;='112'!$N$8,$B1938&lt;='112'!$O$8,OR($L1938='112'!$I$6,$M1938='112'!$I$6))),"x",""))</f>
        <v/>
      </c>
      <c r="S1938" s="39" t="str">
        <f>IF(ISERROR(FIND('112'!$M$9,G1938,1)),"",IF((AND(LEFT(G1938,2)=LEFT('112'!$M$9,2),B1938&lt;'112'!$N$8,$L1938='112'!$I$6)),"x",""))</f>
        <v/>
      </c>
      <c r="T1938" s="39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39" t="str">
        <f>IF(OR(TH!L1938=TH!$V$7,M1938=TH!$V$7),"x","")</f>
        <v/>
      </c>
      <c r="W1938" s="39" t="str">
        <f>IF(AND(B1938&gt;='IN-NX'!$P$3,B1938&lt;='IN-NX'!$Q$3,'IN-NX'!$D$7=D1938,OR(LEFT(L1938,2)="15",AND(LEFT(M1938,2)&lt;&gt;"15",LEFT(M1938,2)&lt;&gt;"33"))),"x","")</f>
        <v/>
      </c>
      <c r="X1938" s="39" t="str">
        <f>IF(AND(OR(LEFT(TH!L1938,2)="15",LEFT(TH!M1938,2)="15"),'152-CT'!$J$8=TH!F1938),"x","")</f>
        <v/>
      </c>
      <c r="Y1938" s="39" t="str">
        <f>IF(AND(OR(LEFT(TH!L1938,2)="15",LEFT(TH!M1938,2)="15"),TK!$E$7=TH!F1938),"x","")</f>
        <v/>
      </c>
      <c r="Z1938" s="39" t="str">
        <f>IF(AND(B1938&lt;=NKC!$N$8,B1938&gt;=NKC!$M$8),"x","")</f>
        <v/>
      </c>
      <c r="AA1938" s="886"/>
    </row>
    <row r="1939" spans="1:27" s="211" customFormat="1" ht="15.75" customHeight="1">
      <c r="A1939" s="204" t="str">
        <f>IF(B1939&lt;&gt;"",IF(AND(B1939&gt;=_TM1,B1939&lt;=_TM2,OR(TH!L1939="1111",TH!M1939="1111")),TH!D1939,""),"")</f>
        <v/>
      </c>
      <c r="B1939" s="36">
        <f t="shared" si="261"/>
        <v>10</v>
      </c>
      <c r="C1939" s="191">
        <f t="shared" si="263"/>
        <v>41568</v>
      </c>
      <c r="D1939" s="37"/>
      <c r="E1939" s="184">
        <v>41568</v>
      </c>
      <c r="F1939" s="189" t="s">
        <v>966</v>
      </c>
      <c r="G1939" s="604" t="s">
        <v>967</v>
      </c>
      <c r="H1939" s="7" t="s">
        <v>1293</v>
      </c>
      <c r="I1939" s="256"/>
      <c r="J1939" s="256"/>
      <c r="K1939" s="602">
        <f t="shared" si="262"/>
        <v>0</v>
      </c>
      <c r="L1939" s="39" t="s">
        <v>173</v>
      </c>
      <c r="M1939" s="39" t="s">
        <v>167</v>
      </c>
      <c r="N1939" s="39" t="str">
        <f>IF(AND('331-CT'!$E$7=TH!H1939,OR(L1939="331",M1939="331")),"331",IF(AND(OR(L1939="131",M1939="131"),H1939='131-CT'!$E$7),"131",""))</f>
        <v/>
      </c>
      <c r="O1939" s="39" t="str">
        <f>IF(AND($B1939&gt;='111'!$N$11,$B1939&lt;='111'!$O$11,OR($L1939=$O$7,$M1939=$O$7)),"x","")</f>
        <v/>
      </c>
      <c r="P1939" s="39" t="str">
        <f>IF(AND($L1939=$O$7,$B1939&lt;'111'!$N$11),"x","")</f>
        <v/>
      </c>
      <c r="Q1939" s="39" t="str">
        <f>IF(AND($M1939=$O$7,$B1939&lt;'111'!$N$11),"x","")</f>
        <v/>
      </c>
      <c r="R1939" s="39" t="str">
        <f>IF(ISERROR(FIND('112'!$M$9,G1939,1)),"",IF((AND(FIND('112'!$M$9,G1939,1)&gt;=1,$B1939&gt;='112'!$N$8,$B1939&lt;='112'!$O$8,OR($L1939='112'!$I$6,$M1939='112'!$I$6))),"x",""))</f>
        <v/>
      </c>
      <c r="S1939" s="39" t="str">
        <f>IF(ISERROR(FIND('112'!$M$9,G1939,1)),"",IF((AND(LEFT(G1939,2)=LEFT('112'!$M$9,2),B1939&lt;'112'!$N$8,$L1939='112'!$I$6)),"x",""))</f>
        <v/>
      </c>
      <c r="T1939" s="39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39" t="str">
        <f>IF(OR(TH!L1939=TH!$V$7,M1939=TH!$V$7),"x","")</f>
        <v/>
      </c>
      <c r="W1939" s="39" t="str">
        <f>IF(AND(B1939&gt;='IN-NX'!$P$3,B1939&lt;='IN-NX'!$Q$3,'IN-NX'!$D$7=D1939,OR(LEFT(L1939,2)="15",AND(LEFT(M1939,2)&lt;&gt;"15",LEFT(M1939,2)&lt;&gt;"33"))),"x","")</f>
        <v/>
      </c>
      <c r="X1939" s="39" t="str">
        <f>IF(AND(OR(LEFT(TH!L1939,2)="15",LEFT(TH!M1939,2)="15"),'152-CT'!$J$8=TH!F1939),"x","")</f>
        <v/>
      </c>
      <c r="Y1939" s="39" t="str">
        <f>IF(AND(OR(LEFT(TH!L1939,2)="15",LEFT(TH!M1939,2)="15"),TK!$E$7=TH!F1939),"x","")</f>
        <v/>
      </c>
      <c r="Z1939" s="39" t="str">
        <f>IF(AND(B1939&lt;=NKC!$N$8,B1939&gt;=NKC!$M$8),"x","")</f>
        <v/>
      </c>
      <c r="AA1939" s="886"/>
    </row>
    <row r="1940" spans="1:27" s="211" customFormat="1" ht="15.75" customHeight="1">
      <c r="A1940" s="204" t="str">
        <f>IF(B1940&lt;&gt;"",IF(AND(B1940&gt;=_TM1,B1940&lt;=_TM2,OR(TH!L1940="1111",TH!M1940="1111")),TH!D1940,""),"")</f>
        <v/>
      </c>
      <c r="B1940" s="36">
        <f t="shared" si="261"/>
        <v>10</v>
      </c>
      <c r="C1940" s="191">
        <f t="shared" si="263"/>
        <v>41568</v>
      </c>
      <c r="D1940" s="37"/>
      <c r="E1940" s="184">
        <v>41568</v>
      </c>
      <c r="F1940" s="189" t="s">
        <v>968</v>
      </c>
      <c r="G1940" s="604" t="s">
        <v>967</v>
      </c>
      <c r="H1940" s="7" t="s">
        <v>1293</v>
      </c>
      <c r="I1940" s="256"/>
      <c r="J1940" s="256"/>
      <c r="K1940" s="602">
        <f t="shared" si="262"/>
        <v>0</v>
      </c>
      <c r="L1940" s="39" t="s">
        <v>173</v>
      </c>
      <c r="M1940" s="39" t="s">
        <v>167</v>
      </c>
      <c r="N1940" s="39" t="str">
        <f>IF(AND('331-CT'!$E$7=TH!H1940,OR(L1940="331",M1940="331")),"331",IF(AND(OR(L1940="131",M1940="131"),H1940='131-CT'!$E$7),"131",""))</f>
        <v/>
      </c>
      <c r="O1940" s="39" t="str">
        <f>IF(AND($B1940&gt;='111'!$N$11,$B1940&lt;='111'!$O$11,OR($L1940=$O$7,$M1940=$O$7)),"x","")</f>
        <v/>
      </c>
      <c r="P1940" s="39" t="str">
        <f>IF(AND($L1940=$O$7,$B1940&lt;'111'!$N$11),"x","")</f>
        <v/>
      </c>
      <c r="Q1940" s="39" t="str">
        <f>IF(AND($M1940=$O$7,$B1940&lt;'111'!$N$11),"x","")</f>
        <v/>
      </c>
      <c r="R1940" s="39" t="str">
        <f>IF(ISERROR(FIND('112'!$M$9,G1940,1)),"",IF((AND(FIND('112'!$M$9,G1940,1)&gt;=1,$B1940&gt;='112'!$N$8,$B1940&lt;='112'!$O$8,OR($L1940='112'!$I$6,$M1940='112'!$I$6))),"x",""))</f>
        <v/>
      </c>
      <c r="S1940" s="39" t="str">
        <f>IF(ISERROR(FIND('112'!$M$9,G1940,1)),"",IF((AND(LEFT(G1940,2)=LEFT('112'!$M$9,2),B1940&lt;'112'!$N$8,$L1940='112'!$I$6)),"x",""))</f>
        <v/>
      </c>
      <c r="T1940" s="39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39" t="str">
        <f>IF(OR(TH!L1940=TH!$V$7,M1940=TH!$V$7),"x","")</f>
        <v/>
      </c>
      <c r="W1940" s="39" t="str">
        <f>IF(AND(B1940&gt;='IN-NX'!$P$3,B1940&lt;='IN-NX'!$Q$3,'IN-NX'!$D$7=D1940,OR(LEFT(L1940,2)="15",AND(LEFT(M1940,2)&lt;&gt;"15",LEFT(M1940,2)&lt;&gt;"33"))),"x","")</f>
        <v/>
      </c>
      <c r="X1940" s="39" t="str">
        <f>IF(AND(OR(LEFT(TH!L1940,2)="15",LEFT(TH!M1940,2)="15"),'152-CT'!$J$8=TH!F1940),"x","")</f>
        <v/>
      </c>
      <c r="Y1940" s="39" t="str">
        <f>IF(AND(OR(LEFT(TH!L1940,2)="15",LEFT(TH!M1940,2)="15"),TK!$E$7=TH!F1940),"x","")</f>
        <v/>
      </c>
      <c r="Z1940" s="39" t="str">
        <f>IF(AND(B1940&lt;=NKC!$N$8,B1940&gt;=NKC!$M$8),"x","")</f>
        <v/>
      </c>
      <c r="AA1940" s="886"/>
    </row>
    <row r="1941" spans="1:27" s="211" customFormat="1" ht="15.75" customHeight="1">
      <c r="A1941" s="204" t="str">
        <f>IF(B1941&lt;&gt;"",IF(AND(B1941&gt;=_TM1,B1941&lt;=_TM2,OR(TH!L1941="1111",TH!M1941="1111")),TH!D1941,""),"")</f>
        <v/>
      </c>
      <c r="B1941" s="36">
        <f t="shared" si="261"/>
        <v>10</v>
      </c>
      <c r="C1941" s="191">
        <f t="shared" si="263"/>
        <v>41568</v>
      </c>
      <c r="D1941" s="37"/>
      <c r="E1941" s="184">
        <v>41568</v>
      </c>
      <c r="F1941" s="189" t="s">
        <v>1164</v>
      </c>
      <c r="G1941" s="604" t="s">
        <v>967</v>
      </c>
      <c r="H1941" s="7" t="s">
        <v>1293</v>
      </c>
      <c r="I1941" s="256"/>
      <c r="J1941" s="256"/>
      <c r="K1941" s="602">
        <f t="shared" si="262"/>
        <v>0</v>
      </c>
      <c r="L1941" s="39" t="s">
        <v>173</v>
      </c>
      <c r="M1941" s="39" t="s">
        <v>167</v>
      </c>
      <c r="N1941" s="39" t="str">
        <f>IF(AND('331-CT'!$E$7=TH!H1941,OR(L1941="331",M1941="331")),"331",IF(AND(OR(L1941="131",M1941="131"),H1941='131-CT'!$E$7),"131",""))</f>
        <v/>
      </c>
      <c r="O1941" s="39" t="str">
        <f>IF(AND($B1941&gt;='111'!$N$11,$B1941&lt;='111'!$O$11,OR($L1941=$O$7,$M1941=$O$7)),"x","")</f>
        <v/>
      </c>
      <c r="P1941" s="39" t="str">
        <f>IF(AND($L1941=$O$7,$B1941&lt;'111'!$N$11),"x","")</f>
        <v/>
      </c>
      <c r="Q1941" s="39" t="str">
        <f>IF(AND($M1941=$O$7,$B1941&lt;'111'!$N$11),"x","")</f>
        <v/>
      </c>
      <c r="R1941" s="39" t="str">
        <f>IF(ISERROR(FIND('112'!$M$9,G1941,1)),"",IF((AND(FIND('112'!$M$9,G1941,1)&gt;=1,$B1941&gt;='112'!$N$8,$B1941&lt;='112'!$O$8,OR($L1941='112'!$I$6,$M1941='112'!$I$6))),"x",""))</f>
        <v/>
      </c>
      <c r="S1941" s="39" t="str">
        <f>IF(ISERROR(FIND('112'!$M$9,G1941,1)),"",IF((AND(LEFT(G1941,2)=LEFT('112'!$M$9,2),B1941&lt;'112'!$N$8,$L1941='112'!$I$6)),"x",""))</f>
        <v/>
      </c>
      <c r="T1941" s="39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39" t="str">
        <f>IF(OR(TH!L1941=TH!$V$7,M1941=TH!$V$7),"x","")</f>
        <v/>
      </c>
      <c r="W1941" s="39" t="str">
        <f>IF(AND(B1941&gt;='IN-NX'!$P$3,B1941&lt;='IN-NX'!$Q$3,'IN-NX'!$D$7=D1941,OR(LEFT(L1941,2)="15",AND(LEFT(M1941,2)&lt;&gt;"15",LEFT(M1941,2)&lt;&gt;"33"))),"x","")</f>
        <v/>
      </c>
      <c r="X1941" s="39" t="str">
        <f>IF(AND(OR(LEFT(TH!L1941,2)="15",LEFT(TH!M1941,2)="15"),'152-CT'!$J$8=TH!F1941),"x","")</f>
        <v/>
      </c>
      <c r="Y1941" s="39" t="str">
        <f>IF(AND(OR(LEFT(TH!L1941,2)="15",LEFT(TH!M1941,2)="15"),TK!$E$7=TH!F1941),"x","")</f>
        <v/>
      </c>
      <c r="Z1941" s="39" t="str">
        <f>IF(AND(B1941&lt;=NKC!$N$8,B1941&gt;=NKC!$M$8),"x","")</f>
        <v/>
      </c>
      <c r="AA1941" s="886"/>
    </row>
    <row r="1942" spans="1:27" s="211" customFormat="1" ht="15.75" customHeight="1">
      <c r="A1942" s="204" t="str">
        <f>IF(B1942&lt;&gt;"",IF(AND(B1942&gt;=_TM1,B1942&lt;=_TM2,OR(TH!L1942="1111",TH!M1942="1111")),TH!D1942,""),"")</f>
        <v/>
      </c>
      <c r="B1942" s="36">
        <f t="shared" si="261"/>
        <v>10</v>
      </c>
      <c r="C1942" s="191">
        <f t="shared" si="263"/>
        <v>41568</v>
      </c>
      <c r="D1942" s="37"/>
      <c r="E1942" s="184">
        <v>41568</v>
      </c>
      <c r="F1942" s="189" t="s">
        <v>1161</v>
      </c>
      <c r="G1942" s="604" t="s">
        <v>967</v>
      </c>
      <c r="H1942" s="7" t="s">
        <v>1293</v>
      </c>
      <c r="I1942" s="256"/>
      <c r="J1942" s="256"/>
      <c r="K1942" s="602">
        <f t="shared" si="262"/>
        <v>0</v>
      </c>
      <c r="L1942" s="39" t="s">
        <v>173</v>
      </c>
      <c r="M1942" s="39" t="s">
        <v>167</v>
      </c>
      <c r="N1942" s="39" t="str">
        <f>IF(AND('331-CT'!$E$7=TH!H1942,OR(L1942="331",M1942="331")),"331",IF(AND(OR(L1942="131",M1942="131"),H1942='131-CT'!$E$7),"131",""))</f>
        <v/>
      </c>
      <c r="O1942" s="39" t="str">
        <f>IF(AND($B1942&gt;='111'!$N$11,$B1942&lt;='111'!$O$11,OR($L1942=$O$7,$M1942=$O$7)),"x","")</f>
        <v/>
      </c>
      <c r="P1942" s="39" t="str">
        <f>IF(AND($L1942=$O$7,$B1942&lt;'111'!$N$11),"x","")</f>
        <v/>
      </c>
      <c r="Q1942" s="39" t="str">
        <f>IF(AND($M1942=$O$7,$B1942&lt;'111'!$N$11),"x","")</f>
        <v/>
      </c>
      <c r="R1942" s="39" t="str">
        <f>IF(ISERROR(FIND('112'!$M$9,G1942,1)),"",IF((AND(FIND('112'!$M$9,G1942,1)&gt;=1,$B1942&gt;='112'!$N$8,$B1942&lt;='112'!$O$8,OR($L1942='112'!$I$6,$M1942='112'!$I$6))),"x",""))</f>
        <v/>
      </c>
      <c r="S1942" s="39" t="str">
        <f>IF(ISERROR(FIND('112'!$M$9,G1942,1)),"",IF((AND(LEFT(G1942,2)=LEFT('112'!$M$9,2),B1942&lt;'112'!$N$8,$L1942='112'!$I$6)),"x",""))</f>
        <v/>
      </c>
      <c r="T1942" s="39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39" t="str">
        <f>IF(OR(TH!L1942=TH!$V$7,M1942=TH!$V$7),"x","")</f>
        <v/>
      </c>
      <c r="W1942" s="39" t="str">
        <f>IF(AND(B1942&gt;='IN-NX'!$P$3,B1942&lt;='IN-NX'!$Q$3,'IN-NX'!$D$7=D1942,OR(LEFT(L1942,2)="15",AND(LEFT(M1942,2)&lt;&gt;"15",LEFT(M1942,2)&lt;&gt;"33"))),"x","")</f>
        <v/>
      </c>
      <c r="X1942" s="39" t="str">
        <f>IF(AND(OR(LEFT(TH!L1942,2)="15",LEFT(TH!M1942,2)="15"),'152-CT'!$J$8=TH!F1942),"x","")</f>
        <v/>
      </c>
      <c r="Y1942" s="39" t="str">
        <f>IF(AND(OR(LEFT(TH!L1942,2)="15",LEFT(TH!M1942,2)="15"),TK!$E$7=TH!F1942),"x","")</f>
        <v/>
      </c>
      <c r="Z1942" s="39" t="str">
        <f>IF(AND(B1942&lt;=NKC!$N$8,B1942&gt;=NKC!$M$8),"x","")</f>
        <v/>
      </c>
      <c r="AA1942" s="886"/>
    </row>
    <row r="1943" spans="1:27" s="211" customFormat="1" ht="15.75" customHeight="1">
      <c r="A1943" s="204" t="str">
        <f>IF(B1943&lt;&gt;"",IF(AND(B1943&gt;=_TM1,B1943&lt;=_TM2,OR(TH!L1943="1111",TH!M1943="1111")),TH!D1943,""),"")</f>
        <v/>
      </c>
      <c r="B1943" s="36">
        <f t="shared" si="261"/>
        <v>10</v>
      </c>
      <c r="C1943" s="191">
        <f t="shared" si="263"/>
        <v>41568</v>
      </c>
      <c r="D1943" s="37"/>
      <c r="E1943" s="184">
        <v>41568</v>
      </c>
      <c r="F1943" s="189" t="s">
        <v>969</v>
      </c>
      <c r="G1943" s="604" t="s">
        <v>967</v>
      </c>
      <c r="H1943" s="7" t="s">
        <v>1293</v>
      </c>
      <c r="I1943" s="256"/>
      <c r="J1943" s="256"/>
      <c r="K1943" s="602">
        <f t="shared" si="262"/>
        <v>0</v>
      </c>
      <c r="L1943" s="39" t="s">
        <v>173</v>
      </c>
      <c r="M1943" s="39" t="s">
        <v>167</v>
      </c>
      <c r="N1943" s="39" t="str">
        <f>IF(AND('331-CT'!$E$7=TH!H1943,OR(L1943="331",M1943="331")),"331",IF(AND(OR(L1943="131",M1943="131"),H1943='131-CT'!$E$7),"131",""))</f>
        <v/>
      </c>
      <c r="O1943" s="39" t="str">
        <f>IF(AND($B1943&gt;='111'!$N$11,$B1943&lt;='111'!$O$11,OR($L1943=$O$7,$M1943=$O$7)),"x","")</f>
        <v/>
      </c>
      <c r="P1943" s="39" t="str">
        <f>IF(AND($L1943=$O$7,$B1943&lt;'111'!$N$11),"x","")</f>
        <v/>
      </c>
      <c r="Q1943" s="39" t="str">
        <f>IF(AND($M1943=$O$7,$B1943&lt;'111'!$N$11),"x","")</f>
        <v/>
      </c>
      <c r="R1943" s="39" t="str">
        <f>IF(ISERROR(FIND('112'!$M$9,G1943,1)),"",IF((AND(FIND('112'!$M$9,G1943,1)&gt;=1,$B1943&gt;='112'!$N$8,$B1943&lt;='112'!$O$8,OR($L1943='112'!$I$6,$M1943='112'!$I$6))),"x",""))</f>
        <v/>
      </c>
      <c r="S1943" s="39" t="str">
        <f>IF(ISERROR(FIND('112'!$M$9,G1943,1)),"",IF((AND(LEFT(G1943,2)=LEFT('112'!$M$9,2),B1943&lt;'112'!$N$8,$L1943='112'!$I$6)),"x",""))</f>
        <v/>
      </c>
      <c r="T1943" s="39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39" t="str">
        <f>IF(OR(TH!L1943=TH!$V$7,M1943=TH!$V$7),"x","")</f>
        <v/>
      </c>
      <c r="W1943" s="39" t="str">
        <f>IF(AND(B1943&gt;='IN-NX'!$P$3,B1943&lt;='IN-NX'!$Q$3,'IN-NX'!$D$7=D1943,OR(LEFT(L1943,2)="15",AND(LEFT(M1943,2)&lt;&gt;"15",LEFT(M1943,2)&lt;&gt;"33"))),"x","")</f>
        <v/>
      </c>
      <c r="X1943" s="39" t="str">
        <f>IF(AND(OR(LEFT(TH!L1943,2)="15",LEFT(TH!M1943,2)="15"),'152-CT'!$J$8=TH!F1943),"x","")</f>
        <v/>
      </c>
      <c r="Y1943" s="39" t="str">
        <f>IF(AND(OR(LEFT(TH!L1943,2)="15",LEFT(TH!M1943,2)="15"),TK!$E$7=TH!F1943),"x","")</f>
        <v/>
      </c>
      <c r="Z1943" s="39" t="str">
        <f>IF(AND(B1943&lt;=NKC!$N$8,B1943&gt;=NKC!$M$8),"x","")</f>
        <v/>
      </c>
      <c r="AA1943" s="886"/>
    </row>
    <row r="1944" spans="1:27" s="211" customFormat="1" ht="15.75" customHeight="1">
      <c r="A1944" s="204" t="str">
        <f>IF(B1944&lt;&gt;"",IF(AND(B1944&gt;=_TM1,B1944&lt;=_TM2,OR(TH!L1944="1111",TH!M1944="1111")),TH!D1944,""),"")</f>
        <v/>
      </c>
      <c r="B1944" s="36">
        <f t="shared" si="261"/>
        <v>10</v>
      </c>
      <c r="C1944" s="191">
        <f t="shared" si="263"/>
        <v>41568</v>
      </c>
      <c r="D1944" s="37"/>
      <c r="E1944" s="191">
        <v>41568</v>
      </c>
      <c r="F1944" s="192" t="s">
        <v>970</v>
      </c>
      <c r="G1944" s="487" t="s">
        <v>967</v>
      </c>
      <c r="H1944" s="7" t="s">
        <v>1293</v>
      </c>
      <c r="I1944" s="256"/>
      <c r="J1944" s="256"/>
      <c r="K1944" s="602">
        <f t="shared" si="262"/>
        <v>0</v>
      </c>
      <c r="L1944" s="39" t="s">
        <v>173</v>
      </c>
      <c r="M1944" s="39" t="s">
        <v>167</v>
      </c>
      <c r="N1944" s="39" t="str">
        <f>IF(AND('331-CT'!$E$7=TH!H1944,OR(L1944="331",M1944="331")),"331",IF(AND(OR(L1944="131",M1944="131"),H1944='131-CT'!$E$7),"131",""))</f>
        <v/>
      </c>
      <c r="O1944" s="39" t="str">
        <f>IF(AND($B1944&gt;='111'!$N$11,$B1944&lt;='111'!$O$11,OR($L1944=$O$7,$M1944=$O$7)),"x","")</f>
        <v/>
      </c>
      <c r="P1944" s="39" t="str">
        <f>IF(AND($L1944=$O$7,$B1944&lt;'111'!$N$11),"x","")</f>
        <v/>
      </c>
      <c r="Q1944" s="39" t="str">
        <f>IF(AND($M1944=$O$7,$B1944&lt;'111'!$N$11),"x","")</f>
        <v/>
      </c>
      <c r="R1944" s="39" t="str">
        <f>IF(ISERROR(FIND('112'!$M$9,G1944,1)),"",IF((AND(FIND('112'!$M$9,G1944,1)&gt;=1,$B1944&gt;='112'!$N$8,$B1944&lt;='112'!$O$8,OR($L1944='112'!$I$6,$M1944='112'!$I$6))),"x",""))</f>
        <v/>
      </c>
      <c r="S1944" s="39" t="str">
        <f>IF(ISERROR(FIND('112'!$M$9,G1944,1)),"",IF((AND(LEFT(G1944,2)=LEFT('112'!$M$9,2),B1944&lt;'112'!$N$8,$L1944='112'!$I$6)),"x",""))</f>
        <v/>
      </c>
      <c r="T1944" s="39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39" t="str">
        <f>IF(OR(TH!L1944=TH!$V$7,M1944=TH!$V$7),"x","")</f>
        <v/>
      </c>
      <c r="W1944" s="39" t="str">
        <f>IF(AND(B1944&gt;='IN-NX'!$P$3,B1944&lt;='IN-NX'!$Q$3,'IN-NX'!$D$7=D1944,OR(LEFT(L1944,2)="15",AND(LEFT(M1944,2)&lt;&gt;"15",LEFT(M1944,2)&lt;&gt;"33"))),"x","")</f>
        <v/>
      </c>
      <c r="X1944" s="39" t="str">
        <f>IF(AND(OR(LEFT(TH!L1944,2)="15",LEFT(TH!M1944,2)="15"),'152-CT'!$J$8=TH!F1944),"x","")</f>
        <v/>
      </c>
      <c r="Y1944" s="39" t="str">
        <f>IF(AND(OR(LEFT(TH!L1944,2)="15",LEFT(TH!M1944,2)="15"),TK!$E$7=TH!F1944),"x","")</f>
        <v/>
      </c>
      <c r="Z1944" s="39" t="str">
        <f>IF(AND(B1944&lt;=NKC!$N$8,B1944&gt;=NKC!$M$8),"x","")</f>
        <v/>
      </c>
      <c r="AA1944" s="886"/>
    </row>
    <row r="1945" spans="1:27" s="211" customFormat="1" ht="15.75" customHeight="1">
      <c r="A1945" s="204" t="str">
        <f>IF(B1945&lt;&gt;"",IF(AND(B1945&gt;=_TM1,B1945&lt;=_TM2,OR(TH!L1945="1111",TH!M1945="1111")),TH!D1945,""),"")</f>
        <v/>
      </c>
      <c r="B1945" s="36">
        <f t="shared" si="261"/>
        <v>10</v>
      </c>
      <c r="C1945" s="191">
        <f t="shared" si="263"/>
        <v>41568</v>
      </c>
      <c r="D1945" s="37"/>
      <c r="E1945" s="191">
        <v>41568</v>
      </c>
      <c r="F1945" s="192" t="s">
        <v>971</v>
      </c>
      <c r="G1945" s="487" t="s">
        <v>972</v>
      </c>
      <c r="H1945" s="7" t="s">
        <v>1293</v>
      </c>
      <c r="I1945" s="256"/>
      <c r="J1945" s="256"/>
      <c r="K1945" s="602">
        <f t="shared" si="262"/>
        <v>0</v>
      </c>
      <c r="L1945" s="39" t="s">
        <v>173</v>
      </c>
      <c r="M1945" s="39" t="s">
        <v>167</v>
      </c>
      <c r="N1945" s="39" t="str">
        <f>IF(AND('331-CT'!$E$7=TH!H1945,OR(L1945="331",M1945="331")),"331",IF(AND(OR(L1945="131",M1945="131"),H1945='131-CT'!$E$7),"131",""))</f>
        <v/>
      </c>
      <c r="O1945" s="39" t="str">
        <f>IF(AND($B1945&gt;='111'!$N$11,$B1945&lt;='111'!$O$11,OR($L1945=$O$7,$M1945=$O$7)),"x","")</f>
        <v/>
      </c>
      <c r="P1945" s="39" t="str">
        <f>IF(AND($L1945=$O$7,$B1945&lt;'111'!$N$11),"x","")</f>
        <v/>
      </c>
      <c r="Q1945" s="39" t="str">
        <f>IF(AND($M1945=$O$7,$B1945&lt;'111'!$N$11),"x","")</f>
        <v/>
      </c>
      <c r="R1945" s="39" t="str">
        <f>IF(ISERROR(FIND('112'!$M$9,G1945,1)),"",IF((AND(FIND('112'!$M$9,G1945,1)&gt;=1,$B1945&gt;='112'!$N$8,$B1945&lt;='112'!$O$8,OR($L1945='112'!$I$6,$M1945='112'!$I$6))),"x",""))</f>
        <v/>
      </c>
      <c r="S1945" s="39" t="str">
        <f>IF(ISERROR(FIND('112'!$M$9,G1945,1)),"",IF((AND(LEFT(G1945,2)=LEFT('112'!$M$9,2),B1945&lt;'112'!$N$8,$L1945='112'!$I$6)),"x",""))</f>
        <v/>
      </c>
      <c r="T1945" s="39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39" t="str">
        <f>IF(OR(TH!L1945=TH!$V$7,M1945=TH!$V$7),"x","")</f>
        <v/>
      </c>
      <c r="W1945" s="39" t="str">
        <f>IF(AND(B1945&gt;='IN-NX'!$P$3,B1945&lt;='IN-NX'!$Q$3,'IN-NX'!$D$7=D1945,OR(LEFT(L1945,2)="15",AND(LEFT(M1945,2)&lt;&gt;"15",LEFT(M1945,2)&lt;&gt;"33"))),"x","")</f>
        <v/>
      </c>
      <c r="X1945" s="39" t="str">
        <f>IF(AND(OR(LEFT(TH!L1945,2)="15",LEFT(TH!M1945,2)="15"),'152-CT'!$J$8=TH!F1945),"x","")</f>
        <v/>
      </c>
      <c r="Y1945" s="39" t="str">
        <f>IF(AND(OR(LEFT(TH!L1945,2)="15",LEFT(TH!M1945,2)="15"),TK!$E$7=TH!F1945),"x","")</f>
        <v/>
      </c>
      <c r="Z1945" s="39" t="str">
        <f>IF(AND(B1945&lt;=NKC!$N$8,B1945&gt;=NKC!$M$8),"x","")</f>
        <v/>
      </c>
      <c r="AA1945" s="886"/>
    </row>
    <row r="1946" spans="1:27" s="211" customFormat="1" ht="15.75" customHeight="1">
      <c r="A1946" s="204" t="str">
        <f>IF(B1946&lt;&gt;"",IF(AND(B1946&gt;=_TM1,B1946&lt;=_TM2,OR(TH!L1946="1111",TH!M1946="1111")),TH!D1946,""),"")</f>
        <v/>
      </c>
      <c r="B1946" s="36">
        <f t="shared" si="261"/>
        <v>10</v>
      </c>
      <c r="C1946" s="191">
        <f t="shared" si="263"/>
        <v>41568</v>
      </c>
      <c r="D1946" s="37"/>
      <c r="E1946" s="774">
        <v>41568</v>
      </c>
      <c r="F1946" s="189" t="s">
        <v>973</v>
      </c>
      <c r="G1946" s="40" t="s">
        <v>972</v>
      </c>
      <c r="H1946" s="7" t="s">
        <v>1293</v>
      </c>
      <c r="I1946" s="256"/>
      <c r="J1946" s="256"/>
      <c r="K1946" s="602">
        <f t="shared" si="262"/>
        <v>0</v>
      </c>
      <c r="L1946" s="39" t="s">
        <v>173</v>
      </c>
      <c r="M1946" s="39" t="s">
        <v>167</v>
      </c>
      <c r="N1946" s="39" t="str">
        <f>IF(AND('331-CT'!$E$7=TH!H1946,OR(L1946="331",M1946="331")),"331",IF(AND(OR(L1946="131",M1946="131"),H1946='131-CT'!$E$7),"131",""))</f>
        <v/>
      </c>
      <c r="O1946" s="39" t="str">
        <f>IF(AND($B1946&gt;='111'!$N$11,$B1946&lt;='111'!$O$11,OR($L1946=$O$7,$M1946=$O$7)),"x","")</f>
        <v/>
      </c>
      <c r="P1946" s="39" t="str">
        <f>IF(AND($L1946=$O$7,$B1946&lt;'111'!$N$11),"x","")</f>
        <v/>
      </c>
      <c r="Q1946" s="39" t="str">
        <f>IF(AND($M1946=$O$7,$B1946&lt;'111'!$N$11),"x","")</f>
        <v/>
      </c>
      <c r="R1946" s="39" t="str">
        <f>IF(ISERROR(FIND('112'!$M$9,G1946,1)),"",IF((AND(FIND('112'!$M$9,G1946,1)&gt;=1,$B1946&gt;='112'!$N$8,$B1946&lt;='112'!$O$8,OR($L1946='112'!$I$6,$M1946='112'!$I$6))),"x",""))</f>
        <v/>
      </c>
      <c r="S1946" s="39" t="str">
        <f>IF(ISERROR(FIND('112'!$M$9,G1946,1)),"",IF((AND(LEFT(G1946,2)=LEFT('112'!$M$9,2),B1946&lt;'112'!$N$8,$L1946='112'!$I$6)),"x",""))</f>
        <v/>
      </c>
      <c r="T1946" s="39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39" t="str">
        <f>IF(OR(TH!L1946=TH!$V$7,M1946=TH!$V$7),"x","")</f>
        <v/>
      </c>
      <c r="W1946" s="39" t="str">
        <f>IF(AND(B1946&gt;='IN-NX'!$P$3,B1946&lt;='IN-NX'!$Q$3,'IN-NX'!$D$7=D1946,OR(LEFT(L1946,2)="15",AND(LEFT(M1946,2)&lt;&gt;"15",LEFT(M1946,2)&lt;&gt;"33"))),"x","")</f>
        <v/>
      </c>
      <c r="X1946" s="39" t="str">
        <f>IF(AND(OR(LEFT(TH!L1946,2)="15",LEFT(TH!M1946,2)="15"),'152-CT'!$J$8=TH!F1946),"x","")</f>
        <v/>
      </c>
      <c r="Y1946" s="39" t="str">
        <f>IF(AND(OR(LEFT(TH!L1946,2)="15",LEFT(TH!M1946,2)="15"),TK!$E$7=TH!F1946),"x","")</f>
        <v/>
      </c>
      <c r="Z1946" s="39" t="str">
        <f>IF(AND(B1946&lt;=NKC!$N$8,B1946&gt;=NKC!$M$8),"x","")</f>
        <v/>
      </c>
      <c r="AA1946" s="886"/>
    </row>
    <row r="1947" spans="1:27" s="211" customFormat="1" ht="15.75" customHeight="1">
      <c r="A1947" s="204" t="str">
        <f>IF(B1947&lt;&gt;"",IF(AND(B1947&gt;=_TM1,B1947&lt;=_TM2,OR(TH!L1947="1111",TH!M1947="1111")),TH!D1947,""),"")</f>
        <v/>
      </c>
      <c r="B1947" s="36">
        <f t="shared" si="261"/>
        <v>10</v>
      </c>
      <c r="C1947" s="191">
        <f t="shared" si="263"/>
        <v>41568</v>
      </c>
      <c r="D1947" s="37"/>
      <c r="E1947" s="774">
        <v>41568</v>
      </c>
      <c r="F1947" s="297" t="s">
        <v>974</v>
      </c>
      <c r="G1947" s="40" t="s">
        <v>972</v>
      </c>
      <c r="H1947" s="7" t="s">
        <v>1293</v>
      </c>
      <c r="I1947" s="256"/>
      <c r="J1947" s="256"/>
      <c r="K1947" s="602">
        <f t="shared" si="262"/>
        <v>0</v>
      </c>
      <c r="L1947" s="39" t="s">
        <v>173</v>
      </c>
      <c r="M1947" s="39" t="s">
        <v>167</v>
      </c>
      <c r="N1947" s="39" t="str">
        <f>IF(AND('331-CT'!$E$7=TH!H1947,OR(L1947="331",M1947="331")),"331",IF(AND(OR(L1947="131",M1947="131"),H1947='131-CT'!$E$7),"131",""))</f>
        <v/>
      </c>
      <c r="O1947" s="39" t="str">
        <f>IF(AND($B1947&gt;='111'!$N$11,$B1947&lt;='111'!$O$11,OR($L1947=$O$7,$M1947=$O$7)),"x","")</f>
        <v/>
      </c>
      <c r="P1947" s="39" t="str">
        <f>IF(AND($L1947=$O$7,$B1947&lt;'111'!$N$11),"x","")</f>
        <v/>
      </c>
      <c r="Q1947" s="39" t="str">
        <f>IF(AND($M1947=$O$7,$B1947&lt;'111'!$N$11),"x","")</f>
        <v/>
      </c>
      <c r="R1947" s="39" t="str">
        <f>IF(ISERROR(FIND('112'!$M$9,G1947,1)),"",IF((AND(FIND('112'!$M$9,G1947,1)&gt;=1,$B1947&gt;='112'!$N$8,$B1947&lt;='112'!$O$8,OR($L1947='112'!$I$6,$M1947='112'!$I$6))),"x",""))</f>
        <v/>
      </c>
      <c r="S1947" s="39" t="str">
        <f>IF(ISERROR(FIND('112'!$M$9,G1947,1)),"",IF((AND(LEFT(G1947,2)=LEFT('112'!$M$9,2),B1947&lt;'112'!$N$8,$L1947='112'!$I$6)),"x",""))</f>
        <v/>
      </c>
      <c r="T1947" s="39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39" t="str">
        <f>IF(OR(TH!L1947=TH!$V$7,M1947=TH!$V$7),"x","")</f>
        <v/>
      </c>
      <c r="W1947" s="39" t="str">
        <f>IF(AND(B1947&gt;='IN-NX'!$P$3,B1947&lt;='IN-NX'!$Q$3,'IN-NX'!$D$7=D1947,OR(LEFT(L1947,2)="15",AND(LEFT(M1947,2)&lt;&gt;"15",LEFT(M1947,2)&lt;&gt;"33"))),"x","")</f>
        <v/>
      </c>
      <c r="X1947" s="39" t="str">
        <f>IF(AND(OR(LEFT(TH!L1947,2)="15",LEFT(TH!M1947,2)="15"),'152-CT'!$J$8=TH!F1947),"x","")</f>
        <v/>
      </c>
      <c r="Y1947" s="39" t="str">
        <f>IF(AND(OR(LEFT(TH!L1947,2)="15",LEFT(TH!M1947,2)="15"),TK!$E$7=TH!F1947),"x","")</f>
        <v/>
      </c>
      <c r="Z1947" s="39" t="str">
        <f>IF(AND(B1947&lt;=NKC!$N$8,B1947&gt;=NKC!$M$8),"x","")</f>
        <v/>
      </c>
      <c r="AA1947" s="886"/>
    </row>
    <row r="1948" spans="1:27" s="211" customFormat="1" ht="15.75" customHeight="1">
      <c r="A1948" s="204" t="str">
        <f>IF(B1948&lt;&gt;"",IF(AND(B1948&gt;=_TM1,B1948&lt;=_TM2,OR(TH!L1948="1111",TH!M1948="1111")),TH!D1948,""),"")</f>
        <v/>
      </c>
      <c r="B1948" s="36">
        <f t="shared" si="261"/>
        <v>10</v>
      </c>
      <c r="C1948" s="191">
        <f t="shared" si="263"/>
        <v>41568</v>
      </c>
      <c r="D1948" s="37"/>
      <c r="E1948" s="774">
        <v>41568</v>
      </c>
      <c r="F1948" s="189" t="s">
        <v>975</v>
      </c>
      <c r="G1948" s="40" t="s">
        <v>972</v>
      </c>
      <c r="H1948" s="7" t="s">
        <v>1293</v>
      </c>
      <c r="I1948" s="256"/>
      <c r="J1948" s="256"/>
      <c r="K1948" s="602">
        <f t="shared" si="262"/>
        <v>0</v>
      </c>
      <c r="L1948" s="39" t="s">
        <v>173</v>
      </c>
      <c r="M1948" s="39" t="s">
        <v>167</v>
      </c>
      <c r="N1948" s="39" t="str">
        <f>IF(AND('331-CT'!$E$7=TH!H1948,OR(L1948="331",M1948="331")),"331",IF(AND(OR(L1948="131",M1948="131"),H1948='131-CT'!$E$7),"131",""))</f>
        <v/>
      </c>
      <c r="O1948" s="39" t="str">
        <f>IF(AND($B1948&gt;='111'!$N$11,$B1948&lt;='111'!$O$11,OR($L1948=$O$7,$M1948=$O$7)),"x","")</f>
        <v/>
      </c>
      <c r="P1948" s="39" t="str">
        <f>IF(AND($L1948=$O$7,$B1948&lt;'111'!$N$11),"x","")</f>
        <v/>
      </c>
      <c r="Q1948" s="39" t="str">
        <f>IF(AND($M1948=$O$7,$B1948&lt;'111'!$N$11),"x","")</f>
        <v/>
      </c>
      <c r="R1948" s="39" t="str">
        <f>IF(ISERROR(FIND('112'!$M$9,G1948,1)),"",IF((AND(FIND('112'!$M$9,G1948,1)&gt;=1,$B1948&gt;='112'!$N$8,$B1948&lt;='112'!$O$8,OR($L1948='112'!$I$6,$M1948='112'!$I$6))),"x",""))</f>
        <v/>
      </c>
      <c r="S1948" s="39" t="str">
        <f>IF(ISERROR(FIND('112'!$M$9,G1948,1)),"",IF((AND(LEFT(G1948,2)=LEFT('112'!$M$9,2),B1948&lt;'112'!$N$8,$L1948='112'!$I$6)),"x",""))</f>
        <v/>
      </c>
      <c r="T1948" s="39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39" t="str">
        <f>IF(OR(TH!L1948=TH!$V$7,M1948=TH!$V$7),"x","")</f>
        <v/>
      </c>
      <c r="W1948" s="39" t="str">
        <f>IF(AND(B1948&gt;='IN-NX'!$P$3,B1948&lt;='IN-NX'!$Q$3,'IN-NX'!$D$7=D1948,OR(LEFT(L1948,2)="15",AND(LEFT(M1948,2)&lt;&gt;"15",LEFT(M1948,2)&lt;&gt;"33"))),"x","")</f>
        <v/>
      </c>
      <c r="X1948" s="39" t="str">
        <f>IF(AND(OR(LEFT(TH!L1948,2)="15",LEFT(TH!M1948,2)="15"),'152-CT'!$J$8=TH!F1948),"x","")</f>
        <v/>
      </c>
      <c r="Y1948" s="39" t="str">
        <f>IF(AND(OR(LEFT(TH!L1948,2)="15",LEFT(TH!M1948,2)="15"),TK!$E$7=TH!F1948),"x","")</f>
        <v/>
      </c>
      <c r="Z1948" s="39" t="str">
        <f>IF(AND(B1948&lt;=NKC!$N$8,B1948&gt;=NKC!$M$8),"x","")</f>
        <v/>
      </c>
      <c r="AA1948" s="886"/>
    </row>
    <row r="1949" spans="1:27" s="211" customFormat="1" ht="15.75" customHeight="1">
      <c r="A1949" s="204" t="str">
        <f>IF(B1949&lt;&gt;"",IF(AND(B1949&gt;=_TM1,B1949&lt;=_TM2,OR(TH!L1949="1111",TH!M1949="1111")),TH!D1949,""),"")</f>
        <v/>
      </c>
      <c r="B1949" s="36">
        <f t="shared" si="261"/>
        <v>10</v>
      </c>
      <c r="C1949" s="191">
        <f t="shared" si="263"/>
        <v>41568</v>
      </c>
      <c r="D1949" s="37"/>
      <c r="E1949" s="774">
        <v>41568</v>
      </c>
      <c r="F1949" s="40" t="s">
        <v>976</v>
      </c>
      <c r="G1949" s="40" t="s">
        <v>972</v>
      </c>
      <c r="H1949" s="7" t="s">
        <v>1293</v>
      </c>
      <c r="I1949" s="256"/>
      <c r="J1949" s="256"/>
      <c r="K1949" s="602">
        <f t="shared" si="262"/>
        <v>0</v>
      </c>
      <c r="L1949" s="39" t="s">
        <v>173</v>
      </c>
      <c r="M1949" s="39" t="s">
        <v>167</v>
      </c>
      <c r="N1949" s="39" t="str">
        <f>IF(AND('331-CT'!$E$7=TH!H1949,OR(L1949="331",M1949="331")),"331",IF(AND(OR(L1949="131",M1949="131"),H1949='131-CT'!$E$7),"131",""))</f>
        <v/>
      </c>
      <c r="O1949" s="39" t="str">
        <f>IF(AND($B1949&gt;='111'!$N$11,$B1949&lt;='111'!$O$11,OR($L1949=$O$7,$M1949=$O$7)),"x","")</f>
        <v/>
      </c>
      <c r="P1949" s="39" t="str">
        <f>IF(AND($L1949=$O$7,$B1949&lt;'111'!$N$11),"x","")</f>
        <v/>
      </c>
      <c r="Q1949" s="39" t="str">
        <f>IF(AND($M1949=$O$7,$B1949&lt;'111'!$N$11),"x","")</f>
        <v/>
      </c>
      <c r="R1949" s="39" t="str">
        <f>IF(ISERROR(FIND('112'!$M$9,G1949,1)),"",IF((AND(FIND('112'!$M$9,G1949,1)&gt;=1,$B1949&gt;='112'!$N$8,$B1949&lt;='112'!$O$8,OR($L1949='112'!$I$6,$M1949='112'!$I$6))),"x",""))</f>
        <v/>
      </c>
      <c r="S1949" s="39" t="str">
        <f>IF(ISERROR(FIND('112'!$M$9,G1949,1)),"",IF((AND(LEFT(G1949,2)=LEFT('112'!$M$9,2),B1949&lt;'112'!$N$8,$L1949='112'!$I$6)),"x",""))</f>
        <v/>
      </c>
      <c r="T1949" s="39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39" t="str">
        <f>IF(OR(TH!L1949=TH!$V$7,M1949=TH!$V$7),"x","")</f>
        <v/>
      </c>
      <c r="W1949" s="39" t="str">
        <f>IF(AND(B1949&gt;='IN-NX'!$P$3,B1949&lt;='IN-NX'!$Q$3,'IN-NX'!$D$7=D1949,OR(LEFT(L1949,2)="15",AND(LEFT(M1949,2)&lt;&gt;"15",LEFT(M1949,2)&lt;&gt;"33"))),"x","")</f>
        <v/>
      </c>
      <c r="X1949" s="39" t="str">
        <f>IF(AND(OR(LEFT(TH!L1949,2)="15",LEFT(TH!M1949,2)="15"),'152-CT'!$J$8=TH!F1949),"x","")</f>
        <v/>
      </c>
      <c r="Y1949" s="39" t="str">
        <f>IF(AND(OR(LEFT(TH!L1949,2)="15",LEFT(TH!M1949,2)="15"),TK!$E$7=TH!F1949),"x","")</f>
        <v/>
      </c>
      <c r="Z1949" s="39" t="str">
        <f>IF(AND(B1949&lt;=NKC!$N$8,B1949&gt;=NKC!$M$8),"x","")</f>
        <v/>
      </c>
      <c r="AA1949" s="886"/>
    </row>
    <row r="1950" spans="1:27" s="211" customFormat="1" ht="15.75" customHeight="1">
      <c r="A1950" s="204" t="str">
        <f>IF(B1950&lt;&gt;"",IF(AND(B1950&gt;=_TM1,B1950&lt;=_TM2,OR(TH!L1950="1111",TH!M1950="1111")),TH!D1950,""),"")</f>
        <v/>
      </c>
      <c r="B1950" s="36">
        <f t="shared" si="261"/>
        <v>10</v>
      </c>
      <c r="C1950" s="191">
        <f t="shared" si="263"/>
        <v>41568</v>
      </c>
      <c r="D1950" s="37"/>
      <c r="E1950" s="774">
        <v>41568</v>
      </c>
      <c r="F1950" s="189" t="s">
        <v>977</v>
      </c>
      <c r="G1950" s="40" t="s">
        <v>972</v>
      </c>
      <c r="H1950" s="7" t="s">
        <v>1293</v>
      </c>
      <c r="I1950" s="256"/>
      <c r="J1950" s="256"/>
      <c r="K1950" s="602">
        <f t="shared" si="262"/>
        <v>0</v>
      </c>
      <c r="L1950" s="39" t="s">
        <v>173</v>
      </c>
      <c r="M1950" s="39" t="s">
        <v>167</v>
      </c>
      <c r="N1950" s="39" t="str">
        <f>IF(AND('331-CT'!$E$7=TH!H1950,OR(L1950="331",M1950="331")),"331",IF(AND(OR(L1950="131",M1950="131"),H1950='131-CT'!$E$7),"131",""))</f>
        <v/>
      </c>
      <c r="O1950" s="39" t="str">
        <f>IF(AND($B1950&gt;='111'!$N$11,$B1950&lt;='111'!$O$11,OR($L1950=$O$7,$M1950=$O$7)),"x","")</f>
        <v/>
      </c>
      <c r="P1950" s="39" t="str">
        <f>IF(AND($L1950=$O$7,$B1950&lt;'111'!$N$11),"x","")</f>
        <v/>
      </c>
      <c r="Q1950" s="39" t="str">
        <f>IF(AND($M1950=$O$7,$B1950&lt;'111'!$N$11),"x","")</f>
        <v/>
      </c>
      <c r="R1950" s="39" t="str">
        <f>IF(ISERROR(FIND('112'!$M$9,G1950,1)),"",IF((AND(FIND('112'!$M$9,G1950,1)&gt;=1,$B1950&gt;='112'!$N$8,$B1950&lt;='112'!$O$8,OR($L1950='112'!$I$6,$M1950='112'!$I$6))),"x",""))</f>
        <v/>
      </c>
      <c r="S1950" s="39" t="str">
        <f>IF(ISERROR(FIND('112'!$M$9,G1950,1)),"",IF((AND(LEFT(G1950,2)=LEFT('112'!$M$9,2),B1950&lt;'112'!$N$8,$L1950='112'!$I$6)),"x",""))</f>
        <v/>
      </c>
      <c r="T1950" s="39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39" t="str">
        <f>IF(OR(TH!L1950=TH!$V$7,M1950=TH!$V$7),"x","")</f>
        <v/>
      </c>
      <c r="W1950" s="39" t="str">
        <f>IF(AND(B1950&gt;='IN-NX'!$P$3,B1950&lt;='IN-NX'!$Q$3,'IN-NX'!$D$7=D1950,OR(LEFT(L1950,2)="15",AND(LEFT(M1950,2)&lt;&gt;"15",LEFT(M1950,2)&lt;&gt;"33"))),"x","")</f>
        <v/>
      </c>
      <c r="X1950" s="39" t="str">
        <f>IF(AND(OR(LEFT(TH!L1950,2)="15",LEFT(TH!M1950,2)="15"),'152-CT'!$J$8=TH!F1950),"x","")</f>
        <v/>
      </c>
      <c r="Y1950" s="39" t="str">
        <f>IF(AND(OR(LEFT(TH!L1950,2)="15",LEFT(TH!M1950,2)="15"),TK!$E$7=TH!F1950),"x","")</f>
        <v/>
      </c>
      <c r="Z1950" s="39" t="str">
        <f>IF(AND(B1950&lt;=NKC!$N$8,B1950&gt;=NKC!$M$8),"x","")</f>
        <v/>
      </c>
      <c r="AA1950" s="886"/>
    </row>
    <row r="1951" spans="1:27" s="211" customFormat="1" ht="15.75" customHeight="1">
      <c r="A1951" s="204" t="str">
        <f>IF(B1951&lt;&gt;"",IF(AND(B1951&gt;=_TM1,B1951&lt;=_TM2,OR(TH!L1951="1111",TH!M1951="1111")),TH!D1951,""),"")</f>
        <v/>
      </c>
      <c r="B1951" s="36">
        <f t="shared" si="261"/>
        <v>10</v>
      </c>
      <c r="C1951" s="191">
        <f t="shared" si="263"/>
        <v>41568</v>
      </c>
      <c r="D1951" s="37"/>
      <c r="E1951" s="774">
        <v>41568</v>
      </c>
      <c r="F1951" s="189" t="s">
        <v>978</v>
      </c>
      <c r="G1951" s="40" t="s">
        <v>972</v>
      </c>
      <c r="H1951" s="7" t="s">
        <v>1293</v>
      </c>
      <c r="I1951" s="256"/>
      <c r="J1951" s="256"/>
      <c r="K1951" s="602">
        <f t="shared" si="262"/>
        <v>0</v>
      </c>
      <c r="L1951" s="39" t="s">
        <v>173</v>
      </c>
      <c r="M1951" s="39" t="s">
        <v>167</v>
      </c>
      <c r="N1951" s="39" t="str">
        <f>IF(AND('331-CT'!$E$7=TH!H1951,OR(L1951="331",M1951="331")),"331",IF(AND(OR(L1951="131",M1951="131"),H1951='131-CT'!$E$7),"131",""))</f>
        <v/>
      </c>
      <c r="O1951" s="39" t="str">
        <f>IF(AND($B1951&gt;='111'!$N$11,$B1951&lt;='111'!$O$11,OR($L1951=$O$7,$M1951=$O$7)),"x","")</f>
        <v/>
      </c>
      <c r="P1951" s="39" t="str">
        <f>IF(AND($L1951=$O$7,$B1951&lt;'111'!$N$11),"x","")</f>
        <v/>
      </c>
      <c r="Q1951" s="39" t="str">
        <f>IF(AND($M1951=$O$7,$B1951&lt;'111'!$N$11),"x","")</f>
        <v/>
      </c>
      <c r="R1951" s="39" t="str">
        <f>IF(ISERROR(FIND('112'!$M$9,G1951,1)),"",IF((AND(FIND('112'!$M$9,G1951,1)&gt;=1,$B1951&gt;='112'!$N$8,$B1951&lt;='112'!$O$8,OR($L1951='112'!$I$6,$M1951='112'!$I$6))),"x",""))</f>
        <v/>
      </c>
      <c r="S1951" s="39" t="str">
        <f>IF(ISERROR(FIND('112'!$M$9,G1951,1)),"",IF((AND(LEFT(G1951,2)=LEFT('112'!$M$9,2),B1951&lt;'112'!$N$8,$L1951='112'!$I$6)),"x",""))</f>
        <v/>
      </c>
      <c r="T1951" s="39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39" t="str">
        <f>IF(OR(TH!L1951=TH!$V$7,M1951=TH!$V$7),"x","")</f>
        <v/>
      </c>
      <c r="W1951" s="39" t="str">
        <f>IF(AND(B1951&gt;='IN-NX'!$P$3,B1951&lt;='IN-NX'!$Q$3,'IN-NX'!$D$7=D1951,OR(LEFT(L1951,2)="15",AND(LEFT(M1951,2)&lt;&gt;"15",LEFT(M1951,2)&lt;&gt;"33"))),"x","")</f>
        <v/>
      </c>
      <c r="X1951" s="39" t="str">
        <f>IF(AND(OR(LEFT(TH!L1951,2)="15",LEFT(TH!M1951,2)="15"),'152-CT'!$J$8=TH!F1951),"x","")</f>
        <v/>
      </c>
      <c r="Y1951" s="39" t="str">
        <f>IF(AND(OR(LEFT(TH!L1951,2)="15",LEFT(TH!M1951,2)="15"),TK!$E$7=TH!F1951),"x","")</f>
        <v/>
      </c>
      <c r="Z1951" s="39" t="str">
        <f>IF(AND(B1951&lt;=NKC!$N$8,B1951&gt;=NKC!$M$8),"x","")</f>
        <v/>
      </c>
      <c r="AA1951" s="886"/>
    </row>
    <row r="1952" spans="1:27" s="211" customFormat="1" ht="15.75" customHeight="1">
      <c r="A1952" s="204" t="str">
        <f>IF(B1952&lt;&gt;"",IF(AND(B1952&gt;=_TM1,B1952&lt;=_TM2,OR(TH!L1952="1111",TH!M1952="1111")),TH!D1952,""),"")</f>
        <v/>
      </c>
      <c r="B1952" s="36">
        <f t="shared" si="261"/>
        <v>10</v>
      </c>
      <c r="C1952" s="191">
        <f t="shared" si="263"/>
        <v>41568</v>
      </c>
      <c r="D1952" s="37"/>
      <c r="E1952" s="774">
        <v>41568</v>
      </c>
      <c r="F1952" s="189" t="s">
        <v>979</v>
      </c>
      <c r="G1952" s="40" t="s">
        <v>972</v>
      </c>
      <c r="H1952" s="7" t="s">
        <v>1293</v>
      </c>
      <c r="I1952" s="256"/>
      <c r="J1952" s="256"/>
      <c r="K1952" s="602">
        <f t="shared" si="262"/>
        <v>0</v>
      </c>
      <c r="L1952" s="39" t="s">
        <v>173</v>
      </c>
      <c r="M1952" s="39" t="s">
        <v>167</v>
      </c>
      <c r="N1952" s="39" t="str">
        <f>IF(AND('331-CT'!$E$7=TH!H1952,OR(L1952="331",M1952="331")),"331",IF(AND(OR(L1952="131",M1952="131"),H1952='131-CT'!$E$7),"131",""))</f>
        <v/>
      </c>
      <c r="O1952" s="39" t="str">
        <f>IF(AND($B1952&gt;='111'!$N$11,$B1952&lt;='111'!$O$11,OR($L1952=$O$7,$M1952=$O$7)),"x","")</f>
        <v/>
      </c>
      <c r="P1952" s="39" t="str">
        <f>IF(AND($L1952=$O$7,$B1952&lt;'111'!$N$11),"x","")</f>
        <v/>
      </c>
      <c r="Q1952" s="39" t="str">
        <f>IF(AND($M1952=$O$7,$B1952&lt;'111'!$N$11),"x","")</f>
        <v/>
      </c>
      <c r="R1952" s="39" t="str">
        <f>IF(ISERROR(FIND('112'!$M$9,G1952,1)),"",IF((AND(FIND('112'!$M$9,G1952,1)&gt;=1,$B1952&gt;='112'!$N$8,$B1952&lt;='112'!$O$8,OR($L1952='112'!$I$6,$M1952='112'!$I$6))),"x",""))</f>
        <v/>
      </c>
      <c r="S1952" s="39" t="str">
        <f>IF(ISERROR(FIND('112'!$M$9,G1952,1)),"",IF((AND(LEFT(G1952,2)=LEFT('112'!$M$9,2),B1952&lt;'112'!$N$8,$L1952='112'!$I$6)),"x",""))</f>
        <v/>
      </c>
      <c r="T1952" s="39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39" t="str">
        <f>IF(OR(TH!L1952=TH!$V$7,M1952=TH!$V$7),"x","")</f>
        <v/>
      </c>
      <c r="W1952" s="39" t="str">
        <f>IF(AND(B1952&gt;='IN-NX'!$P$3,B1952&lt;='IN-NX'!$Q$3,'IN-NX'!$D$7=D1952,OR(LEFT(L1952,2)="15",AND(LEFT(M1952,2)&lt;&gt;"15",LEFT(M1952,2)&lt;&gt;"33"))),"x","")</f>
        <v/>
      </c>
      <c r="X1952" s="39" t="str">
        <f>IF(AND(OR(LEFT(TH!L1952,2)="15",LEFT(TH!M1952,2)="15"),'152-CT'!$J$8=TH!F1952),"x","")</f>
        <v/>
      </c>
      <c r="Y1952" s="39" t="str">
        <f>IF(AND(OR(LEFT(TH!L1952,2)="15",LEFT(TH!M1952,2)="15"),TK!$E$7=TH!F1952),"x","")</f>
        <v/>
      </c>
      <c r="Z1952" s="39" t="str">
        <f>IF(AND(B1952&lt;=NKC!$N$8,B1952&gt;=NKC!$M$8),"x","")</f>
        <v/>
      </c>
      <c r="AA1952" s="886"/>
    </row>
    <row r="1953" spans="1:27" s="211" customFormat="1" ht="15.75" customHeight="1">
      <c r="A1953" s="204" t="str">
        <f>IF(B1953&lt;&gt;"",IF(AND(B1953&gt;=_TM1,B1953&lt;=_TM2,OR(TH!L1953="1111",TH!M1953="1111")),TH!D1953,""),"")</f>
        <v/>
      </c>
      <c r="B1953" s="36">
        <f t="shared" ref="B1953:B2016" si="264">IF(C1953&lt;&gt;"",MONTH(C1953),"")</f>
        <v>10</v>
      </c>
      <c r="C1953" s="191">
        <f t="shared" si="263"/>
        <v>41568</v>
      </c>
      <c r="D1953" s="37"/>
      <c r="E1953" s="774">
        <v>41568</v>
      </c>
      <c r="F1953" s="189" t="s">
        <v>980</v>
      </c>
      <c r="G1953" s="40" t="s">
        <v>981</v>
      </c>
      <c r="H1953" s="7" t="s">
        <v>1293</v>
      </c>
      <c r="I1953" s="256"/>
      <c r="J1953" s="256"/>
      <c r="K1953" s="602">
        <f t="shared" si="262"/>
        <v>0</v>
      </c>
      <c r="L1953" s="39" t="s">
        <v>173</v>
      </c>
      <c r="M1953" s="39" t="s">
        <v>167</v>
      </c>
      <c r="N1953" s="39" t="str">
        <f>IF(AND('331-CT'!$E$7=TH!H1953,OR(L1953="331",M1953="331")),"331",IF(AND(OR(L1953="131",M1953="131"),H1953='131-CT'!$E$7),"131",""))</f>
        <v/>
      </c>
      <c r="O1953" s="39" t="str">
        <f>IF(AND($B1953&gt;='111'!$N$11,$B1953&lt;='111'!$O$11,OR($L1953=$O$7,$M1953=$O$7)),"x","")</f>
        <v/>
      </c>
      <c r="P1953" s="39" t="str">
        <f>IF(AND($L1953=$O$7,$B1953&lt;'111'!$N$11),"x","")</f>
        <v/>
      </c>
      <c r="Q1953" s="39" t="str">
        <f>IF(AND($M1953=$O$7,$B1953&lt;'111'!$N$11),"x","")</f>
        <v/>
      </c>
      <c r="R1953" s="39" t="str">
        <f>IF(ISERROR(FIND('112'!$M$9,G1953,1)),"",IF((AND(FIND('112'!$M$9,G1953,1)&gt;=1,$B1953&gt;='112'!$N$8,$B1953&lt;='112'!$O$8,OR($L1953='112'!$I$6,$M1953='112'!$I$6))),"x",""))</f>
        <v/>
      </c>
      <c r="S1953" s="39" t="str">
        <f>IF(ISERROR(FIND('112'!$M$9,G1953,1)),"",IF((AND(LEFT(G1953,2)=LEFT('112'!$M$9,2),B1953&lt;'112'!$N$8,$L1953='112'!$I$6)),"x",""))</f>
        <v/>
      </c>
      <c r="T1953" s="39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39" t="str">
        <f>IF(OR(TH!L1953=TH!$V$7,M1953=TH!$V$7),"x","")</f>
        <v/>
      </c>
      <c r="W1953" s="39" t="str">
        <f>IF(AND(B1953&gt;='IN-NX'!$P$3,B1953&lt;='IN-NX'!$Q$3,'IN-NX'!$D$7=D1953,OR(LEFT(L1953,2)="15",AND(LEFT(M1953,2)&lt;&gt;"15",LEFT(M1953,2)&lt;&gt;"33"))),"x","")</f>
        <v/>
      </c>
      <c r="X1953" s="39" t="str">
        <f>IF(AND(OR(LEFT(TH!L1953,2)="15",LEFT(TH!M1953,2)="15"),'152-CT'!$J$8=TH!F1953),"x","")</f>
        <v/>
      </c>
      <c r="Y1953" s="39" t="str">
        <f>IF(AND(OR(LEFT(TH!L1953,2)="15",LEFT(TH!M1953,2)="15"),TK!$E$7=TH!F1953),"x","")</f>
        <v/>
      </c>
      <c r="Z1953" s="39" t="str">
        <f>IF(AND(B1953&lt;=NKC!$N$8,B1953&gt;=NKC!$M$8),"x","")</f>
        <v/>
      </c>
      <c r="AA1953" s="886"/>
    </row>
    <row r="1954" spans="1:27" s="211" customFormat="1" ht="15.75" customHeight="1">
      <c r="A1954" s="204" t="str">
        <f>IF(B1954&lt;&gt;"",IF(AND(B1954&gt;=_TM1,B1954&lt;=_TM2,OR(TH!L1954="1111",TH!M1954="1111")),TH!D1954,""),"")</f>
        <v/>
      </c>
      <c r="B1954" s="36">
        <f t="shared" si="264"/>
        <v>10</v>
      </c>
      <c r="C1954" s="191">
        <f t="shared" si="263"/>
        <v>41568</v>
      </c>
      <c r="D1954" s="37"/>
      <c r="E1954" s="191">
        <v>41568</v>
      </c>
      <c r="F1954" s="192" t="s">
        <v>982</v>
      </c>
      <c r="G1954" s="487" t="s">
        <v>983</v>
      </c>
      <c r="H1954" s="7" t="s">
        <v>1293</v>
      </c>
      <c r="I1954" s="256"/>
      <c r="J1954" s="256"/>
      <c r="K1954" s="602">
        <f t="shared" si="262"/>
        <v>0</v>
      </c>
      <c r="L1954" s="39" t="s">
        <v>173</v>
      </c>
      <c r="M1954" s="39" t="s">
        <v>167</v>
      </c>
      <c r="N1954" s="39" t="str">
        <f>IF(AND('331-CT'!$E$7=TH!H1954,OR(L1954="331",M1954="331")),"331",IF(AND(OR(L1954="131",M1954="131"),H1954='131-CT'!$E$7),"131",""))</f>
        <v/>
      </c>
      <c r="O1954" s="39" t="str">
        <f>IF(AND($B1954&gt;='111'!$N$11,$B1954&lt;='111'!$O$11,OR($L1954=$O$7,$M1954=$O$7)),"x","")</f>
        <v/>
      </c>
      <c r="P1954" s="39" t="str">
        <f>IF(AND($L1954=$O$7,$B1954&lt;'111'!$N$11),"x","")</f>
        <v/>
      </c>
      <c r="Q1954" s="39" t="str">
        <f>IF(AND($M1954=$O$7,$B1954&lt;'111'!$N$11),"x","")</f>
        <v/>
      </c>
      <c r="R1954" s="39" t="str">
        <f>IF(ISERROR(FIND('112'!$M$9,G1954,1)),"",IF((AND(FIND('112'!$M$9,G1954,1)&gt;=1,$B1954&gt;='112'!$N$8,$B1954&lt;='112'!$O$8,OR($L1954='112'!$I$6,$M1954='112'!$I$6))),"x",""))</f>
        <v/>
      </c>
      <c r="S1954" s="39" t="str">
        <f>IF(ISERROR(FIND('112'!$M$9,G1954,1)),"",IF((AND(LEFT(G1954,2)=LEFT('112'!$M$9,2),B1954&lt;'112'!$N$8,$L1954='112'!$I$6)),"x",""))</f>
        <v/>
      </c>
      <c r="T1954" s="39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39" t="str">
        <f>IF(OR(TH!L1954=TH!$V$7,M1954=TH!$V$7),"x","")</f>
        <v/>
      </c>
      <c r="W1954" s="39" t="str">
        <f>IF(AND(B1954&gt;='IN-NX'!$P$3,B1954&lt;='IN-NX'!$Q$3,'IN-NX'!$D$7=D1954,OR(LEFT(L1954,2)="15",AND(LEFT(M1954,2)&lt;&gt;"15",LEFT(M1954,2)&lt;&gt;"33"))),"x","")</f>
        <v/>
      </c>
      <c r="X1954" s="39" t="str">
        <f>IF(AND(OR(LEFT(TH!L1954,2)="15",LEFT(TH!M1954,2)="15"),'152-CT'!$J$8=TH!F1954),"x","")</f>
        <v/>
      </c>
      <c r="Y1954" s="39" t="str">
        <f>IF(AND(OR(LEFT(TH!L1954,2)="15",LEFT(TH!M1954,2)="15"),TK!$E$7=TH!F1954),"x","")</f>
        <v/>
      </c>
      <c r="Z1954" s="39" t="str">
        <f>IF(AND(B1954&lt;=NKC!$N$8,B1954&gt;=NKC!$M$8),"x","")</f>
        <v/>
      </c>
      <c r="AA1954" s="886"/>
    </row>
    <row r="1955" spans="1:27" s="211" customFormat="1" ht="15.75" customHeight="1">
      <c r="A1955" s="204" t="str">
        <f>IF(B1955&lt;&gt;"",IF(AND(B1955&gt;=_TM1,B1955&lt;=_TM2,OR(TH!L1955="1111",TH!M1955="1111")),TH!D1955,""),"")</f>
        <v/>
      </c>
      <c r="B1955" s="36">
        <f t="shared" si="264"/>
        <v>10</v>
      </c>
      <c r="C1955" s="191">
        <f t="shared" si="263"/>
        <v>41568</v>
      </c>
      <c r="D1955" s="37"/>
      <c r="E1955" s="191">
        <v>41568</v>
      </c>
      <c r="F1955" s="192" t="s">
        <v>984</v>
      </c>
      <c r="G1955" s="487" t="s">
        <v>985</v>
      </c>
      <c r="H1955" s="7" t="s">
        <v>1293</v>
      </c>
      <c r="I1955" s="256"/>
      <c r="J1955" s="256"/>
      <c r="K1955" s="602">
        <f t="shared" si="262"/>
        <v>0</v>
      </c>
      <c r="L1955" s="39" t="s">
        <v>173</v>
      </c>
      <c r="M1955" s="39" t="s">
        <v>167</v>
      </c>
      <c r="N1955" s="39" t="str">
        <f>IF(AND('331-CT'!$E$7=TH!H1955,OR(L1955="331",M1955="331")),"331",IF(AND(OR(L1955="131",M1955="131"),H1955='131-CT'!$E$7),"131",""))</f>
        <v/>
      </c>
      <c r="O1955" s="39" t="str">
        <f>IF(AND($B1955&gt;='111'!$N$11,$B1955&lt;='111'!$O$11,OR($L1955=$O$7,$M1955=$O$7)),"x","")</f>
        <v/>
      </c>
      <c r="P1955" s="39" t="str">
        <f>IF(AND($L1955=$O$7,$B1955&lt;'111'!$N$11),"x","")</f>
        <v/>
      </c>
      <c r="Q1955" s="39" t="str">
        <f>IF(AND($M1955=$O$7,$B1955&lt;'111'!$N$11),"x","")</f>
        <v/>
      </c>
      <c r="R1955" s="39" t="str">
        <f>IF(ISERROR(FIND('112'!$M$9,G1955,1)),"",IF((AND(FIND('112'!$M$9,G1955,1)&gt;=1,$B1955&gt;='112'!$N$8,$B1955&lt;='112'!$O$8,OR($L1955='112'!$I$6,$M1955='112'!$I$6))),"x",""))</f>
        <v/>
      </c>
      <c r="S1955" s="39" t="str">
        <f>IF(ISERROR(FIND('112'!$M$9,G1955,1)),"",IF((AND(LEFT(G1955,2)=LEFT('112'!$M$9,2),B1955&lt;'112'!$N$8,$L1955='112'!$I$6)),"x",""))</f>
        <v/>
      </c>
      <c r="T1955" s="39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39" t="str">
        <f>IF(OR(TH!L1955=TH!$V$7,M1955=TH!$V$7),"x","")</f>
        <v/>
      </c>
      <c r="W1955" s="39" t="str">
        <f>IF(AND(B1955&gt;='IN-NX'!$P$3,B1955&lt;='IN-NX'!$Q$3,'IN-NX'!$D$7=D1955,OR(LEFT(L1955,2)="15",AND(LEFT(M1955,2)&lt;&gt;"15",LEFT(M1955,2)&lt;&gt;"33"))),"x","")</f>
        <v/>
      </c>
      <c r="X1955" s="39" t="str">
        <f>IF(AND(OR(LEFT(TH!L1955,2)="15",LEFT(TH!M1955,2)="15"),'152-CT'!$J$8=TH!F1955),"x","")</f>
        <v/>
      </c>
      <c r="Y1955" s="39" t="str">
        <f>IF(AND(OR(LEFT(TH!L1955,2)="15",LEFT(TH!M1955,2)="15"),TK!$E$7=TH!F1955),"x","")</f>
        <v/>
      </c>
      <c r="Z1955" s="39" t="str">
        <f>IF(AND(B1955&lt;=NKC!$N$8,B1955&gt;=NKC!$M$8),"x","")</f>
        <v/>
      </c>
      <c r="AA1955" s="886"/>
    </row>
    <row r="1956" spans="1:27" s="211" customFormat="1" ht="15.75" customHeight="1">
      <c r="A1956" s="204" t="str">
        <f>IF(B1956&lt;&gt;"",IF(AND(B1956&gt;=_TM1,B1956&lt;=_TM2,OR(TH!L1956="1111",TH!M1956="1111")),TH!D1956,""),"")</f>
        <v/>
      </c>
      <c r="B1956" s="36">
        <f t="shared" si="264"/>
        <v>10</v>
      </c>
      <c r="C1956" s="191">
        <f t="shared" si="263"/>
        <v>41568</v>
      </c>
      <c r="D1956" s="37"/>
      <c r="E1956" s="191">
        <v>41568</v>
      </c>
      <c r="F1956" s="192" t="s">
        <v>1158</v>
      </c>
      <c r="G1956" s="487" t="s">
        <v>986</v>
      </c>
      <c r="H1956" s="7" t="s">
        <v>1293</v>
      </c>
      <c r="I1956" s="256"/>
      <c r="J1956" s="256"/>
      <c r="K1956" s="602">
        <f t="shared" si="262"/>
        <v>0</v>
      </c>
      <c r="L1956" s="39" t="s">
        <v>173</v>
      </c>
      <c r="M1956" s="39" t="s">
        <v>167</v>
      </c>
      <c r="N1956" s="39" t="str">
        <f>IF(AND('331-CT'!$E$7=TH!H1956,OR(L1956="331",M1956="331")),"331",IF(AND(OR(L1956="131",M1956="131"),H1956='131-CT'!$E$7),"131",""))</f>
        <v/>
      </c>
      <c r="O1956" s="39" t="str">
        <f>IF(AND($B1956&gt;='111'!$N$11,$B1956&lt;='111'!$O$11,OR($L1956=$O$7,$M1956=$O$7)),"x","")</f>
        <v/>
      </c>
      <c r="P1956" s="39" t="str">
        <f>IF(AND($L1956=$O$7,$B1956&lt;'111'!$N$11),"x","")</f>
        <v/>
      </c>
      <c r="Q1956" s="39" t="str">
        <f>IF(AND($M1956=$O$7,$B1956&lt;'111'!$N$11),"x","")</f>
        <v/>
      </c>
      <c r="R1956" s="39" t="str">
        <f>IF(ISERROR(FIND('112'!$M$9,G1956,1)),"",IF((AND(FIND('112'!$M$9,G1956,1)&gt;=1,$B1956&gt;='112'!$N$8,$B1956&lt;='112'!$O$8,OR($L1956='112'!$I$6,$M1956='112'!$I$6))),"x",""))</f>
        <v/>
      </c>
      <c r="S1956" s="39" t="str">
        <f>IF(ISERROR(FIND('112'!$M$9,G1956,1)),"",IF((AND(LEFT(G1956,2)=LEFT('112'!$M$9,2),B1956&lt;'112'!$N$8,$L1956='112'!$I$6)),"x",""))</f>
        <v/>
      </c>
      <c r="T1956" s="39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39" t="str">
        <f>IF(OR(TH!L1956=TH!$V$7,M1956=TH!$V$7),"x","")</f>
        <v/>
      </c>
      <c r="W1956" s="39" t="str">
        <f>IF(AND(B1956&gt;='IN-NX'!$P$3,B1956&lt;='IN-NX'!$Q$3,'IN-NX'!$D$7=D1956,OR(LEFT(L1956,2)="15",AND(LEFT(M1956,2)&lt;&gt;"15",LEFT(M1956,2)&lt;&gt;"33"))),"x","")</f>
        <v/>
      </c>
      <c r="X1956" s="39" t="str">
        <f>IF(AND(OR(LEFT(TH!L1956,2)="15",LEFT(TH!M1956,2)="15"),'152-CT'!$J$8=TH!F1956),"x","")</f>
        <v/>
      </c>
      <c r="Y1956" s="39" t="str">
        <f>IF(AND(OR(LEFT(TH!L1956,2)="15",LEFT(TH!M1956,2)="15"),TK!$E$7=TH!F1956),"x","")</f>
        <v/>
      </c>
      <c r="Z1956" s="39" t="str">
        <f>IF(AND(B1956&lt;=NKC!$N$8,B1956&gt;=NKC!$M$8),"x","")</f>
        <v/>
      </c>
      <c r="AA1956" s="886"/>
    </row>
    <row r="1957" spans="1:27" s="211" customFormat="1" ht="15.75" customHeight="1">
      <c r="A1957" s="204" t="str">
        <f>IF(B1957&lt;&gt;"",IF(AND(B1957&gt;=_TM1,B1957&lt;=_TM2,OR(TH!L1957="1111",TH!M1957="1111")),TH!D1957,""),"")</f>
        <v/>
      </c>
      <c r="B1957" s="36">
        <f t="shared" si="264"/>
        <v>10</v>
      </c>
      <c r="C1957" s="191">
        <f t="shared" si="263"/>
        <v>41568</v>
      </c>
      <c r="D1957" s="37"/>
      <c r="E1957" s="191">
        <v>41568</v>
      </c>
      <c r="F1957" s="192" t="s">
        <v>1159</v>
      </c>
      <c r="G1957" s="487" t="s">
        <v>644</v>
      </c>
      <c r="H1957" s="7" t="s">
        <v>1293</v>
      </c>
      <c r="I1957" s="256"/>
      <c r="J1957" s="256"/>
      <c r="K1957" s="602">
        <f t="shared" ref="K1957:K2020" si="265">ROUND(I1957*J1957,0)</f>
        <v>0</v>
      </c>
      <c r="L1957" s="39" t="s">
        <v>173</v>
      </c>
      <c r="M1957" s="39" t="s">
        <v>167</v>
      </c>
      <c r="N1957" s="39" t="str">
        <f>IF(AND('331-CT'!$E$7=TH!H1957,OR(L1957="331",M1957="331")),"331",IF(AND(OR(L1957="131",M1957="131"),H1957='131-CT'!$E$7),"131",""))</f>
        <v/>
      </c>
      <c r="O1957" s="39" t="str">
        <f>IF(AND($B1957&gt;='111'!$N$11,$B1957&lt;='111'!$O$11,OR($L1957=$O$7,$M1957=$O$7)),"x","")</f>
        <v/>
      </c>
      <c r="P1957" s="39" t="str">
        <f>IF(AND($L1957=$O$7,$B1957&lt;'111'!$N$11),"x","")</f>
        <v/>
      </c>
      <c r="Q1957" s="39" t="str">
        <f>IF(AND($M1957=$O$7,$B1957&lt;'111'!$N$11),"x","")</f>
        <v/>
      </c>
      <c r="R1957" s="39" t="str">
        <f>IF(ISERROR(FIND('112'!$M$9,G1957,1)),"",IF((AND(FIND('112'!$M$9,G1957,1)&gt;=1,$B1957&gt;='112'!$N$8,$B1957&lt;='112'!$O$8,OR($L1957='112'!$I$6,$M1957='112'!$I$6))),"x",""))</f>
        <v/>
      </c>
      <c r="S1957" s="39" t="str">
        <f>IF(ISERROR(FIND('112'!$M$9,G1957,1)),"",IF((AND(LEFT(G1957,2)=LEFT('112'!$M$9,2),B1957&lt;'112'!$N$8,$L1957='112'!$I$6)),"x",""))</f>
        <v/>
      </c>
      <c r="T1957" s="39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39" t="str">
        <f>IF(OR(TH!L1957=TH!$V$7,M1957=TH!$V$7),"x","")</f>
        <v/>
      </c>
      <c r="W1957" s="39" t="str">
        <f>IF(AND(B1957&gt;='IN-NX'!$P$3,B1957&lt;='IN-NX'!$Q$3,'IN-NX'!$D$7=D1957,OR(LEFT(L1957,2)="15",AND(LEFT(M1957,2)&lt;&gt;"15",LEFT(M1957,2)&lt;&gt;"33"))),"x","")</f>
        <v/>
      </c>
      <c r="X1957" s="39" t="str">
        <f>IF(AND(OR(LEFT(TH!L1957,2)="15",LEFT(TH!M1957,2)="15"),'152-CT'!$J$8=TH!F1957),"x","")</f>
        <v/>
      </c>
      <c r="Y1957" s="39" t="str">
        <f>IF(AND(OR(LEFT(TH!L1957,2)="15",LEFT(TH!M1957,2)="15"),TK!$E$7=TH!F1957),"x","")</f>
        <v/>
      </c>
      <c r="Z1957" s="39" t="str">
        <f>IF(AND(B1957&lt;=NKC!$N$8,B1957&gt;=NKC!$M$8),"x","")</f>
        <v/>
      </c>
      <c r="AA1957" s="886"/>
    </row>
    <row r="1958" spans="1:27" s="211" customFormat="1" ht="15.75" customHeight="1">
      <c r="A1958" s="204" t="str">
        <f>IF(B1958&lt;&gt;"",IF(AND(B1958&gt;=_TM1,B1958&lt;=_TM2,OR(TH!L1958="1111",TH!M1958="1111")),TH!D1958,""),"")</f>
        <v/>
      </c>
      <c r="B1958" s="36">
        <f t="shared" si="264"/>
        <v>10</v>
      </c>
      <c r="C1958" s="191">
        <f t="shared" si="263"/>
        <v>41568</v>
      </c>
      <c r="D1958" s="37"/>
      <c r="E1958" s="191">
        <v>41568</v>
      </c>
      <c r="F1958" s="192" t="s">
        <v>987</v>
      </c>
      <c r="G1958" s="487" t="s">
        <v>988</v>
      </c>
      <c r="H1958" s="7" t="s">
        <v>1293</v>
      </c>
      <c r="I1958" s="256"/>
      <c r="J1958" s="256"/>
      <c r="K1958" s="602">
        <f t="shared" si="265"/>
        <v>0</v>
      </c>
      <c r="L1958" s="39" t="s">
        <v>173</v>
      </c>
      <c r="M1958" s="39" t="s">
        <v>167</v>
      </c>
      <c r="N1958" s="39" t="str">
        <f>IF(AND('331-CT'!$E$7=TH!H1958,OR(L1958="331",M1958="331")),"331",IF(AND(OR(L1958="131",M1958="131"),H1958='131-CT'!$E$7),"131",""))</f>
        <v/>
      </c>
      <c r="O1958" s="39" t="str">
        <f>IF(AND($B1958&gt;='111'!$N$11,$B1958&lt;='111'!$O$11,OR($L1958=$O$7,$M1958=$O$7)),"x","")</f>
        <v/>
      </c>
      <c r="P1958" s="39" t="str">
        <f>IF(AND($L1958=$O$7,$B1958&lt;'111'!$N$11),"x","")</f>
        <v/>
      </c>
      <c r="Q1958" s="39" t="str">
        <f>IF(AND($M1958=$O$7,$B1958&lt;'111'!$N$11),"x","")</f>
        <v/>
      </c>
      <c r="R1958" s="39" t="str">
        <f>IF(ISERROR(FIND('112'!$M$9,G1958,1)),"",IF((AND(FIND('112'!$M$9,G1958,1)&gt;=1,$B1958&gt;='112'!$N$8,$B1958&lt;='112'!$O$8,OR($L1958='112'!$I$6,$M1958='112'!$I$6))),"x",""))</f>
        <v/>
      </c>
      <c r="S1958" s="39" t="str">
        <f>IF(ISERROR(FIND('112'!$M$9,G1958,1)),"",IF((AND(LEFT(G1958,2)=LEFT('112'!$M$9,2),B1958&lt;'112'!$N$8,$L1958='112'!$I$6)),"x",""))</f>
        <v/>
      </c>
      <c r="T1958" s="39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39" t="str">
        <f>IF(OR(TH!L1958=TH!$V$7,M1958=TH!$V$7),"x","")</f>
        <v/>
      </c>
      <c r="W1958" s="39" t="str">
        <f>IF(AND(B1958&gt;='IN-NX'!$P$3,B1958&lt;='IN-NX'!$Q$3,'IN-NX'!$D$7=D1958,OR(LEFT(L1958,2)="15",AND(LEFT(M1958,2)&lt;&gt;"15",LEFT(M1958,2)&lt;&gt;"33"))),"x","")</f>
        <v/>
      </c>
      <c r="X1958" s="39" t="str">
        <f>IF(AND(OR(LEFT(TH!L1958,2)="15",LEFT(TH!M1958,2)="15"),'152-CT'!$J$8=TH!F1958),"x","")</f>
        <v/>
      </c>
      <c r="Y1958" s="39" t="str">
        <f>IF(AND(OR(LEFT(TH!L1958,2)="15",LEFT(TH!M1958,2)="15"),TK!$E$7=TH!F1958),"x","")</f>
        <v/>
      </c>
      <c r="Z1958" s="39" t="str">
        <f>IF(AND(B1958&lt;=NKC!$N$8,B1958&gt;=NKC!$M$8),"x","")</f>
        <v/>
      </c>
      <c r="AA1958" s="886"/>
    </row>
    <row r="1959" spans="1:27" s="211" customFormat="1" ht="15.75" customHeight="1">
      <c r="A1959" s="204" t="str">
        <f>IF(B1959&lt;&gt;"",IF(AND(B1959&gt;=_TM1,B1959&lt;=_TM2,OR(TH!L1959="1111",TH!M1959="1111")),TH!D1959,""),"")</f>
        <v/>
      </c>
      <c r="B1959" s="36">
        <f t="shared" si="264"/>
        <v>10</v>
      </c>
      <c r="C1959" s="191">
        <f t="shared" si="263"/>
        <v>41568</v>
      </c>
      <c r="D1959" s="37"/>
      <c r="E1959" s="191">
        <v>41568</v>
      </c>
      <c r="F1959" s="192" t="s">
        <v>989</v>
      </c>
      <c r="G1959" s="487" t="s">
        <v>990</v>
      </c>
      <c r="H1959" s="7" t="s">
        <v>1293</v>
      </c>
      <c r="I1959" s="256"/>
      <c r="J1959" s="256"/>
      <c r="K1959" s="602">
        <f t="shared" si="265"/>
        <v>0</v>
      </c>
      <c r="L1959" s="39" t="s">
        <v>173</v>
      </c>
      <c r="M1959" s="39" t="s">
        <v>167</v>
      </c>
      <c r="N1959" s="39" t="str">
        <f>IF(AND('331-CT'!$E$7=TH!H1959,OR(L1959="331",M1959="331")),"331",IF(AND(OR(L1959="131",M1959="131"),H1959='131-CT'!$E$7),"131",""))</f>
        <v/>
      </c>
      <c r="O1959" s="39" t="str">
        <f>IF(AND($B1959&gt;='111'!$N$11,$B1959&lt;='111'!$O$11,OR($L1959=$O$7,$M1959=$O$7)),"x","")</f>
        <v/>
      </c>
      <c r="P1959" s="39" t="str">
        <f>IF(AND($L1959=$O$7,$B1959&lt;'111'!$N$11),"x","")</f>
        <v/>
      </c>
      <c r="Q1959" s="39" t="str">
        <f>IF(AND($M1959=$O$7,$B1959&lt;'111'!$N$11),"x","")</f>
        <v/>
      </c>
      <c r="R1959" s="39" t="str">
        <f>IF(ISERROR(FIND('112'!$M$9,G1959,1)),"",IF((AND(FIND('112'!$M$9,G1959,1)&gt;=1,$B1959&gt;='112'!$N$8,$B1959&lt;='112'!$O$8,OR($L1959='112'!$I$6,$M1959='112'!$I$6))),"x",""))</f>
        <v/>
      </c>
      <c r="S1959" s="39" t="str">
        <f>IF(ISERROR(FIND('112'!$M$9,G1959,1)),"",IF((AND(LEFT(G1959,2)=LEFT('112'!$M$9,2),B1959&lt;'112'!$N$8,$L1959='112'!$I$6)),"x",""))</f>
        <v/>
      </c>
      <c r="T1959" s="39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39" t="str">
        <f>IF(OR(TH!L1959=TH!$V$7,M1959=TH!$V$7),"x","")</f>
        <v/>
      </c>
      <c r="W1959" s="39" t="str">
        <f>IF(AND(B1959&gt;='IN-NX'!$P$3,B1959&lt;='IN-NX'!$Q$3,'IN-NX'!$D$7=D1959,OR(LEFT(L1959,2)="15",AND(LEFT(M1959,2)&lt;&gt;"15",LEFT(M1959,2)&lt;&gt;"33"))),"x","")</f>
        <v/>
      </c>
      <c r="X1959" s="39" t="str">
        <f>IF(AND(OR(LEFT(TH!L1959,2)="15",LEFT(TH!M1959,2)="15"),'152-CT'!$J$8=TH!F1959),"x","")</f>
        <v/>
      </c>
      <c r="Y1959" s="39" t="str">
        <f>IF(AND(OR(LEFT(TH!L1959,2)="15",LEFT(TH!M1959,2)="15"),TK!$E$7=TH!F1959),"x","")</f>
        <v/>
      </c>
      <c r="Z1959" s="39" t="str">
        <f>IF(AND(B1959&lt;=NKC!$N$8,B1959&gt;=NKC!$M$8),"x","")</f>
        <v/>
      </c>
      <c r="AA1959" s="886"/>
    </row>
    <row r="1960" spans="1:27" s="211" customFormat="1" ht="15.75" customHeight="1">
      <c r="A1960" s="204" t="str">
        <f>IF(B1960&lt;&gt;"",IF(AND(B1960&gt;=_TM1,B1960&lt;=_TM2,OR(TH!L1960="1111",TH!M1960="1111")),TH!D1960,""),"")</f>
        <v/>
      </c>
      <c r="B1960" s="36">
        <f t="shared" si="264"/>
        <v>10</v>
      </c>
      <c r="C1960" s="191">
        <f t="shared" si="263"/>
        <v>41568</v>
      </c>
      <c r="D1960" s="37"/>
      <c r="E1960" s="191">
        <v>41568</v>
      </c>
      <c r="F1960" s="192" t="s">
        <v>991</v>
      </c>
      <c r="G1960" s="487" t="s">
        <v>992</v>
      </c>
      <c r="H1960" s="7" t="s">
        <v>1293</v>
      </c>
      <c r="I1960" s="256"/>
      <c r="J1960" s="256"/>
      <c r="K1960" s="602">
        <f t="shared" si="265"/>
        <v>0</v>
      </c>
      <c r="L1960" s="39" t="s">
        <v>173</v>
      </c>
      <c r="M1960" s="39" t="s">
        <v>167</v>
      </c>
      <c r="N1960" s="39" t="str">
        <f>IF(AND('331-CT'!$E$7=TH!H1960,OR(L1960="331",M1960="331")),"331",IF(AND(OR(L1960="131",M1960="131"),H1960='131-CT'!$E$7),"131",""))</f>
        <v/>
      </c>
      <c r="O1960" s="39" t="str">
        <f>IF(AND($B1960&gt;='111'!$N$11,$B1960&lt;='111'!$O$11,OR($L1960=$O$7,$M1960=$O$7)),"x","")</f>
        <v/>
      </c>
      <c r="P1960" s="39" t="str">
        <f>IF(AND($L1960=$O$7,$B1960&lt;'111'!$N$11),"x","")</f>
        <v/>
      </c>
      <c r="Q1960" s="39" t="str">
        <f>IF(AND($M1960=$O$7,$B1960&lt;'111'!$N$11),"x","")</f>
        <v/>
      </c>
      <c r="R1960" s="39" t="str">
        <f>IF(ISERROR(FIND('112'!$M$9,G1960,1)),"",IF((AND(FIND('112'!$M$9,G1960,1)&gt;=1,$B1960&gt;='112'!$N$8,$B1960&lt;='112'!$O$8,OR($L1960='112'!$I$6,$M1960='112'!$I$6))),"x",""))</f>
        <v/>
      </c>
      <c r="S1960" s="39" t="str">
        <f>IF(ISERROR(FIND('112'!$M$9,G1960,1)),"",IF((AND(LEFT(G1960,2)=LEFT('112'!$M$9,2),B1960&lt;'112'!$N$8,$L1960='112'!$I$6)),"x",""))</f>
        <v/>
      </c>
      <c r="T1960" s="39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39" t="str">
        <f>IF(OR(TH!L1960=TH!$V$7,M1960=TH!$V$7),"x","")</f>
        <v/>
      </c>
      <c r="W1960" s="39" t="str">
        <f>IF(AND(B1960&gt;='IN-NX'!$P$3,B1960&lt;='IN-NX'!$Q$3,'IN-NX'!$D$7=D1960,OR(LEFT(L1960,2)="15",AND(LEFT(M1960,2)&lt;&gt;"15",LEFT(M1960,2)&lt;&gt;"33"))),"x","")</f>
        <v/>
      </c>
      <c r="X1960" s="39" t="str">
        <f>IF(AND(OR(LEFT(TH!L1960,2)="15",LEFT(TH!M1960,2)="15"),'152-CT'!$J$8=TH!F1960),"x","")</f>
        <v/>
      </c>
      <c r="Y1960" s="39" t="str">
        <f>IF(AND(OR(LEFT(TH!L1960,2)="15",LEFT(TH!M1960,2)="15"),TK!$E$7=TH!F1960),"x","")</f>
        <v/>
      </c>
      <c r="Z1960" s="39" t="str">
        <f>IF(AND(B1960&lt;=NKC!$N$8,B1960&gt;=NKC!$M$8),"x","")</f>
        <v/>
      </c>
      <c r="AA1960" s="886"/>
    </row>
    <row r="1961" spans="1:27" s="211" customFormat="1" ht="15.75" customHeight="1">
      <c r="A1961" s="204" t="str">
        <f>IF(B1961&lt;&gt;"",IF(AND(B1961&gt;=_TM1,B1961&lt;=_TM2,OR(TH!L1961="1111",TH!M1961="1111")),TH!D1961,""),"")</f>
        <v/>
      </c>
      <c r="B1961" s="36">
        <f t="shared" si="264"/>
        <v>10</v>
      </c>
      <c r="C1961" s="191">
        <f t="shared" si="263"/>
        <v>41568</v>
      </c>
      <c r="D1961" s="37"/>
      <c r="E1961" s="191">
        <v>41568</v>
      </c>
      <c r="F1961" s="192" t="s">
        <v>1155</v>
      </c>
      <c r="G1961" s="487" t="s">
        <v>983</v>
      </c>
      <c r="H1961" s="7" t="s">
        <v>1293</v>
      </c>
      <c r="I1961" s="256"/>
      <c r="J1961" s="256"/>
      <c r="K1961" s="602">
        <f t="shared" si="265"/>
        <v>0</v>
      </c>
      <c r="L1961" s="39" t="s">
        <v>173</v>
      </c>
      <c r="M1961" s="39" t="s">
        <v>167</v>
      </c>
      <c r="N1961" s="39" t="str">
        <f>IF(AND('331-CT'!$E$7=TH!H1961,OR(L1961="331",M1961="331")),"331",IF(AND(OR(L1961="131",M1961="131"),H1961='131-CT'!$E$7),"131",""))</f>
        <v/>
      </c>
      <c r="O1961" s="39" t="str">
        <f>IF(AND($B1961&gt;='111'!$N$11,$B1961&lt;='111'!$O$11,OR($L1961=$O$7,$M1961=$O$7)),"x","")</f>
        <v/>
      </c>
      <c r="P1961" s="39" t="str">
        <f>IF(AND($L1961=$O$7,$B1961&lt;'111'!$N$11),"x","")</f>
        <v/>
      </c>
      <c r="Q1961" s="39" t="str">
        <f>IF(AND($M1961=$O$7,$B1961&lt;'111'!$N$11),"x","")</f>
        <v/>
      </c>
      <c r="R1961" s="39" t="str">
        <f>IF(ISERROR(FIND('112'!$M$9,G1961,1)),"",IF((AND(FIND('112'!$M$9,G1961,1)&gt;=1,$B1961&gt;='112'!$N$8,$B1961&lt;='112'!$O$8,OR($L1961='112'!$I$6,$M1961='112'!$I$6))),"x",""))</f>
        <v/>
      </c>
      <c r="S1961" s="39" t="str">
        <f>IF(ISERROR(FIND('112'!$M$9,G1961,1)),"",IF((AND(LEFT(G1961,2)=LEFT('112'!$M$9,2),B1961&lt;'112'!$N$8,$L1961='112'!$I$6)),"x",""))</f>
        <v/>
      </c>
      <c r="T1961" s="39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39" t="str">
        <f>IF(OR(TH!L1961=TH!$V$7,M1961=TH!$V$7),"x","")</f>
        <v/>
      </c>
      <c r="W1961" s="39" t="str">
        <f>IF(AND(B1961&gt;='IN-NX'!$P$3,B1961&lt;='IN-NX'!$Q$3,'IN-NX'!$D$7=D1961,OR(LEFT(L1961,2)="15",AND(LEFT(M1961,2)&lt;&gt;"15",LEFT(M1961,2)&lt;&gt;"33"))),"x","")</f>
        <v/>
      </c>
      <c r="X1961" s="39" t="str">
        <f>IF(AND(OR(LEFT(TH!L1961,2)="15",LEFT(TH!M1961,2)="15"),'152-CT'!$J$8=TH!F1961),"x","")</f>
        <v/>
      </c>
      <c r="Y1961" s="39" t="str">
        <f>IF(AND(OR(LEFT(TH!L1961,2)="15",LEFT(TH!M1961,2)="15"),TK!$E$7=TH!F1961),"x","")</f>
        <v/>
      </c>
      <c r="Z1961" s="39" t="str">
        <f>IF(AND(B1961&lt;=NKC!$N$8,B1961&gt;=NKC!$M$8),"x","")</f>
        <v/>
      </c>
      <c r="AA1961" s="886"/>
    </row>
    <row r="1962" spans="1:27" s="211" customFormat="1" ht="15.75" customHeight="1">
      <c r="A1962" s="204" t="str">
        <f>IF(B1962&lt;&gt;"",IF(AND(B1962&gt;=_TM1,B1962&lt;=_TM2,OR(TH!L1962="1111",TH!M1962="1111")),TH!D1962,""),"")</f>
        <v/>
      </c>
      <c r="B1962" s="36">
        <f t="shared" si="264"/>
        <v>10</v>
      </c>
      <c r="C1962" s="191">
        <f t="shared" si="263"/>
        <v>41568</v>
      </c>
      <c r="D1962" s="37"/>
      <c r="E1962" s="191">
        <v>41568</v>
      </c>
      <c r="F1962" s="192" t="s">
        <v>993</v>
      </c>
      <c r="G1962" s="487" t="s">
        <v>988</v>
      </c>
      <c r="H1962" s="7" t="s">
        <v>1293</v>
      </c>
      <c r="I1962" s="256"/>
      <c r="J1962" s="256"/>
      <c r="K1962" s="602">
        <f t="shared" si="265"/>
        <v>0</v>
      </c>
      <c r="L1962" s="39" t="s">
        <v>173</v>
      </c>
      <c r="M1962" s="39" t="s">
        <v>167</v>
      </c>
      <c r="N1962" s="39" t="str">
        <f>IF(AND('331-CT'!$E$7=TH!H1962,OR(L1962="331",M1962="331")),"331",IF(AND(OR(L1962="131",M1962="131"),H1962='131-CT'!$E$7),"131",""))</f>
        <v/>
      </c>
      <c r="O1962" s="39" t="str">
        <f>IF(AND($B1962&gt;='111'!$N$11,$B1962&lt;='111'!$O$11,OR($L1962=$O$7,$M1962=$O$7)),"x","")</f>
        <v/>
      </c>
      <c r="P1962" s="39" t="str">
        <f>IF(AND($L1962=$O$7,$B1962&lt;'111'!$N$11),"x","")</f>
        <v/>
      </c>
      <c r="Q1962" s="39" t="str">
        <f>IF(AND($M1962=$O$7,$B1962&lt;'111'!$N$11),"x","")</f>
        <v/>
      </c>
      <c r="R1962" s="39" t="str">
        <f>IF(ISERROR(FIND('112'!$M$9,G1962,1)),"",IF((AND(FIND('112'!$M$9,G1962,1)&gt;=1,$B1962&gt;='112'!$N$8,$B1962&lt;='112'!$O$8,OR($L1962='112'!$I$6,$M1962='112'!$I$6))),"x",""))</f>
        <v/>
      </c>
      <c r="S1962" s="39" t="str">
        <f>IF(ISERROR(FIND('112'!$M$9,G1962,1)),"",IF((AND(LEFT(G1962,2)=LEFT('112'!$M$9,2),B1962&lt;'112'!$N$8,$L1962='112'!$I$6)),"x",""))</f>
        <v/>
      </c>
      <c r="T1962" s="39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39" t="str">
        <f>IF(OR(TH!L1962=TH!$V$7,M1962=TH!$V$7),"x","")</f>
        <v/>
      </c>
      <c r="W1962" s="39" t="str">
        <f>IF(AND(B1962&gt;='IN-NX'!$P$3,B1962&lt;='IN-NX'!$Q$3,'IN-NX'!$D$7=D1962,OR(LEFT(L1962,2)="15",AND(LEFT(M1962,2)&lt;&gt;"15",LEFT(M1962,2)&lt;&gt;"33"))),"x","")</f>
        <v/>
      </c>
      <c r="X1962" s="39" t="str">
        <f>IF(AND(OR(LEFT(TH!L1962,2)="15",LEFT(TH!M1962,2)="15"),'152-CT'!$J$8=TH!F1962),"x","")</f>
        <v/>
      </c>
      <c r="Y1962" s="39" t="str">
        <f>IF(AND(OR(LEFT(TH!L1962,2)="15",LEFT(TH!M1962,2)="15"),TK!$E$7=TH!F1962),"x","")</f>
        <v/>
      </c>
      <c r="Z1962" s="39" t="str">
        <f>IF(AND(B1962&lt;=NKC!$N$8,B1962&gt;=NKC!$M$8),"x","")</f>
        <v/>
      </c>
      <c r="AA1962" s="886"/>
    </row>
    <row r="1963" spans="1:27" s="211" customFormat="1" ht="15.75" customHeight="1">
      <c r="A1963" s="204" t="str">
        <f>IF(B1963&lt;&gt;"",IF(AND(B1963&gt;=_TM1,B1963&lt;=_TM2,OR(TH!L1963="1111",TH!M1963="1111")),TH!D1963,""),"")</f>
        <v/>
      </c>
      <c r="B1963" s="36">
        <f t="shared" si="264"/>
        <v>10</v>
      </c>
      <c r="C1963" s="191">
        <f t="shared" si="263"/>
        <v>41568</v>
      </c>
      <c r="D1963" s="37"/>
      <c r="E1963" s="37">
        <v>41568</v>
      </c>
      <c r="F1963" s="40" t="s">
        <v>994</v>
      </c>
      <c r="G1963" s="40" t="s">
        <v>988</v>
      </c>
      <c r="H1963" s="7" t="s">
        <v>1293</v>
      </c>
      <c r="I1963" s="256"/>
      <c r="J1963" s="256"/>
      <c r="K1963" s="602">
        <f t="shared" si="265"/>
        <v>0</v>
      </c>
      <c r="L1963" s="39" t="s">
        <v>173</v>
      </c>
      <c r="M1963" s="39" t="s">
        <v>167</v>
      </c>
      <c r="N1963" s="39" t="str">
        <f>IF(AND('331-CT'!$E$7=TH!H1963,OR(L1963="331",M1963="331")),"331",IF(AND(OR(L1963="131",M1963="131"),H1963='131-CT'!$E$7),"131",""))</f>
        <v/>
      </c>
      <c r="O1963" s="39" t="str">
        <f>IF(AND($B1963&gt;='111'!$N$11,$B1963&lt;='111'!$O$11,OR($L1963=$O$7,$M1963=$O$7)),"x","")</f>
        <v/>
      </c>
      <c r="P1963" s="39" t="str">
        <f>IF(AND($L1963=$O$7,$B1963&lt;'111'!$N$11),"x","")</f>
        <v/>
      </c>
      <c r="Q1963" s="39" t="str">
        <f>IF(AND($M1963=$O$7,$B1963&lt;'111'!$N$11),"x","")</f>
        <v/>
      </c>
      <c r="R1963" s="39" t="str">
        <f>IF(ISERROR(FIND('112'!$M$9,G1963,1)),"",IF((AND(FIND('112'!$M$9,G1963,1)&gt;=1,$B1963&gt;='112'!$N$8,$B1963&lt;='112'!$O$8,OR($L1963='112'!$I$6,$M1963='112'!$I$6))),"x",""))</f>
        <v/>
      </c>
      <c r="S1963" s="39" t="str">
        <f>IF(ISERROR(FIND('112'!$M$9,G1963,1)),"",IF((AND(LEFT(G1963,2)=LEFT('112'!$M$9,2),B1963&lt;'112'!$N$8,$L1963='112'!$I$6)),"x",""))</f>
        <v/>
      </c>
      <c r="T1963" s="39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39" t="str">
        <f>IF(OR(TH!L1963=TH!$V$7,M1963=TH!$V$7),"x","")</f>
        <v/>
      </c>
      <c r="W1963" s="39" t="str">
        <f>IF(AND(B1963&gt;='IN-NX'!$P$3,B1963&lt;='IN-NX'!$Q$3,'IN-NX'!$D$7=D1963,OR(LEFT(L1963,2)="15",AND(LEFT(M1963,2)&lt;&gt;"15",LEFT(M1963,2)&lt;&gt;"33"))),"x","")</f>
        <v/>
      </c>
      <c r="X1963" s="39" t="str">
        <f>IF(AND(OR(LEFT(TH!L1963,2)="15",LEFT(TH!M1963,2)="15"),'152-CT'!$J$8=TH!F1963),"x","")</f>
        <v/>
      </c>
      <c r="Y1963" s="39" t="str">
        <f>IF(AND(OR(LEFT(TH!L1963,2)="15",LEFT(TH!M1963,2)="15"),TK!$E$7=TH!F1963),"x","")</f>
        <v/>
      </c>
      <c r="Z1963" s="39" t="str">
        <f>IF(AND(B1963&lt;=NKC!$N$8,B1963&gt;=NKC!$M$8),"x","")</f>
        <v/>
      </c>
      <c r="AA1963" s="886"/>
    </row>
    <row r="1964" spans="1:27" s="211" customFormat="1" ht="15.75" customHeight="1">
      <c r="A1964" s="204" t="str">
        <f>IF(B1964&lt;&gt;"",IF(AND(B1964&gt;=_TM1,B1964&lt;=_TM2,OR(TH!L1964="1111",TH!M1964="1111")),TH!D1964,""),"")</f>
        <v/>
      </c>
      <c r="B1964" s="36">
        <f t="shared" si="264"/>
        <v>10</v>
      </c>
      <c r="C1964" s="191">
        <f t="shared" si="263"/>
        <v>41569</v>
      </c>
      <c r="D1964" s="191"/>
      <c r="E1964" s="37">
        <v>41569</v>
      </c>
      <c r="F1964" s="40" t="s">
        <v>1154</v>
      </c>
      <c r="G1964" s="40" t="s">
        <v>990</v>
      </c>
      <c r="H1964" s="7" t="s">
        <v>1293</v>
      </c>
      <c r="I1964" s="256"/>
      <c r="J1964" s="256"/>
      <c r="K1964" s="602">
        <f t="shared" si="265"/>
        <v>0</v>
      </c>
      <c r="L1964" s="39" t="s">
        <v>173</v>
      </c>
      <c r="M1964" s="39" t="s">
        <v>167</v>
      </c>
      <c r="N1964" s="39" t="str">
        <f>IF(AND('331-CT'!$E$7=TH!H1964,OR(L1964="331",M1964="331")),"331",IF(AND(OR(L1964="131",M1964="131"),H1964='131-CT'!$E$7),"131",""))</f>
        <v/>
      </c>
      <c r="O1964" s="39" t="str">
        <f>IF(AND($B1964&gt;='111'!$N$11,$B1964&lt;='111'!$O$11,OR($L1964=$O$7,$M1964=$O$7)),"x","")</f>
        <v/>
      </c>
      <c r="P1964" s="39" t="str">
        <f>IF(AND($L1964=$O$7,$B1964&lt;'111'!$N$11),"x","")</f>
        <v/>
      </c>
      <c r="Q1964" s="39" t="str">
        <f>IF(AND($M1964=$O$7,$B1964&lt;'111'!$N$11),"x","")</f>
        <v/>
      </c>
      <c r="R1964" s="39" t="str">
        <f>IF(ISERROR(FIND('112'!$M$9,G1964,1)),"",IF((AND(FIND('112'!$M$9,G1964,1)&gt;=1,$B1964&gt;='112'!$N$8,$B1964&lt;='112'!$O$8,OR($L1964='112'!$I$6,$M1964='112'!$I$6))),"x",""))</f>
        <v/>
      </c>
      <c r="S1964" s="39" t="str">
        <f>IF(ISERROR(FIND('112'!$M$9,G1964,1)),"",IF((AND(LEFT(G1964,2)=LEFT('112'!$M$9,2),B1964&lt;'112'!$N$8,$L1964='112'!$I$6)),"x",""))</f>
        <v/>
      </c>
      <c r="T1964" s="39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39" t="str">
        <f>IF(OR(TH!L1964=TH!$V$7,M1964=TH!$V$7),"x","")</f>
        <v/>
      </c>
      <c r="W1964" s="39" t="str">
        <f>IF(AND(B1964&gt;='IN-NX'!$P$3,B1964&lt;='IN-NX'!$Q$3,'IN-NX'!$D$7=D1964,OR(LEFT(L1964,2)="15",AND(LEFT(M1964,2)&lt;&gt;"15",LEFT(M1964,2)&lt;&gt;"33"))),"x","")</f>
        <v/>
      </c>
      <c r="X1964" s="39" t="str">
        <f>IF(AND(OR(LEFT(TH!L1964,2)="15",LEFT(TH!M1964,2)="15"),'152-CT'!$J$8=TH!F1964),"x","")</f>
        <v/>
      </c>
      <c r="Y1964" s="39" t="str">
        <f>IF(AND(OR(LEFT(TH!L1964,2)="15",LEFT(TH!M1964,2)="15"),TK!$E$7=TH!F1964),"x","")</f>
        <v/>
      </c>
      <c r="Z1964" s="39" t="str">
        <f>IF(AND(B1964&lt;=NKC!$N$8,B1964&gt;=NKC!$M$8),"x","")</f>
        <v/>
      </c>
      <c r="AA1964" s="886"/>
    </row>
    <row r="1965" spans="1:27" s="211" customFormat="1" ht="15.75" customHeight="1">
      <c r="A1965" s="204" t="str">
        <f>IF(B1965&lt;&gt;"",IF(AND(B1965&gt;=_TM1,B1965&lt;=_TM2,OR(TH!L1965="1111",TH!M1965="1111")),TH!D1965,""),"")</f>
        <v/>
      </c>
      <c r="B1965" s="36">
        <f t="shared" si="264"/>
        <v>10</v>
      </c>
      <c r="C1965" s="191">
        <f t="shared" si="263"/>
        <v>41571</v>
      </c>
      <c r="D1965" s="191"/>
      <c r="E1965" s="37">
        <v>41571</v>
      </c>
      <c r="F1965" s="192" t="s">
        <v>1131</v>
      </c>
      <c r="G1965" s="40" t="s">
        <v>992</v>
      </c>
      <c r="H1965" s="7" t="s">
        <v>1293</v>
      </c>
      <c r="I1965" s="256"/>
      <c r="J1965" s="256"/>
      <c r="K1965" s="602">
        <f t="shared" si="265"/>
        <v>0</v>
      </c>
      <c r="L1965" s="39" t="s">
        <v>173</v>
      </c>
      <c r="M1965" s="39" t="s">
        <v>167</v>
      </c>
      <c r="N1965" s="39" t="str">
        <f>IF(AND('331-CT'!$E$7=TH!H1965,OR(L1965="331",M1965="331")),"331",IF(AND(OR(L1965="131",M1965="131"),H1965='131-CT'!$E$7),"131",""))</f>
        <v/>
      </c>
      <c r="O1965" s="39" t="str">
        <f>IF(AND($B1965&gt;='111'!$N$11,$B1965&lt;='111'!$O$11,OR($L1965=$O$7,$M1965=$O$7)),"x","")</f>
        <v/>
      </c>
      <c r="P1965" s="39" t="str">
        <f>IF(AND($L1965=$O$7,$B1965&lt;'111'!$N$11),"x","")</f>
        <v/>
      </c>
      <c r="Q1965" s="39" t="str">
        <f>IF(AND($M1965=$O$7,$B1965&lt;'111'!$N$11),"x","")</f>
        <v/>
      </c>
      <c r="R1965" s="39" t="str">
        <f>IF(ISERROR(FIND('112'!$M$9,G1965,1)),"",IF((AND(FIND('112'!$M$9,G1965,1)&gt;=1,$B1965&gt;='112'!$N$8,$B1965&lt;='112'!$O$8,OR($L1965='112'!$I$6,$M1965='112'!$I$6))),"x",""))</f>
        <v/>
      </c>
      <c r="S1965" s="39" t="str">
        <f>IF(ISERROR(FIND('112'!$M$9,G1965,1)),"",IF((AND(LEFT(G1965,2)=LEFT('112'!$M$9,2),B1965&lt;'112'!$N$8,$L1965='112'!$I$6)),"x",""))</f>
        <v/>
      </c>
      <c r="T1965" s="39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39" t="str">
        <f>IF(OR(TH!L1965=TH!$V$7,M1965=TH!$V$7),"x","")</f>
        <v/>
      </c>
      <c r="W1965" s="39" t="str">
        <f>IF(AND(B1965&gt;='IN-NX'!$P$3,B1965&lt;='IN-NX'!$Q$3,'IN-NX'!$D$7=D1965,OR(LEFT(L1965,2)="15",AND(LEFT(M1965,2)&lt;&gt;"15",LEFT(M1965,2)&lt;&gt;"33"))),"x","")</f>
        <v/>
      </c>
      <c r="X1965" s="39" t="str">
        <f>IF(AND(OR(LEFT(TH!L1965,2)="15",LEFT(TH!M1965,2)="15"),'152-CT'!$J$8=TH!F1965),"x","")</f>
        <v/>
      </c>
      <c r="Y1965" s="39" t="str">
        <f>IF(AND(OR(LEFT(TH!L1965,2)="15",LEFT(TH!M1965,2)="15"),TK!$E$7=TH!F1965),"x","")</f>
        <v/>
      </c>
      <c r="Z1965" s="39" t="str">
        <f>IF(AND(B1965&lt;=NKC!$N$8,B1965&gt;=NKC!$M$8),"x","")</f>
        <v/>
      </c>
      <c r="AA1965" s="886"/>
    </row>
    <row r="1966" spans="1:27" s="211" customFormat="1" ht="15.75" customHeight="1">
      <c r="A1966" s="204" t="str">
        <f>IF(B1966&lt;&gt;"",IF(AND(B1966&gt;=_TM1,B1966&lt;=_TM2,OR(TH!L1966="1111",TH!M1966="1111")),TH!D1966,""),"")</f>
        <v/>
      </c>
      <c r="B1966" s="36">
        <f t="shared" si="264"/>
        <v>10</v>
      </c>
      <c r="C1966" s="191">
        <f t="shared" si="263"/>
        <v>41571</v>
      </c>
      <c r="D1966" s="191"/>
      <c r="E1966" s="37">
        <v>41571</v>
      </c>
      <c r="F1966" s="40" t="s">
        <v>814</v>
      </c>
      <c r="G1966" s="40" t="s">
        <v>992</v>
      </c>
      <c r="H1966" s="7" t="s">
        <v>1293</v>
      </c>
      <c r="I1966" s="256"/>
      <c r="J1966" s="256"/>
      <c r="K1966" s="602">
        <f t="shared" si="265"/>
        <v>0</v>
      </c>
      <c r="L1966" s="39" t="s">
        <v>173</v>
      </c>
      <c r="M1966" s="39" t="s">
        <v>167</v>
      </c>
      <c r="N1966" s="39" t="str">
        <f>IF(AND('331-CT'!$E$7=TH!H1966,OR(L1966="331",M1966="331")),"331",IF(AND(OR(L1966="131",M1966="131"),H1966='131-CT'!$E$7),"131",""))</f>
        <v/>
      </c>
      <c r="O1966" s="39" t="str">
        <f>IF(AND($B1966&gt;='111'!$N$11,$B1966&lt;='111'!$O$11,OR($L1966=$O$7,$M1966=$O$7)),"x","")</f>
        <v/>
      </c>
      <c r="P1966" s="39" t="str">
        <f>IF(AND($L1966=$O$7,$B1966&lt;'111'!$N$11),"x","")</f>
        <v/>
      </c>
      <c r="Q1966" s="39" t="str">
        <f>IF(AND($M1966=$O$7,$B1966&lt;'111'!$N$11),"x","")</f>
        <v/>
      </c>
      <c r="R1966" s="39" t="str">
        <f>IF(ISERROR(FIND('112'!$M$9,G1966,1)),"",IF((AND(FIND('112'!$M$9,G1966,1)&gt;=1,$B1966&gt;='112'!$N$8,$B1966&lt;='112'!$O$8,OR($L1966='112'!$I$6,$M1966='112'!$I$6))),"x",""))</f>
        <v/>
      </c>
      <c r="S1966" s="39" t="str">
        <f>IF(ISERROR(FIND('112'!$M$9,G1966,1)),"",IF((AND(LEFT(G1966,2)=LEFT('112'!$M$9,2),B1966&lt;'112'!$N$8,$L1966='112'!$I$6)),"x",""))</f>
        <v/>
      </c>
      <c r="T1966" s="39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39" t="str">
        <f>IF(OR(TH!L1966=TH!$V$7,M1966=TH!$V$7),"x","")</f>
        <v/>
      </c>
      <c r="W1966" s="39" t="str">
        <f>IF(AND(B1966&gt;='IN-NX'!$P$3,B1966&lt;='IN-NX'!$Q$3,'IN-NX'!$D$7=D1966,OR(LEFT(L1966,2)="15",AND(LEFT(M1966,2)&lt;&gt;"15",LEFT(M1966,2)&lt;&gt;"33"))),"x","")</f>
        <v/>
      </c>
      <c r="X1966" s="39" t="str">
        <f>IF(AND(OR(LEFT(TH!L1966,2)="15",LEFT(TH!M1966,2)="15"),'152-CT'!$J$8=TH!F1966),"x","")</f>
        <v/>
      </c>
      <c r="Y1966" s="39" t="str">
        <f>IF(AND(OR(LEFT(TH!L1966,2)="15",LEFT(TH!M1966,2)="15"),TK!$E$7=TH!F1966),"x","")</f>
        <v/>
      </c>
      <c r="Z1966" s="39" t="str">
        <f>IF(AND(B1966&lt;=NKC!$N$8,B1966&gt;=NKC!$M$8),"x","")</f>
        <v/>
      </c>
      <c r="AA1966" s="886"/>
    </row>
    <row r="1967" spans="1:27" s="211" customFormat="1" ht="15.75" customHeight="1">
      <c r="A1967" s="204" t="str">
        <f>IF(B1967&lt;&gt;"",IF(AND(B1967&gt;=_TM1,B1967&lt;=_TM2,OR(TH!L1967="1111",TH!M1967="1111")),TH!D1967,""),"")</f>
        <v/>
      </c>
      <c r="B1967" s="36">
        <f t="shared" si="264"/>
        <v>10</v>
      </c>
      <c r="C1967" s="191">
        <f t="shared" si="263"/>
        <v>41571</v>
      </c>
      <c r="D1967" s="191"/>
      <c r="E1967" s="37">
        <v>41571</v>
      </c>
      <c r="F1967" s="192" t="s">
        <v>1131</v>
      </c>
      <c r="G1967" s="40" t="s">
        <v>992</v>
      </c>
      <c r="H1967" s="7" t="s">
        <v>1293</v>
      </c>
      <c r="I1967" s="256"/>
      <c r="J1967" s="256"/>
      <c r="K1967" s="602">
        <f t="shared" si="265"/>
        <v>0</v>
      </c>
      <c r="L1967" s="39" t="s">
        <v>173</v>
      </c>
      <c r="M1967" s="39" t="s">
        <v>167</v>
      </c>
      <c r="N1967" s="39" t="str">
        <f>IF(AND('331-CT'!$E$7=TH!H1967,OR(L1967="331",M1967="331")),"331",IF(AND(OR(L1967="131",M1967="131"),H1967='131-CT'!$E$7),"131",""))</f>
        <v/>
      </c>
      <c r="O1967" s="39" t="str">
        <f>IF(AND($B1967&gt;='111'!$N$11,$B1967&lt;='111'!$O$11,OR($L1967=$O$7,$M1967=$O$7)),"x","")</f>
        <v/>
      </c>
      <c r="P1967" s="39" t="str">
        <f>IF(AND($L1967=$O$7,$B1967&lt;'111'!$N$11),"x","")</f>
        <v/>
      </c>
      <c r="Q1967" s="39" t="str">
        <f>IF(AND($M1967=$O$7,$B1967&lt;'111'!$N$11),"x","")</f>
        <v/>
      </c>
      <c r="R1967" s="39" t="str">
        <f>IF(ISERROR(FIND('112'!$M$9,G1967,1)),"",IF((AND(FIND('112'!$M$9,G1967,1)&gt;=1,$B1967&gt;='112'!$N$8,$B1967&lt;='112'!$O$8,OR($L1967='112'!$I$6,$M1967='112'!$I$6))),"x",""))</f>
        <v/>
      </c>
      <c r="S1967" s="39" t="str">
        <f>IF(ISERROR(FIND('112'!$M$9,G1967,1)),"",IF((AND(LEFT(G1967,2)=LEFT('112'!$M$9,2),B1967&lt;'112'!$N$8,$L1967='112'!$I$6)),"x",""))</f>
        <v/>
      </c>
      <c r="T1967" s="39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39" t="str">
        <f>IF(OR(TH!L1967=TH!$V$7,M1967=TH!$V$7),"x","")</f>
        <v/>
      </c>
      <c r="W1967" s="39" t="str">
        <f>IF(AND(B1967&gt;='IN-NX'!$P$3,B1967&lt;='IN-NX'!$Q$3,'IN-NX'!$D$7=D1967,OR(LEFT(L1967,2)="15",AND(LEFT(M1967,2)&lt;&gt;"15",LEFT(M1967,2)&lt;&gt;"33"))),"x","")</f>
        <v/>
      </c>
      <c r="X1967" s="39" t="str">
        <f>IF(AND(OR(LEFT(TH!L1967,2)="15",LEFT(TH!M1967,2)="15"),'152-CT'!$J$8=TH!F1967),"x","")</f>
        <v/>
      </c>
      <c r="Y1967" s="39" t="str">
        <f>IF(AND(OR(LEFT(TH!L1967,2)="15",LEFT(TH!M1967,2)="15"),TK!$E$7=TH!F1967),"x","")</f>
        <v/>
      </c>
      <c r="Z1967" s="39" t="str">
        <f>IF(AND(B1967&lt;=NKC!$N$8,B1967&gt;=NKC!$M$8),"x","")</f>
        <v/>
      </c>
      <c r="AA1967" s="886"/>
    </row>
    <row r="1968" spans="1:27" s="211" customFormat="1" ht="15.75" customHeight="1">
      <c r="A1968" s="204" t="str">
        <f>IF(B1968&lt;&gt;"",IF(AND(B1968&gt;=_TM1,B1968&lt;=_TM2,OR(TH!L1968="1111",TH!M1968="1111")),TH!D1968,""),"")</f>
        <v/>
      </c>
      <c r="B1968" s="36">
        <f t="shared" si="264"/>
        <v>10</v>
      </c>
      <c r="C1968" s="191">
        <f t="shared" si="263"/>
        <v>41571</v>
      </c>
      <c r="D1968" s="191"/>
      <c r="E1968" s="37">
        <v>41571</v>
      </c>
      <c r="F1968" s="40" t="s">
        <v>940</v>
      </c>
      <c r="G1968" s="40" t="s">
        <v>995</v>
      </c>
      <c r="H1968" s="7" t="s">
        <v>1293</v>
      </c>
      <c r="I1968" s="256"/>
      <c r="J1968" s="256"/>
      <c r="K1968" s="602">
        <f t="shared" si="265"/>
        <v>0</v>
      </c>
      <c r="L1968" s="39" t="s">
        <v>173</v>
      </c>
      <c r="M1968" s="39" t="s">
        <v>167</v>
      </c>
      <c r="N1968" s="39" t="str">
        <f>IF(AND('331-CT'!$E$7=TH!H1968,OR(L1968="331",M1968="331")),"331",IF(AND(OR(L1968="131",M1968="131"),H1968='131-CT'!$E$7),"131",""))</f>
        <v/>
      </c>
      <c r="O1968" s="39" t="str">
        <f>IF(AND($B1968&gt;='111'!$N$11,$B1968&lt;='111'!$O$11,OR($L1968=$O$7,$M1968=$O$7)),"x","")</f>
        <v/>
      </c>
      <c r="P1968" s="39" t="str">
        <f>IF(AND($L1968=$O$7,$B1968&lt;'111'!$N$11),"x","")</f>
        <v/>
      </c>
      <c r="Q1968" s="39" t="str">
        <f>IF(AND($M1968=$O$7,$B1968&lt;'111'!$N$11),"x","")</f>
        <v/>
      </c>
      <c r="R1968" s="39" t="str">
        <f>IF(ISERROR(FIND('112'!$M$9,G1968,1)),"",IF((AND(FIND('112'!$M$9,G1968,1)&gt;=1,$B1968&gt;='112'!$N$8,$B1968&lt;='112'!$O$8,OR($L1968='112'!$I$6,$M1968='112'!$I$6))),"x",""))</f>
        <v/>
      </c>
      <c r="S1968" s="39" t="str">
        <f>IF(ISERROR(FIND('112'!$M$9,G1968,1)),"",IF((AND(LEFT(G1968,2)=LEFT('112'!$M$9,2),B1968&lt;'112'!$N$8,$L1968='112'!$I$6)),"x",""))</f>
        <v/>
      </c>
      <c r="T1968" s="39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39" t="str">
        <f>IF(OR(TH!L1968=TH!$V$7,M1968=TH!$V$7),"x","")</f>
        <v/>
      </c>
      <c r="W1968" s="39" t="str">
        <f>IF(AND(B1968&gt;='IN-NX'!$P$3,B1968&lt;='IN-NX'!$Q$3,'IN-NX'!$D$7=D1968,OR(LEFT(L1968,2)="15",AND(LEFT(M1968,2)&lt;&gt;"15",LEFT(M1968,2)&lt;&gt;"33"))),"x","")</f>
        <v/>
      </c>
      <c r="X1968" s="39" t="str">
        <f>IF(AND(OR(LEFT(TH!L1968,2)="15",LEFT(TH!M1968,2)="15"),'152-CT'!$J$8=TH!F1968),"x","")</f>
        <v/>
      </c>
      <c r="Y1968" s="39" t="str">
        <f>IF(AND(OR(LEFT(TH!L1968,2)="15",LEFT(TH!M1968,2)="15"),TK!$E$7=TH!F1968),"x","")</f>
        <v/>
      </c>
      <c r="Z1968" s="39" t="str">
        <f>IF(AND(B1968&lt;=NKC!$N$8,B1968&gt;=NKC!$M$8),"x","")</f>
        <v/>
      </c>
      <c r="AA1968" s="886"/>
    </row>
    <row r="1969" spans="1:27" s="211" customFormat="1" ht="15.75" customHeight="1">
      <c r="A1969" s="204" t="str">
        <f>IF(B1969&lt;&gt;"",IF(AND(B1969&gt;=_TM1,B1969&lt;=_TM2,OR(TH!L1969="1111",TH!M1969="1111")),TH!D1969,""),"")</f>
        <v/>
      </c>
      <c r="B1969" s="36">
        <f t="shared" si="264"/>
        <v>10</v>
      </c>
      <c r="C1969" s="191">
        <f t="shared" si="263"/>
        <v>41573</v>
      </c>
      <c r="D1969" s="191"/>
      <c r="E1969" s="37">
        <v>41573</v>
      </c>
      <c r="F1969" s="40" t="s">
        <v>1150</v>
      </c>
      <c r="G1969" s="40" t="s">
        <v>996</v>
      </c>
      <c r="H1969" s="7" t="s">
        <v>1293</v>
      </c>
      <c r="I1969" s="256"/>
      <c r="J1969" s="256"/>
      <c r="K1969" s="602">
        <f t="shared" si="265"/>
        <v>0</v>
      </c>
      <c r="L1969" s="39" t="s">
        <v>173</v>
      </c>
      <c r="M1969" s="39" t="s">
        <v>167</v>
      </c>
      <c r="N1969" s="39" t="str">
        <f>IF(AND('331-CT'!$E$7=TH!H1969,OR(L1969="331",M1969="331")),"331",IF(AND(OR(L1969="131",M1969="131"),H1969='131-CT'!$E$7),"131",""))</f>
        <v/>
      </c>
      <c r="O1969" s="39" t="str">
        <f>IF(AND($B1969&gt;='111'!$N$11,$B1969&lt;='111'!$O$11,OR($L1969=$O$7,$M1969=$O$7)),"x","")</f>
        <v/>
      </c>
      <c r="P1969" s="39" t="str">
        <f>IF(AND($L1969=$O$7,$B1969&lt;'111'!$N$11),"x","")</f>
        <v/>
      </c>
      <c r="Q1969" s="39" t="str">
        <f>IF(AND($M1969=$O$7,$B1969&lt;'111'!$N$11),"x","")</f>
        <v/>
      </c>
      <c r="R1969" s="39" t="str">
        <f>IF(ISERROR(FIND('112'!$M$9,G1969,1)),"",IF((AND(FIND('112'!$M$9,G1969,1)&gt;=1,$B1969&gt;='112'!$N$8,$B1969&lt;='112'!$O$8,OR($L1969='112'!$I$6,$M1969='112'!$I$6))),"x",""))</f>
        <v/>
      </c>
      <c r="S1969" s="39" t="str">
        <f>IF(ISERROR(FIND('112'!$M$9,G1969,1)),"",IF((AND(LEFT(G1969,2)=LEFT('112'!$M$9,2),B1969&lt;'112'!$N$8,$L1969='112'!$I$6)),"x",""))</f>
        <v/>
      </c>
      <c r="T1969" s="39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39" t="str">
        <f>IF(OR(TH!L1969=TH!$V$7,M1969=TH!$V$7),"x","")</f>
        <v/>
      </c>
      <c r="W1969" s="39" t="str">
        <f>IF(AND(B1969&gt;='IN-NX'!$P$3,B1969&lt;='IN-NX'!$Q$3,'IN-NX'!$D$7=D1969,OR(LEFT(L1969,2)="15",AND(LEFT(M1969,2)&lt;&gt;"15",LEFT(M1969,2)&lt;&gt;"33"))),"x","")</f>
        <v/>
      </c>
      <c r="X1969" s="39" t="str">
        <f>IF(AND(OR(LEFT(TH!L1969,2)="15",LEFT(TH!M1969,2)="15"),'152-CT'!$J$8=TH!F1969),"x","")</f>
        <v/>
      </c>
      <c r="Y1969" s="39" t="str">
        <f>IF(AND(OR(LEFT(TH!L1969,2)="15",LEFT(TH!M1969,2)="15"),TK!$E$7=TH!F1969),"x","")</f>
        <v/>
      </c>
      <c r="Z1969" s="39" t="str">
        <f>IF(AND(B1969&lt;=NKC!$N$8,B1969&gt;=NKC!$M$8),"x","")</f>
        <v/>
      </c>
      <c r="AA1969" s="886"/>
    </row>
    <row r="1970" spans="1:27" s="211" customFormat="1" ht="15.75" customHeight="1">
      <c r="A1970" s="204" t="str">
        <f>IF(B1970&lt;&gt;"",IF(AND(B1970&gt;=_TM1,B1970&lt;=_TM2,OR(TH!L1970="1111",TH!M1970="1111")),TH!D1970,""),"")</f>
        <v/>
      </c>
      <c r="B1970" s="36">
        <f t="shared" si="264"/>
        <v>10</v>
      </c>
      <c r="C1970" s="191">
        <f t="shared" si="263"/>
        <v>41573</v>
      </c>
      <c r="D1970" s="191"/>
      <c r="E1970" s="37">
        <v>41573</v>
      </c>
      <c r="F1970" s="40" t="s">
        <v>1149</v>
      </c>
      <c r="G1970" s="40" t="s">
        <v>996</v>
      </c>
      <c r="H1970" s="7" t="s">
        <v>1293</v>
      </c>
      <c r="I1970" s="256"/>
      <c r="J1970" s="256"/>
      <c r="K1970" s="602">
        <f t="shared" si="265"/>
        <v>0</v>
      </c>
      <c r="L1970" s="39" t="s">
        <v>173</v>
      </c>
      <c r="M1970" s="39" t="s">
        <v>167</v>
      </c>
      <c r="N1970" s="39" t="str">
        <f>IF(AND('331-CT'!$E$7=TH!H1970,OR(L1970="331",M1970="331")),"331",IF(AND(OR(L1970="131",M1970="131"),H1970='131-CT'!$E$7),"131",""))</f>
        <v/>
      </c>
      <c r="O1970" s="39" t="str">
        <f>IF(AND($B1970&gt;='111'!$N$11,$B1970&lt;='111'!$O$11,OR($L1970=$O$7,$M1970=$O$7)),"x","")</f>
        <v/>
      </c>
      <c r="P1970" s="39" t="str">
        <f>IF(AND($L1970=$O$7,$B1970&lt;'111'!$N$11),"x","")</f>
        <v/>
      </c>
      <c r="Q1970" s="39" t="str">
        <f>IF(AND($M1970=$O$7,$B1970&lt;'111'!$N$11),"x","")</f>
        <v/>
      </c>
      <c r="R1970" s="39" t="str">
        <f>IF(ISERROR(FIND('112'!$M$9,G1970,1)),"",IF((AND(FIND('112'!$M$9,G1970,1)&gt;=1,$B1970&gt;='112'!$N$8,$B1970&lt;='112'!$O$8,OR($L1970='112'!$I$6,$M1970='112'!$I$6))),"x",""))</f>
        <v/>
      </c>
      <c r="S1970" s="39" t="str">
        <f>IF(ISERROR(FIND('112'!$M$9,G1970,1)),"",IF((AND(LEFT(G1970,2)=LEFT('112'!$M$9,2),B1970&lt;'112'!$N$8,$L1970='112'!$I$6)),"x",""))</f>
        <v/>
      </c>
      <c r="T1970" s="39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39" t="str">
        <f>IF(OR(TH!L1970=TH!$V$7,M1970=TH!$V$7),"x","")</f>
        <v/>
      </c>
      <c r="W1970" s="39" t="str">
        <f>IF(AND(B1970&gt;='IN-NX'!$P$3,B1970&lt;='IN-NX'!$Q$3,'IN-NX'!$D$7=D1970,OR(LEFT(L1970,2)="15",AND(LEFT(M1970,2)&lt;&gt;"15",LEFT(M1970,2)&lt;&gt;"33"))),"x","")</f>
        <v/>
      </c>
      <c r="X1970" s="39" t="str">
        <f>IF(AND(OR(LEFT(TH!L1970,2)="15",LEFT(TH!M1970,2)="15"),'152-CT'!$J$8=TH!F1970),"x","")</f>
        <v/>
      </c>
      <c r="Y1970" s="39" t="str">
        <f>IF(AND(OR(LEFT(TH!L1970,2)="15",LEFT(TH!M1970,2)="15"),TK!$E$7=TH!F1970),"x","")</f>
        <v/>
      </c>
      <c r="Z1970" s="39" t="str">
        <f>IF(AND(B1970&lt;=NKC!$N$8,B1970&gt;=NKC!$M$8),"x","")</f>
        <v/>
      </c>
      <c r="AA1970" s="886"/>
    </row>
    <row r="1971" spans="1:27" s="211" customFormat="1" ht="15.75" customHeight="1">
      <c r="A1971" s="204" t="str">
        <f>IF(B1971&lt;&gt;"",IF(AND(B1971&gt;=_TM1,B1971&lt;=_TM2,OR(TH!L1971="1111",TH!M1971="1111")),TH!D1971,""),"")</f>
        <v/>
      </c>
      <c r="B1971" s="36">
        <f t="shared" si="264"/>
        <v>10</v>
      </c>
      <c r="C1971" s="191">
        <f t="shared" si="263"/>
        <v>41577</v>
      </c>
      <c r="D1971" s="191"/>
      <c r="E1971" s="37">
        <v>41577</v>
      </c>
      <c r="F1971" s="40" t="s">
        <v>942</v>
      </c>
      <c r="G1971" s="40" t="s">
        <v>997</v>
      </c>
      <c r="H1971" s="7" t="s">
        <v>1293</v>
      </c>
      <c r="I1971" s="256"/>
      <c r="J1971" s="256"/>
      <c r="K1971" s="602">
        <f t="shared" si="265"/>
        <v>0</v>
      </c>
      <c r="L1971" s="39" t="s">
        <v>173</v>
      </c>
      <c r="M1971" s="39" t="s">
        <v>167</v>
      </c>
      <c r="N1971" s="39" t="str">
        <f>IF(AND('331-CT'!$E$7=TH!H1971,OR(L1971="331",M1971="331")),"331",IF(AND(OR(L1971="131",M1971="131"),H1971='131-CT'!$E$7),"131",""))</f>
        <v/>
      </c>
      <c r="O1971" s="39" t="str">
        <f>IF(AND($B1971&gt;='111'!$N$11,$B1971&lt;='111'!$O$11,OR($L1971=$O$7,$M1971=$O$7)),"x","")</f>
        <v/>
      </c>
      <c r="P1971" s="39" t="str">
        <f>IF(AND($L1971=$O$7,$B1971&lt;'111'!$N$11),"x","")</f>
        <v/>
      </c>
      <c r="Q1971" s="39" t="str">
        <f>IF(AND($M1971=$O$7,$B1971&lt;'111'!$N$11),"x","")</f>
        <v/>
      </c>
      <c r="R1971" s="39" t="str">
        <f>IF(ISERROR(FIND('112'!$M$9,G1971,1)),"",IF((AND(FIND('112'!$M$9,G1971,1)&gt;=1,$B1971&gt;='112'!$N$8,$B1971&lt;='112'!$O$8,OR($L1971='112'!$I$6,$M1971='112'!$I$6))),"x",""))</f>
        <v/>
      </c>
      <c r="S1971" s="39" t="str">
        <f>IF(ISERROR(FIND('112'!$M$9,G1971,1)),"",IF((AND(LEFT(G1971,2)=LEFT('112'!$M$9,2),B1971&lt;'112'!$N$8,$L1971='112'!$I$6)),"x",""))</f>
        <v/>
      </c>
      <c r="T1971" s="39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39" t="str">
        <f>IF(OR(TH!L1971=TH!$V$7,M1971=TH!$V$7),"x","")</f>
        <v/>
      </c>
      <c r="W1971" s="39" t="str">
        <f>IF(AND(B1971&gt;='IN-NX'!$P$3,B1971&lt;='IN-NX'!$Q$3,'IN-NX'!$D$7=D1971,OR(LEFT(L1971,2)="15",AND(LEFT(M1971,2)&lt;&gt;"15",LEFT(M1971,2)&lt;&gt;"33"))),"x","")</f>
        <v/>
      </c>
      <c r="X1971" s="39" t="str">
        <f>IF(AND(OR(LEFT(TH!L1971,2)="15",LEFT(TH!M1971,2)="15"),'152-CT'!$J$8=TH!F1971),"x","")</f>
        <v/>
      </c>
      <c r="Y1971" s="39" t="str">
        <f>IF(AND(OR(LEFT(TH!L1971,2)="15",LEFT(TH!M1971,2)="15"),TK!$E$7=TH!F1971),"x","")</f>
        <v/>
      </c>
      <c r="Z1971" s="39" t="str">
        <f>IF(AND(B1971&lt;=NKC!$N$8,B1971&gt;=NKC!$M$8),"x","")</f>
        <v/>
      </c>
      <c r="AA1971" s="886"/>
    </row>
    <row r="1972" spans="1:27" s="211" customFormat="1" ht="15.75" customHeight="1">
      <c r="A1972" s="204" t="str">
        <f>IF(B1972&lt;&gt;"",IF(AND(B1972&gt;=_TM1,B1972&lt;=_TM2,OR(TH!L1972="1111",TH!M1972="1111")),TH!D1972,""),"")</f>
        <v/>
      </c>
      <c r="B1972" s="36">
        <f t="shared" si="264"/>
        <v>10</v>
      </c>
      <c r="C1972" s="191">
        <f t="shared" si="263"/>
        <v>41578</v>
      </c>
      <c r="D1972" s="191"/>
      <c r="E1972" s="37">
        <v>41578</v>
      </c>
      <c r="F1972" s="40" t="s">
        <v>731</v>
      </c>
      <c r="G1972" s="40" t="s">
        <v>998</v>
      </c>
      <c r="H1972" s="7" t="s">
        <v>1293</v>
      </c>
      <c r="I1972" s="256"/>
      <c r="J1972" s="256"/>
      <c r="K1972" s="602">
        <f t="shared" si="265"/>
        <v>0</v>
      </c>
      <c r="L1972" s="39" t="s">
        <v>173</v>
      </c>
      <c r="M1972" s="39" t="s">
        <v>167</v>
      </c>
      <c r="N1972" s="39" t="str">
        <f>IF(AND('331-CT'!$E$7=TH!H1972,OR(L1972="331",M1972="331")),"331",IF(AND(OR(L1972="131",M1972="131"),H1972='131-CT'!$E$7),"131",""))</f>
        <v/>
      </c>
      <c r="O1972" s="39" t="str">
        <f>IF(AND($B1972&gt;='111'!$N$11,$B1972&lt;='111'!$O$11,OR($L1972=$O$7,$M1972=$O$7)),"x","")</f>
        <v/>
      </c>
      <c r="P1972" s="39" t="str">
        <f>IF(AND($L1972=$O$7,$B1972&lt;'111'!$N$11),"x","")</f>
        <v/>
      </c>
      <c r="Q1972" s="39" t="str">
        <f>IF(AND($M1972=$O$7,$B1972&lt;'111'!$N$11),"x","")</f>
        <v/>
      </c>
      <c r="R1972" s="39" t="str">
        <f>IF(ISERROR(FIND('112'!$M$9,G1972,1)),"",IF((AND(FIND('112'!$M$9,G1972,1)&gt;=1,$B1972&gt;='112'!$N$8,$B1972&lt;='112'!$O$8,OR($L1972='112'!$I$6,$M1972='112'!$I$6))),"x",""))</f>
        <v/>
      </c>
      <c r="S1972" s="39" t="str">
        <f>IF(ISERROR(FIND('112'!$M$9,G1972,1)),"",IF((AND(LEFT(G1972,2)=LEFT('112'!$M$9,2),B1972&lt;'112'!$N$8,$L1972='112'!$I$6)),"x",""))</f>
        <v/>
      </c>
      <c r="T1972" s="39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39" t="str">
        <f>IF(OR(TH!L1972=TH!$V$7,M1972=TH!$V$7),"x","")</f>
        <v/>
      </c>
      <c r="W1972" s="39" t="str">
        <f>IF(AND(B1972&gt;='IN-NX'!$P$3,B1972&lt;='IN-NX'!$Q$3,'IN-NX'!$D$7=D1972,OR(LEFT(L1972,2)="15",AND(LEFT(M1972,2)&lt;&gt;"15",LEFT(M1972,2)&lt;&gt;"33"))),"x","")</f>
        <v/>
      </c>
      <c r="X1972" s="39" t="str">
        <f>IF(AND(OR(LEFT(TH!L1972,2)="15",LEFT(TH!M1972,2)="15"),'152-CT'!$J$8=TH!F1972),"x","")</f>
        <v/>
      </c>
      <c r="Y1972" s="39" t="str">
        <f>IF(AND(OR(LEFT(TH!L1972,2)="15",LEFT(TH!M1972,2)="15"),TK!$E$7=TH!F1972),"x","")</f>
        <v/>
      </c>
      <c r="Z1972" s="39" t="str">
        <f>IF(AND(B1972&lt;=NKC!$N$8,B1972&gt;=NKC!$M$8),"x","")</f>
        <v/>
      </c>
      <c r="AA1972" s="886"/>
    </row>
    <row r="1973" spans="1:27" s="211" customFormat="1" ht="15.75" customHeight="1">
      <c r="A1973" s="204" t="str">
        <f>IF(B1973&lt;&gt;"",IF(AND(B1973&gt;=_TM1,B1973&lt;=_TM2,OR(TH!L1973="1111",TH!M1973="1111")),TH!D1973,""),"")</f>
        <v/>
      </c>
      <c r="B1973" s="36">
        <f t="shared" si="264"/>
        <v>10</v>
      </c>
      <c r="C1973" s="191">
        <f t="shared" si="263"/>
        <v>41578</v>
      </c>
      <c r="D1973" s="191"/>
      <c r="E1973" s="37">
        <v>41578</v>
      </c>
      <c r="F1973" s="192" t="s">
        <v>838</v>
      </c>
      <c r="G1973" s="40" t="s">
        <v>999</v>
      </c>
      <c r="H1973" s="7" t="s">
        <v>1293</v>
      </c>
      <c r="I1973" s="256"/>
      <c r="J1973" s="256"/>
      <c r="K1973" s="602">
        <f t="shared" si="265"/>
        <v>0</v>
      </c>
      <c r="L1973" s="39" t="s">
        <v>173</v>
      </c>
      <c r="M1973" s="39" t="s">
        <v>167</v>
      </c>
      <c r="N1973" s="39" t="str">
        <f>IF(AND('331-CT'!$E$7=TH!H1973,OR(L1973="331",M1973="331")),"331",IF(AND(OR(L1973="131",M1973="131"),H1973='131-CT'!$E$7),"131",""))</f>
        <v/>
      </c>
      <c r="O1973" s="39" t="str">
        <f>IF(AND($B1973&gt;='111'!$N$11,$B1973&lt;='111'!$O$11,OR($L1973=$O$7,$M1973=$O$7)),"x","")</f>
        <v/>
      </c>
      <c r="P1973" s="39" t="str">
        <f>IF(AND($L1973=$O$7,$B1973&lt;'111'!$N$11),"x","")</f>
        <v/>
      </c>
      <c r="Q1973" s="39" t="str">
        <f>IF(AND($M1973=$O$7,$B1973&lt;'111'!$N$11),"x","")</f>
        <v/>
      </c>
      <c r="R1973" s="39" t="str">
        <f>IF(ISERROR(FIND('112'!$M$9,G1973,1)),"",IF((AND(FIND('112'!$M$9,G1973,1)&gt;=1,$B1973&gt;='112'!$N$8,$B1973&lt;='112'!$O$8,OR($L1973='112'!$I$6,$M1973='112'!$I$6))),"x",""))</f>
        <v/>
      </c>
      <c r="S1973" s="39" t="str">
        <f>IF(ISERROR(FIND('112'!$M$9,G1973,1)),"",IF((AND(LEFT(G1973,2)=LEFT('112'!$M$9,2),B1973&lt;'112'!$N$8,$L1973='112'!$I$6)),"x",""))</f>
        <v/>
      </c>
      <c r="T1973" s="39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39" t="str">
        <f>IF(OR(TH!L1973=TH!$V$7,M1973=TH!$V$7),"x","")</f>
        <v/>
      </c>
      <c r="W1973" s="39" t="str">
        <f>IF(AND(B1973&gt;='IN-NX'!$P$3,B1973&lt;='IN-NX'!$Q$3,'IN-NX'!$D$7=D1973,OR(LEFT(L1973,2)="15",AND(LEFT(M1973,2)&lt;&gt;"15",LEFT(M1973,2)&lt;&gt;"33"))),"x","")</f>
        <v/>
      </c>
      <c r="X1973" s="39" t="str">
        <f>IF(AND(OR(LEFT(TH!L1973,2)="15",LEFT(TH!M1973,2)="15"),'152-CT'!$J$8=TH!F1973),"x","")</f>
        <v/>
      </c>
      <c r="Y1973" s="39" t="str">
        <f>IF(AND(OR(LEFT(TH!L1973,2)="15",LEFT(TH!M1973,2)="15"),TK!$E$7=TH!F1973),"x","")</f>
        <v/>
      </c>
      <c r="Z1973" s="39" t="str">
        <f>IF(AND(B1973&lt;=NKC!$N$8,B1973&gt;=NKC!$M$8),"x","")</f>
        <v/>
      </c>
      <c r="AA1973" s="886"/>
    </row>
    <row r="1974" spans="1:27" s="211" customFormat="1" ht="15.75" customHeight="1">
      <c r="A1974" s="204" t="str">
        <f>IF(B1974&lt;&gt;"",IF(AND(B1974&gt;=_TM1,B1974&lt;=_TM2,OR(TH!L1974="1111",TH!M1974="1111")),TH!D1974,""),"")</f>
        <v/>
      </c>
      <c r="B1974" s="36">
        <f t="shared" si="264"/>
        <v>10</v>
      </c>
      <c r="C1974" s="191">
        <f t="shared" si="263"/>
        <v>41578</v>
      </c>
      <c r="D1974" s="191"/>
      <c r="E1974" s="37">
        <v>41578</v>
      </c>
      <c r="F1974" s="40" t="s">
        <v>885</v>
      </c>
      <c r="G1974" s="40" t="s">
        <v>1000</v>
      </c>
      <c r="H1974" s="7" t="s">
        <v>1293</v>
      </c>
      <c r="I1974" s="256"/>
      <c r="J1974" s="256"/>
      <c r="K1974" s="602">
        <f t="shared" si="265"/>
        <v>0</v>
      </c>
      <c r="L1974" s="39" t="s">
        <v>173</v>
      </c>
      <c r="M1974" s="39" t="s">
        <v>167</v>
      </c>
      <c r="N1974" s="39" t="str">
        <f>IF(AND('331-CT'!$E$7=TH!H1974,OR(L1974="331",M1974="331")),"331",IF(AND(OR(L1974="131",M1974="131"),H1974='131-CT'!$E$7),"131",""))</f>
        <v/>
      </c>
      <c r="O1974" s="39" t="str">
        <f>IF(AND($B1974&gt;='111'!$N$11,$B1974&lt;='111'!$O$11,OR($L1974=$O$7,$M1974=$O$7)),"x","")</f>
        <v/>
      </c>
      <c r="P1974" s="39" t="str">
        <f>IF(AND($L1974=$O$7,$B1974&lt;'111'!$N$11),"x","")</f>
        <v/>
      </c>
      <c r="Q1974" s="39" t="str">
        <f>IF(AND($M1974=$O$7,$B1974&lt;'111'!$N$11),"x","")</f>
        <v/>
      </c>
      <c r="R1974" s="39" t="str">
        <f>IF(ISERROR(FIND('112'!$M$9,G1974,1)),"",IF((AND(FIND('112'!$M$9,G1974,1)&gt;=1,$B1974&gt;='112'!$N$8,$B1974&lt;='112'!$O$8,OR($L1974='112'!$I$6,$M1974='112'!$I$6))),"x",""))</f>
        <v/>
      </c>
      <c r="S1974" s="39" t="str">
        <f>IF(ISERROR(FIND('112'!$M$9,G1974,1)),"",IF((AND(LEFT(G1974,2)=LEFT('112'!$M$9,2),B1974&lt;'112'!$N$8,$L1974='112'!$I$6)),"x",""))</f>
        <v/>
      </c>
      <c r="T1974" s="39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39" t="str">
        <f>IF(OR(TH!L1974=TH!$V$7,M1974=TH!$V$7),"x","")</f>
        <v/>
      </c>
      <c r="W1974" s="39" t="str">
        <f>IF(AND(B1974&gt;='IN-NX'!$P$3,B1974&lt;='IN-NX'!$Q$3,'IN-NX'!$D$7=D1974,OR(LEFT(L1974,2)="15",AND(LEFT(M1974,2)&lt;&gt;"15",LEFT(M1974,2)&lt;&gt;"33"))),"x","")</f>
        <v/>
      </c>
      <c r="X1974" s="39" t="str">
        <f>IF(AND(OR(LEFT(TH!L1974,2)="15",LEFT(TH!M1974,2)="15"),'152-CT'!$J$8=TH!F1974),"x","")</f>
        <v/>
      </c>
      <c r="Y1974" s="39" t="str">
        <f>IF(AND(OR(LEFT(TH!L1974,2)="15",LEFT(TH!M1974,2)="15"),TK!$E$7=TH!F1974),"x","")</f>
        <v/>
      </c>
      <c r="Z1974" s="39" t="str">
        <f>IF(AND(B1974&lt;=NKC!$N$8,B1974&gt;=NKC!$M$8),"x","")</f>
        <v/>
      </c>
      <c r="AA1974" s="886"/>
    </row>
    <row r="1975" spans="1:27" s="211" customFormat="1" ht="15.75" customHeight="1">
      <c r="A1975" s="204" t="str">
        <f>IF(B1975&lt;&gt;"",IF(AND(B1975&gt;=_TM1,B1975&lt;=_TM2,OR(TH!L1975="1111",TH!M1975="1111")),TH!D1975,""),"")</f>
        <v/>
      </c>
      <c r="B1975" s="36">
        <f t="shared" si="264"/>
        <v>10</v>
      </c>
      <c r="C1975" s="191">
        <f t="shared" si="263"/>
        <v>41578</v>
      </c>
      <c r="D1975" s="37"/>
      <c r="E1975" s="37">
        <v>41578</v>
      </c>
      <c r="F1975" s="192" t="s">
        <v>808</v>
      </c>
      <c r="G1975" s="40" t="s">
        <v>1001</v>
      </c>
      <c r="H1975" s="7" t="s">
        <v>1293</v>
      </c>
      <c r="I1975" s="256"/>
      <c r="J1975" s="256"/>
      <c r="K1975" s="602">
        <f t="shared" si="265"/>
        <v>0</v>
      </c>
      <c r="L1975" s="39" t="s">
        <v>173</v>
      </c>
      <c r="M1975" s="39" t="s">
        <v>167</v>
      </c>
      <c r="N1975" s="39" t="str">
        <f>IF(AND('331-CT'!$E$7=TH!H1975,OR(L1975="331",M1975="331")),"331",IF(AND(OR(L1975="131",M1975="131"),H1975='131-CT'!$E$7),"131",""))</f>
        <v/>
      </c>
      <c r="O1975" s="39" t="str">
        <f>IF(AND($B1975&gt;='111'!$N$11,$B1975&lt;='111'!$O$11,OR($L1975=$O$7,$M1975=$O$7)),"x","")</f>
        <v/>
      </c>
      <c r="P1975" s="39" t="str">
        <f>IF(AND($L1975=$O$7,$B1975&lt;'111'!$N$11),"x","")</f>
        <v/>
      </c>
      <c r="Q1975" s="39" t="str">
        <f>IF(AND($M1975=$O$7,$B1975&lt;'111'!$N$11),"x","")</f>
        <v/>
      </c>
      <c r="R1975" s="39" t="str">
        <f>IF(ISERROR(FIND('112'!$M$9,G1975,1)),"",IF((AND(FIND('112'!$M$9,G1975,1)&gt;=1,$B1975&gt;='112'!$N$8,$B1975&lt;='112'!$O$8,OR($L1975='112'!$I$6,$M1975='112'!$I$6))),"x",""))</f>
        <v/>
      </c>
      <c r="S1975" s="39" t="str">
        <f>IF(ISERROR(FIND('112'!$M$9,G1975,1)),"",IF((AND(LEFT(G1975,2)=LEFT('112'!$M$9,2),B1975&lt;'112'!$N$8,$L1975='112'!$I$6)),"x",""))</f>
        <v/>
      </c>
      <c r="T1975" s="39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39" t="str">
        <f>IF(OR(TH!L1975=TH!$V$7,M1975=TH!$V$7),"x","")</f>
        <v/>
      </c>
      <c r="W1975" s="39" t="str">
        <f>IF(AND(B1975&gt;='IN-NX'!$P$3,B1975&lt;='IN-NX'!$Q$3,'IN-NX'!$D$7=D1975,OR(LEFT(L1975,2)="15",AND(LEFT(M1975,2)&lt;&gt;"15",LEFT(M1975,2)&lt;&gt;"33"))),"x","")</f>
        <v/>
      </c>
      <c r="X1975" s="39" t="str">
        <f>IF(AND(OR(LEFT(TH!L1975,2)="15",LEFT(TH!M1975,2)="15"),'152-CT'!$J$8=TH!F1975),"x","")</f>
        <v/>
      </c>
      <c r="Y1975" s="39" t="str">
        <f>IF(AND(OR(LEFT(TH!L1975,2)="15",LEFT(TH!M1975,2)="15"),TK!$E$7=TH!F1975),"x","")</f>
        <v/>
      </c>
      <c r="Z1975" s="39" t="str">
        <f>IF(AND(B1975&lt;=NKC!$N$8,B1975&gt;=NKC!$M$8),"x","")</f>
        <v/>
      </c>
      <c r="AA1975" s="886"/>
    </row>
    <row r="1976" spans="1:27" s="211" customFormat="1" ht="15.75" customHeight="1">
      <c r="A1976" s="204" t="str">
        <f>IF(B1976&lt;&gt;"",IF(AND(B1976&gt;=_TM1,B1976&lt;=_TM2,OR(TH!L1976="1111",TH!M1976="1111")),TH!D1976,""),"")</f>
        <v/>
      </c>
      <c r="B1976" s="36">
        <f t="shared" si="264"/>
        <v>11</v>
      </c>
      <c r="C1976" s="191">
        <f t="shared" si="263"/>
        <v>41582</v>
      </c>
      <c r="D1976" s="37"/>
      <c r="E1976" s="37">
        <v>41582</v>
      </c>
      <c r="F1976" s="40" t="s">
        <v>817</v>
      </c>
      <c r="G1976" s="40" t="s">
        <v>1002</v>
      </c>
      <c r="H1976" s="7" t="s">
        <v>1293</v>
      </c>
      <c r="I1976" s="256"/>
      <c r="J1976" s="256"/>
      <c r="K1976" s="602">
        <f t="shared" si="265"/>
        <v>0</v>
      </c>
      <c r="L1976" s="39" t="s">
        <v>173</v>
      </c>
      <c r="M1976" s="39" t="s">
        <v>167</v>
      </c>
      <c r="N1976" s="39" t="str">
        <f>IF(AND('331-CT'!$E$7=TH!H1976,OR(L1976="331",M1976="331")),"331",IF(AND(OR(L1976="131",M1976="131"),H1976='131-CT'!$E$7),"131",""))</f>
        <v/>
      </c>
      <c r="O1976" s="39" t="str">
        <f>IF(AND($B1976&gt;='111'!$N$11,$B1976&lt;='111'!$O$11,OR($L1976=$O$7,$M1976=$O$7)),"x","")</f>
        <v/>
      </c>
      <c r="P1976" s="39" t="str">
        <f>IF(AND($L1976=$O$7,$B1976&lt;'111'!$N$11),"x","")</f>
        <v/>
      </c>
      <c r="Q1976" s="39" t="str">
        <f>IF(AND($M1976=$O$7,$B1976&lt;'111'!$N$11),"x","")</f>
        <v/>
      </c>
      <c r="R1976" s="39" t="str">
        <f>IF(ISERROR(FIND('112'!$M$9,G1976,1)),"",IF((AND(FIND('112'!$M$9,G1976,1)&gt;=1,$B1976&gt;='112'!$N$8,$B1976&lt;='112'!$O$8,OR($L1976='112'!$I$6,$M1976='112'!$I$6))),"x",""))</f>
        <v/>
      </c>
      <c r="S1976" s="39" t="str">
        <f>IF(ISERROR(FIND('112'!$M$9,G1976,1)),"",IF((AND(LEFT(G1976,2)=LEFT('112'!$M$9,2),B1976&lt;'112'!$N$8,$L1976='112'!$I$6)),"x",""))</f>
        <v/>
      </c>
      <c r="T1976" s="39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39" t="str">
        <f>IF(OR(TH!L1976=TH!$V$7,M1976=TH!$V$7),"x","")</f>
        <v/>
      </c>
      <c r="W1976" s="39" t="str">
        <f>IF(AND(B1976&gt;='IN-NX'!$P$3,B1976&lt;='IN-NX'!$Q$3,'IN-NX'!$D$7=D1976,OR(LEFT(L1976,2)="15",AND(LEFT(M1976,2)&lt;&gt;"15",LEFT(M1976,2)&lt;&gt;"33"))),"x","")</f>
        <v/>
      </c>
      <c r="X1976" s="39" t="str">
        <f>IF(AND(OR(LEFT(TH!L1976,2)="15",LEFT(TH!M1976,2)="15"),'152-CT'!$J$8=TH!F1976),"x","")</f>
        <v/>
      </c>
      <c r="Y1976" s="39" t="str">
        <f>IF(AND(OR(LEFT(TH!L1976,2)="15",LEFT(TH!M1976,2)="15"),TK!$E$7=TH!F1976),"x","")</f>
        <v/>
      </c>
      <c r="Z1976" s="39" t="str">
        <f>IF(AND(B1976&lt;=NKC!$N$8,B1976&gt;=NKC!$M$8),"x","")</f>
        <v/>
      </c>
      <c r="AA1976" s="886"/>
    </row>
    <row r="1977" spans="1:27" s="211" customFormat="1" ht="15.75" customHeight="1">
      <c r="A1977" s="204" t="str">
        <f>IF(B1977&lt;&gt;"",IF(AND(B1977&gt;=_TM1,B1977&lt;=_TM2,OR(TH!L1977="1111",TH!M1977="1111")),TH!D1977,""),"")</f>
        <v/>
      </c>
      <c r="B1977" s="36">
        <f t="shared" si="264"/>
        <v>11</v>
      </c>
      <c r="C1977" s="191">
        <f t="shared" si="263"/>
        <v>41582</v>
      </c>
      <c r="D1977" s="37"/>
      <c r="E1977" s="37">
        <v>41582</v>
      </c>
      <c r="F1977" s="40" t="s">
        <v>819</v>
      </c>
      <c r="G1977" s="40" t="s">
        <v>1002</v>
      </c>
      <c r="H1977" s="7" t="s">
        <v>1293</v>
      </c>
      <c r="I1977" s="256"/>
      <c r="J1977" s="256"/>
      <c r="K1977" s="602">
        <f t="shared" si="265"/>
        <v>0</v>
      </c>
      <c r="L1977" s="39" t="s">
        <v>173</v>
      </c>
      <c r="M1977" s="39" t="s">
        <v>167</v>
      </c>
      <c r="N1977" s="39" t="str">
        <f>IF(AND('331-CT'!$E$7=TH!H1977,OR(L1977="331",M1977="331")),"331",IF(AND(OR(L1977="131",M1977="131"),H1977='131-CT'!$E$7),"131",""))</f>
        <v/>
      </c>
      <c r="O1977" s="39" t="str">
        <f>IF(AND($B1977&gt;='111'!$N$11,$B1977&lt;='111'!$O$11,OR($L1977=$O$7,$M1977=$O$7)),"x","")</f>
        <v/>
      </c>
      <c r="P1977" s="39" t="str">
        <f>IF(AND($L1977=$O$7,$B1977&lt;'111'!$N$11),"x","")</f>
        <v/>
      </c>
      <c r="Q1977" s="39" t="str">
        <f>IF(AND($M1977=$O$7,$B1977&lt;'111'!$N$11),"x","")</f>
        <v/>
      </c>
      <c r="R1977" s="39" t="str">
        <f>IF(ISERROR(FIND('112'!$M$9,G1977,1)),"",IF((AND(FIND('112'!$M$9,G1977,1)&gt;=1,$B1977&gt;='112'!$N$8,$B1977&lt;='112'!$O$8,OR($L1977='112'!$I$6,$M1977='112'!$I$6))),"x",""))</f>
        <v/>
      </c>
      <c r="S1977" s="39" t="str">
        <f>IF(ISERROR(FIND('112'!$M$9,G1977,1)),"",IF((AND(LEFT(G1977,2)=LEFT('112'!$M$9,2),B1977&lt;'112'!$N$8,$L1977='112'!$I$6)),"x",""))</f>
        <v/>
      </c>
      <c r="T1977" s="39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39" t="str">
        <f>IF(OR(TH!L1977=TH!$V$7,M1977=TH!$V$7),"x","")</f>
        <v/>
      </c>
      <c r="W1977" s="39" t="str">
        <f>IF(AND(B1977&gt;='IN-NX'!$P$3,B1977&lt;='IN-NX'!$Q$3,'IN-NX'!$D$7=D1977,OR(LEFT(L1977,2)="15",AND(LEFT(M1977,2)&lt;&gt;"15",LEFT(M1977,2)&lt;&gt;"33"))),"x","")</f>
        <v/>
      </c>
      <c r="X1977" s="39" t="str">
        <f>IF(AND(OR(LEFT(TH!L1977,2)="15",LEFT(TH!M1977,2)="15"),'152-CT'!$J$8=TH!F1977),"x","")</f>
        <v/>
      </c>
      <c r="Y1977" s="39" t="str">
        <f>IF(AND(OR(LEFT(TH!L1977,2)="15",LEFT(TH!M1977,2)="15"),TK!$E$7=TH!F1977),"x","")</f>
        <v/>
      </c>
      <c r="Z1977" s="39" t="str">
        <f>IF(AND(B1977&lt;=NKC!$N$8,B1977&gt;=NKC!$M$8),"x","")</f>
        <v/>
      </c>
      <c r="AA1977" s="886"/>
    </row>
    <row r="1978" spans="1:27" s="211" customFormat="1" ht="15.75" customHeight="1">
      <c r="A1978" s="204" t="str">
        <f>IF(B1978&lt;&gt;"",IF(AND(B1978&gt;=_TM1,B1978&lt;=_TM2,OR(TH!L1978="1111",TH!M1978="1111")),TH!D1978,""),"")</f>
        <v/>
      </c>
      <c r="B1978" s="36">
        <f t="shared" si="264"/>
        <v>11</v>
      </c>
      <c r="C1978" s="191">
        <f t="shared" si="263"/>
        <v>41583</v>
      </c>
      <c r="D1978" s="37"/>
      <c r="E1978" s="37">
        <v>41583</v>
      </c>
      <c r="F1978" s="40" t="s">
        <v>1003</v>
      </c>
      <c r="G1978" s="40" t="s">
        <v>1004</v>
      </c>
      <c r="H1978" s="7" t="s">
        <v>1293</v>
      </c>
      <c r="I1978" s="256"/>
      <c r="J1978" s="256"/>
      <c r="K1978" s="602">
        <f t="shared" si="265"/>
        <v>0</v>
      </c>
      <c r="L1978" s="39" t="s">
        <v>173</v>
      </c>
      <c r="M1978" s="39" t="s">
        <v>167</v>
      </c>
      <c r="N1978" s="39" t="str">
        <f>IF(AND('331-CT'!$E$7=TH!H1978,OR(L1978="331",M1978="331")),"331",IF(AND(OR(L1978="131",M1978="131"),H1978='131-CT'!$E$7),"131",""))</f>
        <v/>
      </c>
      <c r="O1978" s="39" t="str">
        <f>IF(AND($B1978&gt;='111'!$N$11,$B1978&lt;='111'!$O$11,OR($L1978=$O$7,$M1978=$O$7)),"x","")</f>
        <v/>
      </c>
      <c r="P1978" s="39" t="str">
        <f>IF(AND($L1978=$O$7,$B1978&lt;'111'!$N$11),"x","")</f>
        <v/>
      </c>
      <c r="Q1978" s="39" t="str">
        <f>IF(AND($M1978=$O$7,$B1978&lt;'111'!$N$11),"x","")</f>
        <v/>
      </c>
      <c r="R1978" s="39" t="str">
        <f>IF(ISERROR(FIND('112'!$M$9,G1978,1)),"",IF((AND(FIND('112'!$M$9,G1978,1)&gt;=1,$B1978&gt;='112'!$N$8,$B1978&lt;='112'!$O$8,OR($L1978='112'!$I$6,$M1978='112'!$I$6))),"x",""))</f>
        <v/>
      </c>
      <c r="S1978" s="39" t="str">
        <f>IF(ISERROR(FIND('112'!$M$9,G1978,1)),"",IF((AND(LEFT(G1978,2)=LEFT('112'!$M$9,2),B1978&lt;'112'!$N$8,$L1978='112'!$I$6)),"x",""))</f>
        <v/>
      </c>
      <c r="T1978" s="39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39" t="str">
        <f>IF(OR(TH!L1978=TH!$V$7,M1978=TH!$V$7),"x","")</f>
        <v/>
      </c>
      <c r="W1978" s="39" t="str">
        <f>IF(AND(B1978&gt;='IN-NX'!$P$3,B1978&lt;='IN-NX'!$Q$3,'IN-NX'!$D$7=D1978,OR(LEFT(L1978,2)="15",AND(LEFT(M1978,2)&lt;&gt;"15",LEFT(M1978,2)&lt;&gt;"33"))),"x","")</f>
        <v/>
      </c>
      <c r="X1978" s="39" t="str">
        <f>IF(AND(OR(LEFT(TH!L1978,2)="15",LEFT(TH!M1978,2)="15"),'152-CT'!$J$8=TH!F1978),"x","")</f>
        <v/>
      </c>
      <c r="Y1978" s="39" t="str">
        <f>IF(AND(OR(LEFT(TH!L1978,2)="15",LEFT(TH!M1978,2)="15"),TK!$E$7=TH!F1978),"x","")</f>
        <v/>
      </c>
      <c r="Z1978" s="39" t="str">
        <f>IF(AND(B1978&lt;=NKC!$N$8,B1978&gt;=NKC!$M$8),"x","")</f>
        <v/>
      </c>
      <c r="AA1978" s="886"/>
    </row>
    <row r="1979" spans="1:27" s="211" customFormat="1" ht="15.75" customHeight="1">
      <c r="A1979" s="204" t="str">
        <f>IF(B1979&lt;&gt;"",IF(AND(B1979&gt;=_TM1,B1979&lt;=_TM2,OR(TH!L1979="1111",TH!M1979="1111")),TH!D1979,""),"")</f>
        <v/>
      </c>
      <c r="B1979" s="36">
        <f t="shared" si="264"/>
        <v>11</v>
      </c>
      <c r="C1979" s="191">
        <f t="shared" si="263"/>
        <v>41584</v>
      </c>
      <c r="D1979" s="37"/>
      <c r="E1979" s="191">
        <v>41584</v>
      </c>
      <c r="F1979" s="192" t="s">
        <v>861</v>
      </c>
      <c r="G1979" s="487" t="s">
        <v>1005</v>
      </c>
      <c r="H1979" s="7" t="s">
        <v>1293</v>
      </c>
      <c r="I1979" s="256"/>
      <c r="J1979" s="256"/>
      <c r="K1979" s="602">
        <f t="shared" si="265"/>
        <v>0</v>
      </c>
      <c r="L1979" s="39" t="s">
        <v>173</v>
      </c>
      <c r="M1979" s="39" t="s">
        <v>167</v>
      </c>
      <c r="N1979" s="39" t="str">
        <f>IF(AND('331-CT'!$E$7=TH!H1979,OR(L1979="331",M1979="331")),"331",IF(AND(OR(L1979="131",M1979="131"),H1979='131-CT'!$E$7),"131",""))</f>
        <v/>
      </c>
      <c r="O1979" s="39" t="str">
        <f>IF(AND($B1979&gt;='111'!$N$11,$B1979&lt;='111'!$O$11,OR($L1979=$O$7,$M1979=$O$7)),"x","")</f>
        <v/>
      </c>
      <c r="P1979" s="39" t="str">
        <f>IF(AND($L1979=$O$7,$B1979&lt;'111'!$N$11),"x","")</f>
        <v/>
      </c>
      <c r="Q1979" s="39" t="str">
        <f>IF(AND($M1979=$O$7,$B1979&lt;'111'!$N$11),"x","")</f>
        <v/>
      </c>
      <c r="R1979" s="39" t="str">
        <f>IF(ISERROR(FIND('112'!$M$9,G1979,1)),"",IF((AND(FIND('112'!$M$9,G1979,1)&gt;=1,$B1979&gt;='112'!$N$8,$B1979&lt;='112'!$O$8,OR($L1979='112'!$I$6,$M1979='112'!$I$6))),"x",""))</f>
        <v/>
      </c>
      <c r="S1979" s="39" t="str">
        <f>IF(ISERROR(FIND('112'!$M$9,G1979,1)),"",IF((AND(LEFT(G1979,2)=LEFT('112'!$M$9,2),B1979&lt;'112'!$N$8,$L1979='112'!$I$6)),"x",""))</f>
        <v/>
      </c>
      <c r="T1979" s="39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39" t="str">
        <f>IF(OR(TH!L1979=TH!$V$7,M1979=TH!$V$7),"x","")</f>
        <v/>
      </c>
      <c r="W1979" s="39" t="str">
        <f>IF(AND(B1979&gt;='IN-NX'!$P$3,B1979&lt;='IN-NX'!$Q$3,'IN-NX'!$D$7=D1979,OR(LEFT(L1979,2)="15",AND(LEFT(M1979,2)&lt;&gt;"15",LEFT(M1979,2)&lt;&gt;"33"))),"x","")</f>
        <v/>
      </c>
      <c r="X1979" s="39" t="str">
        <f>IF(AND(OR(LEFT(TH!L1979,2)="15",LEFT(TH!M1979,2)="15"),'152-CT'!$J$8=TH!F1979),"x","")</f>
        <v/>
      </c>
      <c r="Y1979" s="39" t="str">
        <f>IF(AND(OR(LEFT(TH!L1979,2)="15",LEFT(TH!M1979,2)="15"),TK!$E$7=TH!F1979),"x","")</f>
        <v/>
      </c>
      <c r="Z1979" s="39" t="str">
        <f>IF(AND(B1979&lt;=NKC!$N$8,B1979&gt;=NKC!$M$8),"x","")</f>
        <v/>
      </c>
      <c r="AA1979" s="886"/>
    </row>
    <row r="1980" spans="1:27" s="211" customFormat="1" ht="15.75" customHeight="1">
      <c r="A1980" s="204" t="str">
        <f>IF(B1980&lt;&gt;"",IF(AND(B1980&gt;=_TM1,B1980&lt;=_TM2,OR(TH!L1980="1111",TH!M1980="1111")),TH!D1980,""),"")</f>
        <v/>
      </c>
      <c r="B1980" s="36">
        <f t="shared" si="264"/>
        <v>11</v>
      </c>
      <c r="C1980" s="191">
        <f t="shared" si="263"/>
        <v>41586</v>
      </c>
      <c r="D1980" s="37"/>
      <c r="E1980" s="191">
        <v>41586</v>
      </c>
      <c r="F1980" s="192" t="s">
        <v>1135</v>
      </c>
      <c r="G1980" s="487" t="s">
        <v>649</v>
      </c>
      <c r="H1980" s="7" t="s">
        <v>1293</v>
      </c>
      <c r="I1980" s="256"/>
      <c r="J1980" s="256"/>
      <c r="K1980" s="602">
        <f t="shared" si="265"/>
        <v>0</v>
      </c>
      <c r="L1980" s="39" t="s">
        <v>173</v>
      </c>
      <c r="M1980" s="39" t="s">
        <v>167</v>
      </c>
      <c r="N1980" s="39" t="str">
        <f>IF(AND('331-CT'!$E$7=TH!H1980,OR(L1980="331",M1980="331")),"331",IF(AND(OR(L1980="131",M1980="131"),H1980='131-CT'!$E$7),"131",""))</f>
        <v/>
      </c>
      <c r="O1980" s="39" t="str">
        <f>IF(AND($B1980&gt;='111'!$N$11,$B1980&lt;='111'!$O$11,OR($L1980=$O$7,$M1980=$O$7)),"x","")</f>
        <v/>
      </c>
      <c r="P1980" s="39" t="str">
        <f>IF(AND($L1980=$O$7,$B1980&lt;'111'!$N$11),"x","")</f>
        <v/>
      </c>
      <c r="Q1980" s="39" t="str">
        <f>IF(AND($M1980=$O$7,$B1980&lt;'111'!$N$11),"x","")</f>
        <v/>
      </c>
      <c r="R1980" s="39" t="str">
        <f>IF(ISERROR(FIND('112'!$M$9,G1980,1)),"",IF((AND(FIND('112'!$M$9,G1980,1)&gt;=1,$B1980&gt;='112'!$N$8,$B1980&lt;='112'!$O$8,OR($L1980='112'!$I$6,$M1980='112'!$I$6))),"x",""))</f>
        <v/>
      </c>
      <c r="S1980" s="39" t="str">
        <f>IF(ISERROR(FIND('112'!$M$9,G1980,1)),"",IF((AND(LEFT(G1980,2)=LEFT('112'!$M$9,2),B1980&lt;'112'!$N$8,$L1980='112'!$I$6)),"x",""))</f>
        <v/>
      </c>
      <c r="T1980" s="39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39" t="str">
        <f>IF(OR(TH!L1980=TH!$V$7,M1980=TH!$V$7),"x","")</f>
        <v/>
      </c>
      <c r="W1980" s="39" t="str">
        <f>IF(AND(B1980&gt;='IN-NX'!$P$3,B1980&lt;='IN-NX'!$Q$3,'IN-NX'!$D$7=D1980,OR(LEFT(L1980,2)="15",AND(LEFT(M1980,2)&lt;&gt;"15",LEFT(M1980,2)&lt;&gt;"33"))),"x","")</f>
        <v/>
      </c>
      <c r="X1980" s="39" t="str">
        <f>IF(AND(OR(LEFT(TH!L1980,2)="15",LEFT(TH!M1980,2)="15"),'152-CT'!$J$8=TH!F1980),"x","")</f>
        <v/>
      </c>
      <c r="Y1980" s="39" t="str">
        <f>IF(AND(OR(LEFT(TH!L1980,2)="15",LEFT(TH!M1980,2)="15"),TK!$E$7=TH!F1980),"x","")</f>
        <v/>
      </c>
      <c r="Z1980" s="39" t="str">
        <f>IF(AND(B1980&lt;=NKC!$N$8,B1980&gt;=NKC!$M$8),"x","")</f>
        <v/>
      </c>
      <c r="AA1980" s="886"/>
    </row>
    <row r="1981" spans="1:27" s="211" customFormat="1" ht="15.75" customHeight="1">
      <c r="A1981" s="204" t="str">
        <f>IF(B1981&lt;&gt;"",IF(AND(B1981&gt;=_TM1,B1981&lt;=_TM2,OR(TH!L1981="1111",TH!M1981="1111")),TH!D1981,""),"")</f>
        <v/>
      </c>
      <c r="B1981" s="36">
        <f t="shared" si="264"/>
        <v>11</v>
      </c>
      <c r="C1981" s="191">
        <f t="shared" si="263"/>
        <v>41586</v>
      </c>
      <c r="D1981" s="37"/>
      <c r="E1981" s="191">
        <v>41586</v>
      </c>
      <c r="F1981" s="192" t="s">
        <v>1136</v>
      </c>
      <c r="G1981" s="485" t="s">
        <v>649</v>
      </c>
      <c r="H1981" s="7" t="s">
        <v>1293</v>
      </c>
      <c r="I1981" s="256"/>
      <c r="J1981" s="256"/>
      <c r="K1981" s="602">
        <f t="shared" si="265"/>
        <v>0</v>
      </c>
      <c r="L1981" s="39" t="s">
        <v>173</v>
      </c>
      <c r="M1981" s="39" t="s">
        <v>167</v>
      </c>
      <c r="N1981" s="39" t="str">
        <f>IF(AND('331-CT'!$E$7=TH!H1981,OR(L1981="331",M1981="331")),"331",IF(AND(OR(L1981="131",M1981="131"),H1981='131-CT'!$E$7),"131",""))</f>
        <v/>
      </c>
      <c r="O1981" s="39" t="str">
        <f>IF(AND($B1981&gt;='111'!$N$11,$B1981&lt;='111'!$O$11,OR($L1981=$O$7,$M1981=$O$7)),"x","")</f>
        <v/>
      </c>
      <c r="P1981" s="39" t="str">
        <f>IF(AND($L1981=$O$7,$B1981&lt;'111'!$N$11),"x","")</f>
        <v/>
      </c>
      <c r="Q1981" s="39" t="str">
        <f>IF(AND($M1981=$O$7,$B1981&lt;'111'!$N$11),"x","")</f>
        <v/>
      </c>
      <c r="R1981" s="39" t="str">
        <f>IF(ISERROR(FIND('112'!$M$9,G1981,1)),"",IF((AND(FIND('112'!$M$9,G1981,1)&gt;=1,$B1981&gt;='112'!$N$8,$B1981&lt;='112'!$O$8,OR($L1981='112'!$I$6,$M1981='112'!$I$6))),"x",""))</f>
        <v/>
      </c>
      <c r="S1981" s="39" t="str">
        <f>IF(ISERROR(FIND('112'!$M$9,G1981,1)),"",IF((AND(LEFT(G1981,2)=LEFT('112'!$M$9,2),B1981&lt;'112'!$N$8,$L1981='112'!$I$6)),"x",""))</f>
        <v/>
      </c>
      <c r="T1981" s="39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39" t="str">
        <f>IF(OR(TH!L1981=TH!$V$7,M1981=TH!$V$7),"x","")</f>
        <v/>
      </c>
      <c r="W1981" s="39" t="str">
        <f>IF(AND(B1981&gt;='IN-NX'!$P$3,B1981&lt;='IN-NX'!$Q$3,'IN-NX'!$D$7=D1981,OR(LEFT(L1981,2)="15",AND(LEFT(M1981,2)&lt;&gt;"15",LEFT(M1981,2)&lt;&gt;"33"))),"x","")</f>
        <v/>
      </c>
      <c r="X1981" s="39" t="str">
        <f>IF(AND(OR(LEFT(TH!L1981,2)="15",LEFT(TH!M1981,2)="15"),'152-CT'!$J$8=TH!F1981),"x","")</f>
        <v/>
      </c>
      <c r="Y1981" s="39" t="str">
        <f>IF(AND(OR(LEFT(TH!L1981,2)="15",LEFT(TH!M1981,2)="15"),TK!$E$7=TH!F1981),"x","")</f>
        <v/>
      </c>
      <c r="Z1981" s="39" t="str">
        <f>IF(AND(B1981&lt;=NKC!$N$8,B1981&gt;=NKC!$M$8),"x","")</f>
        <v/>
      </c>
      <c r="AA1981" s="886"/>
    </row>
    <row r="1982" spans="1:27" s="211" customFormat="1" ht="15.75" customHeight="1">
      <c r="A1982" s="204" t="str">
        <f>IF(B1982&lt;&gt;"",IF(AND(B1982&gt;=_TM1,B1982&lt;=_TM2,OR(TH!L1982="1111",TH!M1982="1111")),TH!D1982,""),"")</f>
        <v/>
      </c>
      <c r="B1982" s="36">
        <f t="shared" si="264"/>
        <v>11</v>
      </c>
      <c r="C1982" s="191">
        <f t="shared" si="263"/>
        <v>41586</v>
      </c>
      <c r="D1982" s="37"/>
      <c r="E1982" s="191">
        <v>41586</v>
      </c>
      <c r="F1982" s="192" t="s">
        <v>1006</v>
      </c>
      <c r="G1982" s="485" t="s">
        <v>1007</v>
      </c>
      <c r="H1982" s="7" t="s">
        <v>1293</v>
      </c>
      <c r="I1982" s="256"/>
      <c r="J1982" s="256"/>
      <c r="K1982" s="602">
        <f t="shared" si="265"/>
        <v>0</v>
      </c>
      <c r="L1982" s="39" t="s">
        <v>173</v>
      </c>
      <c r="M1982" s="39" t="s">
        <v>167</v>
      </c>
      <c r="N1982" s="39" t="str">
        <f>IF(AND('331-CT'!$E$7=TH!H1982,OR(L1982="331",M1982="331")),"331",IF(AND(OR(L1982="131",M1982="131"),H1982='131-CT'!$E$7),"131",""))</f>
        <v/>
      </c>
      <c r="O1982" s="39" t="str">
        <f>IF(AND($B1982&gt;='111'!$N$11,$B1982&lt;='111'!$O$11,OR($L1982=$O$7,$M1982=$O$7)),"x","")</f>
        <v/>
      </c>
      <c r="P1982" s="39" t="str">
        <f>IF(AND($L1982=$O$7,$B1982&lt;'111'!$N$11),"x","")</f>
        <v/>
      </c>
      <c r="Q1982" s="39" t="str">
        <f>IF(AND($M1982=$O$7,$B1982&lt;'111'!$N$11),"x","")</f>
        <v/>
      </c>
      <c r="R1982" s="39" t="str">
        <f>IF(ISERROR(FIND('112'!$M$9,G1982,1)),"",IF((AND(FIND('112'!$M$9,G1982,1)&gt;=1,$B1982&gt;='112'!$N$8,$B1982&lt;='112'!$O$8,OR($L1982='112'!$I$6,$M1982='112'!$I$6))),"x",""))</f>
        <v/>
      </c>
      <c r="S1982" s="39" t="str">
        <f>IF(ISERROR(FIND('112'!$M$9,G1982,1)),"",IF((AND(LEFT(G1982,2)=LEFT('112'!$M$9,2),B1982&lt;'112'!$N$8,$L1982='112'!$I$6)),"x",""))</f>
        <v/>
      </c>
      <c r="T1982" s="39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39" t="str">
        <f>IF(OR(TH!L1982=TH!$V$7,M1982=TH!$V$7),"x","")</f>
        <v/>
      </c>
      <c r="W1982" s="39" t="str">
        <f>IF(AND(B1982&gt;='IN-NX'!$P$3,B1982&lt;='IN-NX'!$Q$3,'IN-NX'!$D$7=D1982,OR(LEFT(L1982,2)="15",AND(LEFT(M1982,2)&lt;&gt;"15",LEFT(M1982,2)&lt;&gt;"33"))),"x","")</f>
        <v/>
      </c>
      <c r="X1982" s="39" t="str">
        <f>IF(AND(OR(LEFT(TH!L1982,2)="15",LEFT(TH!M1982,2)="15"),'152-CT'!$J$8=TH!F1982),"x","")</f>
        <v/>
      </c>
      <c r="Y1982" s="39" t="str">
        <f>IF(AND(OR(LEFT(TH!L1982,2)="15",LEFT(TH!M1982,2)="15"),TK!$E$7=TH!F1982),"x","")</f>
        <v/>
      </c>
      <c r="Z1982" s="39" t="str">
        <f>IF(AND(B1982&lt;=NKC!$N$8,B1982&gt;=NKC!$M$8),"x","")</f>
        <v/>
      </c>
      <c r="AA1982" s="886"/>
    </row>
    <row r="1983" spans="1:27" s="211" customFormat="1" ht="15.75" customHeight="1">
      <c r="A1983" s="204" t="str">
        <f>IF(B1983&lt;&gt;"",IF(AND(B1983&gt;=_TM1,B1983&lt;=_TM2,OR(TH!L1983="1111",TH!M1983="1111")),TH!D1983,""),"")</f>
        <v/>
      </c>
      <c r="B1983" s="36">
        <f t="shared" si="264"/>
        <v>11</v>
      </c>
      <c r="C1983" s="191">
        <f t="shared" si="263"/>
        <v>41586</v>
      </c>
      <c r="D1983" s="37"/>
      <c r="E1983" s="774">
        <v>41586</v>
      </c>
      <c r="F1983" s="189" t="s">
        <v>1009</v>
      </c>
      <c r="G1983" s="40" t="s">
        <v>1007</v>
      </c>
      <c r="H1983" s="7" t="s">
        <v>1293</v>
      </c>
      <c r="I1983" s="256"/>
      <c r="J1983" s="256"/>
      <c r="K1983" s="602">
        <f t="shared" si="265"/>
        <v>0</v>
      </c>
      <c r="L1983" s="39" t="s">
        <v>173</v>
      </c>
      <c r="M1983" s="39" t="s">
        <v>167</v>
      </c>
      <c r="N1983" s="39" t="str">
        <f>IF(AND('331-CT'!$E$7=TH!H1983,OR(L1983="331",M1983="331")),"331",IF(AND(OR(L1983="131",M1983="131"),H1983='131-CT'!$E$7),"131",""))</f>
        <v/>
      </c>
      <c r="O1983" s="39" t="str">
        <f>IF(AND($B1983&gt;='111'!$N$11,$B1983&lt;='111'!$O$11,OR($L1983=$O$7,$M1983=$O$7)),"x","")</f>
        <v/>
      </c>
      <c r="P1983" s="39" t="str">
        <f>IF(AND($L1983=$O$7,$B1983&lt;'111'!$N$11),"x","")</f>
        <v/>
      </c>
      <c r="Q1983" s="39" t="str">
        <f>IF(AND($M1983=$O$7,$B1983&lt;'111'!$N$11),"x","")</f>
        <v/>
      </c>
      <c r="R1983" s="39" t="str">
        <f>IF(ISERROR(FIND('112'!$M$9,G1983,1)),"",IF((AND(FIND('112'!$M$9,G1983,1)&gt;=1,$B1983&gt;='112'!$N$8,$B1983&lt;='112'!$O$8,OR($L1983='112'!$I$6,$M1983='112'!$I$6))),"x",""))</f>
        <v/>
      </c>
      <c r="S1983" s="39" t="str">
        <f>IF(ISERROR(FIND('112'!$M$9,G1983,1)),"",IF((AND(LEFT(G1983,2)=LEFT('112'!$M$9,2),B1983&lt;'112'!$N$8,$L1983='112'!$I$6)),"x",""))</f>
        <v/>
      </c>
      <c r="T1983" s="39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39" t="str">
        <f>IF(OR(TH!L1983=TH!$V$7,M1983=TH!$V$7),"x","")</f>
        <v/>
      </c>
      <c r="W1983" s="39" t="str">
        <f>IF(AND(B1983&gt;='IN-NX'!$P$3,B1983&lt;='IN-NX'!$Q$3,'IN-NX'!$D$7=D1983,OR(LEFT(L1983,2)="15",AND(LEFT(M1983,2)&lt;&gt;"15",LEFT(M1983,2)&lt;&gt;"33"))),"x","")</f>
        <v/>
      </c>
      <c r="X1983" s="39" t="str">
        <f>IF(AND(OR(LEFT(TH!L1983,2)="15",LEFT(TH!M1983,2)="15"),'152-CT'!$J$8=TH!F1983),"x","")</f>
        <v/>
      </c>
      <c r="Y1983" s="39" t="str">
        <f>IF(AND(OR(LEFT(TH!L1983,2)="15",LEFT(TH!M1983,2)="15"),TK!$E$7=TH!F1983),"x","")</f>
        <v/>
      </c>
      <c r="Z1983" s="39" t="str">
        <f>IF(AND(B1983&lt;=NKC!$N$8,B1983&gt;=NKC!$M$8),"x","")</f>
        <v/>
      </c>
      <c r="AA1983" s="886"/>
    </row>
    <row r="1984" spans="1:27" s="211" customFormat="1" ht="15.75" customHeight="1">
      <c r="A1984" s="204" t="str">
        <f>IF(B1984&lt;&gt;"",IF(AND(B1984&gt;=_TM1,B1984&lt;=_TM2,OR(TH!L1984="1111",TH!M1984="1111")),TH!D1984,""),"")</f>
        <v/>
      </c>
      <c r="B1984" s="36">
        <f t="shared" si="264"/>
        <v>11</v>
      </c>
      <c r="C1984" s="191">
        <f t="shared" si="263"/>
        <v>41586</v>
      </c>
      <c r="D1984" s="37"/>
      <c r="E1984" s="774">
        <v>41586</v>
      </c>
      <c r="F1984" s="40" t="s">
        <v>1010</v>
      </c>
      <c r="G1984" s="40" t="s">
        <v>1007</v>
      </c>
      <c r="H1984" s="7" t="s">
        <v>1293</v>
      </c>
      <c r="I1984" s="256"/>
      <c r="J1984" s="256"/>
      <c r="K1984" s="602">
        <f t="shared" si="265"/>
        <v>0</v>
      </c>
      <c r="L1984" s="39" t="s">
        <v>173</v>
      </c>
      <c r="M1984" s="39" t="s">
        <v>167</v>
      </c>
      <c r="N1984" s="39" t="str">
        <f>IF(AND('331-CT'!$E$7=TH!H1984,OR(L1984="331",M1984="331")),"331",IF(AND(OR(L1984="131",M1984="131"),H1984='131-CT'!$E$7),"131",""))</f>
        <v/>
      </c>
      <c r="O1984" s="39" t="str">
        <f>IF(AND($B1984&gt;='111'!$N$11,$B1984&lt;='111'!$O$11,OR($L1984=$O$7,$M1984=$O$7)),"x","")</f>
        <v/>
      </c>
      <c r="P1984" s="39" t="str">
        <f>IF(AND($L1984=$O$7,$B1984&lt;'111'!$N$11),"x","")</f>
        <v/>
      </c>
      <c r="Q1984" s="39" t="str">
        <f>IF(AND($M1984=$O$7,$B1984&lt;'111'!$N$11),"x","")</f>
        <v/>
      </c>
      <c r="R1984" s="39" t="str">
        <f>IF(ISERROR(FIND('112'!$M$9,G1984,1)),"",IF((AND(FIND('112'!$M$9,G1984,1)&gt;=1,$B1984&gt;='112'!$N$8,$B1984&lt;='112'!$O$8,OR($L1984='112'!$I$6,$M1984='112'!$I$6))),"x",""))</f>
        <v/>
      </c>
      <c r="S1984" s="39" t="str">
        <f>IF(ISERROR(FIND('112'!$M$9,G1984,1)),"",IF((AND(LEFT(G1984,2)=LEFT('112'!$M$9,2),B1984&lt;'112'!$N$8,$L1984='112'!$I$6)),"x",""))</f>
        <v/>
      </c>
      <c r="T1984" s="39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39" t="str">
        <f>IF(OR(TH!L1984=TH!$V$7,M1984=TH!$V$7),"x","")</f>
        <v/>
      </c>
      <c r="W1984" s="39" t="str">
        <f>IF(AND(B1984&gt;='IN-NX'!$P$3,B1984&lt;='IN-NX'!$Q$3,'IN-NX'!$D$7=D1984,OR(LEFT(L1984,2)="15",AND(LEFT(M1984,2)&lt;&gt;"15",LEFT(M1984,2)&lt;&gt;"33"))),"x","")</f>
        <v/>
      </c>
      <c r="X1984" s="39" t="str">
        <f>IF(AND(OR(LEFT(TH!L1984,2)="15",LEFT(TH!M1984,2)="15"),'152-CT'!$J$8=TH!F1984),"x","")</f>
        <v/>
      </c>
      <c r="Y1984" s="39" t="str">
        <f>IF(AND(OR(LEFT(TH!L1984,2)="15",LEFT(TH!M1984,2)="15"),TK!$E$7=TH!F1984),"x","")</f>
        <v/>
      </c>
      <c r="Z1984" s="39" t="str">
        <f>IF(AND(B1984&lt;=NKC!$N$8,B1984&gt;=NKC!$M$8),"x","")</f>
        <v/>
      </c>
      <c r="AA1984" s="886"/>
    </row>
    <row r="1985" spans="1:27" s="211" customFormat="1" ht="15.75" customHeight="1">
      <c r="A1985" s="204" t="str">
        <f>IF(B1985&lt;&gt;"",IF(AND(B1985&gt;=_TM1,B1985&lt;=_TM2,OR(TH!L1985="1111",TH!M1985="1111")),TH!D1985,""),"")</f>
        <v/>
      </c>
      <c r="B1985" s="36">
        <f t="shared" si="264"/>
        <v>11</v>
      </c>
      <c r="C1985" s="191">
        <f t="shared" si="263"/>
        <v>41591</v>
      </c>
      <c r="D1985" s="37"/>
      <c r="E1985" s="774">
        <v>41591</v>
      </c>
      <c r="F1985" s="189" t="s">
        <v>838</v>
      </c>
      <c r="G1985" s="40" t="s">
        <v>1011</v>
      </c>
      <c r="H1985" s="7" t="s">
        <v>1293</v>
      </c>
      <c r="I1985" s="256"/>
      <c r="J1985" s="256"/>
      <c r="K1985" s="602">
        <f t="shared" si="265"/>
        <v>0</v>
      </c>
      <c r="L1985" s="39" t="s">
        <v>173</v>
      </c>
      <c r="M1985" s="39" t="s">
        <v>167</v>
      </c>
      <c r="N1985" s="39" t="str">
        <f>IF(AND('331-CT'!$E$7=TH!H1985,OR(L1985="331",M1985="331")),"331",IF(AND(OR(L1985="131",M1985="131"),H1985='131-CT'!$E$7),"131",""))</f>
        <v/>
      </c>
      <c r="O1985" s="39" t="str">
        <f>IF(AND($B1985&gt;='111'!$N$11,$B1985&lt;='111'!$O$11,OR($L1985=$O$7,$M1985=$O$7)),"x","")</f>
        <v/>
      </c>
      <c r="P1985" s="39" t="str">
        <f>IF(AND($L1985=$O$7,$B1985&lt;'111'!$N$11),"x","")</f>
        <v/>
      </c>
      <c r="Q1985" s="39" t="str">
        <f>IF(AND($M1985=$O$7,$B1985&lt;'111'!$N$11),"x","")</f>
        <v/>
      </c>
      <c r="R1985" s="39" t="str">
        <f>IF(ISERROR(FIND('112'!$M$9,G1985,1)),"",IF((AND(FIND('112'!$M$9,G1985,1)&gt;=1,$B1985&gt;='112'!$N$8,$B1985&lt;='112'!$O$8,OR($L1985='112'!$I$6,$M1985='112'!$I$6))),"x",""))</f>
        <v/>
      </c>
      <c r="S1985" s="39" t="str">
        <f>IF(ISERROR(FIND('112'!$M$9,G1985,1)),"",IF((AND(LEFT(G1985,2)=LEFT('112'!$M$9,2),B1985&lt;'112'!$N$8,$L1985='112'!$I$6)),"x",""))</f>
        <v/>
      </c>
      <c r="T1985" s="39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39" t="str">
        <f>IF(OR(TH!L1985=TH!$V$7,M1985=TH!$V$7),"x","")</f>
        <v/>
      </c>
      <c r="W1985" s="39" t="str">
        <f>IF(AND(B1985&gt;='IN-NX'!$P$3,B1985&lt;='IN-NX'!$Q$3,'IN-NX'!$D$7=D1985,OR(LEFT(L1985,2)="15",AND(LEFT(M1985,2)&lt;&gt;"15",LEFT(M1985,2)&lt;&gt;"33"))),"x","")</f>
        <v/>
      </c>
      <c r="X1985" s="39" t="str">
        <f>IF(AND(OR(LEFT(TH!L1985,2)="15",LEFT(TH!M1985,2)="15"),'152-CT'!$J$8=TH!F1985),"x","")</f>
        <v/>
      </c>
      <c r="Y1985" s="39" t="str">
        <f>IF(AND(OR(LEFT(TH!L1985,2)="15",LEFT(TH!M1985,2)="15"),TK!$E$7=TH!F1985),"x","")</f>
        <v/>
      </c>
      <c r="Z1985" s="39" t="str">
        <f>IF(AND(B1985&lt;=NKC!$N$8,B1985&gt;=NKC!$M$8),"x","")</f>
        <v/>
      </c>
      <c r="AA1985" s="886"/>
    </row>
    <row r="1986" spans="1:27" s="211" customFormat="1" ht="15.75" customHeight="1">
      <c r="A1986" s="204" t="str">
        <f>IF(B1986&lt;&gt;"",IF(AND(B1986&gt;=_TM1,B1986&lt;=_TM2,OR(TH!L1986="1111",TH!M1986="1111")),TH!D1986,""),"")</f>
        <v/>
      </c>
      <c r="B1986" s="36">
        <f t="shared" si="264"/>
        <v>11</v>
      </c>
      <c r="C1986" s="191">
        <f t="shared" si="263"/>
        <v>41592</v>
      </c>
      <c r="D1986" s="37"/>
      <c r="E1986" s="774">
        <v>41592</v>
      </c>
      <c r="F1986" s="297" t="s">
        <v>1129</v>
      </c>
      <c r="G1986" s="40" t="s">
        <v>1012</v>
      </c>
      <c r="H1986" s="7" t="s">
        <v>1293</v>
      </c>
      <c r="I1986" s="256"/>
      <c r="J1986" s="256"/>
      <c r="K1986" s="602">
        <f t="shared" si="265"/>
        <v>0</v>
      </c>
      <c r="L1986" s="39" t="s">
        <v>173</v>
      </c>
      <c r="M1986" s="39" t="s">
        <v>167</v>
      </c>
      <c r="N1986" s="39" t="str">
        <f>IF(AND('331-CT'!$E$7=TH!H1986,OR(L1986="331",M1986="331")),"331",IF(AND(OR(L1986="131",M1986="131"),H1986='131-CT'!$E$7),"131",""))</f>
        <v/>
      </c>
      <c r="O1986" s="39" t="str">
        <f>IF(AND($B1986&gt;='111'!$N$11,$B1986&lt;='111'!$O$11,OR($L1986=$O$7,$M1986=$O$7)),"x","")</f>
        <v/>
      </c>
      <c r="P1986" s="39" t="str">
        <f>IF(AND($L1986=$O$7,$B1986&lt;'111'!$N$11),"x","")</f>
        <v/>
      </c>
      <c r="Q1986" s="39" t="str">
        <f>IF(AND($M1986=$O$7,$B1986&lt;'111'!$N$11),"x","")</f>
        <v/>
      </c>
      <c r="R1986" s="39" t="str">
        <f>IF(ISERROR(FIND('112'!$M$9,G1986,1)),"",IF((AND(FIND('112'!$M$9,G1986,1)&gt;=1,$B1986&gt;='112'!$N$8,$B1986&lt;='112'!$O$8,OR($L1986='112'!$I$6,$M1986='112'!$I$6))),"x",""))</f>
        <v/>
      </c>
      <c r="S1986" s="39" t="str">
        <f>IF(ISERROR(FIND('112'!$M$9,G1986,1)),"",IF((AND(LEFT(G1986,2)=LEFT('112'!$M$9,2),B1986&lt;'112'!$N$8,$L1986='112'!$I$6)),"x",""))</f>
        <v/>
      </c>
      <c r="T1986" s="39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39" t="str">
        <f>IF(OR(TH!L1986=TH!$V$7,M1986=TH!$V$7),"x","")</f>
        <v/>
      </c>
      <c r="W1986" s="39" t="str">
        <f>IF(AND(B1986&gt;='IN-NX'!$P$3,B1986&lt;='IN-NX'!$Q$3,'IN-NX'!$D$7=D1986,OR(LEFT(L1986,2)="15",AND(LEFT(M1986,2)&lt;&gt;"15",LEFT(M1986,2)&lt;&gt;"33"))),"x","")</f>
        <v/>
      </c>
      <c r="X1986" s="39" t="str">
        <f>IF(AND(OR(LEFT(TH!L1986,2)="15",LEFT(TH!M1986,2)="15"),'152-CT'!$J$8=TH!F1986),"x","")</f>
        <v/>
      </c>
      <c r="Y1986" s="39" t="str">
        <f>IF(AND(OR(LEFT(TH!L1986,2)="15",LEFT(TH!M1986,2)="15"),TK!$E$7=TH!F1986),"x","")</f>
        <v/>
      </c>
      <c r="Z1986" s="39" t="str">
        <f>IF(AND(B1986&lt;=NKC!$N$8,B1986&gt;=NKC!$M$8),"x","")</f>
        <v/>
      </c>
      <c r="AA1986" s="886"/>
    </row>
    <row r="1987" spans="1:27" s="211" customFormat="1" ht="15.75" customHeight="1">
      <c r="A1987" s="204" t="str">
        <f>IF(B1987&lt;&gt;"",IF(AND(B1987&gt;=_TM1,B1987&lt;=_TM2,OR(TH!L1987="1111",TH!M1987="1111")),TH!D1987,""),"")</f>
        <v/>
      </c>
      <c r="B1987" s="36">
        <f t="shared" si="264"/>
        <v>11</v>
      </c>
      <c r="C1987" s="191">
        <f t="shared" si="263"/>
        <v>41592</v>
      </c>
      <c r="D1987" s="37"/>
      <c r="E1987" s="774">
        <v>41592</v>
      </c>
      <c r="F1987" s="297" t="s">
        <v>838</v>
      </c>
      <c r="G1987" s="40" t="s">
        <v>1013</v>
      </c>
      <c r="H1987" s="7" t="s">
        <v>1293</v>
      </c>
      <c r="I1987" s="256"/>
      <c r="J1987" s="256"/>
      <c r="K1987" s="602">
        <f t="shared" si="265"/>
        <v>0</v>
      </c>
      <c r="L1987" s="39" t="s">
        <v>173</v>
      </c>
      <c r="M1987" s="39" t="s">
        <v>167</v>
      </c>
      <c r="N1987" s="39" t="str">
        <f>IF(AND('331-CT'!$E$7=TH!H1987,OR(L1987="331",M1987="331")),"331",IF(AND(OR(L1987="131",M1987="131"),H1987='131-CT'!$E$7),"131",""))</f>
        <v/>
      </c>
      <c r="O1987" s="39" t="str">
        <f>IF(AND($B1987&gt;='111'!$N$11,$B1987&lt;='111'!$O$11,OR($L1987=$O$7,$M1987=$O$7)),"x","")</f>
        <v/>
      </c>
      <c r="P1987" s="39" t="str">
        <f>IF(AND($L1987=$O$7,$B1987&lt;'111'!$N$11),"x","")</f>
        <v/>
      </c>
      <c r="Q1987" s="39" t="str">
        <f>IF(AND($M1987=$O$7,$B1987&lt;'111'!$N$11),"x","")</f>
        <v/>
      </c>
      <c r="R1987" s="39" t="str">
        <f>IF(ISERROR(FIND('112'!$M$9,G1987,1)),"",IF((AND(FIND('112'!$M$9,G1987,1)&gt;=1,$B1987&gt;='112'!$N$8,$B1987&lt;='112'!$O$8,OR($L1987='112'!$I$6,$M1987='112'!$I$6))),"x",""))</f>
        <v/>
      </c>
      <c r="S1987" s="39" t="str">
        <f>IF(ISERROR(FIND('112'!$M$9,G1987,1)),"",IF((AND(LEFT(G1987,2)=LEFT('112'!$M$9,2),B1987&lt;'112'!$N$8,$L1987='112'!$I$6)),"x",""))</f>
        <v/>
      </c>
      <c r="T1987" s="39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39" t="str">
        <f>IF(OR(TH!L1987=TH!$V$7,M1987=TH!$V$7),"x","")</f>
        <v/>
      </c>
      <c r="W1987" s="39" t="str">
        <f>IF(AND(B1987&gt;='IN-NX'!$P$3,B1987&lt;='IN-NX'!$Q$3,'IN-NX'!$D$7=D1987,OR(LEFT(L1987,2)="15",AND(LEFT(M1987,2)&lt;&gt;"15",LEFT(M1987,2)&lt;&gt;"33"))),"x","")</f>
        <v/>
      </c>
      <c r="X1987" s="39" t="str">
        <f>IF(AND(OR(LEFT(TH!L1987,2)="15",LEFT(TH!M1987,2)="15"),'152-CT'!$J$8=TH!F1987),"x","")</f>
        <v/>
      </c>
      <c r="Y1987" s="39" t="str">
        <f>IF(AND(OR(LEFT(TH!L1987,2)="15",LEFT(TH!M1987,2)="15"),TK!$E$7=TH!F1987),"x","")</f>
        <v/>
      </c>
      <c r="Z1987" s="39" t="str">
        <f>IF(AND(B1987&lt;=NKC!$N$8,B1987&gt;=NKC!$M$8),"x","")</f>
        <v/>
      </c>
      <c r="AA1987" s="886"/>
    </row>
    <row r="1988" spans="1:27" s="211" customFormat="1" ht="15.75" customHeight="1">
      <c r="A1988" s="204" t="str">
        <f>IF(B1988&lt;&gt;"",IF(AND(B1988&gt;=_TM1,B1988&lt;=_TM2,OR(TH!L1988="1111",TH!M1988="1111")),TH!D1988,""),"")</f>
        <v/>
      </c>
      <c r="B1988" s="36">
        <f t="shared" si="264"/>
        <v>11</v>
      </c>
      <c r="C1988" s="191">
        <f t="shared" si="263"/>
        <v>41592</v>
      </c>
      <c r="D1988" s="37"/>
      <c r="E1988" s="774">
        <v>41592</v>
      </c>
      <c r="F1988" s="189" t="s">
        <v>1150</v>
      </c>
      <c r="G1988" s="40" t="s">
        <v>1014</v>
      </c>
      <c r="H1988" s="7" t="s">
        <v>1293</v>
      </c>
      <c r="I1988" s="256"/>
      <c r="J1988" s="256"/>
      <c r="K1988" s="602">
        <f t="shared" si="265"/>
        <v>0</v>
      </c>
      <c r="L1988" s="39" t="s">
        <v>173</v>
      </c>
      <c r="M1988" s="39" t="s">
        <v>167</v>
      </c>
      <c r="N1988" s="39" t="str">
        <f>IF(AND('331-CT'!$E$7=TH!H1988,OR(L1988="331",M1988="331")),"331",IF(AND(OR(L1988="131",M1988="131"),H1988='131-CT'!$E$7),"131",""))</f>
        <v/>
      </c>
      <c r="O1988" s="39" t="str">
        <f>IF(AND($B1988&gt;='111'!$N$11,$B1988&lt;='111'!$O$11,OR($L1988=$O$7,$M1988=$O$7)),"x","")</f>
        <v/>
      </c>
      <c r="P1988" s="39" t="str">
        <f>IF(AND($L1988=$O$7,$B1988&lt;'111'!$N$11),"x","")</f>
        <v/>
      </c>
      <c r="Q1988" s="39" t="str">
        <f>IF(AND($M1988=$O$7,$B1988&lt;'111'!$N$11),"x","")</f>
        <v/>
      </c>
      <c r="R1988" s="39" t="str">
        <f>IF(ISERROR(FIND('112'!$M$9,G1988,1)),"",IF((AND(FIND('112'!$M$9,G1988,1)&gt;=1,$B1988&gt;='112'!$N$8,$B1988&lt;='112'!$O$8,OR($L1988='112'!$I$6,$M1988='112'!$I$6))),"x",""))</f>
        <v/>
      </c>
      <c r="S1988" s="39" t="str">
        <f>IF(ISERROR(FIND('112'!$M$9,G1988,1)),"",IF((AND(LEFT(G1988,2)=LEFT('112'!$M$9,2),B1988&lt;'112'!$N$8,$L1988='112'!$I$6)),"x",""))</f>
        <v/>
      </c>
      <c r="T1988" s="39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39" t="str">
        <f>IF(OR(TH!L1988=TH!$V$7,M1988=TH!$V$7),"x","")</f>
        <v/>
      </c>
      <c r="W1988" s="39" t="str">
        <f>IF(AND(B1988&gt;='IN-NX'!$P$3,B1988&lt;='IN-NX'!$Q$3,'IN-NX'!$D$7=D1988,OR(LEFT(L1988,2)="15",AND(LEFT(M1988,2)&lt;&gt;"15",LEFT(M1988,2)&lt;&gt;"33"))),"x","")</f>
        <v/>
      </c>
      <c r="X1988" s="39" t="str">
        <f>IF(AND(OR(LEFT(TH!L1988,2)="15",LEFT(TH!M1988,2)="15"),'152-CT'!$J$8=TH!F1988),"x","")</f>
        <v/>
      </c>
      <c r="Y1988" s="39" t="str">
        <f>IF(AND(OR(LEFT(TH!L1988,2)="15",LEFT(TH!M1988,2)="15"),TK!$E$7=TH!F1988),"x","")</f>
        <v/>
      </c>
      <c r="Z1988" s="39" t="str">
        <f>IF(AND(B1988&lt;=NKC!$N$8,B1988&gt;=NKC!$M$8),"x","")</f>
        <v/>
      </c>
      <c r="AA1988" s="886"/>
    </row>
    <row r="1989" spans="1:27" s="211" customFormat="1" ht="15.75" customHeight="1">
      <c r="A1989" s="204" t="str">
        <f>IF(B1989&lt;&gt;"",IF(AND(B1989&gt;=_TM1,B1989&lt;=_TM2,OR(TH!L1989="1111",TH!M1989="1111")),TH!D1989,""),"")</f>
        <v/>
      </c>
      <c r="B1989" s="36">
        <f t="shared" si="264"/>
        <v>11</v>
      </c>
      <c r="C1989" s="191">
        <f t="shared" si="263"/>
        <v>41593</v>
      </c>
      <c r="D1989" s="37"/>
      <c r="E1989" s="774">
        <v>41593</v>
      </c>
      <c r="F1989" s="189" t="s">
        <v>1162</v>
      </c>
      <c r="G1989" s="40" t="s">
        <v>1015</v>
      </c>
      <c r="H1989" s="7" t="s">
        <v>1293</v>
      </c>
      <c r="I1989" s="256"/>
      <c r="J1989" s="256"/>
      <c r="K1989" s="602">
        <f t="shared" si="265"/>
        <v>0</v>
      </c>
      <c r="L1989" s="39" t="s">
        <v>173</v>
      </c>
      <c r="M1989" s="39" t="s">
        <v>167</v>
      </c>
      <c r="N1989" s="39" t="str">
        <f>IF(AND('331-CT'!$E$7=TH!H1989,OR(L1989="331",M1989="331")),"331",IF(AND(OR(L1989="131",M1989="131"),H1989='131-CT'!$E$7),"131",""))</f>
        <v/>
      </c>
      <c r="O1989" s="39" t="str">
        <f>IF(AND($B1989&gt;='111'!$N$11,$B1989&lt;='111'!$O$11,OR($L1989=$O$7,$M1989=$O$7)),"x","")</f>
        <v/>
      </c>
      <c r="P1989" s="39" t="str">
        <f>IF(AND($L1989=$O$7,$B1989&lt;'111'!$N$11),"x","")</f>
        <v/>
      </c>
      <c r="Q1989" s="39" t="str">
        <f>IF(AND($M1989=$O$7,$B1989&lt;'111'!$N$11),"x","")</f>
        <v/>
      </c>
      <c r="R1989" s="39" t="str">
        <f>IF(ISERROR(FIND('112'!$M$9,G1989,1)),"",IF((AND(FIND('112'!$M$9,G1989,1)&gt;=1,$B1989&gt;='112'!$N$8,$B1989&lt;='112'!$O$8,OR($L1989='112'!$I$6,$M1989='112'!$I$6))),"x",""))</f>
        <v/>
      </c>
      <c r="S1989" s="39" t="str">
        <f>IF(ISERROR(FIND('112'!$M$9,G1989,1)),"",IF((AND(LEFT(G1989,2)=LEFT('112'!$M$9,2),B1989&lt;'112'!$N$8,$L1989='112'!$I$6)),"x",""))</f>
        <v/>
      </c>
      <c r="T1989" s="39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39" t="str">
        <f>IF(OR(TH!L1989=TH!$V$7,M1989=TH!$V$7),"x","")</f>
        <v/>
      </c>
      <c r="W1989" s="39" t="str">
        <f>IF(AND(B1989&gt;='IN-NX'!$P$3,B1989&lt;='IN-NX'!$Q$3,'IN-NX'!$D$7=D1989,OR(LEFT(L1989,2)="15",AND(LEFT(M1989,2)&lt;&gt;"15",LEFT(M1989,2)&lt;&gt;"33"))),"x","")</f>
        <v/>
      </c>
      <c r="X1989" s="39" t="str">
        <f>IF(AND(OR(LEFT(TH!L1989,2)="15",LEFT(TH!M1989,2)="15"),'152-CT'!$J$8=TH!F1989),"x","")</f>
        <v/>
      </c>
      <c r="Y1989" s="39" t="str">
        <f>IF(AND(OR(LEFT(TH!L1989,2)="15",LEFT(TH!M1989,2)="15"),TK!$E$7=TH!F1989),"x","")</f>
        <v/>
      </c>
      <c r="Z1989" s="39" t="str">
        <f>IF(AND(B1989&lt;=NKC!$N$8,B1989&gt;=NKC!$M$8),"x","")</f>
        <v/>
      </c>
      <c r="AA1989" s="886"/>
    </row>
    <row r="1990" spans="1:27" s="211" customFormat="1" ht="15.75" customHeight="1">
      <c r="A1990" s="204" t="str">
        <f>IF(B1990&lt;&gt;"",IF(AND(B1990&gt;=_TM1,B1990&lt;=_TM2,OR(TH!L1990="1111",TH!M1990="1111")),TH!D1990,""),"")</f>
        <v/>
      </c>
      <c r="B1990" s="36">
        <f t="shared" si="264"/>
        <v>11</v>
      </c>
      <c r="C1990" s="191">
        <f t="shared" si="263"/>
        <v>41594</v>
      </c>
      <c r="D1990" s="37"/>
      <c r="E1990" s="774">
        <v>41594</v>
      </c>
      <c r="F1990" s="189" t="s">
        <v>838</v>
      </c>
      <c r="G1990" s="40" t="s">
        <v>1016</v>
      </c>
      <c r="H1990" s="7" t="s">
        <v>1293</v>
      </c>
      <c r="I1990" s="256"/>
      <c r="J1990" s="256"/>
      <c r="K1990" s="602">
        <f t="shared" si="265"/>
        <v>0</v>
      </c>
      <c r="L1990" s="39" t="s">
        <v>173</v>
      </c>
      <c r="M1990" s="39" t="s">
        <v>167</v>
      </c>
      <c r="N1990" s="39" t="str">
        <f>IF(AND('331-CT'!$E$7=TH!H1990,OR(L1990="331",M1990="331")),"331",IF(AND(OR(L1990="131",M1990="131"),H1990='131-CT'!$E$7),"131",""))</f>
        <v/>
      </c>
      <c r="O1990" s="39" t="str">
        <f>IF(AND($B1990&gt;='111'!$N$11,$B1990&lt;='111'!$O$11,OR($L1990=$O$7,$M1990=$O$7)),"x","")</f>
        <v/>
      </c>
      <c r="P1990" s="39" t="str">
        <f>IF(AND($L1990=$O$7,$B1990&lt;'111'!$N$11),"x","")</f>
        <v/>
      </c>
      <c r="Q1990" s="39" t="str">
        <f>IF(AND($M1990=$O$7,$B1990&lt;'111'!$N$11),"x","")</f>
        <v/>
      </c>
      <c r="R1990" s="39" t="str">
        <f>IF(ISERROR(FIND('112'!$M$9,G1990,1)),"",IF((AND(FIND('112'!$M$9,G1990,1)&gt;=1,$B1990&gt;='112'!$N$8,$B1990&lt;='112'!$O$8,OR($L1990='112'!$I$6,$M1990='112'!$I$6))),"x",""))</f>
        <v/>
      </c>
      <c r="S1990" s="39" t="str">
        <f>IF(ISERROR(FIND('112'!$M$9,G1990,1)),"",IF((AND(LEFT(G1990,2)=LEFT('112'!$M$9,2),B1990&lt;'112'!$N$8,$L1990='112'!$I$6)),"x",""))</f>
        <v/>
      </c>
      <c r="T1990" s="39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39" t="str">
        <f>IF(OR(TH!L1990=TH!$V$7,M1990=TH!$V$7),"x","")</f>
        <v/>
      </c>
      <c r="W1990" s="39" t="str">
        <f>IF(AND(B1990&gt;='IN-NX'!$P$3,B1990&lt;='IN-NX'!$Q$3,'IN-NX'!$D$7=D1990,OR(LEFT(L1990,2)="15",AND(LEFT(M1990,2)&lt;&gt;"15",LEFT(M1990,2)&lt;&gt;"33"))),"x","")</f>
        <v/>
      </c>
      <c r="X1990" s="39" t="str">
        <f>IF(AND(OR(LEFT(TH!L1990,2)="15",LEFT(TH!M1990,2)="15"),'152-CT'!$J$8=TH!F1990),"x","")</f>
        <v/>
      </c>
      <c r="Y1990" s="39" t="str">
        <f>IF(AND(OR(LEFT(TH!L1990,2)="15",LEFT(TH!M1990,2)="15"),TK!$E$7=TH!F1990),"x","")</f>
        <v/>
      </c>
      <c r="Z1990" s="39" t="str">
        <f>IF(AND(B1990&lt;=NKC!$N$8,B1990&gt;=NKC!$M$8),"x","")</f>
        <v/>
      </c>
      <c r="AA1990" s="886"/>
    </row>
    <row r="1991" spans="1:27" s="211" customFormat="1" ht="15.75" customHeight="1">
      <c r="A1991" s="204" t="str">
        <f>IF(B1991&lt;&gt;"",IF(AND(B1991&gt;=_TM1,B1991&lt;=_TM2,OR(TH!L1991="1111",TH!M1991="1111")),TH!D1991,""),"")</f>
        <v/>
      </c>
      <c r="B1991" s="36">
        <f t="shared" si="264"/>
        <v>11</v>
      </c>
      <c r="C1991" s="191">
        <f t="shared" ref="C1991:C2034" si="266">E1991</f>
        <v>41596</v>
      </c>
      <c r="D1991" s="37"/>
      <c r="E1991" s="191">
        <v>41596</v>
      </c>
      <c r="F1991" s="192" t="s">
        <v>876</v>
      </c>
      <c r="G1991" s="487" t="s">
        <v>1017</v>
      </c>
      <c r="H1991" s="7" t="s">
        <v>1293</v>
      </c>
      <c r="I1991" s="256"/>
      <c r="J1991" s="256"/>
      <c r="K1991" s="602">
        <f t="shared" si="265"/>
        <v>0</v>
      </c>
      <c r="L1991" s="39" t="s">
        <v>173</v>
      </c>
      <c r="M1991" s="39" t="s">
        <v>167</v>
      </c>
      <c r="N1991" s="39" t="str">
        <f>IF(AND('331-CT'!$E$7=TH!H1991,OR(L1991="331",M1991="331")),"331",IF(AND(OR(L1991="131",M1991="131"),H1991='131-CT'!$E$7),"131",""))</f>
        <v/>
      </c>
      <c r="O1991" s="39" t="str">
        <f>IF(AND($B1991&gt;='111'!$N$11,$B1991&lt;='111'!$O$11,OR($L1991=$O$7,$M1991=$O$7)),"x","")</f>
        <v/>
      </c>
      <c r="P1991" s="39" t="str">
        <f>IF(AND($L1991=$O$7,$B1991&lt;'111'!$N$11),"x","")</f>
        <v/>
      </c>
      <c r="Q1991" s="39" t="str">
        <f>IF(AND($M1991=$O$7,$B1991&lt;'111'!$N$11),"x","")</f>
        <v/>
      </c>
      <c r="R1991" s="39" t="str">
        <f>IF(ISERROR(FIND('112'!$M$9,G1991,1)),"",IF((AND(FIND('112'!$M$9,G1991,1)&gt;=1,$B1991&gt;='112'!$N$8,$B1991&lt;='112'!$O$8,OR($L1991='112'!$I$6,$M1991='112'!$I$6))),"x",""))</f>
        <v/>
      </c>
      <c r="S1991" s="39" t="str">
        <f>IF(ISERROR(FIND('112'!$M$9,G1991,1)),"",IF((AND(LEFT(G1991,2)=LEFT('112'!$M$9,2),B1991&lt;'112'!$N$8,$L1991='112'!$I$6)),"x",""))</f>
        <v/>
      </c>
      <c r="T1991" s="39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39" t="str">
        <f>IF(OR(TH!L1991=TH!$V$7,M1991=TH!$V$7),"x","")</f>
        <v/>
      </c>
      <c r="W1991" s="39" t="str">
        <f>IF(AND(B1991&gt;='IN-NX'!$P$3,B1991&lt;='IN-NX'!$Q$3,'IN-NX'!$D$7=D1991,OR(LEFT(L1991,2)="15",AND(LEFT(M1991,2)&lt;&gt;"15",LEFT(M1991,2)&lt;&gt;"33"))),"x","")</f>
        <v/>
      </c>
      <c r="X1991" s="39" t="str">
        <f>IF(AND(OR(LEFT(TH!L1991,2)="15",LEFT(TH!M1991,2)="15"),'152-CT'!$J$8=TH!F1991),"x","")</f>
        <v/>
      </c>
      <c r="Y1991" s="39" t="str">
        <f>IF(AND(OR(LEFT(TH!L1991,2)="15",LEFT(TH!M1991,2)="15"),TK!$E$7=TH!F1991),"x","")</f>
        <v/>
      </c>
      <c r="Z1991" s="39" t="str">
        <f>IF(AND(B1991&lt;=NKC!$N$8,B1991&gt;=NKC!$M$8),"x","")</f>
        <v/>
      </c>
      <c r="AA1991" s="886"/>
    </row>
    <row r="1992" spans="1:27" s="211" customFormat="1" ht="15.75" customHeight="1">
      <c r="A1992" s="204" t="str">
        <f>IF(B1992&lt;&gt;"",IF(AND(B1992&gt;=_TM1,B1992&lt;=_TM2,OR(TH!L1992="1111",TH!M1992="1111")),TH!D1992,""),"")</f>
        <v/>
      </c>
      <c r="B1992" s="36">
        <f t="shared" si="264"/>
        <v>11</v>
      </c>
      <c r="C1992" s="191">
        <f t="shared" si="266"/>
        <v>41597</v>
      </c>
      <c r="D1992" s="37"/>
      <c r="E1992" s="191">
        <v>41597</v>
      </c>
      <c r="F1992" s="192" t="s">
        <v>1018</v>
      </c>
      <c r="G1992" s="487" t="s">
        <v>1019</v>
      </c>
      <c r="H1992" s="7" t="s">
        <v>1293</v>
      </c>
      <c r="I1992" s="256"/>
      <c r="J1992" s="256"/>
      <c r="K1992" s="602">
        <f t="shared" si="265"/>
        <v>0</v>
      </c>
      <c r="L1992" s="39" t="s">
        <v>173</v>
      </c>
      <c r="M1992" s="39" t="s">
        <v>167</v>
      </c>
      <c r="N1992" s="39" t="str">
        <f>IF(AND('331-CT'!$E$7=TH!H1992,OR(L1992="331",M1992="331")),"331",IF(AND(OR(L1992="131",M1992="131"),H1992='131-CT'!$E$7),"131",""))</f>
        <v/>
      </c>
      <c r="O1992" s="39" t="str">
        <f>IF(AND($B1992&gt;='111'!$N$11,$B1992&lt;='111'!$O$11,OR($L1992=$O$7,$M1992=$O$7)),"x","")</f>
        <v/>
      </c>
      <c r="P1992" s="39" t="str">
        <f>IF(AND($L1992=$O$7,$B1992&lt;'111'!$N$11),"x","")</f>
        <v/>
      </c>
      <c r="Q1992" s="39" t="str">
        <f>IF(AND($M1992=$O$7,$B1992&lt;'111'!$N$11),"x","")</f>
        <v/>
      </c>
      <c r="R1992" s="39" t="str">
        <f>IF(ISERROR(FIND('112'!$M$9,G1992,1)),"",IF((AND(FIND('112'!$M$9,G1992,1)&gt;=1,$B1992&gt;='112'!$N$8,$B1992&lt;='112'!$O$8,OR($L1992='112'!$I$6,$M1992='112'!$I$6))),"x",""))</f>
        <v/>
      </c>
      <c r="S1992" s="39" t="str">
        <f>IF(ISERROR(FIND('112'!$M$9,G1992,1)),"",IF((AND(LEFT(G1992,2)=LEFT('112'!$M$9,2),B1992&lt;'112'!$N$8,$L1992='112'!$I$6)),"x",""))</f>
        <v/>
      </c>
      <c r="T1992" s="39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39" t="str">
        <f>IF(OR(TH!L1992=TH!$V$7,M1992=TH!$V$7),"x","")</f>
        <v/>
      </c>
      <c r="W1992" s="39" t="str">
        <f>IF(AND(B1992&gt;='IN-NX'!$P$3,B1992&lt;='IN-NX'!$Q$3,'IN-NX'!$D$7=D1992,OR(LEFT(L1992,2)="15",AND(LEFT(M1992,2)&lt;&gt;"15",LEFT(M1992,2)&lt;&gt;"33"))),"x","")</f>
        <v/>
      </c>
      <c r="X1992" s="39" t="str">
        <f>IF(AND(OR(LEFT(TH!L1992,2)="15",LEFT(TH!M1992,2)="15"),'152-CT'!$J$8=TH!F1992),"x","")</f>
        <v/>
      </c>
      <c r="Y1992" s="39" t="str">
        <f>IF(AND(OR(LEFT(TH!L1992,2)="15",LEFT(TH!M1992,2)="15"),TK!$E$7=TH!F1992),"x","")</f>
        <v/>
      </c>
      <c r="Z1992" s="39" t="str">
        <f>IF(AND(B1992&lt;=NKC!$N$8,B1992&gt;=NKC!$M$8),"x","")</f>
        <v/>
      </c>
      <c r="AA1992" s="886"/>
    </row>
    <row r="1993" spans="1:27" s="211" customFormat="1" ht="15.75" customHeight="1">
      <c r="A1993" s="204" t="str">
        <f>IF(B1993&lt;&gt;"",IF(AND(B1993&gt;=_TM1,B1993&lt;=_TM2,OR(TH!L1993="1111",TH!M1993="1111")),TH!D1993,""),"")</f>
        <v/>
      </c>
      <c r="B1993" s="36">
        <f t="shared" si="264"/>
        <v>11</v>
      </c>
      <c r="C1993" s="191">
        <f t="shared" si="266"/>
        <v>41597</v>
      </c>
      <c r="D1993" s="37"/>
      <c r="E1993" s="191">
        <v>41597</v>
      </c>
      <c r="F1993" s="189" t="s">
        <v>880</v>
      </c>
      <c r="G1993" s="487" t="s">
        <v>1019</v>
      </c>
      <c r="H1993" s="7" t="s">
        <v>1293</v>
      </c>
      <c r="I1993" s="256"/>
      <c r="J1993" s="256"/>
      <c r="K1993" s="602">
        <f t="shared" si="265"/>
        <v>0</v>
      </c>
      <c r="L1993" s="39" t="s">
        <v>173</v>
      </c>
      <c r="M1993" s="39" t="s">
        <v>167</v>
      </c>
      <c r="N1993" s="39" t="str">
        <f>IF(AND('331-CT'!$E$7=TH!H1993,OR(L1993="331",M1993="331")),"331",IF(AND(OR(L1993="131",M1993="131"),H1993='131-CT'!$E$7),"131",""))</f>
        <v/>
      </c>
      <c r="O1993" s="39" t="str">
        <f>IF(AND($B1993&gt;='111'!$N$11,$B1993&lt;='111'!$O$11,OR($L1993=$O$7,$M1993=$O$7)),"x","")</f>
        <v/>
      </c>
      <c r="P1993" s="39" t="str">
        <f>IF(AND($L1993=$O$7,$B1993&lt;'111'!$N$11),"x","")</f>
        <v/>
      </c>
      <c r="Q1993" s="39" t="str">
        <f>IF(AND($M1993=$O$7,$B1993&lt;'111'!$N$11),"x","")</f>
        <v/>
      </c>
      <c r="R1993" s="39" t="str">
        <f>IF(ISERROR(FIND('112'!$M$9,G1993,1)),"",IF((AND(FIND('112'!$M$9,G1993,1)&gt;=1,$B1993&gt;='112'!$N$8,$B1993&lt;='112'!$O$8,OR($L1993='112'!$I$6,$M1993='112'!$I$6))),"x",""))</f>
        <v/>
      </c>
      <c r="S1993" s="39" t="str">
        <f>IF(ISERROR(FIND('112'!$M$9,G1993,1)),"",IF((AND(LEFT(G1993,2)=LEFT('112'!$M$9,2),B1993&lt;'112'!$N$8,$L1993='112'!$I$6)),"x",""))</f>
        <v/>
      </c>
      <c r="T1993" s="39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39" t="str">
        <f>IF(OR(TH!L1993=TH!$V$7,M1993=TH!$V$7),"x","")</f>
        <v/>
      </c>
      <c r="W1993" s="39" t="str">
        <f>IF(AND(B1993&gt;='IN-NX'!$P$3,B1993&lt;='IN-NX'!$Q$3,'IN-NX'!$D$7=D1993,OR(LEFT(L1993,2)="15",AND(LEFT(M1993,2)&lt;&gt;"15",LEFT(M1993,2)&lt;&gt;"33"))),"x","")</f>
        <v/>
      </c>
      <c r="X1993" s="39" t="str">
        <f>IF(AND(OR(LEFT(TH!L1993,2)="15",LEFT(TH!M1993,2)="15"),'152-CT'!$J$8=TH!F1993),"x","")</f>
        <v/>
      </c>
      <c r="Y1993" s="39" t="str">
        <f>IF(AND(OR(LEFT(TH!L1993,2)="15",LEFT(TH!M1993,2)="15"),TK!$E$7=TH!F1993),"x","")</f>
        <v/>
      </c>
      <c r="Z1993" s="39" t="str">
        <f>IF(AND(B1993&lt;=NKC!$N$8,B1993&gt;=NKC!$M$8),"x","")</f>
        <v/>
      </c>
      <c r="AA1993" s="886"/>
    </row>
    <row r="1994" spans="1:27" s="211" customFormat="1" ht="15.75" customHeight="1">
      <c r="A1994" s="204" t="str">
        <f>IF(B1994&lt;&gt;"",IF(AND(B1994&gt;=_TM1,B1994&lt;=_TM2,OR(TH!L1994="1111",TH!M1994="1111")),TH!D1994,""),"")</f>
        <v/>
      </c>
      <c r="B1994" s="36">
        <f t="shared" si="264"/>
        <v>11</v>
      </c>
      <c r="C1994" s="191">
        <f t="shared" si="266"/>
        <v>41597</v>
      </c>
      <c r="D1994" s="37"/>
      <c r="E1994" s="191">
        <v>41597</v>
      </c>
      <c r="F1994" s="189" t="s">
        <v>1020</v>
      </c>
      <c r="G1994" s="487" t="s">
        <v>1019</v>
      </c>
      <c r="H1994" s="7" t="s">
        <v>1293</v>
      </c>
      <c r="I1994" s="256"/>
      <c r="J1994" s="256"/>
      <c r="K1994" s="602">
        <f t="shared" si="265"/>
        <v>0</v>
      </c>
      <c r="L1994" s="39" t="s">
        <v>173</v>
      </c>
      <c r="M1994" s="39" t="s">
        <v>167</v>
      </c>
      <c r="N1994" s="39" t="str">
        <f>IF(AND('331-CT'!$E$7=TH!H1994,OR(L1994="331",M1994="331")),"331",IF(AND(OR(L1994="131",M1994="131"),H1994='131-CT'!$E$7),"131",""))</f>
        <v/>
      </c>
      <c r="O1994" s="39" t="str">
        <f>IF(AND($B1994&gt;='111'!$N$11,$B1994&lt;='111'!$O$11,OR($L1994=$O$7,$M1994=$O$7)),"x","")</f>
        <v/>
      </c>
      <c r="P1994" s="39" t="str">
        <f>IF(AND($L1994=$O$7,$B1994&lt;'111'!$N$11),"x","")</f>
        <v/>
      </c>
      <c r="Q1994" s="39" t="str">
        <f>IF(AND($M1994=$O$7,$B1994&lt;'111'!$N$11),"x","")</f>
        <v/>
      </c>
      <c r="R1994" s="39" t="str">
        <f>IF(ISERROR(FIND('112'!$M$9,G1994,1)),"",IF((AND(FIND('112'!$M$9,G1994,1)&gt;=1,$B1994&gt;='112'!$N$8,$B1994&lt;='112'!$O$8,OR($L1994='112'!$I$6,$M1994='112'!$I$6))),"x",""))</f>
        <v/>
      </c>
      <c r="S1994" s="39" t="str">
        <f>IF(ISERROR(FIND('112'!$M$9,G1994,1)),"",IF((AND(LEFT(G1994,2)=LEFT('112'!$M$9,2),B1994&lt;'112'!$N$8,$L1994='112'!$I$6)),"x",""))</f>
        <v/>
      </c>
      <c r="T1994" s="39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39" t="str">
        <f>IF(OR(TH!L1994=TH!$V$7,M1994=TH!$V$7),"x","")</f>
        <v/>
      </c>
      <c r="W1994" s="39" t="str">
        <f>IF(AND(B1994&gt;='IN-NX'!$P$3,B1994&lt;='IN-NX'!$Q$3,'IN-NX'!$D$7=D1994,OR(LEFT(L1994,2)="15",AND(LEFT(M1994,2)&lt;&gt;"15",LEFT(M1994,2)&lt;&gt;"33"))),"x","")</f>
        <v/>
      </c>
      <c r="X1994" s="39" t="str">
        <f>IF(AND(OR(LEFT(TH!L1994,2)="15",LEFT(TH!M1994,2)="15"),'152-CT'!$J$8=TH!F1994),"x","")</f>
        <v/>
      </c>
      <c r="Y1994" s="39" t="str">
        <f>IF(AND(OR(LEFT(TH!L1994,2)="15",LEFT(TH!M1994,2)="15"),TK!$E$7=TH!F1994),"x","")</f>
        <v/>
      </c>
      <c r="Z1994" s="39" t="str">
        <f>IF(AND(B1994&lt;=NKC!$N$8,B1994&gt;=NKC!$M$8),"x","")</f>
        <v/>
      </c>
      <c r="AA1994" s="886"/>
    </row>
    <row r="1995" spans="1:27" s="211" customFormat="1" ht="15.75" customHeight="1">
      <c r="A1995" s="204" t="str">
        <f>IF(B1995&lt;&gt;"",IF(AND(B1995&gt;=_TM1,B1995&lt;=_TM2,OR(TH!L1995="1111",TH!M1995="1111")),TH!D1995,""),"")</f>
        <v/>
      </c>
      <c r="B1995" s="36">
        <f t="shared" si="264"/>
        <v>11</v>
      </c>
      <c r="C1995" s="191">
        <f t="shared" si="266"/>
        <v>41597</v>
      </c>
      <c r="D1995" s="191"/>
      <c r="E1995" s="191">
        <v>41597</v>
      </c>
      <c r="F1995" s="192" t="s">
        <v>881</v>
      </c>
      <c r="G1995" s="487" t="s">
        <v>1019</v>
      </c>
      <c r="H1995" s="7" t="s">
        <v>1293</v>
      </c>
      <c r="I1995" s="256"/>
      <c r="J1995" s="256"/>
      <c r="K1995" s="602">
        <f t="shared" si="265"/>
        <v>0</v>
      </c>
      <c r="L1995" s="39" t="s">
        <v>173</v>
      </c>
      <c r="M1995" s="39" t="s">
        <v>167</v>
      </c>
      <c r="N1995" s="39" t="str">
        <f>IF(AND('331-CT'!$E$7=TH!H1995,OR(L1995="331",M1995="331")),"331",IF(AND(OR(L1995="131",M1995="131"),H1995='131-CT'!$E$7),"131",""))</f>
        <v/>
      </c>
      <c r="O1995" s="39" t="str">
        <f>IF(AND($B1995&gt;='111'!$N$11,$B1995&lt;='111'!$O$11,OR($L1995=$O$7,$M1995=$O$7)),"x","")</f>
        <v/>
      </c>
      <c r="P1995" s="39" t="str">
        <f>IF(AND($L1995=$O$7,$B1995&lt;'111'!$N$11),"x","")</f>
        <v/>
      </c>
      <c r="Q1995" s="39" t="str">
        <f>IF(AND($M1995=$O$7,$B1995&lt;'111'!$N$11),"x","")</f>
        <v/>
      </c>
      <c r="R1995" s="39" t="str">
        <f>IF(ISERROR(FIND('112'!$M$9,G1995,1)),"",IF((AND(FIND('112'!$M$9,G1995,1)&gt;=1,$B1995&gt;='112'!$N$8,$B1995&lt;='112'!$O$8,OR($L1995='112'!$I$6,$M1995='112'!$I$6))),"x",""))</f>
        <v/>
      </c>
      <c r="S1995" s="39" t="str">
        <f>IF(ISERROR(FIND('112'!$M$9,G1995,1)),"",IF((AND(LEFT(G1995,2)=LEFT('112'!$M$9,2),B1995&lt;'112'!$N$8,$L1995='112'!$I$6)),"x",""))</f>
        <v/>
      </c>
      <c r="T1995" s="39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39" t="str">
        <f>IF(OR(TH!L1995=TH!$V$7,M1995=TH!$V$7),"x","")</f>
        <v/>
      </c>
      <c r="W1995" s="39" t="str">
        <f>IF(AND(B1995&gt;='IN-NX'!$P$3,B1995&lt;='IN-NX'!$Q$3,'IN-NX'!$D$7=D1995,OR(LEFT(L1995,2)="15",AND(LEFT(M1995,2)&lt;&gt;"15",LEFT(M1995,2)&lt;&gt;"33"))),"x","")</f>
        <v/>
      </c>
      <c r="X1995" s="39" t="str">
        <f>IF(AND(OR(LEFT(TH!L1995,2)="15",LEFT(TH!M1995,2)="15"),'152-CT'!$J$8=TH!F1995),"x","")</f>
        <v/>
      </c>
      <c r="Y1995" s="39" t="str">
        <f>IF(AND(OR(LEFT(TH!L1995,2)="15",LEFT(TH!M1995,2)="15"),TK!$E$7=TH!F1995),"x","")</f>
        <v/>
      </c>
      <c r="Z1995" s="39" t="str">
        <f>IF(AND(B1995&lt;=NKC!$N$8,B1995&gt;=NKC!$M$8),"x","")</f>
        <v/>
      </c>
      <c r="AA1995" s="886"/>
    </row>
    <row r="1996" spans="1:27" s="211" customFormat="1" ht="15.75" customHeight="1">
      <c r="A1996" s="204" t="str">
        <f>IF(B1996&lt;&gt;"",IF(AND(B1996&gt;=_TM1,B1996&lt;=_TM2,OR(TH!L1996="1111",TH!M1996="1111")),TH!D1996,""),"")</f>
        <v/>
      </c>
      <c r="B1996" s="36">
        <f t="shared" si="264"/>
        <v>11</v>
      </c>
      <c r="C1996" s="191">
        <f t="shared" si="266"/>
        <v>41598</v>
      </c>
      <c r="D1996" s="191"/>
      <c r="E1996" s="191">
        <v>41598</v>
      </c>
      <c r="F1996" s="192" t="s">
        <v>882</v>
      </c>
      <c r="G1996" s="487" t="s">
        <v>1021</v>
      </c>
      <c r="H1996" s="7" t="s">
        <v>1293</v>
      </c>
      <c r="I1996" s="256"/>
      <c r="J1996" s="256"/>
      <c r="K1996" s="602">
        <f t="shared" si="265"/>
        <v>0</v>
      </c>
      <c r="L1996" s="39" t="s">
        <v>173</v>
      </c>
      <c r="M1996" s="39" t="s">
        <v>167</v>
      </c>
      <c r="N1996" s="39" t="str">
        <f>IF(AND('331-CT'!$E$7=TH!H1996,OR(L1996="331",M1996="331")),"331",IF(AND(OR(L1996="131",M1996="131"),H1996='131-CT'!$E$7),"131",""))</f>
        <v/>
      </c>
      <c r="O1996" s="39" t="str">
        <f>IF(AND($B1996&gt;='111'!$N$11,$B1996&lt;='111'!$O$11,OR($L1996=$O$7,$M1996=$O$7)),"x","")</f>
        <v/>
      </c>
      <c r="P1996" s="39" t="str">
        <f>IF(AND($L1996=$O$7,$B1996&lt;'111'!$N$11),"x","")</f>
        <v/>
      </c>
      <c r="Q1996" s="39" t="str">
        <f>IF(AND($M1996=$O$7,$B1996&lt;'111'!$N$11),"x","")</f>
        <v/>
      </c>
      <c r="R1996" s="39" t="str">
        <f>IF(ISERROR(FIND('112'!$M$9,G1996,1)),"",IF((AND(FIND('112'!$M$9,G1996,1)&gt;=1,$B1996&gt;='112'!$N$8,$B1996&lt;='112'!$O$8,OR($L1996='112'!$I$6,$M1996='112'!$I$6))),"x",""))</f>
        <v/>
      </c>
      <c r="S1996" s="39" t="str">
        <f>IF(ISERROR(FIND('112'!$M$9,G1996,1)),"",IF((AND(LEFT(G1996,2)=LEFT('112'!$M$9,2),B1996&lt;'112'!$N$8,$L1996='112'!$I$6)),"x",""))</f>
        <v/>
      </c>
      <c r="T1996" s="39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39" t="str">
        <f>IF(OR(TH!L1996=TH!$V$7,M1996=TH!$V$7),"x","")</f>
        <v/>
      </c>
      <c r="W1996" s="39" t="str">
        <f>IF(AND(B1996&gt;='IN-NX'!$P$3,B1996&lt;='IN-NX'!$Q$3,'IN-NX'!$D$7=D1996,OR(LEFT(L1996,2)="15",AND(LEFT(M1996,2)&lt;&gt;"15",LEFT(M1996,2)&lt;&gt;"33"))),"x","")</f>
        <v/>
      </c>
      <c r="X1996" s="39" t="str">
        <f>IF(AND(OR(LEFT(TH!L1996,2)="15",LEFT(TH!M1996,2)="15"),'152-CT'!$J$8=TH!F1996),"x","")</f>
        <v/>
      </c>
      <c r="Y1996" s="39" t="str">
        <f>IF(AND(OR(LEFT(TH!L1996,2)="15",LEFT(TH!M1996,2)="15"),TK!$E$7=TH!F1996),"x","")</f>
        <v/>
      </c>
      <c r="Z1996" s="39" t="str">
        <f>IF(AND(B1996&lt;=NKC!$N$8,B1996&gt;=NKC!$M$8),"x","")</f>
        <v/>
      </c>
      <c r="AA1996" s="886"/>
    </row>
    <row r="1997" spans="1:27" s="211" customFormat="1" ht="15.75" customHeight="1">
      <c r="A1997" s="204" t="str">
        <f>IF(B1997&lt;&gt;"",IF(AND(B1997&gt;=_TM1,B1997&lt;=_TM2,OR(TH!L1997="1111",TH!M1997="1111")),TH!D1997,""),"")</f>
        <v/>
      </c>
      <c r="B1997" s="36">
        <f t="shared" si="264"/>
        <v>11</v>
      </c>
      <c r="C1997" s="191">
        <f t="shared" si="266"/>
        <v>41598</v>
      </c>
      <c r="D1997" s="191"/>
      <c r="E1997" s="191">
        <v>41598</v>
      </c>
      <c r="F1997" s="192" t="s">
        <v>1022</v>
      </c>
      <c r="G1997" s="487" t="s">
        <v>1021</v>
      </c>
      <c r="H1997" s="7" t="s">
        <v>1293</v>
      </c>
      <c r="I1997" s="256"/>
      <c r="J1997" s="256"/>
      <c r="K1997" s="602">
        <f t="shared" si="265"/>
        <v>0</v>
      </c>
      <c r="L1997" s="39" t="s">
        <v>173</v>
      </c>
      <c r="M1997" s="39" t="s">
        <v>167</v>
      </c>
      <c r="N1997" s="39" t="str">
        <f>IF(AND('331-CT'!$E$7=TH!H1997,OR(L1997="331",M1997="331")),"331",IF(AND(OR(L1997="131",M1997="131"),H1997='131-CT'!$E$7),"131",""))</f>
        <v/>
      </c>
      <c r="O1997" s="39" t="str">
        <f>IF(AND($B1997&gt;='111'!$N$11,$B1997&lt;='111'!$O$11,OR($L1997=$O$7,$M1997=$O$7)),"x","")</f>
        <v/>
      </c>
      <c r="P1997" s="39" t="str">
        <f>IF(AND($L1997=$O$7,$B1997&lt;'111'!$N$11),"x","")</f>
        <v/>
      </c>
      <c r="Q1997" s="39" t="str">
        <f>IF(AND($M1997=$O$7,$B1997&lt;'111'!$N$11),"x","")</f>
        <v/>
      </c>
      <c r="R1997" s="39" t="str">
        <f>IF(ISERROR(FIND('112'!$M$9,G1997,1)),"",IF((AND(FIND('112'!$M$9,G1997,1)&gt;=1,$B1997&gt;='112'!$N$8,$B1997&lt;='112'!$O$8,OR($L1997='112'!$I$6,$M1997='112'!$I$6))),"x",""))</f>
        <v/>
      </c>
      <c r="S1997" s="39" t="str">
        <f>IF(ISERROR(FIND('112'!$M$9,G1997,1)),"",IF((AND(LEFT(G1997,2)=LEFT('112'!$M$9,2),B1997&lt;'112'!$N$8,$L1997='112'!$I$6)),"x",""))</f>
        <v/>
      </c>
      <c r="T1997" s="39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39" t="str">
        <f>IF(OR(TH!L1997=TH!$V$7,M1997=TH!$V$7),"x","")</f>
        <v/>
      </c>
      <c r="W1997" s="39" t="str">
        <f>IF(AND(B1997&gt;='IN-NX'!$P$3,B1997&lt;='IN-NX'!$Q$3,'IN-NX'!$D$7=D1997,OR(LEFT(L1997,2)="15",AND(LEFT(M1997,2)&lt;&gt;"15",LEFT(M1997,2)&lt;&gt;"33"))),"x","")</f>
        <v/>
      </c>
      <c r="X1997" s="39" t="str">
        <f>IF(AND(OR(LEFT(TH!L1997,2)="15",LEFT(TH!M1997,2)="15"),'152-CT'!$J$8=TH!F1997),"x","")</f>
        <v/>
      </c>
      <c r="Y1997" s="39" t="str">
        <f>IF(AND(OR(LEFT(TH!L1997,2)="15",LEFT(TH!M1997,2)="15"),TK!$E$7=TH!F1997),"x","")</f>
        <v/>
      </c>
      <c r="Z1997" s="39" t="str">
        <f>IF(AND(B1997&lt;=NKC!$N$8,B1997&gt;=NKC!$M$8),"x","")</f>
        <v/>
      </c>
      <c r="AA1997" s="886"/>
    </row>
    <row r="1998" spans="1:27" s="211" customFormat="1" ht="15.75" customHeight="1">
      <c r="A1998" s="204" t="str">
        <f>IF(B1998&lt;&gt;"",IF(AND(B1998&gt;=_TM1,B1998&lt;=_TM2,OR(TH!L1998="1111",TH!M1998="1111")),TH!D1998,""),"")</f>
        <v/>
      </c>
      <c r="B1998" s="36">
        <f t="shared" si="264"/>
        <v>11</v>
      </c>
      <c r="C1998" s="191">
        <f t="shared" si="266"/>
        <v>41598</v>
      </c>
      <c r="D1998" s="191"/>
      <c r="E1998" s="774">
        <v>41598</v>
      </c>
      <c r="F1998" s="40" t="s">
        <v>1023</v>
      </c>
      <c r="G1998" s="40" t="s">
        <v>1021</v>
      </c>
      <c r="H1998" s="7" t="s">
        <v>1293</v>
      </c>
      <c r="I1998" s="256"/>
      <c r="J1998" s="256"/>
      <c r="K1998" s="602">
        <f t="shared" si="265"/>
        <v>0</v>
      </c>
      <c r="L1998" s="39" t="s">
        <v>173</v>
      </c>
      <c r="M1998" s="39" t="s">
        <v>167</v>
      </c>
      <c r="N1998" s="39" t="str">
        <f>IF(AND('331-CT'!$E$7=TH!H1998,OR(L1998="331",M1998="331")),"331",IF(AND(OR(L1998="131",M1998="131"),H1998='131-CT'!$E$7),"131",""))</f>
        <v/>
      </c>
      <c r="O1998" s="39" t="str">
        <f>IF(AND($B1998&gt;='111'!$N$11,$B1998&lt;='111'!$O$11,OR($L1998=$O$7,$M1998=$O$7)),"x","")</f>
        <v/>
      </c>
      <c r="P1998" s="39" t="str">
        <f>IF(AND($L1998=$O$7,$B1998&lt;'111'!$N$11),"x","")</f>
        <v/>
      </c>
      <c r="Q1998" s="39" t="str">
        <f>IF(AND($M1998=$O$7,$B1998&lt;'111'!$N$11),"x","")</f>
        <v/>
      </c>
      <c r="R1998" s="39" t="str">
        <f>IF(ISERROR(FIND('112'!$M$9,G1998,1)),"",IF((AND(FIND('112'!$M$9,G1998,1)&gt;=1,$B1998&gt;='112'!$N$8,$B1998&lt;='112'!$O$8,OR($L1998='112'!$I$6,$M1998='112'!$I$6))),"x",""))</f>
        <v/>
      </c>
      <c r="S1998" s="39" t="str">
        <f>IF(ISERROR(FIND('112'!$M$9,G1998,1)),"",IF((AND(LEFT(G1998,2)=LEFT('112'!$M$9,2),B1998&lt;'112'!$N$8,$L1998='112'!$I$6)),"x",""))</f>
        <v/>
      </c>
      <c r="T1998" s="39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39" t="str">
        <f>IF(OR(TH!L1998=TH!$V$7,M1998=TH!$V$7),"x","")</f>
        <v/>
      </c>
      <c r="W1998" s="39" t="str">
        <f>IF(AND(B1998&gt;='IN-NX'!$P$3,B1998&lt;='IN-NX'!$Q$3,'IN-NX'!$D$7=D1998,OR(LEFT(L1998,2)="15",AND(LEFT(M1998,2)&lt;&gt;"15",LEFT(M1998,2)&lt;&gt;"33"))),"x","")</f>
        <v/>
      </c>
      <c r="X1998" s="39" t="str">
        <f>IF(AND(OR(LEFT(TH!L1998,2)="15",LEFT(TH!M1998,2)="15"),'152-CT'!$J$8=TH!F1998),"x","")</f>
        <v/>
      </c>
      <c r="Y1998" s="39" t="str">
        <f>IF(AND(OR(LEFT(TH!L1998,2)="15",LEFT(TH!M1998,2)="15"),TK!$E$7=TH!F1998),"x","")</f>
        <v/>
      </c>
      <c r="Z1998" s="39" t="str">
        <f>IF(AND(B1998&lt;=NKC!$N$8,B1998&gt;=NKC!$M$8),"x","")</f>
        <v/>
      </c>
      <c r="AA1998" s="886"/>
    </row>
    <row r="1999" spans="1:27" s="211" customFormat="1" ht="15.75" customHeight="1">
      <c r="A1999" s="204" t="str">
        <f>IF(B1999&lt;&gt;"",IF(AND(B1999&gt;=_TM1,B1999&lt;=_TM2,OR(TH!L1999="1111",TH!M1999="1111")),TH!D1999,""),"")</f>
        <v/>
      </c>
      <c r="B1999" s="36">
        <f t="shared" si="264"/>
        <v>11</v>
      </c>
      <c r="C1999" s="191">
        <f t="shared" si="266"/>
        <v>41603</v>
      </c>
      <c r="D1999" s="191"/>
      <c r="E1999" s="774">
        <v>41603</v>
      </c>
      <c r="F1999" s="189" t="s">
        <v>723</v>
      </c>
      <c r="G1999" s="40" t="s">
        <v>1024</v>
      </c>
      <c r="H1999" s="7" t="s">
        <v>1293</v>
      </c>
      <c r="I1999" s="256"/>
      <c r="J1999" s="256"/>
      <c r="K1999" s="602">
        <f t="shared" si="265"/>
        <v>0</v>
      </c>
      <c r="L1999" s="39" t="s">
        <v>173</v>
      </c>
      <c r="M1999" s="39" t="s">
        <v>167</v>
      </c>
      <c r="N1999" s="39" t="str">
        <f>IF(AND('331-CT'!$E$7=TH!H1999,OR(L1999="331",M1999="331")),"331",IF(AND(OR(L1999="131",M1999="131"),H1999='131-CT'!$E$7),"131",""))</f>
        <v/>
      </c>
      <c r="O1999" s="39" t="str">
        <f>IF(AND($B1999&gt;='111'!$N$11,$B1999&lt;='111'!$O$11,OR($L1999=$O$7,$M1999=$O$7)),"x","")</f>
        <v/>
      </c>
      <c r="P1999" s="39" t="str">
        <f>IF(AND($L1999=$O$7,$B1999&lt;'111'!$N$11),"x","")</f>
        <v/>
      </c>
      <c r="Q1999" s="39" t="str">
        <f>IF(AND($M1999=$O$7,$B1999&lt;'111'!$N$11),"x","")</f>
        <v/>
      </c>
      <c r="R1999" s="39" t="str">
        <f>IF(ISERROR(FIND('112'!$M$9,G1999,1)),"",IF((AND(FIND('112'!$M$9,G1999,1)&gt;=1,$B1999&gt;='112'!$N$8,$B1999&lt;='112'!$O$8,OR($L1999='112'!$I$6,$M1999='112'!$I$6))),"x",""))</f>
        <v/>
      </c>
      <c r="S1999" s="39" t="str">
        <f>IF(ISERROR(FIND('112'!$M$9,G1999,1)),"",IF((AND(LEFT(G1999,2)=LEFT('112'!$M$9,2),B1999&lt;'112'!$N$8,$L1999='112'!$I$6)),"x",""))</f>
        <v/>
      </c>
      <c r="T1999" s="39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39" t="str">
        <f>IF(OR(TH!L1999=TH!$V$7,M1999=TH!$V$7),"x","")</f>
        <v/>
      </c>
      <c r="W1999" s="39" t="str">
        <f>IF(AND(B1999&gt;='IN-NX'!$P$3,B1999&lt;='IN-NX'!$Q$3,'IN-NX'!$D$7=D1999,OR(LEFT(L1999,2)="15",AND(LEFT(M1999,2)&lt;&gt;"15",LEFT(M1999,2)&lt;&gt;"33"))),"x","")</f>
        <v/>
      </c>
      <c r="X1999" s="39" t="str">
        <f>IF(AND(OR(LEFT(TH!L1999,2)="15",LEFT(TH!M1999,2)="15"),'152-CT'!$J$8=TH!F1999),"x","")</f>
        <v/>
      </c>
      <c r="Y1999" s="39" t="str">
        <f>IF(AND(OR(LEFT(TH!L1999,2)="15",LEFT(TH!M1999,2)="15"),TK!$E$7=TH!F1999),"x","")</f>
        <v/>
      </c>
      <c r="Z1999" s="39" t="str">
        <f>IF(AND(B1999&lt;=NKC!$N$8,B1999&gt;=NKC!$M$8),"x","")</f>
        <v/>
      </c>
      <c r="AA1999" s="886"/>
    </row>
    <row r="2000" spans="1:27" s="211" customFormat="1" ht="15.75" customHeight="1">
      <c r="A2000" s="204" t="str">
        <f>IF(B2000&lt;&gt;"",IF(AND(B2000&gt;=_TM1,B2000&lt;=_TM2,OR(TH!L2000="1111",TH!M2000="1111")),TH!D2000,""),"")</f>
        <v/>
      </c>
      <c r="B2000" s="36">
        <f t="shared" si="264"/>
        <v>11</v>
      </c>
      <c r="C2000" s="191">
        <f t="shared" si="266"/>
        <v>41604</v>
      </c>
      <c r="D2000" s="191"/>
      <c r="E2000" s="774">
        <v>41604</v>
      </c>
      <c r="F2000" s="40" t="s">
        <v>838</v>
      </c>
      <c r="G2000" s="40" t="s">
        <v>654</v>
      </c>
      <c r="H2000" s="7" t="s">
        <v>1293</v>
      </c>
      <c r="I2000" s="256"/>
      <c r="J2000" s="256"/>
      <c r="K2000" s="602">
        <f t="shared" si="265"/>
        <v>0</v>
      </c>
      <c r="L2000" s="39" t="s">
        <v>173</v>
      </c>
      <c r="M2000" s="39" t="s">
        <v>167</v>
      </c>
      <c r="N2000" s="39" t="str">
        <f>IF(AND('331-CT'!$E$7=TH!H2000,OR(L2000="331",M2000="331")),"331",IF(AND(OR(L2000="131",M2000="131"),H2000='131-CT'!$E$7),"131",""))</f>
        <v/>
      </c>
      <c r="O2000" s="39" t="str">
        <f>IF(AND($B2000&gt;='111'!$N$11,$B2000&lt;='111'!$O$11,OR($L2000=$O$7,$M2000=$O$7)),"x","")</f>
        <v/>
      </c>
      <c r="P2000" s="39" t="str">
        <f>IF(AND($L2000=$O$7,$B2000&lt;'111'!$N$11),"x","")</f>
        <v/>
      </c>
      <c r="Q2000" s="39" t="str">
        <f>IF(AND($M2000=$O$7,$B2000&lt;'111'!$N$11),"x","")</f>
        <v/>
      </c>
      <c r="R2000" s="39" t="str">
        <f>IF(ISERROR(FIND('112'!$M$9,G2000,1)),"",IF((AND(FIND('112'!$M$9,G2000,1)&gt;=1,$B2000&gt;='112'!$N$8,$B2000&lt;='112'!$O$8,OR($L2000='112'!$I$6,$M2000='112'!$I$6))),"x",""))</f>
        <v/>
      </c>
      <c r="S2000" s="39" t="str">
        <f>IF(ISERROR(FIND('112'!$M$9,G2000,1)),"",IF((AND(LEFT(G2000,2)=LEFT('112'!$M$9,2),B2000&lt;'112'!$N$8,$L2000='112'!$I$6)),"x",""))</f>
        <v/>
      </c>
      <c r="T2000" s="39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39" t="str">
        <f>IF(OR(TH!L2000=TH!$V$7,M2000=TH!$V$7),"x","")</f>
        <v/>
      </c>
      <c r="W2000" s="39" t="str">
        <f>IF(AND(B2000&gt;='IN-NX'!$P$3,B2000&lt;='IN-NX'!$Q$3,'IN-NX'!$D$7=D2000,OR(LEFT(L2000,2)="15",AND(LEFT(M2000,2)&lt;&gt;"15",LEFT(M2000,2)&lt;&gt;"33"))),"x","")</f>
        <v/>
      </c>
      <c r="X2000" s="39" t="str">
        <f>IF(AND(OR(LEFT(TH!L2000,2)="15",LEFT(TH!M2000,2)="15"),'152-CT'!$J$8=TH!F2000),"x","")</f>
        <v/>
      </c>
      <c r="Y2000" s="39" t="str">
        <f>IF(AND(OR(LEFT(TH!L2000,2)="15",LEFT(TH!M2000,2)="15"),TK!$E$7=TH!F2000),"x","")</f>
        <v/>
      </c>
      <c r="Z2000" s="39" t="str">
        <f>IF(AND(B2000&lt;=NKC!$N$8,B2000&gt;=NKC!$M$8),"x","")</f>
        <v/>
      </c>
      <c r="AA2000" s="886"/>
    </row>
    <row r="2001" spans="1:27" s="211" customFormat="1" ht="15.75" customHeight="1">
      <c r="A2001" s="204" t="str">
        <f>IF(B2001&lt;&gt;"",IF(AND(B2001&gt;=_TM1,B2001&lt;=_TM2,OR(TH!L2001="1111",TH!M2001="1111")),TH!D2001,""),"")</f>
        <v/>
      </c>
      <c r="B2001" s="36">
        <f t="shared" si="264"/>
        <v>11</v>
      </c>
      <c r="C2001" s="191">
        <f t="shared" si="266"/>
        <v>41604</v>
      </c>
      <c r="D2001" s="191"/>
      <c r="E2001" s="774">
        <v>41604</v>
      </c>
      <c r="F2001" s="40" t="s">
        <v>838</v>
      </c>
      <c r="G2001" s="40" t="s">
        <v>654</v>
      </c>
      <c r="H2001" s="7" t="s">
        <v>1293</v>
      </c>
      <c r="I2001" s="256"/>
      <c r="J2001" s="256"/>
      <c r="K2001" s="602">
        <f t="shared" si="265"/>
        <v>0</v>
      </c>
      <c r="L2001" s="39" t="s">
        <v>173</v>
      </c>
      <c r="M2001" s="39" t="s">
        <v>167</v>
      </c>
      <c r="N2001" s="39" t="str">
        <f>IF(AND('331-CT'!$E$7=TH!H2001,OR(L2001="331",M2001="331")),"331",IF(AND(OR(L2001="131",M2001="131"),H2001='131-CT'!$E$7),"131",""))</f>
        <v/>
      </c>
      <c r="O2001" s="39" t="str">
        <f>IF(AND($B2001&gt;='111'!$N$11,$B2001&lt;='111'!$O$11,OR($L2001=$O$7,$M2001=$O$7)),"x","")</f>
        <v/>
      </c>
      <c r="P2001" s="39" t="str">
        <f>IF(AND($L2001=$O$7,$B2001&lt;'111'!$N$11),"x","")</f>
        <v/>
      </c>
      <c r="Q2001" s="39" t="str">
        <f>IF(AND($M2001=$O$7,$B2001&lt;'111'!$N$11),"x","")</f>
        <v/>
      </c>
      <c r="R2001" s="39" t="str">
        <f>IF(ISERROR(FIND('112'!$M$9,G2001,1)),"",IF((AND(FIND('112'!$M$9,G2001,1)&gt;=1,$B2001&gt;='112'!$N$8,$B2001&lt;='112'!$O$8,OR($L2001='112'!$I$6,$M2001='112'!$I$6))),"x",""))</f>
        <v/>
      </c>
      <c r="S2001" s="39" t="str">
        <f>IF(ISERROR(FIND('112'!$M$9,G2001,1)),"",IF((AND(LEFT(G2001,2)=LEFT('112'!$M$9,2),B2001&lt;'112'!$N$8,$L2001='112'!$I$6)),"x",""))</f>
        <v/>
      </c>
      <c r="T2001" s="39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39" t="str">
        <f>IF(OR(TH!L2001=TH!$V$7,M2001=TH!$V$7),"x","")</f>
        <v/>
      </c>
      <c r="W2001" s="39" t="str">
        <f>IF(AND(B2001&gt;='IN-NX'!$P$3,B2001&lt;='IN-NX'!$Q$3,'IN-NX'!$D$7=D2001,OR(LEFT(L2001,2)="15",AND(LEFT(M2001,2)&lt;&gt;"15",LEFT(M2001,2)&lt;&gt;"33"))),"x","")</f>
        <v/>
      </c>
      <c r="X2001" s="39" t="str">
        <f>IF(AND(OR(LEFT(TH!L2001,2)="15",LEFT(TH!M2001,2)="15"),'152-CT'!$J$8=TH!F2001),"x","")</f>
        <v/>
      </c>
      <c r="Y2001" s="39" t="str">
        <f>IF(AND(OR(LEFT(TH!L2001,2)="15",LEFT(TH!M2001,2)="15"),TK!$E$7=TH!F2001),"x","")</f>
        <v/>
      </c>
      <c r="Z2001" s="39" t="str">
        <f>IF(AND(B2001&lt;=NKC!$N$8,B2001&gt;=NKC!$M$8),"x","")</f>
        <v/>
      </c>
      <c r="AA2001" s="886"/>
    </row>
    <row r="2002" spans="1:27" s="211" customFormat="1" ht="15.75" customHeight="1">
      <c r="A2002" s="204" t="str">
        <f>IF(B2002&lt;&gt;"",IF(AND(B2002&gt;=_TM1,B2002&lt;=_TM2,OR(TH!L2002="1111",TH!M2002="1111")),TH!D2002,""),"")</f>
        <v/>
      </c>
      <c r="B2002" s="36">
        <f t="shared" si="264"/>
        <v>11</v>
      </c>
      <c r="C2002" s="191">
        <f t="shared" si="266"/>
        <v>41604</v>
      </c>
      <c r="D2002" s="191"/>
      <c r="E2002" s="774">
        <v>41604</v>
      </c>
      <c r="F2002" s="189" t="s">
        <v>838</v>
      </c>
      <c r="G2002" s="40" t="s">
        <v>654</v>
      </c>
      <c r="H2002" s="7" t="s">
        <v>1293</v>
      </c>
      <c r="I2002" s="256"/>
      <c r="J2002" s="256"/>
      <c r="K2002" s="602">
        <f t="shared" si="265"/>
        <v>0</v>
      </c>
      <c r="L2002" s="39" t="s">
        <v>173</v>
      </c>
      <c r="M2002" s="39" t="s">
        <v>167</v>
      </c>
      <c r="N2002" s="39" t="str">
        <f>IF(AND('331-CT'!$E$7=TH!H2002,OR(L2002="331",M2002="331")),"331",IF(AND(OR(L2002="131",M2002="131"),H2002='131-CT'!$E$7),"131",""))</f>
        <v/>
      </c>
      <c r="O2002" s="39" t="str">
        <f>IF(AND($B2002&gt;='111'!$N$11,$B2002&lt;='111'!$O$11,OR($L2002=$O$7,$M2002=$O$7)),"x","")</f>
        <v/>
      </c>
      <c r="P2002" s="39" t="str">
        <f>IF(AND($L2002=$O$7,$B2002&lt;'111'!$N$11),"x","")</f>
        <v/>
      </c>
      <c r="Q2002" s="39" t="str">
        <f>IF(AND($M2002=$O$7,$B2002&lt;'111'!$N$11),"x","")</f>
        <v/>
      </c>
      <c r="R2002" s="39" t="str">
        <f>IF(ISERROR(FIND('112'!$M$9,G2002,1)),"",IF((AND(FIND('112'!$M$9,G2002,1)&gt;=1,$B2002&gt;='112'!$N$8,$B2002&lt;='112'!$O$8,OR($L2002='112'!$I$6,$M2002='112'!$I$6))),"x",""))</f>
        <v/>
      </c>
      <c r="S2002" s="39" t="str">
        <f>IF(ISERROR(FIND('112'!$M$9,G2002,1)),"",IF((AND(LEFT(G2002,2)=LEFT('112'!$M$9,2),B2002&lt;'112'!$N$8,$L2002='112'!$I$6)),"x",""))</f>
        <v/>
      </c>
      <c r="T2002" s="39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39" t="str">
        <f>IF(OR(TH!L2002=TH!$V$7,M2002=TH!$V$7),"x","")</f>
        <v/>
      </c>
      <c r="W2002" s="39" t="str">
        <f>IF(AND(B2002&gt;='IN-NX'!$P$3,B2002&lt;='IN-NX'!$Q$3,'IN-NX'!$D$7=D2002,OR(LEFT(L2002,2)="15",AND(LEFT(M2002,2)&lt;&gt;"15",LEFT(M2002,2)&lt;&gt;"33"))),"x","")</f>
        <v/>
      </c>
      <c r="X2002" s="39" t="str">
        <f>IF(AND(OR(LEFT(TH!L2002,2)="15",LEFT(TH!M2002,2)="15"),'152-CT'!$J$8=TH!F2002),"x","")</f>
        <v/>
      </c>
      <c r="Y2002" s="39" t="str">
        <f>IF(AND(OR(LEFT(TH!L2002,2)="15",LEFT(TH!M2002,2)="15"),TK!$E$7=TH!F2002),"x","")</f>
        <v/>
      </c>
      <c r="Z2002" s="39" t="str">
        <f>IF(AND(B2002&lt;=NKC!$N$8,B2002&gt;=NKC!$M$8),"x","")</f>
        <v/>
      </c>
      <c r="AA2002" s="886"/>
    </row>
    <row r="2003" spans="1:27" s="211" customFormat="1" ht="15.75" customHeight="1">
      <c r="A2003" s="204" t="str">
        <f>IF(B2003&lt;&gt;"",IF(AND(B2003&gt;=_TM1,B2003&lt;=_TM2,OR(TH!L2003="1111",TH!M2003="1111")),TH!D2003,""),"")</f>
        <v/>
      </c>
      <c r="B2003" s="36">
        <f t="shared" si="264"/>
        <v>11</v>
      </c>
      <c r="C2003" s="191">
        <f t="shared" si="266"/>
        <v>41606</v>
      </c>
      <c r="D2003" s="191"/>
      <c r="E2003" s="774">
        <v>41606</v>
      </c>
      <c r="F2003" s="40" t="s">
        <v>838</v>
      </c>
      <c r="G2003" s="40" t="s">
        <v>1026</v>
      </c>
      <c r="H2003" s="7" t="s">
        <v>1293</v>
      </c>
      <c r="I2003" s="256"/>
      <c r="J2003" s="256"/>
      <c r="K2003" s="602">
        <f t="shared" si="265"/>
        <v>0</v>
      </c>
      <c r="L2003" s="39" t="s">
        <v>173</v>
      </c>
      <c r="M2003" s="39" t="s">
        <v>167</v>
      </c>
      <c r="N2003" s="39" t="str">
        <f>IF(AND('331-CT'!$E$7=TH!H2003,OR(L2003="331",M2003="331")),"331",IF(AND(OR(L2003="131",M2003="131"),H2003='131-CT'!$E$7),"131",""))</f>
        <v/>
      </c>
      <c r="O2003" s="39" t="str">
        <f>IF(AND($B2003&gt;='111'!$N$11,$B2003&lt;='111'!$O$11,OR($L2003=$O$7,$M2003=$O$7)),"x","")</f>
        <v/>
      </c>
      <c r="P2003" s="39" t="str">
        <f>IF(AND($L2003=$O$7,$B2003&lt;'111'!$N$11),"x","")</f>
        <v/>
      </c>
      <c r="Q2003" s="39" t="str">
        <f>IF(AND($M2003=$O$7,$B2003&lt;'111'!$N$11),"x","")</f>
        <v/>
      </c>
      <c r="R2003" s="39" t="str">
        <f>IF(ISERROR(FIND('112'!$M$9,G2003,1)),"",IF((AND(FIND('112'!$M$9,G2003,1)&gt;=1,$B2003&gt;='112'!$N$8,$B2003&lt;='112'!$O$8,OR($L2003='112'!$I$6,$M2003='112'!$I$6))),"x",""))</f>
        <v/>
      </c>
      <c r="S2003" s="39" t="str">
        <f>IF(ISERROR(FIND('112'!$M$9,G2003,1)),"",IF((AND(LEFT(G2003,2)=LEFT('112'!$M$9,2),B2003&lt;'112'!$N$8,$L2003='112'!$I$6)),"x",""))</f>
        <v/>
      </c>
      <c r="T2003" s="39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39" t="str">
        <f>IF(OR(TH!L2003=TH!$V$7,M2003=TH!$V$7),"x","")</f>
        <v/>
      </c>
      <c r="W2003" s="39" t="str">
        <f>IF(AND(B2003&gt;='IN-NX'!$P$3,B2003&lt;='IN-NX'!$Q$3,'IN-NX'!$D$7=D2003,OR(LEFT(L2003,2)="15",AND(LEFT(M2003,2)&lt;&gt;"15",LEFT(M2003,2)&lt;&gt;"33"))),"x","")</f>
        <v/>
      </c>
      <c r="X2003" s="39" t="str">
        <f>IF(AND(OR(LEFT(TH!L2003,2)="15",LEFT(TH!M2003,2)="15"),'152-CT'!$J$8=TH!F2003),"x","")</f>
        <v/>
      </c>
      <c r="Y2003" s="39" t="str">
        <f>IF(AND(OR(LEFT(TH!L2003,2)="15",LEFT(TH!M2003,2)="15"),TK!$E$7=TH!F2003),"x","")</f>
        <v/>
      </c>
      <c r="Z2003" s="39" t="str">
        <f>IF(AND(B2003&lt;=NKC!$N$8,B2003&gt;=NKC!$M$8),"x","")</f>
        <v/>
      </c>
      <c r="AA2003" s="886"/>
    </row>
    <row r="2004" spans="1:27" s="211" customFormat="1" ht="15.75" customHeight="1">
      <c r="A2004" s="204" t="str">
        <f>IF(B2004&lt;&gt;"",IF(AND(B2004&gt;=_TM1,B2004&lt;=_TM2,OR(TH!L2004="1111",TH!M2004="1111")),TH!D2004,""),"")</f>
        <v/>
      </c>
      <c r="B2004" s="36">
        <f t="shared" si="264"/>
        <v>11</v>
      </c>
      <c r="C2004" s="191">
        <f t="shared" si="266"/>
        <v>41606</v>
      </c>
      <c r="D2004" s="37"/>
      <c r="E2004" s="774">
        <v>41606</v>
      </c>
      <c r="F2004" s="189" t="s">
        <v>741</v>
      </c>
      <c r="G2004" s="40" t="s">
        <v>1026</v>
      </c>
      <c r="H2004" s="7" t="s">
        <v>1293</v>
      </c>
      <c r="I2004" s="256"/>
      <c r="J2004" s="256"/>
      <c r="K2004" s="602">
        <f t="shared" si="265"/>
        <v>0</v>
      </c>
      <c r="L2004" s="39" t="s">
        <v>173</v>
      </c>
      <c r="M2004" s="39" t="s">
        <v>167</v>
      </c>
      <c r="N2004" s="39" t="str">
        <f>IF(AND('331-CT'!$E$7=TH!H2004,OR(L2004="331",M2004="331")),"331",IF(AND(OR(L2004="131",M2004="131"),H2004='131-CT'!$E$7),"131",""))</f>
        <v/>
      </c>
      <c r="O2004" s="39" t="str">
        <f>IF(AND($B2004&gt;='111'!$N$11,$B2004&lt;='111'!$O$11,OR($L2004=$O$7,$M2004=$O$7)),"x","")</f>
        <v/>
      </c>
      <c r="P2004" s="39" t="str">
        <f>IF(AND($L2004=$O$7,$B2004&lt;'111'!$N$11),"x","")</f>
        <v/>
      </c>
      <c r="Q2004" s="39" t="str">
        <f>IF(AND($M2004=$O$7,$B2004&lt;'111'!$N$11),"x","")</f>
        <v/>
      </c>
      <c r="R2004" s="39" t="str">
        <f>IF(ISERROR(FIND('112'!$M$9,G2004,1)),"",IF((AND(FIND('112'!$M$9,G2004,1)&gt;=1,$B2004&gt;='112'!$N$8,$B2004&lt;='112'!$O$8,OR($L2004='112'!$I$6,$M2004='112'!$I$6))),"x",""))</f>
        <v/>
      </c>
      <c r="S2004" s="39" t="str">
        <f>IF(ISERROR(FIND('112'!$M$9,G2004,1)),"",IF((AND(LEFT(G2004,2)=LEFT('112'!$M$9,2),B2004&lt;'112'!$N$8,$L2004='112'!$I$6)),"x",""))</f>
        <v/>
      </c>
      <c r="T2004" s="39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39" t="str">
        <f>IF(OR(TH!L2004=TH!$V$7,M2004=TH!$V$7),"x","")</f>
        <v/>
      </c>
      <c r="W2004" s="39" t="str">
        <f>IF(AND(B2004&gt;='IN-NX'!$P$3,B2004&lt;='IN-NX'!$Q$3,'IN-NX'!$D$7=D2004,OR(LEFT(L2004,2)="15",AND(LEFT(M2004,2)&lt;&gt;"15",LEFT(M2004,2)&lt;&gt;"33"))),"x","")</f>
        <v/>
      </c>
      <c r="X2004" s="39" t="str">
        <f>IF(AND(OR(LEFT(TH!L2004,2)="15",LEFT(TH!M2004,2)="15"),'152-CT'!$J$8=TH!F2004),"x","")</f>
        <v/>
      </c>
      <c r="Y2004" s="39" t="str">
        <f>IF(AND(OR(LEFT(TH!L2004,2)="15",LEFT(TH!M2004,2)="15"),TK!$E$7=TH!F2004),"x","")</f>
        <v/>
      </c>
      <c r="Z2004" s="39" t="str">
        <f>IF(AND(B2004&lt;=NKC!$N$8,B2004&gt;=NKC!$M$8),"x","")</f>
        <v/>
      </c>
      <c r="AA2004" s="886"/>
    </row>
    <row r="2005" spans="1:27" s="211" customFormat="1" ht="15.75" customHeight="1">
      <c r="A2005" s="204" t="str">
        <f>IF(B2005&lt;&gt;"",IF(AND(B2005&gt;=_TM1,B2005&lt;=_TM2,OR(TH!L2005="1111",TH!M2005="1111")),TH!D2005,""),"")</f>
        <v/>
      </c>
      <c r="B2005" s="36">
        <f t="shared" si="264"/>
        <v>11</v>
      </c>
      <c r="C2005" s="191">
        <f t="shared" si="266"/>
        <v>41606</v>
      </c>
      <c r="D2005" s="37"/>
      <c r="E2005" s="37">
        <v>41606</v>
      </c>
      <c r="F2005" s="40" t="s">
        <v>847</v>
      </c>
      <c r="G2005" s="40" t="s">
        <v>660</v>
      </c>
      <c r="H2005" s="7" t="s">
        <v>1293</v>
      </c>
      <c r="I2005" s="256"/>
      <c r="J2005" s="256"/>
      <c r="K2005" s="602">
        <f t="shared" si="265"/>
        <v>0</v>
      </c>
      <c r="L2005" s="39" t="s">
        <v>173</v>
      </c>
      <c r="M2005" s="39" t="s">
        <v>167</v>
      </c>
      <c r="N2005" s="39" t="str">
        <f>IF(AND('331-CT'!$E$7=TH!H2005,OR(L2005="331",M2005="331")),"331",IF(AND(OR(L2005="131",M2005="131"),H2005='131-CT'!$E$7),"131",""))</f>
        <v/>
      </c>
      <c r="O2005" s="39" t="str">
        <f>IF(AND($B2005&gt;='111'!$N$11,$B2005&lt;='111'!$O$11,OR($L2005=$O$7,$M2005=$O$7)),"x","")</f>
        <v/>
      </c>
      <c r="P2005" s="39" t="str">
        <f>IF(AND($L2005=$O$7,$B2005&lt;'111'!$N$11),"x","")</f>
        <v/>
      </c>
      <c r="Q2005" s="39" t="str">
        <f>IF(AND($M2005=$O$7,$B2005&lt;'111'!$N$11),"x","")</f>
        <v/>
      </c>
      <c r="R2005" s="39" t="str">
        <f>IF(ISERROR(FIND('112'!$M$9,G2005,1)),"",IF((AND(FIND('112'!$M$9,G2005,1)&gt;=1,$B2005&gt;='112'!$N$8,$B2005&lt;='112'!$O$8,OR($L2005='112'!$I$6,$M2005='112'!$I$6))),"x",""))</f>
        <v/>
      </c>
      <c r="S2005" s="39" t="str">
        <f>IF(ISERROR(FIND('112'!$M$9,G2005,1)),"",IF((AND(LEFT(G2005,2)=LEFT('112'!$M$9,2),B2005&lt;'112'!$N$8,$L2005='112'!$I$6)),"x",""))</f>
        <v/>
      </c>
      <c r="T2005" s="39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39" t="str">
        <f>IF(OR(TH!L2005=TH!$V$7,M2005=TH!$V$7),"x","")</f>
        <v/>
      </c>
      <c r="W2005" s="39" t="str">
        <f>IF(AND(B2005&gt;='IN-NX'!$P$3,B2005&lt;='IN-NX'!$Q$3,'IN-NX'!$D$7=D2005,OR(LEFT(L2005,2)="15",AND(LEFT(M2005,2)&lt;&gt;"15",LEFT(M2005,2)&lt;&gt;"33"))),"x","")</f>
        <v/>
      </c>
      <c r="X2005" s="39" t="str">
        <f>IF(AND(OR(LEFT(TH!L2005,2)="15",LEFT(TH!M2005,2)="15"),'152-CT'!$J$8=TH!F2005),"x","")</f>
        <v/>
      </c>
      <c r="Y2005" s="39" t="str">
        <f>IF(AND(OR(LEFT(TH!L2005,2)="15",LEFT(TH!M2005,2)="15"),TK!$E$7=TH!F2005),"x","")</f>
        <v/>
      </c>
      <c r="Z2005" s="39" t="str">
        <f>IF(AND(B2005&lt;=NKC!$N$8,B2005&gt;=NKC!$M$8),"x","")</f>
        <v/>
      </c>
      <c r="AA2005" s="886"/>
    </row>
    <row r="2006" spans="1:27" s="211" customFormat="1" ht="15.75" customHeight="1">
      <c r="A2006" s="204" t="str">
        <f>IF(B2006&lt;&gt;"",IF(AND(B2006&gt;=_TM1,B2006&lt;=_TM2,OR(TH!L2006="1111",TH!M2006="1111")),TH!D2006,""),"")</f>
        <v/>
      </c>
      <c r="B2006" s="36">
        <f t="shared" si="264"/>
        <v>11</v>
      </c>
      <c r="C2006" s="191">
        <f t="shared" si="266"/>
        <v>41608</v>
      </c>
      <c r="D2006" s="37"/>
      <c r="E2006" s="37">
        <v>41608</v>
      </c>
      <c r="F2006" s="40" t="s">
        <v>1010</v>
      </c>
      <c r="G2006" s="40" t="s">
        <v>1027</v>
      </c>
      <c r="H2006" s="7" t="s">
        <v>1293</v>
      </c>
      <c r="I2006" s="256"/>
      <c r="J2006" s="256"/>
      <c r="K2006" s="602">
        <f t="shared" si="265"/>
        <v>0</v>
      </c>
      <c r="L2006" s="39" t="s">
        <v>173</v>
      </c>
      <c r="M2006" s="39" t="s">
        <v>167</v>
      </c>
      <c r="N2006" s="39" t="str">
        <f>IF(AND('331-CT'!$E$7=TH!H2006,OR(L2006="331",M2006="331")),"331",IF(AND(OR(L2006="131",M2006="131"),H2006='131-CT'!$E$7),"131",""))</f>
        <v/>
      </c>
      <c r="O2006" s="39" t="str">
        <f>IF(AND($B2006&gt;='111'!$N$11,$B2006&lt;='111'!$O$11,OR($L2006=$O$7,$M2006=$O$7)),"x","")</f>
        <v/>
      </c>
      <c r="P2006" s="39" t="str">
        <f>IF(AND($L2006=$O$7,$B2006&lt;'111'!$N$11),"x","")</f>
        <v/>
      </c>
      <c r="Q2006" s="39" t="str">
        <f>IF(AND($M2006=$O$7,$B2006&lt;'111'!$N$11),"x","")</f>
        <v/>
      </c>
      <c r="R2006" s="39" t="str">
        <f>IF(ISERROR(FIND('112'!$M$9,G2006,1)),"",IF((AND(FIND('112'!$M$9,G2006,1)&gt;=1,$B2006&gt;='112'!$N$8,$B2006&lt;='112'!$O$8,OR($L2006='112'!$I$6,$M2006='112'!$I$6))),"x",""))</f>
        <v/>
      </c>
      <c r="S2006" s="39" t="str">
        <f>IF(ISERROR(FIND('112'!$M$9,G2006,1)),"",IF((AND(LEFT(G2006,2)=LEFT('112'!$M$9,2),B2006&lt;'112'!$N$8,$L2006='112'!$I$6)),"x",""))</f>
        <v/>
      </c>
      <c r="T2006" s="39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39" t="str">
        <f>IF(OR(TH!L2006=TH!$V$7,M2006=TH!$V$7),"x","")</f>
        <v/>
      </c>
      <c r="W2006" s="39" t="str">
        <f>IF(AND(B2006&gt;='IN-NX'!$P$3,B2006&lt;='IN-NX'!$Q$3,'IN-NX'!$D$7=D2006,OR(LEFT(L2006,2)="15",AND(LEFT(M2006,2)&lt;&gt;"15",LEFT(M2006,2)&lt;&gt;"33"))),"x","")</f>
        <v/>
      </c>
      <c r="X2006" s="39" t="str">
        <f>IF(AND(OR(LEFT(TH!L2006,2)="15",LEFT(TH!M2006,2)="15"),'152-CT'!$J$8=TH!F2006),"x","")</f>
        <v/>
      </c>
      <c r="Y2006" s="39" t="str">
        <f>IF(AND(OR(LEFT(TH!L2006,2)="15",LEFT(TH!M2006,2)="15"),TK!$E$7=TH!F2006),"x","")</f>
        <v/>
      </c>
      <c r="Z2006" s="39" t="str">
        <f>IF(AND(B2006&lt;=NKC!$N$8,B2006&gt;=NKC!$M$8),"x","")</f>
        <v/>
      </c>
      <c r="AA2006" s="886"/>
    </row>
    <row r="2007" spans="1:27" s="211" customFormat="1" ht="15.75" customHeight="1">
      <c r="A2007" s="204" t="str">
        <f>IF(B2007&lt;&gt;"",IF(AND(B2007&gt;=_TM1,B2007&lt;=_TM2,OR(TH!L2007="1111",TH!M2007="1111")),TH!D2007,""),"")</f>
        <v/>
      </c>
      <c r="B2007" s="36">
        <f t="shared" si="264"/>
        <v>11</v>
      </c>
      <c r="C2007" s="191">
        <f t="shared" si="266"/>
        <v>41608</v>
      </c>
      <c r="D2007" s="37"/>
      <c r="E2007" s="184">
        <v>41608</v>
      </c>
      <c r="F2007" s="189" t="s">
        <v>1009</v>
      </c>
      <c r="G2007" s="604" t="s">
        <v>1027</v>
      </c>
      <c r="H2007" s="7" t="s">
        <v>1293</v>
      </c>
      <c r="I2007" s="256"/>
      <c r="J2007" s="256"/>
      <c r="K2007" s="602">
        <f t="shared" si="265"/>
        <v>0</v>
      </c>
      <c r="L2007" s="39" t="s">
        <v>173</v>
      </c>
      <c r="M2007" s="39" t="s">
        <v>167</v>
      </c>
      <c r="N2007" s="39" t="str">
        <f>IF(AND('331-CT'!$E$7=TH!H2007,OR(L2007="331",M2007="331")),"331",IF(AND(OR(L2007="131",M2007="131"),H2007='131-CT'!$E$7),"131",""))</f>
        <v/>
      </c>
      <c r="O2007" s="39" t="str">
        <f>IF(AND($B2007&gt;='111'!$N$11,$B2007&lt;='111'!$O$11,OR($L2007=$O$7,$M2007=$O$7)),"x","")</f>
        <v/>
      </c>
      <c r="P2007" s="39" t="str">
        <f>IF(AND($L2007=$O$7,$B2007&lt;'111'!$N$11),"x","")</f>
        <v/>
      </c>
      <c r="Q2007" s="39" t="str">
        <f>IF(AND($M2007=$O$7,$B2007&lt;'111'!$N$11),"x","")</f>
        <v/>
      </c>
      <c r="R2007" s="39" t="str">
        <f>IF(ISERROR(FIND('112'!$M$9,G2007,1)),"",IF((AND(FIND('112'!$M$9,G2007,1)&gt;=1,$B2007&gt;='112'!$N$8,$B2007&lt;='112'!$O$8,OR($L2007='112'!$I$6,$M2007='112'!$I$6))),"x",""))</f>
        <v/>
      </c>
      <c r="S2007" s="39" t="str">
        <f>IF(ISERROR(FIND('112'!$M$9,G2007,1)),"",IF((AND(LEFT(G2007,2)=LEFT('112'!$M$9,2),B2007&lt;'112'!$N$8,$L2007='112'!$I$6)),"x",""))</f>
        <v/>
      </c>
      <c r="T2007" s="39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39" t="str">
        <f>IF(OR(TH!L2007=TH!$V$7,M2007=TH!$V$7),"x","")</f>
        <v/>
      </c>
      <c r="W2007" s="39" t="str">
        <f>IF(AND(B2007&gt;='IN-NX'!$P$3,B2007&lt;='IN-NX'!$Q$3,'IN-NX'!$D$7=D2007,OR(LEFT(L2007,2)="15",AND(LEFT(M2007,2)&lt;&gt;"15",LEFT(M2007,2)&lt;&gt;"33"))),"x","")</f>
        <v/>
      </c>
      <c r="X2007" s="39" t="str">
        <f>IF(AND(OR(LEFT(TH!L2007,2)="15",LEFT(TH!M2007,2)="15"),'152-CT'!$J$8=TH!F2007),"x","")</f>
        <v/>
      </c>
      <c r="Y2007" s="39" t="str">
        <f>IF(AND(OR(LEFT(TH!L2007,2)="15",LEFT(TH!M2007,2)="15"),TK!$E$7=TH!F2007),"x","")</f>
        <v/>
      </c>
      <c r="Z2007" s="39" t="str">
        <f>IF(AND(B2007&lt;=NKC!$N$8,B2007&gt;=NKC!$M$8),"x","")</f>
        <v/>
      </c>
      <c r="AA2007" s="886"/>
    </row>
    <row r="2008" spans="1:27" s="211" customFormat="1" ht="15.75" customHeight="1">
      <c r="A2008" s="204" t="str">
        <f>IF(B2008&lt;&gt;"",IF(AND(B2008&gt;=_TM1,B2008&lt;=_TM2,OR(TH!L2008="1111",TH!M2008="1111")),TH!D2008,""),"")</f>
        <v/>
      </c>
      <c r="B2008" s="36">
        <f t="shared" si="264"/>
        <v>11</v>
      </c>
      <c r="C2008" s="191">
        <f t="shared" si="266"/>
        <v>41608</v>
      </c>
      <c r="D2008" s="37"/>
      <c r="E2008" s="191">
        <v>41608</v>
      </c>
      <c r="F2008" s="192" t="s">
        <v>1006</v>
      </c>
      <c r="G2008" s="487" t="s">
        <v>1027</v>
      </c>
      <c r="H2008" s="7" t="s">
        <v>1293</v>
      </c>
      <c r="I2008" s="256"/>
      <c r="J2008" s="256"/>
      <c r="K2008" s="602">
        <f t="shared" si="265"/>
        <v>0</v>
      </c>
      <c r="L2008" s="39" t="s">
        <v>173</v>
      </c>
      <c r="M2008" s="39" t="s">
        <v>167</v>
      </c>
      <c r="N2008" s="39" t="str">
        <f>IF(AND('331-CT'!$E$7=TH!H2008,OR(L2008="331",M2008="331")),"331",IF(AND(OR(L2008="131",M2008="131"),H2008='131-CT'!$E$7),"131",""))</f>
        <v/>
      </c>
      <c r="O2008" s="39" t="str">
        <f>IF(AND($B2008&gt;='111'!$N$11,$B2008&lt;='111'!$O$11,OR($L2008=$O$7,$M2008=$O$7)),"x","")</f>
        <v/>
      </c>
      <c r="P2008" s="39" t="str">
        <f>IF(AND($L2008=$O$7,$B2008&lt;'111'!$N$11),"x","")</f>
        <v/>
      </c>
      <c r="Q2008" s="39" t="str">
        <f>IF(AND($M2008=$O$7,$B2008&lt;'111'!$N$11),"x","")</f>
        <v/>
      </c>
      <c r="R2008" s="39" t="str">
        <f>IF(ISERROR(FIND('112'!$M$9,G2008,1)),"",IF((AND(FIND('112'!$M$9,G2008,1)&gt;=1,$B2008&gt;='112'!$N$8,$B2008&lt;='112'!$O$8,OR($L2008='112'!$I$6,$M2008='112'!$I$6))),"x",""))</f>
        <v/>
      </c>
      <c r="S2008" s="39" t="str">
        <f>IF(ISERROR(FIND('112'!$M$9,G2008,1)),"",IF((AND(LEFT(G2008,2)=LEFT('112'!$M$9,2),B2008&lt;'112'!$N$8,$L2008='112'!$I$6)),"x",""))</f>
        <v/>
      </c>
      <c r="T2008" s="39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39" t="str">
        <f>IF(OR(TH!L2008=TH!$V$7,M2008=TH!$V$7),"x","")</f>
        <v/>
      </c>
      <c r="W2008" s="39" t="str">
        <f>IF(AND(B2008&gt;='IN-NX'!$P$3,B2008&lt;='IN-NX'!$Q$3,'IN-NX'!$D$7=D2008,OR(LEFT(L2008,2)="15",AND(LEFT(M2008,2)&lt;&gt;"15",LEFT(M2008,2)&lt;&gt;"33"))),"x","")</f>
        <v/>
      </c>
      <c r="X2008" s="39" t="str">
        <f>IF(AND(OR(LEFT(TH!L2008,2)="15",LEFT(TH!M2008,2)="15"),'152-CT'!$J$8=TH!F2008),"x","")</f>
        <v/>
      </c>
      <c r="Y2008" s="39" t="str">
        <f>IF(AND(OR(LEFT(TH!L2008,2)="15",LEFT(TH!M2008,2)="15"),TK!$E$7=TH!F2008),"x","")</f>
        <v/>
      </c>
      <c r="Z2008" s="39" t="str">
        <f>IF(AND(B2008&lt;=NKC!$N$8,B2008&gt;=NKC!$M$8),"x","")</f>
        <v/>
      </c>
      <c r="AA2008" s="886"/>
    </row>
    <row r="2009" spans="1:27" s="211" customFormat="1" ht="15.75" customHeight="1">
      <c r="A2009" s="204" t="str">
        <f>IF(B2009&lt;&gt;"",IF(AND(B2009&gt;=_TM1,B2009&lt;=_TM2,OR(TH!L2009="1111",TH!M2009="1111")),TH!D2009,""),"")</f>
        <v/>
      </c>
      <c r="B2009" s="36">
        <f t="shared" si="264"/>
        <v>11</v>
      </c>
      <c r="C2009" s="191">
        <f t="shared" si="266"/>
        <v>41608</v>
      </c>
      <c r="D2009" s="37"/>
      <c r="E2009" s="191">
        <v>41608</v>
      </c>
      <c r="F2009" s="192" t="s">
        <v>1028</v>
      </c>
      <c r="G2009" s="487" t="s">
        <v>1029</v>
      </c>
      <c r="H2009" s="7" t="s">
        <v>1293</v>
      </c>
      <c r="I2009" s="256"/>
      <c r="J2009" s="256"/>
      <c r="K2009" s="602">
        <f t="shared" si="265"/>
        <v>0</v>
      </c>
      <c r="L2009" s="39" t="s">
        <v>173</v>
      </c>
      <c r="M2009" s="39" t="s">
        <v>167</v>
      </c>
      <c r="N2009" s="39" t="str">
        <f>IF(AND('331-CT'!$E$7=TH!H2009,OR(L2009="331",M2009="331")),"331",IF(AND(OR(L2009="131",M2009="131"),H2009='131-CT'!$E$7),"131",""))</f>
        <v/>
      </c>
      <c r="O2009" s="39" t="str">
        <f>IF(AND($B2009&gt;='111'!$N$11,$B2009&lt;='111'!$O$11,OR($L2009=$O$7,$M2009=$O$7)),"x","")</f>
        <v/>
      </c>
      <c r="P2009" s="39" t="str">
        <f>IF(AND($L2009=$O$7,$B2009&lt;'111'!$N$11),"x","")</f>
        <v/>
      </c>
      <c r="Q2009" s="39" t="str">
        <f>IF(AND($M2009=$O$7,$B2009&lt;'111'!$N$11),"x","")</f>
        <v/>
      </c>
      <c r="R2009" s="39" t="str">
        <f>IF(ISERROR(FIND('112'!$M$9,G2009,1)),"",IF((AND(FIND('112'!$M$9,G2009,1)&gt;=1,$B2009&gt;='112'!$N$8,$B2009&lt;='112'!$O$8,OR($L2009='112'!$I$6,$M2009='112'!$I$6))),"x",""))</f>
        <v/>
      </c>
      <c r="S2009" s="39" t="str">
        <f>IF(ISERROR(FIND('112'!$M$9,G2009,1)),"",IF((AND(LEFT(G2009,2)=LEFT('112'!$M$9,2),B2009&lt;'112'!$N$8,$L2009='112'!$I$6)),"x",""))</f>
        <v/>
      </c>
      <c r="T2009" s="39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39" t="str">
        <f>IF(OR(TH!L2009=TH!$V$7,M2009=TH!$V$7),"x","")</f>
        <v/>
      </c>
      <c r="W2009" s="39" t="str">
        <f>IF(AND(B2009&gt;='IN-NX'!$P$3,B2009&lt;='IN-NX'!$Q$3,'IN-NX'!$D$7=D2009,OR(LEFT(L2009,2)="15",AND(LEFT(M2009,2)&lt;&gt;"15",LEFT(M2009,2)&lt;&gt;"33"))),"x","")</f>
        <v/>
      </c>
      <c r="X2009" s="39" t="str">
        <f>IF(AND(OR(LEFT(TH!L2009,2)="15",LEFT(TH!M2009,2)="15"),'152-CT'!$J$8=TH!F2009),"x","")</f>
        <v/>
      </c>
      <c r="Y2009" s="39" t="str">
        <f>IF(AND(OR(LEFT(TH!L2009,2)="15",LEFT(TH!M2009,2)="15"),TK!$E$7=TH!F2009),"x","")</f>
        <v/>
      </c>
      <c r="Z2009" s="39" t="str">
        <f>IF(AND(B2009&lt;=NKC!$N$8,B2009&gt;=NKC!$M$8),"x","")</f>
        <v/>
      </c>
      <c r="AA2009" s="886"/>
    </row>
    <row r="2010" spans="1:27" s="211" customFormat="1" ht="15.75" customHeight="1">
      <c r="A2010" s="204" t="str">
        <f>IF(B2010&lt;&gt;"",IF(AND(B2010&gt;=_TM1,B2010&lt;=_TM2,OR(TH!L2010="1111",TH!M2010="1111")),TH!D2010,""),"")</f>
        <v/>
      </c>
      <c r="B2010" s="36">
        <f t="shared" si="264"/>
        <v>12</v>
      </c>
      <c r="C2010" s="191">
        <f t="shared" si="266"/>
        <v>41612</v>
      </c>
      <c r="D2010" s="37"/>
      <c r="E2010" s="191">
        <v>41612</v>
      </c>
      <c r="F2010" s="192" t="s">
        <v>838</v>
      </c>
      <c r="G2010" s="487" t="s">
        <v>1030</v>
      </c>
      <c r="H2010" s="7" t="s">
        <v>1293</v>
      </c>
      <c r="I2010" s="256"/>
      <c r="J2010" s="256"/>
      <c r="K2010" s="602">
        <f t="shared" si="265"/>
        <v>0</v>
      </c>
      <c r="L2010" s="39" t="s">
        <v>173</v>
      </c>
      <c r="M2010" s="39" t="s">
        <v>167</v>
      </c>
      <c r="N2010" s="39" t="str">
        <f>IF(AND('331-CT'!$E$7=TH!H2010,OR(L2010="331",M2010="331")),"331",IF(AND(OR(L2010="131",M2010="131"),H2010='131-CT'!$E$7),"131",""))</f>
        <v/>
      </c>
      <c r="O2010" s="39" t="str">
        <f>IF(AND($B2010&gt;='111'!$N$11,$B2010&lt;='111'!$O$11,OR($L2010=$O$7,$M2010=$O$7)),"x","")</f>
        <v/>
      </c>
      <c r="P2010" s="39" t="str">
        <f>IF(AND($L2010=$O$7,$B2010&lt;'111'!$N$11),"x","")</f>
        <v/>
      </c>
      <c r="Q2010" s="39" t="str">
        <f>IF(AND($M2010=$O$7,$B2010&lt;'111'!$N$11),"x","")</f>
        <v/>
      </c>
      <c r="R2010" s="39" t="str">
        <f>IF(ISERROR(FIND('112'!$M$9,G2010,1)),"",IF((AND(FIND('112'!$M$9,G2010,1)&gt;=1,$B2010&gt;='112'!$N$8,$B2010&lt;='112'!$O$8,OR($L2010='112'!$I$6,$M2010='112'!$I$6))),"x",""))</f>
        <v/>
      </c>
      <c r="S2010" s="39" t="str">
        <f>IF(ISERROR(FIND('112'!$M$9,G2010,1)),"",IF((AND(LEFT(G2010,2)=LEFT('112'!$M$9,2),B2010&lt;'112'!$N$8,$L2010='112'!$I$6)),"x",""))</f>
        <v/>
      </c>
      <c r="T2010" s="39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39" t="str">
        <f>IF(OR(TH!L2010=TH!$V$7,M2010=TH!$V$7),"x","")</f>
        <v/>
      </c>
      <c r="W2010" s="39" t="str">
        <f>IF(AND(B2010&gt;='IN-NX'!$P$3,B2010&lt;='IN-NX'!$Q$3,'IN-NX'!$D$7=D2010,OR(LEFT(L2010,2)="15",AND(LEFT(M2010,2)&lt;&gt;"15",LEFT(M2010,2)&lt;&gt;"33"))),"x","")</f>
        <v/>
      </c>
      <c r="X2010" s="39" t="str">
        <f>IF(AND(OR(LEFT(TH!L2010,2)="15",LEFT(TH!M2010,2)="15"),'152-CT'!$J$8=TH!F2010),"x","")</f>
        <v/>
      </c>
      <c r="Y2010" s="39" t="str">
        <f>IF(AND(OR(LEFT(TH!L2010,2)="15",LEFT(TH!M2010,2)="15"),TK!$E$7=TH!F2010),"x","")</f>
        <v/>
      </c>
      <c r="Z2010" s="39" t="str">
        <f>IF(AND(B2010&lt;=NKC!$N$8,B2010&gt;=NKC!$M$8),"x","")</f>
        <v/>
      </c>
      <c r="AA2010" s="886"/>
    </row>
    <row r="2011" spans="1:27" s="211" customFormat="1" ht="15.75" customHeight="1">
      <c r="A2011" s="204" t="str">
        <f>IF(B2011&lt;&gt;"",IF(AND(B2011&gt;=_TM1,B2011&lt;=_TM2,OR(TH!L2011="1111",TH!M2011="1111")),TH!D2011,""),"")</f>
        <v/>
      </c>
      <c r="B2011" s="36">
        <f t="shared" si="264"/>
        <v>12</v>
      </c>
      <c r="C2011" s="191">
        <f t="shared" si="266"/>
        <v>41612</v>
      </c>
      <c r="D2011" s="37"/>
      <c r="E2011" s="191">
        <v>41612</v>
      </c>
      <c r="F2011" s="192" t="s">
        <v>838</v>
      </c>
      <c r="G2011" s="487" t="s">
        <v>1030</v>
      </c>
      <c r="H2011" s="7" t="s">
        <v>1293</v>
      </c>
      <c r="I2011" s="256"/>
      <c r="J2011" s="256"/>
      <c r="K2011" s="602">
        <f t="shared" si="265"/>
        <v>0</v>
      </c>
      <c r="L2011" s="39" t="s">
        <v>173</v>
      </c>
      <c r="M2011" s="39" t="s">
        <v>167</v>
      </c>
      <c r="N2011" s="39" t="str">
        <f>IF(AND('331-CT'!$E$7=TH!H2011,OR(L2011="331",M2011="331")),"331",IF(AND(OR(L2011="131",M2011="131"),H2011='131-CT'!$E$7),"131",""))</f>
        <v/>
      </c>
      <c r="O2011" s="39" t="str">
        <f>IF(AND($B2011&gt;='111'!$N$11,$B2011&lt;='111'!$O$11,OR($L2011=$O$7,$M2011=$O$7)),"x","")</f>
        <v/>
      </c>
      <c r="P2011" s="39" t="str">
        <f>IF(AND($L2011=$O$7,$B2011&lt;'111'!$N$11),"x","")</f>
        <v/>
      </c>
      <c r="Q2011" s="39" t="str">
        <f>IF(AND($M2011=$O$7,$B2011&lt;'111'!$N$11),"x","")</f>
        <v/>
      </c>
      <c r="R2011" s="39" t="str">
        <f>IF(ISERROR(FIND('112'!$M$9,G2011,1)),"",IF((AND(FIND('112'!$M$9,G2011,1)&gt;=1,$B2011&gt;='112'!$N$8,$B2011&lt;='112'!$O$8,OR($L2011='112'!$I$6,$M2011='112'!$I$6))),"x",""))</f>
        <v/>
      </c>
      <c r="S2011" s="39" t="str">
        <f>IF(ISERROR(FIND('112'!$M$9,G2011,1)),"",IF((AND(LEFT(G2011,2)=LEFT('112'!$M$9,2),B2011&lt;'112'!$N$8,$L2011='112'!$I$6)),"x",""))</f>
        <v/>
      </c>
      <c r="T2011" s="39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39" t="str">
        <f>IF(OR(TH!L2011=TH!$V$7,M2011=TH!$V$7),"x","")</f>
        <v/>
      </c>
      <c r="W2011" s="39" t="str">
        <f>IF(AND(B2011&gt;='IN-NX'!$P$3,B2011&lt;='IN-NX'!$Q$3,'IN-NX'!$D$7=D2011,OR(LEFT(L2011,2)="15",AND(LEFT(M2011,2)&lt;&gt;"15",LEFT(M2011,2)&lt;&gt;"33"))),"x","")</f>
        <v/>
      </c>
      <c r="X2011" s="39" t="str">
        <f>IF(AND(OR(LEFT(TH!L2011,2)="15",LEFT(TH!M2011,2)="15"),'152-CT'!$J$8=TH!F2011),"x","")</f>
        <v/>
      </c>
      <c r="Y2011" s="39" t="str">
        <f>IF(AND(OR(LEFT(TH!L2011,2)="15",LEFT(TH!M2011,2)="15"),TK!$E$7=TH!F2011),"x","")</f>
        <v/>
      </c>
      <c r="Z2011" s="39" t="str">
        <f>IF(AND(B2011&lt;=NKC!$N$8,B2011&gt;=NKC!$M$8),"x","")</f>
        <v/>
      </c>
      <c r="AA2011" s="886"/>
    </row>
    <row r="2012" spans="1:27" s="211" customFormat="1" ht="15.75" customHeight="1">
      <c r="A2012" s="204" t="str">
        <f>IF(B2012&lt;&gt;"",IF(AND(B2012&gt;=_TM1,B2012&lt;=_TM2,OR(TH!L2012="1111",TH!M2012="1111")),TH!D2012,""),"")</f>
        <v/>
      </c>
      <c r="B2012" s="36">
        <f t="shared" si="264"/>
        <v>12</v>
      </c>
      <c r="C2012" s="191">
        <f t="shared" si="266"/>
        <v>41613</v>
      </c>
      <c r="D2012" s="37"/>
      <c r="E2012" s="191">
        <v>41613</v>
      </c>
      <c r="F2012" s="192" t="s">
        <v>885</v>
      </c>
      <c r="G2012" s="487" t="s">
        <v>1031</v>
      </c>
      <c r="H2012" s="7" t="s">
        <v>1293</v>
      </c>
      <c r="I2012" s="256"/>
      <c r="J2012" s="256"/>
      <c r="K2012" s="602">
        <f t="shared" si="265"/>
        <v>0</v>
      </c>
      <c r="L2012" s="39" t="s">
        <v>173</v>
      </c>
      <c r="M2012" s="39" t="s">
        <v>167</v>
      </c>
      <c r="N2012" s="39" t="str">
        <f>IF(AND('331-CT'!$E$7=TH!H2012,OR(L2012="331",M2012="331")),"331",IF(AND(OR(L2012="131",M2012="131"),H2012='131-CT'!$E$7),"131",""))</f>
        <v/>
      </c>
      <c r="O2012" s="39" t="str">
        <f>IF(AND($B2012&gt;='111'!$N$11,$B2012&lt;='111'!$O$11,OR($L2012=$O$7,$M2012=$O$7)),"x","")</f>
        <v/>
      </c>
      <c r="P2012" s="39" t="str">
        <f>IF(AND($L2012=$O$7,$B2012&lt;'111'!$N$11),"x","")</f>
        <v/>
      </c>
      <c r="Q2012" s="39" t="str">
        <f>IF(AND($M2012=$O$7,$B2012&lt;'111'!$N$11),"x","")</f>
        <v/>
      </c>
      <c r="R2012" s="39" t="str">
        <f>IF(ISERROR(FIND('112'!$M$9,G2012,1)),"",IF((AND(FIND('112'!$M$9,G2012,1)&gt;=1,$B2012&gt;='112'!$N$8,$B2012&lt;='112'!$O$8,OR($L2012='112'!$I$6,$M2012='112'!$I$6))),"x",""))</f>
        <v/>
      </c>
      <c r="S2012" s="39" t="str">
        <f>IF(ISERROR(FIND('112'!$M$9,G2012,1)),"",IF((AND(LEFT(G2012,2)=LEFT('112'!$M$9,2),B2012&lt;'112'!$N$8,$L2012='112'!$I$6)),"x",""))</f>
        <v/>
      </c>
      <c r="T2012" s="39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39" t="str">
        <f>IF(OR(TH!L2012=TH!$V$7,M2012=TH!$V$7),"x","")</f>
        <v/>
      </c>
      <c r="W2012" s="39" t="str">
        <f>IF(AND(B2012&gt;='IN-NX'!$P$3,B2012&lt;='IN-NX'!$Q$3,'IN-NX'!$D$7=D2012,OR(LEFT(L2012,2)="15",AND(LEFT(M2012,2)&lt;&gt;"15",LEFT(M2012,2)&lt;&gt;"33"))),"x","")</f>
        <v/>
      </c>
      <c r="X2012" s="39" t="str">
        <f>IF(AND(OR(LEFT(TH!L2012,2)="15",LEFT(TH!M2012,2)="15"),'152-CT'!$J$8=TH!F2012),"x","")</f>
        <v/>
      </c>
      <c r="Y2012" s="39" t="str">
        <f>IF(AND(OR(LEFT(TH!L2012,2)="15",LEFT(TH!M2012,2)="15"),TK!$E$7=TH!F2012),"x","")</f>
        <v/>
      </c>
      <c r="Z2012" s="39" t="str">
        <f>IF(AND(B2012&lt;=NKC!$N$8,B2012&gt;=NKC!$M$8),"x","")</f>
        <v/>
      </c>
      <c r="AA2012" s="886"/>
    </row>
    <row r="2013" spans="1:27" s="211" customFormat="1" ht="15.75" customHeight="1">
      <c r="A2013" s="204" t="str">
        <f>IF(B2013&lt;&gt;"",IF(AND(B2013&gt;=_TM1,B2013&lt;=_TM2,OR(TH!L2013="1111",TH!M2013="1111")),TH!D2013,""),"")</f>
        <v/>
      </c>
      <c r="B2013" s="36">
        <f t="shared" si="264"/>
        <v>12</v>
      </c>
      <c r="C2013" s="191">
        <f t="shared" si="266"/>
        <v>41613</v>
      </c>
      <c r="D2013" s="37"/>
      <c r="E2013" s="191">
        <v>41613</v>
      </c>
      <c r="F2013" s="192" t="s">
        <v>843</v>
      </c>
      <c r="G2013" s="487" t="s">
        <v>1031</v>
      </c>
      <c r="H2013" s="7" t="s">
        <v>1293</v>
      </c>
      <c r="I2013" s="256"/>
      <c r="J2013" s="256"/>
      <c r="K2013" s="602">
        <f t="shared" si="265"/>
        <v>0</v>
      </c>
      <c r="L2013" s="39" t="s">
        <v>173</v>
      </c>
      <c r="M2013" s="39" t="s">
        <v>167</v>
      </c>
      <c r="N2013" s="39" t="str">
        <f>IF(AND('331-CT'!$E$7=TH!H2013,OR(L2013="331",M2013="331")),"331",IF(AND(OR(L2013="131",M2013="131"),H2013='131-CT'!$E$7),"131",""))</f>
        <v/>
      </c>
      <c r="O2013" s="39" t="str">
        <f>IF(AND($B2013&gt;='111'!$N$11,$B2013&lt;='111'!$O$11,OR($L2013=$O$7,$M2013=$O$7)),"x","")</f>
        <v/>
      </c>
      <c r="P2013" s="39" t="str">
        <f>IF(AND($L2013=$O$7,$B2013&lt;'111'!$N$11),"x","")</f>
        <v/>
      </c>
      <c r="Q2013" s="39" t="str">
        <f>IF(AND($M2013=$O$7,$B2013&lt;'111'!$N$11),"x","")</f>
        <v/>
      </c>
      <c r="R2013" s="39" t="str">
        <f>IF(ISERROR(FIND('112'!$M$9,G2013,1)),"",IF((AND(FIND('112'!$M$9,G2013,1)&gt;=1,$B2013&gt;='112'!$N$8,$B2013&lt;='112'!$O$8,OR($L2013='112'!$I$6,$M2013='112'!$I$6))),"x",""))</f>
        <v/>
      </c>
      <c r="S2013" s="39" t="str">
        <f>IF(ISERROR(FIND('112'!$M$9,G2013,1)),"",IF((AND(LEFT(G2013,2)=LEFT('112'!$M$9,2),B2013&lt;'112'!$N$8,$L2013='112'!$I$6)),"x",""))</f>
        <v/>
      </c>
      <c r="T2013" s="39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39" t="str">
        <f>IF(OR(TH!L2013=TH!$V$7,M2013=TH!$V$7),"x","")</f>
        <v/>
      </c>
      <c r="W2013" s="39" t="str">
        <f>IF(AND(B2013&gt;='IN-NX'!$P$3,B2013&lt;='IN-NX'!$Q$3,'IN-NX'!$D$7=D2013,OR(LEFT(L2013,2)="15",AND(LEFT(M2013,2)&lt;&gt;"15",LEFT(M2013,2)&lt;&gt;"33"))),"x","")</f>
        <v/>
      </c>
      <c r="X2013" s="39" t="str">
        <f>IF(AND(OR(LEFT(TH!L2013,2)="15",LEFT(TH!M2013,2)="15"),'152-CT'!$J$8=TH!F2013),"x","")</f>
        <v/>
      </c>
      <c r="Y2013" s="39" t="str">
        <f>IF(AND(OR(LEFT(TH!L2013,2)="15",LEFT(TH!M2013,2)="15"),TK!$E$7=TH!F2013),"x","")</f>
        <v/>
      </c>
      <c r="Z2013" s="39" t="str">
        <f>IF(AND(B2013&lt;=NKC!$N$8,B2013&gt;=NKC!$M$8),"x","")</f>
        <v/>
      </c>
      <c r="AA2013" s="886"/>
    </row>
    <row r="2014" spans="1:27" s="211" customFormat="1" ht="15.75" customHeight="1">
      <c r="A2014" s="204" t="str">
        <f>IF(B2014&lt;&gt;"",IF(AND(B2014&gt;=_TM1,B2014&lt;=_TM2,OR(TH!L2014="1111",TH!M2014="1111")),TH!D2014,""),"")</f>
        <v/>
      </c>
      <c r="B2014" s="36">
        <f t="shared" si="264"/>
        <v>12</v>
      </c>
      <c r="C2014" s="191">
        <f t="shared" si="266"/>
        <v>41615</v>
      </c>
      <c r="D2014" s="37"/>
      <c r="E2014" s="191">
        <v>41615</v>
      </c>
      <c r="F2014" s="192" t="s">
        <v>1150</v>
      </c>
      <c r="G2014" s="487" t="s">
        <v>662</v>
      </c>
      <c r="H2014" s="7" t="s">
        <v>1293</v>
      </c>
      <c r="I2014" s="256"/>
      <c r="J2014" s="256"/>
      <c r="K2014" s="602">
        <f t="shared" si="265"/>
        <v>0</v>
      </c>
      <c r="L2014" s="39" t="s">
        <v>173</v>
      </c>
      <c r="M2014" s="39" t="s">
        <v>167</v>
      </c>
      <c r="N2014" s="39" t="str">
        <f>IF(AND('331-CT'!$E$7=TH!H2014,OR(L2014="331",M2014="331")),"331",IF(AND(OR(L2014="131",M2014="131"),H2014='131-CT'!$E$7),"131",""))</f>
        <v/>
      </c>
      <c r="O2014" s="39" t="str">
        <f>IF(AND($B2014&gt;='111'!$N$11,$B2014&lt;='111'!$O$11,OR($L2014=$O$7,$M2014=$O$7)),"x","")</f>
        <v/>
      </c>
      <c r="P2014" s="39" t="str">
        <f>IF(AND($L2014=$O$7,$B2014&lt;'111'!$N$11),"x","")</f>
        <v/>
      </c>
      <c r="Q2014" s="39" t="str">
        <f>IF(AND($M2014=$O$7,$B2014&lt;'111'!$N$11),"x","")</f>
        <v/>
      </c>
      <c r="R2014" s="39" t="str">
        <f>IF(ISERROR(FIND('112'!$M$9,G2014,1)),"",IF((AND(FIND('112'!$M$9,G2014,1)&gt;=1,$B2014&gt;='112'!$N$8,$B2014&lt;='112'!$O$8,OR($L2014='112'!$I$6,$M2014='112'!$I$6))),"x",""))</f>
        <v/>
      </c>
      <c r="S2014" s="39" t="str">
        <f>IF(ISERROR(FIND('112'!$M$9,G2014,1)),"",IF((AND(LEFT(G2014,2)=LEFT('112'!$M$9,2),B2014&lt;'112'!$N$8,$L2014='112'!$I$6)),"x",""))</f>
        <v/>
      </c>
      <c r="T2014" s="39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39" t="str">
        <f>IF(OR(TH!L2014=TH!$V$7,M2014=TH!$V$7),"x","")</f>
        <v/>
      </c>
      <c r="W2014" s="39" t="str">
        <f>IF(AND(B2014&gt;='IN-NX'!$P$3,B2014&lt;='IN-NX'!$Q$3,'IN-NX'!$D$7=D2014,OR(LEFT(L2014,2)="15",AND(LEFT(M2014,2)&lt;&gt;"15",LEFT(M2014,2)&lt;&gt;"33"))),"x","")</f>
        <v/>
      </c>
      <c r="X2014" s="39" t="str">
        <f>IF(AND(OR(LEFT(TH!L2014,2)="15",LEFT(TH!M2014,2)="15"),'152-CT'!$J$8=TH!F2014),"x","")</f>
        <v/>
      </c>
      <c r="Y2014" s="39" t="str">
        <f>IF(AND(OR(LEFT(TH!L2014,2)="15",LEFT(TH!M2014,2)="15"),TK!$E$7=TH!F2014),"x","")</f>
        <v/>
      </c>
      <c r="Z2014" s="39" t="str">
        <f>IF(AND(B2014&lt;=NKC!$N$8,B2014&gt;=NKC!$M$8),"x","")</f>
        <v/>
      </c>
      <c r="AA2014" s="886"/>
    </row>
    <row r="2015" spans="1:27" s="211" customFormat="1" ht="15.75" customHeight="1">
      <c r="A2015" s="204" t="str">
        <f>IF(B2015&lt;&gt;"",IF(AND(B2015&gt;=_TM1,B2015&lt;=_TM2,OR(TH!L2015="1111",TH!M2015="1111")),TH!D2015,""),"")</f>
        <v/>
      </c>
      <c r="B2015" s="36">
        <f t="shared" si="264"/>
        <v>12</v>
      </c>
      <c r="C2015" s="191">
        <f t="shared" si="266"/>
        <v>41620</v>
      </c>
      <c r="D2015" s="37"/>
      <c r="E2015" s="191">
        <v>41620</v>
      </c>
      <c r="F2015" s="192" t="s">
        <v>1142</v>
      </c>
      <c r="G2015" s="487" t="s">
        <v>1032</v>
      </c>
      <c r="H2015" s="7" t="s">
        <v>1293</v>
      </c>
      <c r="I2015" s="256"/>
      <c r="J2015" s="256"/>
      <c r="K2015" s="602">
        <f t="shared" si="265"/>
        <v>0</v>
      </c>
      <c r="L2015" s="39" t="s">
        <v>173</v>
      </c>
      <c r="M2015" s="39" t="s">
        <v>167</v>
      </c>
      <c r="N2015" s="39" t="str">
        <f>IF(AND('331-CT'!$E$7=TH!H2015,OR(L2015="331",M2015="331")),"331",IF(AND(OR(L2015="131",M2015="131"),H2015='131-CT'!$E$7),"131",""))</f>
        <v/>
      </c>
      <c r="O2015" s="39" t="str">
        <f>IF(AND($B2015&gt;='111'!$N$11,$B2015&lt;='111'!$O$11,OR($L2015=$O$7,$M2015=$O$7)),"x","")</f>
        <v/>
      </c>
      <c r="P2015" s="39" t="str">
        <f>IF(AND($L2015=$O$7,$B2015&lt;'111'!$N$11),"x","")</f>
        <v/>
      </c>
      <c r="Q2015" s="39" t="str">
        <f>IF(AND($M2015=$O$7,$B2015&lt;'111'!$N$11),"x","")</f>
        <v/>
      </c>
      <c r="R2015" s="39" t="str">
        <f>IF(ISERROR(FIND('112'!$M$9,G2015,1)),"",IF((AND(FIND('112'!$M$9,G2015,1)&gt;=1,$B2015&gt;='112'!$N$8,$B2015&lt;='112'!$O$8,OR($L2015='112'!$I$6,$M2015='112'!$I$6))),"x",""))</f>
        <v/>
      </c>
      <c r="S2015" s="39" t="str">
        <f>IF(ISERROR(FIND('112'!$M$9,G2015,1)),"",IF((AND(LEFT(G2015,2)=LEFT('112'!$M$9,2),B2015&lt;'112'!$N$8,$L2015='112'!$I$6)),"x",""))</f>
        <v/>
      </c>
      <c r="T2015" s="39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39" t="str">
        <f>IF(OR(TH!L2015=TH!$V$7,M2015=TH!$V$7),"x","")</f>
        <v/>
      </c>
      <c r="W2015" s="39" t="str">
        <f>IF(AND(B2015&gt;='IN-NX'!$P$3,B2015&lt;='IN-NX'!$Q$3,'IN-NX'!$D$7=D2015,OR(LEFT(L2015,2)="15",AND(LEFT(M2015,2)&lt;&gt;"15",LEFT(M2015,2)&lt;&gt;"33"))),"x","")</f>
        <v/>
      </c>
      <c r="X2015" s="39" t="str">
        <f>IF(AND(OR(LEFT(TH!L2015,2)="15",LEFT(TH!M2015,2)="15"),'152-CT'!$J$8=TH!F2015),"x","")</f>
        <v/>
      </c>
      <c r="Y2015" s="39" t="str">
        <f>IF(AND(OR(LEFT(TH!L2015,2)="15",LEFT(TH!M2015,2)="15"),TK!$E$7=TH!F2015),"x","")</f>
        <v/>
      </c>
      <c r="Z2015" s="39" t="str">
        <f>IF(AND(B2015&lt;=NKC!$N$8,B2015&gt;=NKC!$M$8),"x","")</f>
        <v/>
      </c>
      <c r="AA2015" s="886"/>
    </row>
    <row r="2016" spans="1:27" s="211" customFormat="1" ht="15.75" customHeight="1">
      <c r="A2016" s="204" t="str">
        <f>IF(B2016&lt;&gt;"",IF(AND(B2016&gt;=_TM1,B2016&lt;=_TM2,OR(TH!L2016="1111",TH!M2016="1111")),TH!D2016,""),"")</f>
        <v/>
      </c>
      <c r="B2016" s="36">
        <f t="shared" si="264"/>
        <v>12</v>
      </c>
      <c r="C2016" s="191">
        <f t="shared" si="266"/>
        <v>41622</v>
      </c>
      <c r="D2016" s="37"/>
      <c r="E2016" s="191">
        <v>41622</v>
      </c>
      <c r="F2016" s="192" t="s">
        <v>1152</v>
      </c>
      <c r="G2016" s="487" t="s">
        <v>1033</v>
      </c>
      <c r="H2016" s="7" t="s">
        <v>1293</v>
      </c>
      <c r="I2016" s="256"/>
      <c r="J2016" s="256"/>
      <c r="K2016" s="602">
        <f t="shared" si="265"/>
        <v>0</v>
      </c>
      <c r="L2016" s="39" t="s">
        <v>173</v>
      </c>
      <c r="M2016" s="39" t="s">
        <v>167</v>
      </c>
      <c r="N2016" s="39" t="str">
        <f>IF(AND('331-CT'!$E$7=TH!H2016,OR(L2016="331",M2016="331")),"331",IF(AND(OR(L2016="131",M2016="131"),H2016='131-CT'!$E$7),"131",""))</f>
        <v/>
      </c>
      <c r="O2016" s="39" t="str">
        <f>IF(AND($B2016&gt;='111'!$N$11,$B2016&lt;='111'!$O$11,OR($L2016=$O$7,$M2016=$O$7)),"x","")</f>
        <v/>
      </c>
      <c r="P2016" s="39" t="str">
        <f>IF(AND($L2016=$O$7,$B2016&lt;'111'!$N$11),"x","")</f>
        <v/>
      </c>
      <c r="Q2016" s="39" t="str">
        <f>IF(AND($M2016=$O$7,$B2016&lt;'111'!$N$11),"x","")</f>
        <v/>
      </c>
      <c r="R2016" s="39" t="str">
        <f>IF(ISERROR(FIND('112'!$M$9,G2016,1)),"",IF((AND(FIND('112'!$M$9,G2016,1)&gt;=1,$B2016&gt;='112'!$N$8,$B2016&lt;='112'!$O$8,OR($L2016='112'!$I$6,$M2016='112'!$I$6))),"x",""))</f>
        <v/>
      </c>
      <c r="S2016" s="39" t="str">
        <f>IF(ISERROR(FIND('112'!$M$9,G2016,1)),"",IF((AND(LEFT(G2016,2)=LEFT('112'!$M$9,2),B2016&lt;'112'!$N$8,$L2016='112'!$I$6)),"x",""))</f>
        <v/>
      </c>
      <c r="T2016" s="39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39" t="str">
        <f>IF(OR(TH!L2016=TH!$V$7,M2016=TH!$V$7),"x","")</f>
        <v/>
      </c>
      <c r="W2016" s="39" t="str">
        <f>IF(AND(B2016&gt;='IN-NX'!$P$3,B2016&lt;='IN-NX'!$Q$3,'IN-NX'!$D$7=D2016,OR(LEFT(L2016,2)="15",AND(LEFT(M2016,2)&lt;&gt;"15",LEFT(M2016,2)&lt;&gt;"33"))),"x","")</f>
        <v/>
      </c>
      <c r="X2016" s="39" t="str">
        <f>IF(AND(OR(LEFT(TH!L2016,2)="15",LEFT(TH!M2016,2)="15"),'152-CT'!$J$8=TH!F2016),"x","")</f>
        <v/>
      </c>
      <c r="Y2016" s="39" t="str">
        <f>IF(AND(OR(LEFT(TH!L2016,2)="15",LEFT(TH!M2016,2)="15"),TK!$E$7=TH!F2016),"x","")</f>
        <v/>
      </c>
      <c r="Z2016" s="39" t="str">
        <f>IF(AND(B2016&lt;=NKC!$N$8,B2016&gt;=NKC!$M$8),"x","")</f>
        <v/>
      </c>
      <c r="AA2016" s="886"/>
    </row>
    <row r="2017" spans="1:27" s="211" customFormat="1" ht="15.75" customHeight="1">
      <c r="A2017" s="204" t="str">
        <f>IF(B2017&lt;&gt;"",IF(AND(B2017&gt;=_TM1,B2017&lt;=_TM2,OR(TH!L2017="1111",TH!M2017="1111")),TH!D2017,""),"")</f>
        <v/>
      </c>
      <c r="B2017" s="36">
        <f t="shared" ref="B2017:B2034" si="267">IF(C2017&lt;&gt;"",MONTH(C2017),"")</f>
        <v>12</v>
      </c>
      <c r="C2017" s="191">
        <f t="shared" si="266"/>
        <v>41624</v>
      </c>
      <c r="D2017" s="37"/>
      <c r="E2017" s="191">
        <v>41624</v>
      </c>
      <c r="F2017" s="192" t="s">
        <v>838</v>
      </c>
      <c r="G2017" s="487" t="s">
        <v>1034</v>
      </c>
      <c r="H2017" s="7" t="s">
        <v>1293</v>
      </c>
      <c r="I2017" s="256"/>
      <c r="J2017" s="256"/>
      <c r="K2017" s="602">
        <f t="shared" si="265"/>
        <v>0</v>
      </c>
      <c r="L2017" s="39" t="s">
        <v>173</v>
      </c>
      <c r="M2017" s="39" t="s">
        <v>167</v>
      </c>
      <c r="N2017" s="39" t="str">
        <f>IF(AND('331-CT'!$E$7=TH!H2017,OR(L2017="331",M2017="331")),"331",IF(AND(OR(L2017="131",M2017="131"),H2017='131-CT'!$E$7),"131",""))</f>
        <v/>
      </c>
      <c r="O2017" s="39" t="str">
        <f>IF(AND($B2017&gt;='111'!$N$11,$B2017&lt;='111'!$O$11,OR($L2017=$O$7,$M2017=$O$7)),"x","")</f>
        <v/>
      </c>
      <c r="P2017" s="39" t="str">
        <f>IF(AND($L2017=$O$7,$B2017&lt;'111'!$N$11),"x","")</f>
        <v/>
      </c>
      <c r="Q2017" s="39" t="str">
        <f>IF(AND($M2017=$O$7,$B2017&lt;'111'!$N$11),"x","")</f>
        <v/>
      </c>
      <c r="R2017" s="39" t="str">
        <f>IF(ISERROR(FIND('112'!$M$9,G2017,1)),"",IF((AND(FIND('112'!$M$9,G2017,1)&gt;=1,$B2017&gt;='112'!$N$8,$B2017&lt;='112'!$O$8,OR($L2017='112'!$I$6,$M2017='112'!$I$6))),"x",""))</f>
        <v/>
      </c>
      <c r="S2017" s="39" t="str">
        <f>IF(ISERROR(FIND('112'!$M$9,G2017,1)),"",IF((AND(LEFT(G2017,2)=LEFT('112'!$M$9,2),B2017&lt;'112'!$N$8,$L2017='112'!$I$6)),"x",""))</f>
        <v/>
      </c>
      <c r="T2017" s="39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39" t="str">
        <f>IF(OR(TH!L2017=TH!$V$7,M2017=TH!$V$7),"x","")</f>
        <v/>
      </c>
      <c r="W2017" s="39" t="str">
        <f>IF(AND(B2017&gt;='IN-NX'!$P$3,B2017&lt;='IN-NX'!$Q$3,'IN-NX'!$D$7=D2017,OR(LEFT(L2017,2)="15",AND(LEFT(M2017,2)&lt;&gt;"15",LEFT(M2017,2)&lt;&gt;"33"))),"x","")</f>
        <v/>
      </c>
      <c r="X2017" s="39" t="str">
        <f>IF(AND(OR(LEFT(TH!L2017,2)="15",LEFT(TH!M2017,2)="15"),'152-CT'!$J$8=TH!F2017),"x","")</f>
        <v/>
      </c>
      <c r="Y2017" s="39" t="str">
        <f>IF(AND(OR(LEFT(TH!L2017,2)="15",LEFT(TH!M2017,2)="15"),TK!$E$7=TH!F2017),"x","")</f>
        <v/>
      </c>
      <c r="Z2017" s="39" t="str">
        <f>IF(AND(B2017&lt;=NKC!$N$8,B2017&gt;=NKC!$M$8),"x","")</f>
        <v/>
      </c>
      <c r="AA2017" s="886"/>
    </row>
    <row r="2018" spans="1:27" s="211" customFormat="1" ht="15.75" customHeight="1">
      <c r="A2018" s="204" t="str">
        <f>IF(B2018&lt;&gt;"",IF(AND(B2018&gt;=_TM1,B2018&lt;=_TM2,OR(TH!L2018="1111",TH!M2018="1111")),TH!D2018,""),"")</f>
        <v/>
      </c>
      <c r="B2018" s="36">
        <f t="shared" si="267"/>
        <v>12</v>
      </c>
      <c r="C2018" s="191">
        <f t="shared" si="266"/>
        <v>41625</v>
      </c>
      <c r="D2018" s="37"/>
      <c r="E2018" s="191">
        <v>41625</v>
      </c>
      <c r="F2018" s="192" t="s">
        <v>1152</v>
      </c>
      <c r="G2018" s="487" t="s">
        <v>1035</v>
      </c>
      <c r="H2018" s="7" t="s">
        <v>1293</v>
      </c>
      <c r="I2018" s="256"/>
      <c r="J2018" s="256"/>
      <c r="K2018" s="602">
        <f t="shared" si="265"/>
        <v>0</v>
      </c>
      <c r="L2018" s="39" t="s">
        <v>173</v>
      </c>
      <c r="M2018" s="39" t="s">
        <v>167</v>
      </c>
      <c r="N2018" s="39" t="str">
        <f>IF(AND('331-CT'!$E$7=TH!H2018,OR(L2018="331",M2018="331")),"331",IF(AND(OR(L2018="131",M2018="131"),H2018='131-CT'!$E$7),"131",""))</f>
        <v/>
      </c>
      <c r="O2018" s="39" t="str">
        <f>IF(AND($B2018&gt;='111'!$N$11,$B2018&lt;='111'!$O$11,OR($L2018=$O$7,$M2018=$O$7)),"x","")</f>
        <v/>
      </c>
      <c r="P2018" s="39" t="str">
        <f>IF(AND($L2018=$O$7,$B2018&lt;'111'!$N$11),"x","")</f>
        <v/>
      </c>
      <c r="Q2018" s="39" t="str">
        <f>IF(AND($M2018=$O$7,$B2018&lt;'111'!$N$11),"x","")</f>
        <v/>
      </c>
      <c r="R2018" s="39" t="str">
        <f>IF(ISERROR(FIND('112'!$M$9,G2018,1)),"",IF((AND(FIND('112'!$M$9,G2018,1)&gt;=1,$B2018&gt;='112'!$N$8,$B2018&lt;='112'!$O$8,OR($L2018='112'!$I$6,$M2018='112'!$I$6))),"x",""))</f>
        <v/>
      </c>
      <c r="S2018" s="39" t="str">
        <f>IF(ISERROR(FIND('112'!$M$9,G2018,1)),"",IF((AND(LEFT(G2018,2)=LEFT('112'!$M$9,2),B2018&lt;'112'!$N$8,$L2018='112'!$I$6)),"x",""))</f>
        <v/>
      </c>
      <c r="T2018" s="39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39" t="str">
        <f>IF(OR(TH!L2018=TH!$V$7,M2018=TH!$V$7),"x","")</f>
        <v/>
      </c>
      <c r="W2018" s="39" t="str">
        <f>IF(AND(B2018&gt;='IN-NX'!$P$3,B2018&lt;='IN-NX'!$Q$3,'IN-NX'!$D$7=D2018,OR(LEFT(L2018,2)="15",AND(LEFT(M2018,2)&lt;&gt;"15",LEFT(M2018,2)&lt;&gt;"33"))),"x","")</f>
        <v/>
      </c>
      <c r="X2018" s="39" t="str">
        <f>IF(AND(OR(LEFT(TH!L2018,2)="15",LEFT(TH!M2018,2)="15"),'152-CT'!$J$8=TH!F2018),"x","")</f>
        <v/>
      </c>
      <c r="Y2018" s="39" t="str">
        <f>IF(AND(OR(LEFT(TH!L2018,2)="15",LEFT(TH!M2018,2)="15"),TK!$E$7=TH!F2018),"x","")</f>
        <v/>
      </c>
      <c r="Z2018" s="39" t="str">
        <f>IF(AND(B2018&lt;=NKC!$N$8,B2018&gt;=NKC!$M$8),"x","")</f>
        <v/>
      </c>
      <c r="AA2018" s="886"/>
    </row>
    <row r="2019" spans="1:27" s="211" customFormat="1" ht="15.75" customHeight="1">
      <c r="A2019" s="204" t="str">
        <f>IF(B2019&lt;&gt;"",IF(AND(B2019&gt;=_TM1,B2019&lt;=_TM2,OR(TH!L2019="1111",TH!M2019="1111")),TH!D2019,""),"")</f>
        <v/>
      </c>
      <c r="B2019" s="36">
        <f t="shared" si="267"/>
        <v>12</v>
      </c>
      <c r="C2019" s="191">
        <f t="shared" si="266"/>
        <v>41626</v>
      </c>
      <c r="D2019" s="37"/>
      <c r="E2019" s="191">
        <v>41626</v>
      </c>
      <c r="F2019" s="192" t="s">
        <v>838</v>
      </c>
      <c r="G2019" s="487" t="s">
        <v>1036</v>
      </c>
      <c r="H2019" s="7" t="s">
        <v>1293</v>
      </c>
      <c r="I2019" s="256"/>
      <c r="J2019" s="256"/>
      <c r="K2019" s="602">
        <f t="shared" si="265"/>
        <v>0</v>
      </c>
      <c r="L2019" s="39" t="s">
        <v>173</v>
      </c>
      <c r="M2019" s="39" t="s">
        <v>167</v>
      </c>
      <c r="N2019" s="39" t="str">
        <f>IF(AND('331-CT'!$E$7=TH!H2019,OR(L2019="331",M2019="331")),"331",IF(AND(OR(L2019="131",M2019="131"),H2019='131-CT'!$E$7),"131",""))</f>
        <v/>
      </c>
      <c r="O2019" s="39" t="str">
        <f>IF(AND($B2019&gt;='111'!$N$11,$B2019&lt;='111'!$O$11,OR($L2019=$O$7,$M2019=$O$7)),"x","")</f>
        <v/>
      </c>
      <c r="P2019" s="39" t="str">
        <f>IF(AND($L2019=$O$7,$B2019&lt;'111'!$N$11),"x","")</f>
        <v/>
      </c>
      <c r="Q2019" s="39" t="str">
        <f>IF(AND($M2019=$O$7,$B2019&lt;'111'!$N$11),"x","")</f>
        <v/>
      </c>
      <c r="R2019" s="39" t="str">
        <f>IF(ISERROR(FIND('112'!$M$9,G2019,1)),"",IF((AND(FIND('112'!$M$9,G2019,1)&gt;=1,$B2019&gt;='112'!$N$8,$B2019&lt;='112'!$O$8,OR($L2019='112'!$I$6,$M2019='112'!$I$6))),"x",""))</f>
        <v/>
      </c>
      <c r="S2019" s="39" t="str">
        <f>IF(ISERROR(FIND('112'!$M$9,G2019,1)),"",IF((AND(LEFT(G2019,2)=LEFT('112'!$M$9,2),B2019&lt;'112'!$N$8,$L2019='112'!$I$6)),"x",""))</f>
        <v/>
      </c>
      <c r="T2019" s="39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39" t="str">
        <f>IF(OR(TH!L2019=TH!$V$7,M2019=TH!$V$7),"x","")</f>
        <v/>
      </c>
      <c r="W2019" s="39" t="str">
        <f>IF(AND(B2019&gt;='IN-NX'!$P$3,B2019&lt;='IN-NX'!$Q$3,'IN-NX'!$D$7=D2019,OR(LEFT(L2019,2)="15",AND(LEFT(M2019,2)&lt;&gt;"15",LEFT(M2019,2)&lt;&gt;"33"))),"x","")</f>
        <v/>
      </c>
      <c r="X2019" s="39" t="str">
        <f>IF(AND(OR(LEFT(TH!L2019,2)="15",LEFT(TH!M2019,2)="15"),'152-CT'!$J$8=TH!F2019),"x","")</f>
        <v/>
      </c>
      <c r="Y2019" s="39" t="str">
        <f>IF(AND(OR(LEFT(TH!L2019,2)="15",LEFT(TH!M2019,2)="15"),TK!$E$7=TH!F2019),"x","")</f>
        <v/>
      </c>
      <c r="Z2019" s="39" t="str">
        <f>IF(AND(B2019&lt;=NKC!$N$8,B2019&gt;=NKC!$M$8),"x","")</f>
        <v/>
      </c>
      <c r="AA2019" s="886"/>
    </row>
    <row r="2020" spans="1:27" s="211" customFormat="1" ht="15.75" customHeight="1">
      <c r="A2020" s="204" t="str">
        <f>IF(B2020&lt;&gt;"",IF(AND(B2020&gt;=_TM1,B2020&lt;=_TM2,OR(TH!L2020="1111",TH!M2020="1111")),TH!D2020,""),"")</f>
        <v/>
      </c>
      <c r="B2020" s="36">
        <f t="shared" si="267"/>
        <v>12</v>
      </c>
      <c r="C2020" s="191">
        <f t="shared" si="266"/>
        <v>41628</v>
      </c>
      <c r="D2020" s="191"/>
      <c r="E2020" s="37">
        <v>41628</v>
      </c>
      <c r="F2020" s="40" t="s">
        <v>1131</v>
      </c>
      <c r="G2020" s="40" t="s">
        <v>1037</v>
      </c>
      <c r="H2020" s="7" t="s">
        <v>1293</v>
      </c>
      <c r="I2020" s="256"/>
      <c r="J2020" s="256"/>
      <c r="K2020" s="602">
        <f t="shared" si="265"/>
        <v>0</v>
      </c>
      <c r="L2020" s="39" t="s">
        <v>173</v>
      </c>
      <c r="M2020" s="39" t="s">
        <v>167</v>
      </c>
      <c r="N2020" s="39" t="str">
        <f>IF(AND('331-CT'!$E$7=TH!H2020,OR(L2020="331",M2020="331")),"331",IF(AND(OR(L2020="131",M2020="131"),H2020='131-CT'!$E$7),"131",""))</f>
        <v/>
      </c>
      <c r="O2020" s="39" t="str">
        <f>IF(AND($B2020&gt;='111'!$N$11,$B2020&lt;='111'!$O$11,OR($L2020=$O$7,$M2020=$O$7)),"x","")</f>
        <v/>
      </c>
      <c r="P2020" s="39" t="str">
        <f>IF(AND($L2020=$O$7,$B2020&lt;'111'!$N$11),"x","")</f>
        <v/>
      </c>
      <c r="Q2020" s="39" t="str">
        <f>IF(AND($M2020=$O$7,$B2020&lt;'111'!$N$11),"x","")</f>
        <v/>
      </c>
      <c r="R2020" s="39" t="str">
        <f>IF(ISERROR(FIND('112'!$M$9,G2020,1)),"",IF((AND(FIND('112'!$M$9,G2020,1)&gt;=1,$B2020&gt;='112'!$N$8,$B2020&lt;='112'!$O$8,OR($L2020='112'!$I$6,$M2020='112'!$I$6))),"x",""))</f>
        <v/>
      </c>
      <c r="S2020" s="39" t="str">
        <f>IF(ISERROR(FIND('112'!$M$9,G2020,1)),"",IF((AND(LEFT(G2020,2)=LEFT('112'!$M$9,2),B2020&lt;'112'!$N$8,$L2020='112'!$I$6)),"x",""))</f>
        <v/>
      </c>
      <c r="T2020" s="39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39" t="str">
        <f>IF(OR(TH!L2020=TH!$V$7,M2020=TH!$V$7),"x","")</f>
        <v/>
      </c>
      <c r="W2020" s="39" t="str">
        <f>IF(AND(B2020&gt;='IN-NX'!$P$3,B2020&lt;='IN-NX'!$Q$3,'IN-NX'!$D$7=D2020,OR(LEFT(L2020,2)="15",AND(LEFT(M2020,2)&lt;&gt;"15",LEFT(M2020,2)&lt;&gt;"33"))),"x","")</f>
        <v/>
      </c>
      <c r="X2020" s="39" t="str">
        <f>IF(AND(OR(LEFT(TH!L2020,2)="15",LEFT(TH!M2020,2)="15"),'152-CT'!$J$8=TH!F2020),"x","")</f>
        <v/>
      </c>
      <c r="Y2020" s="39" t="str">
        <f>IF(AND(OR(LEFT(TH!L2020,2)="15",LEFT(TH!M2020,2)="15"),TK!$E$7=TH!F2020),"x","")</f>
        <v/>
      </c>
      <c r="Z2020" s="39" t="str">
        <f>IF(AND(B2020&lt;=NKC!$N$8,B2020&gt;=NKC!$M$8),"x","")</f>
        <v/>
      </c>
      <c r="AA2020" s="886"/>
    </row>
    <row r="2021" spans="1:27" s="211" customFormat="1" ht="15.75" customHeight="1">
      <c r="A2021" s="204" t="str">
        <f>IF(B2021&lt;&gt;"",IF(AND(B2021&gt;=_TM1,B2021&lt;=_TM2,OR(TH!L2021="1111",TH!M2021="1111")),TH!D2021,""),"")</f>
        <v/>
      </c>
      <c r="B2021" s="36">
        <f t="shared" si="267"/>
        <v>12</v>
      </c>
      <c r="C2021" s="191">
        <f t="shared" si="266"/>
        <v>41628</v>
      </c>
      <c r="D2021" s="191"/>
      <c r="E2021" s="37">
        <v>41628</v>
      </c>
      <c r="F2021" s="40" t="s">
        <v>1132</v>
      </c>
      <c r="G2021" s="40" t="s">
        <v>1037</v>
      </c>
      <c r="H2021" s="7" t="s">
        <v>1293</v>
      </c>
      <c r="I2021" s="256"/>
      <c r="J2021" s="256"/>
      <c r="K2021" s="602">
        <f t="shared" ref="K2021:K2034" si="268">ROUND(I2021*J2021,0)</f>
        <v>0</v>
      </c>
      <c r="L2021" s="39" t="s">
        <v>173</v>
      </c>
      <c r="M2021" s="39" t="s">
        <v>167</v>
      </c>
      <c r="N2021" s="39" t="str">
        <f>IF(AND('331-CT'!$E$7=TH!H2021,OR(L2021="331",M2021="331")),"331",IF(AND(OR(L2021="131",M2021="131"),H2021='131-CT'!$E$7),"131",""))</f>
        <v/>
      </c>
      <c r="O2021" s="39" t="str">
        <f>IF(AND($B2021&gt;='111'!$N$11,$B2021&lt;='111'!$O$11,OR($L2021=$O$7,$M2021=$O$7)),"x","")</f>
        <v/>
      </c>
      <c r="P2021" s="39" t="str">
        <f>IF(AND($L2021=$O$7,$B2021&lt;'111'!$N$11),"x","")</f>
        <v/>
      </c>
      <c r="Q2021" s="39" t="str">
        <f>IF(AND($M2021=$O$7,$B2021&lt;'111'!$N$11),"x","")</f>
        <v/>
      </c>
      <c r="R2021" s="39" t="str">
        <f>IF(ISERROR(FIND('112'!$M$9,G2021,1)),"",IF((AND(FIND('112'!$M$9,G2021,1)&gt;=1,$B2021&gt;='112'!$N$8,$B2021&lt;='112'!$O$8,OR($L2021='112'!$I$6,$M2021='112'!$I$6))),"x",""))</f>
        <v/>
      </c>
      <c r="S2021" s="39" t="str">
        <f>IF(ISERROR(FIND('112'!$M$9,G2021,1)),"",IF((AND(LEFT(G2021,2)=LEFT('112'!$M$9,2),B2021&lt;'112'!$N$8,$L2021='112'!$I$6)),"x",""))</f>
        <v/>
      </c>
      <c r="T2021" s="39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39" t="str">
        <f>IF(OR(TH!L2021=TH!$V$7,M2021=TH!$V$7),"x","")</f>
        <v/>
      </c>
      <c r="W2021" s="39" t="str">
        <f>IF(AND(B2021&gt;='IN-NX'!$P$3,B2021&lt;='IN-NX'!$Q$3,'IN-NX'!$D$7=D2021,OR(LEFT(L2021,2)="15",AND(LEFT(M2021,2)&lt;&gt;"15",LEFT(M2021,2)&lt;&gt;"33"))),"x","")</f>
        <v/>
      </c>
      <c r="X2021" s="39" t="str">
        <f>IF(AND(OR(LEFT(TH!L2021,2)="15",LEFT(TH!M2021,2)="15"),'152-CT'!$J$8=TH!F2021),"x","")</f>
        <v/>
      </c>
      <c r="Y2021" s="39" t="str">
        <f>IF(AND(OR(LEFT(TH!L2021,2)="15",LEFT(TH!M2021,2)="15"),TK!$E$7=TH!F2021),"x","")</f>
        <v/>
      </c>
      <c r="Z2021" s="39" t="str">
        <f>IF(AND(B2021&lt;=NKC!$N$8,B2021&gt;=NKC!$M$8),"x","")</f>
        <v/>
      </c>
      <c r="AA2021" s="886"/>
    </row>
    <row r="2022" spans="1:27" s="211" customFormat="1" ht="15.75" customHeight="1">
      <c r="A2022" s="204" t="str">
        <f>IF(B2022&lt;&gt;"",IF(AND(B2022&gt;=_TM1,B2022&lt;=_TM2,OR(TH!L2022="1111",TH!M2022="1111")),TH!D2022,""),"")</f>
        <v/>
      </c>
      <c r="B2022" s="36">
        <f t="shared" si="267"/>
        <v>12</v>
      </c>
      <c r="C2022" s="191">
        <f t="shared" si="266"/>
        <v>41628</v>
      </c>
      <c r="D2022" s="191"/>
      <c r="E2022" s="37">
        <v>41628</v>
      </c>
      <c r="F2022" s="40" t="s">
        <v>1133</v>
      </c>
      <c r="G2022" s="40" t="s">
        <v>1037</v>
      </c>
      <c r="H2022" s="7" t="s">
        <v>1293</v>
      </c>
      <c r="I2022" s="256"/>
      <c r="J2022" s="256"/>
      <c r="K2022" s="602">
        <f t="shared" si="268"/>
        <v>0</v>
      </c>
      <c r="L2022" s="39" t="s">
        <v>173</v>
      </c>
      <c r="M2022" s="39" t="s">
        <v>167</v>
      </c>
      <c r="N2022" s="39" t="str">
        <f>IF(AND('331-CT'!$E$7=TH!H2022,OR(L2022="331",M2022="331")),"331",IF(AND(OR(L2022="131",M2022="131"),H2022='131-CT'!$E$7),"131",""))</f>
        <v/>
      </c>
      <c r="O2022" s="39" t="str">
        <f>IF(AND($B2022&gt;='111'!$N$11,$B2022&lt;='111'!$O$11,OR($L2022=$O$7,$M2022=$O$7)),"x","")</f>
        <v/>
      </c>
      <c r="P2022" s="39" t="str">
        <f>IF(AND($L2022=$O$7,$B2022&lt;'111'!$N$11),"x","")</f>
        <v/>
      </c>
      <c r="Q2022" s="39" t="str">
        <f>IF(AND($M2022=$O$7,$B2022&lt;'111'!$N$11),"x","")</f>
        <v/>
      </c>
      <c r="R2022" s="39" t="str">
        <f>IF(ISERROR(FIND('112'!$M$9,G2022,1)),"",IF((AND(FIND('112'!$M$9,G2022,1)&gt;=1,$B2022&gt;='112'!$N$8,$B2022&lt;='112'!$O$8,OR($L2022='112'!$I$6,$M2022='112'!$I$6))),"x",""))</f>
        <v/>
      </c>
      <c r="S2022" s="39" t="str">
        <f>IF(ISERROR(FIND('112'!$M$9,G2022,1)),"",IF((AND(LEFT(G2022,2)=LEFT('112'!$M$9,2),B2022&lt;'112'!$N$8,$L2022='112'!$I$6)),"x",""))</f>
        <v/>
      </c>
      <c r="T2022" s="39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39" t="str">
        <f>IF(OR(TH!L2022=TH!$V$7,M2022=TH!$V$7),"x","")</f>
        <v/>
      </c>
      <c r="W2022" s="39" t="str">
        <f>IF(AND(B2022&gt;='IN-NX'!$P$3,B2022&lt;='IN-NX'!$Q$3,'IN-NX'!$D$7=D2022,OR(LEFT(L2022,2)="15",AND(LEFT(M2022,2)&lt;&gt;"15",LEFT(M2022,2)&lt;&gt;"33"))),"x","")</f>
        <v/>
      </c>
      <c r="X2022" s="39" t="str">
        <f>IF(AND(OR(LEFT(TH!L2022,2)="15",LEFT(TH!M2022,2)="15"),'152-CT'!$J$8=TH!F2022),"x","")</f>
        <v/>
      </c>
      <c r="Y2022" s="39" t="str">
        <f>IF(AND(OR(LEFT(TH!L2022,2)="15",LEFT(TH!M2022,2)="15"),TK!$E$7=TH!F2022),"x","")</f>
        <v/>
      </c>
      <c r="Z2022" s="39" t="str">
        <f>IF(AND(B2022&lt;=NKC!$N$8,B2022&gt;=NKC!$M$8),"x","")</f>
        <v/>
      </c>
      <c r="AA2022" s="886"/>
    </row>
    <row r="2023" spans="1:27" s="211" customFormat="1" ht="15.75" customHeight="1">
      <c r="A2023" s="204" t="str">
        <f>IF(B2023&lt;&gt;"",IF(AND(B2023&gt;=_TM1,B2023&lt;=_TM2,OR(TH!L2023="1111",TH!M2023="1111")),TH!D2023,""),"")</f>
        <v/>
      </c>
      <c r="B2023" s="36">
        <f t="shared" si="267"/>
        <v>12</v>
      </c>
      <c r="C2023" s="191">
        <f t="shared" si="266"/>
        <v>41628</v>
      </c>
      <c r="D2023" s="37"/>
      <c r="E2023" s="37">
        <v>41628</v>
      </c>
      <c r="F2023" s="40" t="s">
        <v>1134</v>
      </c>
      <c r="G2023" s="40" t="s">
        <v>1037</v>
      </c>
      <c r="H2023" s="7" t="s">
        <v>1293</v>
      </c>
      <c r="I2023" s="256"/>
      <c r="J2023" s="256"/>
      <c r="K2023" s="602">
        <f t="shared" si="268"/>
        <v>0</v>
      </c>
      <c r="L2023" s="39" t="s">
        <v>173</v>
      </c>
      <c r="M2023" s="39" t="s">
        <v>167</v>
      </c>
      <c r="N2023" s="39" t="str">
        <f>IF(AND('331-CT'!$E$7=TH!H2023,OR(L2023="331",M2023="331")),"331",IF(AND(OR(L2023="131",M2023="131"),H2023='131-CT'!$E$7),"131",""))</f>
        <v/>
      </c>
      <c r="O2023" s="39" t="str">
        <f>IF(AND($B2023&gt;='111'!$N$11,$B2023&lt;='111'!$O$11,OR($L2023=$O$7,$M2023=$O$7)),"x","")</f>
        <v/>
      </c>
      <c r="P2023" s="39" t="str">
        <f>IF(AND($L2023=$O$7,$B2023&lt;'111'!$N$11),"x","")</f>
        <v/>
      </c>
      <c r="Q2023" s="39" t="str">
        <f>IF(AND($M2023=$O$7,$B2023&lt;'111'!$N$11),"x","")</f>
        <v/>
      </c>
      <c r="R2023" s="39" t="str">
        <f>IF(ISERROR(FIND('112'!$M$9,G2023,1)),"",IF((AND(FIND('112'!$M$9,G2023,1)&gt;=1,$B2023&gt;='112'!$N$8,$B2023&lt;='112'!$O$8,OR($L2023='112'!$I$6,$M2023='112'!$I$6))),"x",""))</f>
        <v/>
      </c>
      <c r="S2023" s="39" t="str">
        <f>IF(ISERROR(FIND('112'!$M$9,G2023,1)),"",IF((AND(LEFT(G2023,2)=LEFT('112'!$M$9,2),B2023&lt;'112'!$N$8,$L2023='112'!$I$6)),"x",""))</f>
        <v/>
      </c>
      <c r="T2023" s="39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39" t="str">
        <f>IF(OR(TH!L2023=TH!$V$7,M2023=TH!$V$7),"x","")</f>
        <v/>
      </c>
      <c r="W2023" s="39" t="str">
        <f>IF(AND(B2023&gt;='IN-NX'!$P$3,B2023&lt;='IN-NX'!$Q$3,'IN-NX'!$D$7=D2023,OR(LEFT(L2023,2)="15",AND(LEFT(M2023,2)&lt;&gt;"15",LEFT(M2023,2)&lt;&gt;"33"))),"x","")</f>
        <v/>
      </c>
      <c r="X2023" s="39" t="str">
        <f>IF(AND(OR(LEFT(TH!L2023,2)="15",LEFT(TH!M2023,2)="15"),'152-CT'!$J$8=TH!F2023),"x","")</f>
        <v/>
      </c>
      <c r="Y2023" s="39" t="str">
        <f>IF(AND(OR(LEFT(TH!L2023,2)="15",LEFT(TH!M2023,2)="15"),TK!$E$7=TH!F2023),"x","")</f>
        <v/>
      </c>
      <c r="Z2023" s="39" t="str">
        <f>IF(AND(B2023&lt;=NKC!$N$8,B2023&gt;=NKC!$M$8),"x","")</f>
        <v/>
      </c>
      <c r="AA2023" s="886"/>
    </row>
    <row r="2024" spans="1:27" s="211" customFormat="1" ht="15.75" customHeight="1">
      <c r="A2024" s="204" t="str">
        <f>IF(B2024&lt;&gt;"",IF(AND(B2024&gt;=_TM1,B2024&lt;=_TM2,OR(TH!L2024="1111",TH!M2024="1111")),TH!D2024,""),"")</f>
        <v/>
      </c>
      <c r="B2024" s="36">
        <f t="shared" si="267"/>
        <v>12</v>
      </c>
      <c r="C2024" s="191">
        <f t="shared" si="266"/>
        <v>41628</v>
      </c>
      <c r="D2024" s="37"/>
      <c r="E2024" s="37">
        <v>41628</v>
      </c>
      <c r="F2024" s="40" t="s">
        <v>1135</v>
      </c>
      <c r="G2024" s="40" t="s">
        <v>1037</v>
      </c>
      <c r="H2024" s="7" t="s">
        <v>1293</v>
      </c>
      <c r="I2024" s="256"/>
      <c r="J2024" s="256"/>
      <c r="K2024" s="602">
        <f t="shared" si="268"/>
        <v>0</v>
      </c>
      <c r="L2024" s="39" t="s">
        <v>173</v>
      </c>
      <c r="M2024" s="39" t="s">
        <v>167</v>
      </c>
      <c r="N2024" s="39" t="str">
        <f>IF(AND('331-CT'!$E$7=TH!H2024,OR(L2024="331",M2024="331")),"331",IF(AND(OR(L2024="131",M2024="131"),H2024='131-CT'!$E$7),"131",""))</f>
        <v/>
      </c>
      <c r="O2024" s="39" t="str">
        <f>IF(AND($B2024&gt;='111'!$N$11,$B2024&lt;='111'!$O$11,OR($L2024=$O$7,$M2024=$O$7)),"x","")</f>
        <v/>
      </c>
      <c r="P2024" s="39" t="str">
        <f>IF(AND($L2024=$O$7,$B2024&lt;'111'!$N$11),"x","")</f>
        <v/>
      </c>
      <c r="Q2024" s="39" t="str">
        <f>IF(AND($M2024=$O$7,$B2024&lt;'111'!$N$11),"x","")</f>
        <v/>
      </c>
      <c r="R2024" s="39" t="str">
        <f>IF(ISERROR(FIND('112'!$M$9,G2024,1)),"",IF((AND(FIND('112'!$M$9,G2024,1)&gt;=1,$B2024&gt;='112'!$N$8,$B2024&lt;='112'!$O$8,OR($L2024='112'!$I$6,$M2024='112'!$I$6))),"x",""))</f>
        <v/>
      </c>
      <c r="S2024" s="39" t="str">
        <f>IF(ISERROR(FIND('112'!$M$9,G2024,1)),"",IF((AND(LEFT(G2024,2)=LEFT('112'!$M$9,2),B2024&lt;'112'!$N$8,$L2024='112'!$I$6)),"x",""))</f>
        <v/>
      </c>
      <c r="T2024" s="39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39" t="str">
        <f>IF(OR(TH!L2024=TH!$V$7,M2024=TH!$V$7),"x","")</f>
        <v/>
      </c>
      <c r="W2024" s="39" t="str">
        <f>IF(AND(B2024&gt;='IN-NX'!$P$3,B2024&lt;='IN-NX'!$Q$3,'IN-NX'!$D$7=D2024,OR(LEFT(L2024,2)="15",AND(LEFT(M2024,2)&lt;&gt;"15",LEFT(M2024,2)&lt;&gt;"33"))),"x","")</f>
        <v/>
      </c>
      <c r="X2024" s="39" t="str">
        <f>IF(AND(OR(LEFT(TH!L2024,2)="15",LEFT(TH!M2024,2)="15"),'152-CT'!$J$8=TH!F2024),"x","")</f>
        <v/>
      </c>
      <c r="Y2024" s="39" t="str">
        <f>IF(AND(OR(LEFT(TH!L2024,2)="15",LEFT(TH!M2024,2)="15"),TK!$E$7=TH!F2024),"x","")</f>
        <v/>
      </c>
      <c r="Z2024" s="39" t="str">
        <f>IF(AND(B2024&lt;=NKC!$N$8,B2024&gt;=NKC!$M$8),"x","")</f>
        <v/>
      </c>
      <c r="AA2024" s="886"/>
    </row>
    <row r="2025" spans="1:27" s="211" customFormat="1" ht="15.75" customHeight="1">
      <c r="A2025" s="204" t="str">
        <f>IF(B2025&lt;&gt;"",IF(AND(B2025&gt;=_TM1,B2025&lt;=_TM2,OR(TH!L2025="1111",TH!M2025="1111")),TH!D2025,""),"")</f>
        <v/>
      </c>
      <c r="B2025" s="36">
        <f t="shared" si="267"/>
        <v>12</v>
      </c>
      <c r="C2025" s="191">
        <f t="shared" si="266"/>
        <v>41628</v>
      </c>
      <c r="D2025" s="37"/>
      <c r="E2025" s="37">
        <v>41628</v>
      </c>
      <c r="F2025" s="40" t="s">
        <v>885</v>
      </c>
      <c r="G2025" s="40" t="s">
        <v>1037</v>
      </c>
      <c r="H2025" s="7" t="s">
        <v>1293</v>
      </c>
      <c r="I2025" s="256"/>
      <c r="J2025" s="256"/>
      <c r="K2025" s="602">
        <f t="shared" si="268"/>
        <v>0</v>
      </c>
      <c r="L2025" s="39" t="s">
        <v>173</v>
      </c>
      <c r="M2025" s="39" t="s">
        <v>167</v>
      </c>
      <c r="N2025" s="39" t="str">
        <f>IF(AND('331-CT'!$E$7=TH!H2025,OR(L2025="331",M2025="331")),"331",IF(AND(OR(L2025="131",M2025="131"),H2025='131-CT'!$E$7),"131",""))</f>
        <v/>
      </c>
      <c r="O2025" s="39" t="str">
        <f>IF(AND($B2025&gt;='111'!$N$11,$B2025&lt;='111'!$O$11,OR($L2025=$O$7,$M2025=$O$7)),"x","")</f>
        <v/>
      </c>
      <c r="P2025" s="39" t="str">
        <f>IF(AND($L2025=$O$7,$B2025&lt;'111'!$N$11),"x","")</f>
        <v/>
      </c>
      <c r="Q2025" s="39" t="str">
        <f>IF(AND($M2025=$O$7,$B2025&lt;'111'!$N$11),"x","")</f>
        <v/>
      </c>
      <c r="R2025" s="39" t="str">
        <f>IF(ISERROR(FIND('112'!$M$9,G2025,1)),"",IF((AND(FIND('112'!$M$9,G2025,1)&gt;=1,$B2025&gt;='112'!$N$8,$B2025&lt;='112'!$O$8,OR($L2025='112'!$I$6,$M2025='112'!$I$6))),"x",""))</f>
        <v/>
      </c>
      <c r="S2025" s="39" t="str">
        <f>IF(ISERROR(FIND('112'!$M$9,G2025,1)),"",IF((AND(LEFT(G2025,2)=LEFT('112'!$M$9,2),B2025&lt;'112'!$N$8,$L2025='112'!$I$6)),"x",""))</f>
        <v/>
      </c>
      <c r="T2025" s="39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39" t="str">
        <f>IF(OR(TH!L2025=TH!$V$7,M2025=TH!$V$7),"x","")</f>
        <v/>
      </c>
      <c r="W2025" s="39" t="str">
        <f>IF(AND(B2025&gt;='IN-NX'!$P$3,B2025&lt;='IN-NX'!$Q$3,'IN-NX'!$D$7=D2025,OR(LEFT(L2025,2)="15",AND(LEFT(M2025,2)&lt;&gt;"15",LEFT(M2025,2)&lt;&gt;"33"))),"x","")</f>
        <v/>
      </c>
      <c r="X2025" s="39" t="str">
        <f>IF(AND(OR(LEFT(TH!L2025,2)="15",LEFT(TH!M2025,2)="15"),'152-CT'!$J$8=TH!F2025),"x","")</f>
        <v/>
      </c>
      <c r="Y2025" s="39" t="str">
        <f>IF(AND(OR(LEFT(TH!L2025,2)="15",LEFT(TH!M2025,2)="15"),TK!$E$7=TH!F2025),"x","")</f>
        <v/>
      </c>
      <c r="Z2025" s="39" t="str">
        <f>IF(AND(B2025&lt;=NKC!$N$8,B2025&gt;=NKC!$M$8),"x","")</f>
        <v/>
      </c>
      <c r="AA2025" s="886"/>
    </row>
    <row r="2026" spans="1:27" s="211" customFormat="1" ht="15.75" customHeight="1">
      <c r="A2026" s="204" t="str">
        <f>IF(B2026&lt;&gt;"",IF(AND(B2026&gt;=_TM1,B2026&lt;=_TM2,OR(TH!L2026="1111",TH!M2026="1111")),TH!D2026,""),"")</f>
        <v/>
      </c>
      <c r="B2026" s="36">
        <f t="shared" si="267"/>
        <v>12</v>
      </c>
      <c r="C2026" s="191">
        <f t="shared" si="266"/>
        <v>41628</v>
      </c>
      <c r="D2026" s="37"/>
      <c r="E2026" s="37">
        <v>41628</v>
      </c>
      <c r="F2026" s="40" t="s">
        <v>1038</v>
      </c>
      <c r="G2026" s="40" t="s">
        <v>1037</v>
      </c>
      <c r="H2026" s="7" t="s">
        <v>1293</v>
      </c>
      <c r="I2026" s="256"/>
      <c r="J2026" s="256"/>
      <c r="K2026" s="602">
        <f t="shared" si="268"/>
        <v>0</v>
      </c>
      <c r="L2026" s="39" t="s">
        <v>173</v>
      </c>
      <c r="M2026" s="39" t="s">
        <v>167</v>
      </c>
      <c r="N2026" s="39" t="str">
        <f>IF(AND('331-CT'!$E$7=TH!H2026,OR(L2026="331",M2026="331")),"331",IF(AND(OR(L2026="131",M2026="131"),H2026='131-CT'!$E$7),"131",""))</f>
        <v/>
      </c>
      <c r="O2026" s="39" t="str">
        <f>IF(AND($B2026&gt;='111'!$N$11,$B2026&lt;='111'!$O$11,OR($L2026=$O$7,$M2026=$O$7)),"x","")</f>
        <v/>
      </c>
      <c r="P2026" s="39" t="str">
        <f>IF(AND($L2026=$O$7,$B2026&lt;'111'!$N$11),"x","")</f>
        <v/>
      </c>
      <c r="Q2026" s="39" t="str">
        <f>IF(AND($M2026=$O$7,$B2026&lt;'111'!$N$11),"x","")</f>
        <v/>
      </c>
      <c r="R2026" s="39" t="str">
        <f>IF(ISERROR(FIND('112'!$M$9,G2026,1)),"",IF((AND(FIND('112'!$M$9,G2026,1)&gt;=1,$B2026&gt;='112'!$N$8,$B2026&lt;='112'!$O$8,OR($L2026='112'!$I$6,$M2026='112'!$I$6))),"x",""))</f>
        <v/>
      </c>
      <c r="S2026" s="39" t="str">
        <f>IF(ISERROR(FIND('112'!$M$9,G2026,1)),"",IF((AND(LEFT(G2026,2)=LEFT('112'!$M$9,2),B2026&lt;'112'!$N$8,$L2026='112'!$I$6)),"x",""))</f>
        <v/>
      </c>
      <c r="T2026" s="39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39" t="str">
        <f>IF(OR(TH!L2026=TH!$V$7,M2026=TH!$V$7),"x","")</f>
        <v/>
      </c>
      <c r="W2026" s="39" t="str">
        <f>IF(AND(B2026&gt;='IN-NX'!$P$3,B2026&lt;='IN-NX'!$Q$3,'IN-NX'!$D$7=D2026,OR(LEFT(L2026,2)="15",AND(LEFT(M2026,2)&lt;&gt;"15",LEFT(M2026,2)&lt;&gt;"33"))),"x","")</f>
        <v/>
      </c>
      <c r="X2026" s="39" t="str">
        <f>IF(AND(OR(LEFT(TH!L2026,2)="15",LEFT(TH!M2026,2)="15"),'152-CT'!$J$8=TH!F2026),"x","")</f>
        <v/>
      </c>
      <c r="Y2026" s="39" t="str">
        <f>IF(AND(OR(LEFT(TH!L2026,2)="15",LEFT(TH!M2026,2)="15"),TK!$E$7=TH!F2026),"x","")</f>
        <v/>
      </c>
      <c r="Z2026" s="39" t="str">
        <f>IF(AND(B2026&lt;=NKC!$N$8,B2026&gt;=NKC!$M$8),"x","")</f>
        <v/>
      </c>
      <c r="AA2026" s="886"/>
    </row>
    <row r="2027" spans="1:27" s="211" customFormat="1" ht="15.75" customHeight="1">
      <c r="A2027" s="204" t="str">
        <f>IF(B2027&lt;&gt;"",IF(AND(B2027&gt;=_TM1,B2027&lt;=_TM2,OR(TH!L2027="1111",TH!M2027="1111")),TH!D2027,""),"")</f>
        <v/>
      </c>
      <c r="B2027" s="36">
        <f t="shared" si="267"/>
        <v>12</v>
      </c>
      <c r="C2027" s="191">
        <f t="shared" si="266"/>
        <v>41628</v>
      </c>
      <c r="D2027" s="184"/>
      <c r="E2027" s="37">
        <v>41628</v>
      </c>
      <c r="F2027" s="40" t="s">
        <v>844</v>
      </c>
      <c r="G2027" s="40" t="s">
        <v>1037</v>
      </c>
      <c r="H2027" s="7" t="s">
        <v>1293</v>
      </c>
      <c r="I2027" s="256"/>
      <c r="J2027" s="256"/>
      <c r="K2027" s="602">
        <f t="shared" si="268"/>
        <v>0</v>
      </c>
      <c r="L2027" s="39" t="s">
        <v>173</v>
      </c>
      <c r="M2027" s="39" t="s">
        <v>167</v>
      </c>
      <c r="N2027" s="39" t="str">
        <f>IF(AND('331-CT'!$E$7=TH!H2027,OR(L2027="331",M2027="331")),"331",IF(AND(OR(L2027="131",M2027="131"),H2027='131-CT'!$E$7),"131",""))</f>
        <v/>
      </c>
      <c r="O2027" s="39" t="str">
        <f>IF(AND($B2027&gt;='111'!$N$11,$B2027&lt;='111'!$O$11,OR($L2027=$O$7,$M2027=$O$7)),"x","")</f>
        <v/>
      </c>
      <c r="P2027" s="39" t="str">
        <f>IF(AND($L2027=$O$7,$B2027&lt;'111'!$N$11),"x","")</f>
        <v/>
      </c>
      <c r="Q2027" s="39" t="str">
        <f>IF(AND($M2027=$O$7,$B2027&lt;'111'!$N$11),"x","")</f>
        <v/>
      </c>
      <c r="R2027" s="39" t="str">
        <f>IF(ISERROR(FIND('112'!$M$9,G2027,1)),"",IF((AND(FIND('112'!$M$9,G2027,1)&gt;=1,$B2027&gt;='112'!$N$8,$B2027&lt;='112'!$O$8,OR($L2027='112'!$I$6,$M2027='112'!$I$6))),"x",""))</f>
        <v/>
      </c>
      <c r="S2027" s="39" t="str">
        <f>IF(ISERROR(FIND('112'!$M$9,G2027,1)),"",IF((AND(LEFT(G2027,2)=LEFT('112'!$M$9,2),B2027&lt;'112'!$N$8,$L2027='112'!$I$6)),"x",""))</f>
        <v/>
      </c>
      <c r="T2027" s="39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39" t="str">
        <f>IF(OR(TH!L2027=TH!$V$7,M2027=TH!$V$7),"x","")</f>
        <v/>
      </c>
      <c r="W2027" s="39" t="str">
        <f>IF(AND(B2027&gt;='IN-NX'!$P$3,B2027&lt;='IN-NX'!$Q$3,'IN-NX'!$D$7=D2027,OR(LEFT(L2027,2)="15",AND(LEFT(M2027,2)&lt;&gt;"15",LEFT(M2027,2)&lt;&gt;"33"))),"x","")</f>
        <v/>
      </c>
      <c r="X2027" s="39" t="str">
        <f>IF(AND(OR(LEFT(TH!L2027,2)="15",LEFT(TH!M2027,2)="15"),'152-CT'!$J$8=TH!F2027),"x","")</f>
        <v/>
      </c>
      <c r="Y2027" s="39" t="str">
        <f>IF(AND(OR(LEFT(TH!L2027,2)="15",LEFT(TH!M2027,2)="15"),TK!$E$7=TH!F2027),"x","")</f>
        <v/>
      </c>
      <c r="Z2027" s="39" t="str">
        <f>IF(AND(B2027&lt;=NKC!$N$8,B2027&gt;=NKC!$M$8),"x","")</f>
        <v/>
      </c>
      <c r="AA2027" s="886"/>
    </row>
    <row r="2028" spans="1:27" s="211" customFormat="1" ht="15.75" customHeight="1">
      <c r="A2028" s="204" t="str">
        <f>IF(B2028&lt;&gt;"",IF(AND(B2028&gt;=_TM1,B2028&lt;=_TM2,OR(TH!L2028="1111",TH!M2028="1111")),TH!D2028,""),"")</f>
        <v/>
      </c>
      <c r="B2028" s="36">
        <f t="shared" si="267"/>
        <v>12</v>
      </c>
      <c r="C2028" s="191">
        <f t="shared" si="266"/>
        <v>41631</v>
      </c>
      <c r="D2028" s="184"/>
      <c r="E2028" s="37">
        <v>41631</v>
      </c>
      <c r="F2028" s="40" t="s">
        <v>1156</v>
      </c>
      <c r="G2028" s="40" t="s">
        <v>1039</v>
      </c>
      <c r="H2028" s="7" t="s">
        <v>1293</v>
      </c>
      <c r="I2028" s="256"/>
      <c r="J2028" s="256"/>
      <c r="K2028" s="602">
        <f t="shared" si="268"/>
        <v>0</v>
      </c>
      <c r="L2028" s="39" t="s">
        <v>173</v>
      </c>
      <c r="M2028" s="39" t="s">
        <v>167</v>
      </c>
      <c r="N2028" s="39" t="str">
        <f>IF(AND('331-CT'!$E$7=TH!H2028,OR(L2028="331",M2028="331")),"331",IF(AND(OR(L2028="131",M2028="131"),H2028='131-CT'!$E$7),"131",""))</f>
        <v/>
      </c>
      <c r="O2028" s="39" t="str">
        <f>IF(AND($B2028&gt;='111'!$N$11,$B2028&lt;='111'!$O$11,OR($L2028=$O$7,$M2028=$O$7)),"x","")</f>
        <v/>
      </c>
      <c r="P2028" s="39" t="str">
        <f>IF(AND($L2028=$O$7,$B2028&lt;'111'!$N$11),"x","")</f>
        <v/>
      </c>
      <c r="Q2028" s="39" t="str">
        <f>IF(AND($M2028=$O$7,$B2028&lt;'111'!$N$11),"x","")</f>
        <v/>
      </c>
      <c r="R2028" s="39" t="str">
        <f>IF(ISERROR(FIND('112'!$M$9,G2028,1)),"",IF((AND(FIND('112'!$M$9,G2028,1)&gt;=1,$B2028&gt;='112'!$N$8,$B2028&lt;='112'!$O$8,OR($L2028='112'!$I$6,$M2028='112'!$I$6))),"x",""))</f>
        <v/>
      </c>
      <c r="S2028" s="39" t="str">
        <f>IF(ISERROR(FIND('112'!$M$9,G2028,1)),"",IF((AND(LEFT(G2028,2)=LEFT('112'!$M$9,2),B2028&lt;'112'!$N$8,$L2028='112'!$I$6)),"x",""))</f>
        <v/>
      </c>
      <c r="T2028" s="39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39" t="str">
        <f>IF(OR(TH!L2028=TH!$V$7,M2028=TH!$V$7),"x","")</f>
        <v/>
      </c>
      <c r="W2028" s="39" t="str">
        <f>IF(AND(B2028&gt;='IN-NX'!$P$3,B2028&lt;='IN-NX'!$Q$3,'IN-NX'!$D$7=D2028,OR(LEFT(L2028,2)="15",AND(LEFT(M2028,2)&lt;&gt;"15",LEFT(M2028,2)&lt;&gt;"33"))),"x","")</f>
        <v/>
      </c>
      <c r="X2028" s="39" t="str">
        <f>IF(AND(OR(LEFT(TH!L2028,2)="15",LEFT(TH!M2028,2)="15"),'152-CT'!$J$8=TH!F2028),"x","")</f>
        <v/>
      </c>
      <c r="Y2028" s="39" t="str">
        <f>IF(AND(OR(LEFT(TH!L2028,2)="15",LEFT(TH!M2028,2)="15"),TK!$E$7=TH!F2028),"x","")</f>
        <v/>
      </c>
      <c r="Z2028" s="39" t="str">
        <f>IF(AND(B2028&lt;=NKC!$N$8,B2028&gt;=NKC!$M$8),"x","")</f>
        <v/>
      </c>
      <c r="AA2028" s="886"/>
    </row>
    <row r="2029" spans="1:27" s="211" customFormat="1" ht="15.75" customHeight="1">
      <c r="A2029" s="204" t="str">
        <f>IF(B2029&lt;&gt;"",IF(AND(B2029&gt;=_TM1,B2029&lt;=_TM2,OR(TH!L2029="1111",TH!M2029="1111")),TH!D2029,""),"")</f>
        <v/>
      </c>
      <c r="B2029" s="36">
        <f t="shared" si="267"/>
        <v>12</v>
      </c>
      <c r="C2029" s="191">
        <f t="shared" si="266"/>
        <v>41633</v>
      </c>
      <c r="D2029" s="191"/>
      <c r="E2029" s="37">
        <v>41633</v>
      </c>
      <c r="F2029" s="40" t="s">
        <v>731</v>
      </c>
      <c r="G2029" s="40" t="s">
        <v>1040</v>
      </c>
      <c r="H2029" s="7" t="s">
        <v>1293</v>
      </c>
      <c r="I2029" s="256"/>
      <c r="J2029" s="256"/>
      <c r="K2029" s="602">
        <f t="shared" si="268"/>
        <v>0</v>
      </c>
      <c r="L2029" s="39" t="s">
        <v>173</v>
      </c>
      <c r="M2029" s="39" t="s">
        <v>167</v>
      </c>
      <c r="N2029" s="39" t="str">
        <f>IF(AND('331-CT'!$E$7=TH!H2029,OR(L2029="331",M2029="331")),"331",IF(AND(OR(L2029="131",M2029="131"),H2029='131-CT'!$E$7),"131",""))</f>
        <v/>
      </c>
      <c r="O2029" s="39" t="str">
        <f>IF(AND($B2029&gt;='111'!$N$11,$B2029&lt;='111'!$O$11,OR($L2029=$O$7,$M2029=$O$7)),"x","")</f>
        <v/>
      </c>
      <c r="P2029" s="39" t="str">
        <f>IF(AND($L2029=$O$7,$B2029&lt;'111'!$N$11),"x","")</f>
        <v/>
      </c>
      <c r="Q2029" s="39" t="str">
        <f>IF(AND($M2029=$O$7,$B2029&lt;'111'!$N$11),"x","")</f>
        <v/>
      </c>
      <c r="R2029" s="39" t="str">
        <f>IF(ISERROR(FIND('112'!$M$9,G2029,1)),"",IF((AND(FIND('112'!$M$9,G2029,1)&gt;=1,$B2029&gt;='112'!$N$8,$B2029&lt;='112'!$O$8,OR($L2029='112'!$I$6,$M2029='112'!$I$6))),"x",""))</f>
        <v/>
      </c>
      <c r="S2029" s="39" t="str">
        <f>IF(ISERROR(FIND('112'!$M$9,G2029,1)),"",IF((AND(LEFT(G2029,2)=LEFT('112'!$M$9,2),B2029&lt;'112'!$N$8,$L2029='112'!$I$6)),"x",""))</f>
        <v/>
      </c>
      <c r="T2029" s="39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39" t="str">
        <f>IF(OR(TH!L2029=TH!$V$7,M2029=TH!$V$7),"x","")</f>
        <v/>
      </c>
      <c r="W2029" s="39" t="str">
        <f>IF(AND(B2029&gt;='IN-NX'!$P$3,B2029&lt;='IN-NX'!$Q$3,'IN-NX'!$D$7=D2029,OR(LEFT(L2029,2)="15",AND(LEFT(M2029,2)&lt;&gt;"15",LEFT(M2029,2)&lt;&gt;"33"))),"x","")</f>
        <v/>
      </c>
      <c r="X2029" s="39" t="str">
        <f>IF(AND(OR(LEFT(TH!L2029,2)="15",LEFT(TH!M2029,2)="15"),'152-CT'!$J$8=TH!F2029),"x","")</f>
        <v/>
      </c>
      <c r="Y2029" s="39" t="str">
        <f>IF(AND(OR(LEFT(TH!L2029,2)="15",LEFT(TH!M2029,2)="15"),TK!$E$7=TH!F2029),"x","")</f>
        <v/>
      </c>
      <c r="Z2029" s="39" t="str">
        <f>IF(AND(B2029&lt;=NKC!$N$8,B2029&gt;=NKC!$M$8),"x","")</f>
        <v/>
      </c>
      <c r="AA2029" s="886"/>
    </row>
    <row r="2030" spans="1:27" s="211" customFormat="1" ht="15.75" customHeight="1">
      <c r="A2030" s="204" t="str">
        <f>IF(B2030&lt;&gt;"",IF(AND(B2030&gt;=_TM1,B2030&lt;=_TM2,OR(TH!L2030="1111",TH!M2030="1111")),TH!D2030,""),"")</f>
        <v/>
      </c>
      <c r="B2030" s="36">
        <f t="shared" si="267"/>
        <v>12</v>
      </c>
      <c r="C2030" s="191">
        <f t="shared" si="266"/>
        <v>41635</v>
      </c>
      <c r="D2030" s="191"/>
      <c r="E2030" s="37">
        <v>41635</v>
      </c>
      <c r="F2030" s="40" t="s">
        <v>877</v>
      </c>
      <c r="G2030" s="40" t="s">
        <v>1041</v>
      </c>
      <c r="H2030" s="7" t="s">
        <v>1293</v>
      </c>
      <c r="I2030" s="256"/>
      <c r="J2030" s="256"/>
      <c r="K2030" s="602">
        <f t="shared" si="268"/>
        <v>0</v>
      </c>
      <c r="L2030" s="39" t="s">
        <v>173</v>
      </c>
      <c r="M2030" s="39" t="s">
        <v>167</v>
      </c>
      <c r="N2030" s="39" t="str">
        <f>IF(AND('331-CT'!$E$7=TH!H2030,OR(L2030="331",M2030="331")),"331",IF(AND(OR(L2030="131",M2030="131"),H2030='131-CT'!$E$7),"131",""))</f>
        <v/>
      </c>
      <c r="O2030" s="39" t="str">
        <f>IF(AND($B2030&gt;='111'!$N$11,$B2030&lt;='111'!$O$11,OR($L2030=$O$7,$M2030=$O$7)),"x","")</f>
        <v/>
      </c>
      <c r="P2030" s="39" t="str">
        <f>IF(AND($L2030=$O$7,$B2030&lt;'111'!$N$11),"x","")</f>
        <v/>
      </c>
      <c r="Q2030" s="39" t="str">
        <f>IF(AND($M2030=$O$7,$B2030&lt;'111'!$N$11),"x","")</f>
        <v/>
      </c>
      <c r="R2030" s="39" t="str">
        <f>IF(ISERROR(FIND('112'!$M$9,G2030,1)),"",IF((AND(FIND('112'!$M$9,G2030,1)&gt;=1,$B2030&gt;='112'!$N$8,$B2030&lt;='112'!$O$8,OR($L2030='112'!$I$6,$M2030='112'!$I$6))),"x",""))</f>
        <v/>
      </c>
      <c r="S2030" s="39" t="str">
        <f>IF(ISERROR(FIND('112'!$M$9,G2030,1)),"",IF((AND(LEFT(G2030,2)=LEFT('112'!$M$9,2),B2030&lt;'112'!$N$8,$L2030='112'!$I$6)),"x",""))</f>
        <v/>
      </c>
      <c r="T2030" s="39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39" t="str">
        <f>IF(OR(TH!L2030=TH!$V$7,M2030=TH!$V$7),"x","")</f>
        <v/>
      </c>
      <c r="W2030" s="39" t="str">
        <f>IF(AND(B2030&gt;='IN-NX'!$P$3,B2030&lt;='IN-NX'!$Q$3,'IN-NX'!$D$7=D2030,OR(LEFT(L2030,2)="15",AND(LEFT(M2030,2)&lt;&gt;"15",LEFT(M2030,2)&lt;&gt;"33"))),"x","")</f>
        <v/>
      </c>
      <c r="X2030" s="39" t="str">
        <f>IF(AND(OR(LEFT(TH!L2030,2)="15",LEFT(TH!M2030,2)="15"),'152-CT'!$J$8=TH!F2030),"x","")</f>
        <v/>
      </c>
      <c r="Y2030" s="39" t="str">
        <f>IF(AND(OR(LEFT(TH!L2030,2)="15",LEFT(TH!M2030,2)="15"),TK!$E$7=TH!F2030),"x","")</f>
        <v/>
      </c>
      <c r="Z2030" s="39" t="str">
        <f>IF(AND(B2030&lt;=NKC!$N$8,B2030&gt;=NKC!$M$8),"x","")</f>
        <v/>
      </c>
      <c r="AA2030" s="886"/>
    </row>
    <row r="2031" spans="1:27" s="211" customFormat="1" ht="15.75" customHeight="1">
      <c r="A2031" s="204" t="str">
        <f>IF(B2031&lt;&gt;"",IF(AND(B2031&gt;=_TM1,B2031&lt;=_TM2,OR(TH!L2031="1111",TH!M2031="1111")),TH!D2031,""),"")</f>
        <v/>
      </c>
      <c r="B2031" s="36">
        <f t="shared" si="267"/>
        <v>12</v>
      </c>
      <c r="C2031" s="191">
        <f t="shared" si="266"/>
        <v>41635</v>
      </c>
      <c r="D2031" s="184"/>
      <c r="E2031" s="37">
        <v>41635</v>
      </c>
      <c r="F2031" s="40" t="s">
        <v>880</v>
      </c>
      <c r="G2031" s="40" t="s">
        <v>1041</v>
      </c>
      <c r="H2031" s="7" t="s">
        <v>1293</v>
      </c>
      <c r="I2031" s="256"/>
      <c r="J2031" s="256"/>
      <c r="K2031" s="602">
        <f t="shared" si="268"/>
        <v>0</v>
      </c>
      <c r="L2031" s="39" t="s">
        <v>173</v>
      </c>
      <c r="M2031" s="39" t="s">
        <v>167</v>
      </c>
      <c r="N2031" s="39" t="str">
        <f>IF(AND('331-CT'!$E$7=TH!H2031,OR(L2031="331",M2031="331")),"331",IF(AND(OR(L2031="131",M2031="131"),H2031='131-CT'!$E$7),"131",""))</f>
        <v/>
      </c>
      <c r="O2031" s="39" t="str">
        <f>IF(AND($B2031&gt;='111'!$N$11,$B2031&lt;='111'!$O$11,OR($L2031=$O$7,$M2031=$O$7)),"x","")</f>
        <v/>
      </c>
      <c r="P2031" s="39" t="str">
        <f>IF(AND($L2031=$O$7,$B2031&lt;'111'!$N$11),"x","")</f>
        <v/>
      </c>
      <c r="Q2031" s="39" t="str">
        <f>IF(AND($M2031=$O$7,$B2031&lt;'111'!$N$11),"x","")</f>
        <v/>
      </c>
      <c r="R2031" s="39" t="str">
        <f>IF(ISERROR(FIND('112'!$M$9,G2031,1)),"",IF((AND(FIND('112'!$M$9,G2031,1)&gt;=1,$B2031&gt;='112'!$N$8,$B2031&lt;='112'!$O$8,OR($L2031='112'!$I$6,$M2031='112'!$I$6))),"x",""))</f>
        <v/>
      </c>
      <c r="S2031" s="39" t="str">
        <f>IF(ISERROR(FIND('112'!$M$9,G2031,1)),"",IF((AND(LEFT(G2031,2)=LEFT('112'!$M$9,2),B2031&lt;'112'!$N$8,$L2031='112'!$I$6)),"x",""))</f>
        <v/>
      </c>
      <c r="T2031" s="39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39" t="str">
        <f>IF(OR(TH!L2031=TH!$V$7,M2031=TH!$V$7),"x","")</f>
        <v/>
      </c>
      <c r="W2031" s="39" t="str">
        <f>IF(AND(B2031&gt;='IN-NX'!$P$3,B2031&lt;='IN-NX'!$Q$3,'IN-NX'!$D$7=D2031,OR(LEFT(L2031,2)="15",AND(LEFT(M2031,2)&lt;&gt;"15",LEFT(M2031,2)&lt;&gt;"33"))),"x","")</f>
        <v/>
      </c>
      <c r="X2031" s="39" t="str">
        <f>IF(AND(OR(LEFT(TH!L2031,2)="15",LEFT(TH!M2031,2)="15"),'152-CT'!$J$8=TH!F2031),"x","")</f>
        <v/>
      </c>
      <c r="Y2031" s="39" t="str">
        <f>IF(AND(OR(LEFT(TH!L2031,2)="15",LEFT(TH!M2031,2)="15"),TK!$E$7=TH!F2031),"x","")</f>
        <v/>
      </c>
      <c r="Z2031" s="39" t="str">
        <f>IF(AND(B2031&lt;=NKC!$N$8,B2031&gt;=NKC!$M$8),"x","")</f>
        <v/>
      </c>
      <c r="AA2031" s="886"/>
    </row>
    <row r="2032" spans="1:27" s="211" customFormat="1" ht="15.75" customHeight="1">
      <c r="A2032" s="204" t="str">
        <f>IF(B2032&lt;&gt;"",IF(AND(B2032&gt;=_TM1,B2032&lt;=_TM2,OR(TH!L2032="1111",TH!M2032="1111")),TH!D2032,""),"")</f>
        <v/>
      </c>
      <c r="B2032" s="36">
        <f t="shared" si="267"/>
        <v>12</v>
      </c>
      <c r="C2032" s="191">
        <f t="shared" si="266"/>
        <v>41635</v>
      </c>
      <c r="D2032" s="184"/>
      <c r="E2032" s="37">
        <v>41635</v>
      </c>
      <c r="F2032" s="40" t="s">
        <v>1020</v>
      </c>
      <c r="G2032" s="40" t="s">
        <v>1041</v>
      </c>
      <c r="H2032" s="7" t="s">
        <v>1293</v>
      </c>
      <c r="I2032" s="256"/>
      <c r="J2032" s="256"/>
      <c r="K2032" s="602">
        <f t="shared" si="268"/>
        <v>0</v>
      </c>
      <c r="L2032" s="39" t="s">
        <v>173</v>
      </c>
      <c r="M2032" s="39" t="s">
        <v>167</v>
      </c>
      <c r="N2032" s="39" t="str">
        <f>IF(AND('331-CT'!$E$7=TH!H2032,OR(L2032="331",M2032="331")),"331",IF(AND(OR(L2032="131",M2032="131"),H2032='131-CT'!$E$7),"131",""))</f>
        <v/>
      </c>
      <c r="O2032" s="39" t="str">
        <f>IF(AND($B2032&gt;='111'!$N$11,$B2032&lt;='111'!$O$11,OR($L2032=$O$7,$M2032=$O$7)),"x","")</f>
        <v/>
      </c>
      <c r="P2032" s="39" t="str">
        <f>IF(AND($L2032=$O$7,$B2032&lt;'111'!$N$11),"x","")</f>
        <v/>
      </c>
      <c r="Q2032" s="39" t="str">
        <f>IF(AND($M2032=$O$7,$B2032&lt;'111'!$N$11),"x","")</f>
        <v/>
      </c>
      <c r="R2032" s="39" t="str">
        <f>IF(ISERROR(FIND('112'!$M$9,G2032,1)),"",IF((AND(FIND('112'!$M$9,G2032,1)&gt;=1,$B2032&gt;='112'!$N$8,$B2032&lt;='112'!$O$8,OR($L2032='112'!$I$6,$M2032='112'!$I$6))),"x",""))</f>
        <v/>
      </c>
      <c r="S2032" s="39" t="str">
        <f>IF(ISERROR(FIND('112'!$M$9,G2032,1)),"",IF((AND(LEFT(G2032,2)=LEFT('112'!$M$9,2),B2032&lt;'112'!$N$8,$L2032='112'!$I$6)),"x",""))</f>
        <v/>
      </c>
      <c r="T2032" s="39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39" t="str">
        <f>IF(OR(TH!L2032=TH!$V$7,M2032=TH!$V$7),"x","")</f>
        <v/>
      </c>
      <c r="W2032" s="39" t="str">
        <f>IF(AND(B2032&gt;='IN-NX'!$P$3,B2032&lt;='IN-NX'!$Q$3,'IN-NX'!$D$7=D2032,OR(LEFT(L2032,2)="15",AND(LEFT(M2032,2)&lt;&gt;"15",LEFT(M2032,2)&lt;&gt;"33"))),"x","")</f>
        <v/>
      </c>
      <c r="X2032" s="39" t="str">
        <f>IF(AND(OR(LEFT(TH!L2032,2)="15",LEFT(TH!M2032,2)="15"),'152-CT'!$J$8=TH!F2032),"x","")</f>
        <v/>
      </c>
      <c r="Y2032" s="39" t="str">
        <f>IF(AND(OR(LEFT(TH!L2032,2)="15",LEFT(TH!M2032,2)="15"),TK!$E$7=TH!F2032),"x","")</f>
        <v/>
      </c>
      <c r="Z2032" s="39" t="str">
        <f>IF(AND(B2032&lt;=NKC!$N$8,B2032&gt;=NKC!$M$8),"x","")</f>
        <v/>
      </c>
      <c r="AA2032" s="886"/>
    </row>
    <row r="2033" spans="1:27" s="211" customFormat="1" ht="15.75" customHeight="1">
      <c r="A2033" s="204" t="str">
        <f>IF(B2033&lt;&gt;"",IF(AND(B2033&gt;=_TM1,B2033&lt;=_TM2,OR(TH!L2033="1111",TH!M2033="1111")),TH!D2033,""),"")</f>
        <v/>
      </c>
      <c r="B2033" s="36">
        <f t="shared" si="267"/>
        <v>12</v>
      </c>
      <c r="C2033" s="191">
        <f t="shared" si="266"/>
        <v>41635</v>
      </c>
      <c r="D2033" s="184"/>
      <c r="E2033" s="37">
        <v>41635</v>
      </c>
      <c r="F2033" s="40" t="s">
        <v>1152</v>
      </c>
      <c r="G2033" s="40" t="s">
        <v>1042</v>
      </c>
      <c r="H2033" s="7" t="s">
        <v>1293</v>
      </c>
      <c r="I2033" s="256"/>
      <c r="J2033" s="256"/>
      <c r="K2033" s="602">
        <f t="shared" si="268"/>
        <v>0</v>
      </c>
      <c r="L2033" s="39" t="s">
        <v>173</v>
      </c>
      <c r="M2033" s="39" t="s">
        <v>167</v>
      </c>
      <c r="N2033" s="39" t="str">
        <f>IF(AND('331-CT'!$E$7=TH!H2033,OR(L2033="331",M2033="331")),"331",IF(AND(OR(L2033="131",M2033="131"),H2033='131-CT'!$E$7),"131",""))</f>
        <v/>
      </c>
      <c r="O2033" s="39" t="str">
        <f>IF(AND($B2033&gt;='111'!$N$11,$B2033&lt;='111'!$O$11,OR($L2033=$O$7,$M2033=$O$7)),"x","")</f>
        <v/>
      </c>
      <c r="P2033" s="39" t="str">
        <f>IF(AND($L2033=$O$7,$B2033&lt;'111'!$N$11),"x","")</f>
        <v/>
      </c>
      <c r="Q2033" s="39" t="str">
        <f>IF(AND($M2033=$O$7,$B2033&lt;'111'!$N$11),"x","")</f>
        <v/>
      </c>
      <c r="R2033" s="39" t="str">
        <f>IF(ISERROR(FIND('112'!$M$9,G2033,1)),"",IF((AND(FIND('112'!$M$9,G2033,1)&gt;=1,$B2033&gt;='112'!$N$8,$B2033&lt;='112'!$O$8,OR($L2033='112'!$I$6,$M2033='112'!$I$6))),"x",""))</f>
        <v/>
      </c>
      <c r="S2033" s="39" t="str">
        <f>IF(ISERROR(FIND('112'!$M$9,G2033,1)),"",IF((AND(LEFT(G2033,2)=LEFT('112'!$M$9,2),B2033&lt;'112'!$N$8,$L2033='112'!$I$6)),"x",""))</f>
        <v/>
      </c>
      <c r="T2033" s="39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39" t="str">
        <f>IF(OR(TH!L2033=TH!$V$7,M2033=TH!$V$7),"x","")</f>
        <v/>
      </c>
      <c r="W2033" s="39" t="str">
        <f>IF(AND(B2033&gt;='IN-NX'!$P$3,B2033&lt;='IN-NX'!$Q$3,'IN-NX'!$D$7=D2033,OR(LEFT(L2033,2)="15",AND(LEFT(M2033,2)&lt;&gt;"15",LEFT(M2033,2)&lt;&gt;"33"))),"x","")</f>
        <v/>
      </c>
      <c r="X2033" s="39" t="str">
        <f>IF(AND(OR(LEFT(TH!L2033,2)="15",LEFT(TH!M2033,2)="15"),'152-CT'!$J$8=TH!F2033),"x","")</f>
        <v/>
      </c>
      <c r="Y2033" s="39" t="str">
        <f>IF(AND(OR(LEFT(TH!L2033,2)="15",LEFT(TH!M2033,2)="15"),TK!$E$7=TH!F2033),"x","")</f>
        <v/>
      </c>
      <c r="Z2033" s="39" t="str">
        <f>IF(AND(B2033&lt;=NKC!$N$8,B2033&gt;=NKC!$M$8),"x","")</f>
        <v/>
      </c>
      <c r="AA2033" s="886"/>
    </row>
    <row r="2034" spans="1:27" s="211" customFormat="1" ht="15.75" customHeight="1">
      <c r="A2034" s="204" t="str">
        <f>IF(B2034&lt;&gt;"",IF(AND(B2034&gt;=_TM1,B2034&lt;=_TM2,OR(TH!L2034="1111",TH!M2034="1111")),TH!D2034,""),"")</f>
        <v/>
      </c>
      <c r="B2034" s="36">
        <f t="shared" si="267"/>
        <v>12</v>
      </c>
      <c r="C2034" s="191">
        <f t="shared" si="266"/>
        <v>41636</v>
      </c>
      <c r="D2034" s="184"/>
      <c r="E2034" s="37">
        <v>41636</v>
      </c>
      <c r="F2034" s="40" t="s">
        <v>1141</v>
      </c>
      <c r="G2034" s="40" t="s">
        <v>1043</v>
      </c>
      <c r="H2034" s="7" t="s">
        <v>1293</v>
      </c>
      <c r="I2034" s="256"/>
      <c r="J2034" s="256"/>
      <c r="K2034" s="602">
        <f t="shared" si="268"/>
        <v>0</v>
      </c>
      <c r="L2034" s="39" t="s">
        <v>173</v>
      </c>
      <c r="M2034" s="39" t="s">
        <v>167</v>
      </c>
      <c r="N2034" s="39" t="str">
        <f>IF(AND('331-CT'!$E$7=TH!H2034,OR(L2034="331",M2034="331")),"331",IF(AND(OR(L2034="131",M2034="131"),H2034='131-CT'!$E$7),"131",""))</f>
        <v/>
      </c>
      <c r="O2034" s="39" t="str">
        <f>IF(AND($B2034&gt;='111'!$N$11,$B2034&lt;='111'!$O$11,OR($L2034=$O$7,$M2034=$O$7)),"x","")</f>
        <v/>
      </c>
      <c r="P2034" s="39" t="str">
        <f>IF(AND($L2034=$O$7,$B2034&lt;'111'!$N$11),"x","")</f>
        <v/>
      </c>
      <c r="Q2034" s="39" t="str">
        <f>IF(AND($M2034=$O$7,$B2034&lt;'111'!$N$11),"x","")</f>
        <v/>
      </c>
      <c r="R2034" s="39" t="str">
        <f>IF(ISERROR(FIND('112'!$M$9,G2034,1)),"",IF((AND(FIND('112'!$M$9,G2034,1)&gt;=1,$B2034&gt;='112'!$N$8,$B2034&lt;='112'!$O$8,OR($L2034='112'!$I$6,$M2034='112'!$I$6))),"x",""))</f>
        <v/>
      </c>
      <c r="S2034" s="39" t="str">
        <f>IF(ISERROR(FIND('112'!$M$9,G2034,1)),"",IF((AND(LEFT(G2034,2)=LEFT('112'!$M$9,2),B2034&lt;'112'!$N$8,$L2034='112'!$I$6)),"x",""))</f>
        <v/>
      </c>
      <c r="T2034" s="39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39" t="str">
        <f>IF(OR(TH!L2034=TH!$V$7,M2034=TH!$V$7),"x","")</f>
        <v/>
      </c>
      <c r="W2034" s="39" t="str">
        <f>IF(AND(B2034&gt;='IN-NX'!$P$3,B2034&lt;='IN-NX'!$Q$3,'IN-NX'!$D$7=D2034,OR(LEFT(L2034,2)="15",AND(LEFT(M2034,2)&lt;&gt;"15",LEFT(M2034,2)&lt;&gt;"33"))),"x","")</f>
        <v/>
      </c>
      <c r="X2034" s="39" t="str">
        <f>IF(AND(OR(LEFT(TH!L2034,2)="15",LEFT(TH!M2034,2)="15"),'152-CT'!$J$8=TH!F2034),"x","")</f>
        <v/>
      </c>
      <c r="Y2034" s="39" t="str">
        <f>IF(AND(OR(LEFT(TH!L2034,2)="15",LEFT(TH!M2034,2)="15"),TK!$E$7=TH!F2034),"x","")</f>
        <v/>
      </c>
      <c r="Z2034" s="39" t="str">
        <f>IF(AND(B2034&lt;=NKC!$N$8,B2034&gt;=NKC!$M$8),"x","")</f>
        <v/>
      </c>
      <c r="AA2034" s="886"/>
    </row>
    <row r="2035" spans="1:27" ht="15.75" customHeight="1">
      <c r="A2035" s="204" t="str">
        <f>IF(B2035&lt;&gt;"",IF(AND(B2035&gt;=_TM1,B2035&lt;=_TM2,OR(TH!L2035="1111",TH!M2035="1111")),TH!D2035,""),"")</f>
        <v/>
      </c>
      <c r="B2035" s="36" t="str">
        <f t="shared" ref="B2035:B2040" si="269">IF(C2035&lt;&gt;"",MONTH(C2035),"")</f>
        <v/>
      </c>
      <c r="C2035" s="191"/>
      <c r="D2035" s="37"/>
      <c r="E2035" s="191"/>
      <c r="F2035" s="855"/>
      <c r="G2035" s="40"/>
      <c r="H2035" s="44"/>
      <c r="I2035" s="256"/>
      <c r="J2035" s="256"/>
      <c r="K2035" s="38"/>
      <c r="L2035" s="39"/>
      <c r="M2035" s="39"/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  <c r="AA2035" s="853"/>
    </row>
    <row r="2036" spans="1:27" ht="15.75" customHeight="1">
      <c r="A2036" s="204" t="str">
        <f>IF(B2036&lt;&gt;"",IF(AND(B2036&gt;=_TM1,B2036&lt;=_TM2,OR(TH!L2036="1111",TH!M2036="1111")),TH!D2036,""),"")</f>
        <v/>
      </c>
      <c r="B2036" s="36" t="str">
        <f t="shared" si="269"/>
        <v/>
      </c>
      <c r="C2036" s="37"/>
      <c r="D2036" s="37"/>
      <c r="E2036" s="37"/>
      <c r="F2036" s="40"/>
      <c r="G2036" s="40"/>
      <c r="H2036" s="44"/>
      <c r="I2036" s="256"/>
      <c r="J2036" s="256"/>
      <c r="K2036" s="38"/>
      <c r="L2036" s="39"/>
      <c r="M2036" s="39"/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  <c r="AA2036" s="853"/>
    </row>
    <row r="2037" spans="1:27" ht="15.75" customHeight="1">
      <c r="A2037" s="204" t="str">
        <f>IF(B2037&lt;&gt;"",IF(AND(B2037&gt;=_TM1,B2037&lt;=_TM2,OR(TH!L2037="1111",TH!M2037="1111")),TH!D2037,""),"")</f>
        <v/>
      </c>
      <c r="B2037" s="36" t="str">
        <f t="shared" si="269"/>
        <v/>
      </c>
      <c r="C2037" s="37"/>
      <c r="D2037" s="37"/>
      <c r="E2037" s="37"/>
      <c r="F2037" s="40"/>
      <c r="G2037" s="40"/>
      <c r="H2037" s="44"/>
      <c r="I2037" s="256"/>
      <c r="J2037" s="256"/>
      <c r="K2037" s="38"/>
      <c r="L2037" s="39"/>
      <c r="M2037" s="39"/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  <c r="AA2037" s="853"/>
    </row>
    <row r="2038" spans="1:27" ht="15.75" customHeight="1">
      <c r="A2038" s="204" t="str">
        <f>IF(B2038&lt;&gt;"",IF(AND(B2038&gt;=_TM1,B2038&lt;=_TM2,OR(TH!L2038="1111",TH!M2038="1111")),TH!D2038,""),"")</f>
        <v/>
      </c>
      <c r="B2038" s="36" t="str">
        <f t="shared" si="269"/>
        <v/>
      </c>
      <c r="C2038" s="37"/>
      <c r="D2038" s="37"/>
      <c r="E2038" s="37"/>
      <c r="F2038" s="40"/>
      <c r="G2038" s="40"/>
      <c r="H2038" s="44"/>
      <c r="I2038" s="256"/>
      <c r="J2038" s="256"/>
      <c r="K2038" s="38"/>
      <c r="L2038" s="39"/>
      <c r="M2038" s="39"/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  <c r="AA2038" s="853"/>
    </row>
    <row r="2039" spans="1:27" ht="15.75" customHeight="1">
      <c r="A2039" s="204" t="str">
        <f>IF(B2039&lt;&gt;"",IF(AND(B2039&gt;=_TM1,B2039&lt;=_TM2,OR(TH!L2039="1111",TH!M2039="1111")),TH!D2039,""),"")</f>
        <v/>
      </c>
      <c r="B2039" s="36" t="str">
        <f t="shared" si="269"/>
        <v/>
      </c>
      <c r="C2039" s="37"/>
      <c r="D2039" s="37"/>
      <c r="E2039" s="37"/>
      <c r="F2039" s="40"/>
      <c r="G2039" s="40"/>
      <c r="H2039" s="44"/>
      <c r="I2039" s="256"/>
      <c r="J2039" s="256"/>
      <c r="K2039" s="38"/>
      <c r="L2039" s="39"/>
      <c r="M2039" s="39"/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  <c r="AA2039" s="853"/>
    </row>
    <row r="2040" spans="1:27" ht="15.75" customHeight="1">
      <c r="A2040" s="204" t="str">
        <f>IF(B2040&lt;&gt;"",IF(AND(B2040&gt;=_TM1,B2040&lt;=_TM2,OR(TH!L2040="1111",TH!M2040="1111")),TH!D2040,""),"")</f>
        <v/>
      </c>
      <c r="B2040" s="36" t="str">
        <f t="shared" si="269"/>
        <v/>
      </c>
      <c r="C2040" s="37"/>
      <c r="D2040" s="37"/>
      <c r="E2040" s="37"/>
      <c r="F2040" s="40"/>
      <c r="G2040" s="40"/>
      <c r="H2040" s="44"/>
      <c r="I2040" s="256"/>
      <c r="J2040" s="256"/>
      <c r="K2040" s="38"/>
      <c r="L2040" s="39"/>
      <c r="M2040" s="39"/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  <c r="AA2040" s="853"/>
    </row>
    <row r="2042" spans="1:27">
      <c r="J2042" s="834"/>
    </row>
    <row r="2049" spans="8:11">
      <c r="H2049" s="833"/>
    </row>
    <row r="2050" spans="8:11">
      <c r="K2050" s="483">
        <f>SUBTOTAL(9,K10:K2040)</f>
        <v>8165281241</v>
      </c>
    </row>
  </sheetData>
  <autoFilter ref="A9:AD2040"/>
  <sortState ref="A24:AD2823">
    <sortCondition ref="C24:C2823"/>
  </sortState>
  <mergeCells count="19">
    <mergeCell ref="A7:A8"/>
    <mergeCell ref="B7:B8"/>
    <mergeCell ref="H7:H8"/>
    <mergeCell ref="V7:V8"/>
    <mergeCell ref="U7:U8"/>
    <mergeCell ref="O7:Q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26" customWidth="1"/>
    <col min="2" max="2" width="9.28515625" style="626" customWidth="1"/>
    <col min="3" max="3" width="10" style="626" customWidth="1"/>
    <col min="4" max="4" width="41.42578125" style="626" customWidth="1"/>
    <col min="5" max="5" width="6" style="626" customWidth="1"/>
    <col min="6" max="6" width="7.85546875" style="626" customWidth="1"/>
    <col min="7" max="7" width="8.5703125" style="626" customWidth="1"/>
    <col min="8" max="8" width="13.85546875" style="626" customWidth="1"/>
    <col min="9" max="9" width="14.140625" style="626" customWidth="1"/>
    <col min="10" max="11" width="9.140625" style="626"/>
    <col min="12" max="12" width="3.5703125" style="626" customWidth="1"/>
    <col min="13" max="256" width="9.140625" style="626"/>
    <col min="257" max="257" width="13" style="626" customWidth="1"/>
    <col min="258" max="258" width="9.140625" style="626"/>
    <col min="259" max="259" width="13" style="626" customWidth="1"/>
    <col min="260" max="260" width="29.7109375" style="626" customWidth="1"/>
    <col min="261" max="261" width="7.7109375" style="626" customWidth="1"/>
    <col min="262" max="262" width="6" style="626" customWidth="1"/>
    <col min="263" max="263" width="11.5703125" style="626" customWidth="1"/>
    <col min="264" max="264" width="13.42578125" style="626" customWidth="1"/>
    <col min="265" max="265" width="13.85546875" style="626" customWidth="1"/>
    <col min="266" max="512" width="9.140625" style="626"/>
    <col min="513" max="513" width="13" style="626" customWidth="1"/>
    <col min="514" max="514" width="9.140625" style="626"/>
    <col min="515" max="515" width="13" style="626" customWidth="1"/>
    <col min="516" max="516" width="29.7109375" style="626" customWidth="1"/>
    <col min="517" max="517" width="7.7109375" style="626" customWidth="1"/>
    <col min="518" max="518" width="6" style="626" customWidth="1"/>
    <col min="519" max="519" width="11.5703125" style="626" customWidth="1"/>
    <col min="520" max="520" width="13.42578125" style="626" customWidth="1"/>
    <col min="521" max="521" width="13.85546875" style="626" customWidth="1"/>
    <col min="522" max="768" width="9.140625" style="626"/>
    <col min="769" max="769" width="13" style="626" customWidth="1"/>
    <col min="770" max="770" width="9.140625" style="626"/>
    <col min="771" max="771" width="13" style="626" customWidth="1"/>
    <col min="772" max="772" width="29.7109375" style="626" customWidth="1"/>
    <col min="773" max="773" width="7.7109375" style="626" customWidth="1"/>
    <col min="774" max="774" width="6" style="626" customWidth="1"/>
    <col min="775" max="775" width="11.5703125" style="626" customWidth="1"/>
    <col min="776" max="776" width="13.42578125" style="626" customWidth="1"/>
    <col min="777" max="777" width="13.85546875" style="626" customWidth="1"/>
    <col min="778" max="1024" width="9.140625" style="626"/>
    <col min="1025" max="1025" width="13" style="626" customWidth="1"/>
    <col min="1026" max="1026" width="9.140625" style="626"/>
    <col min="1027" max="1027" width="13" style="626" customWidth="1"/>
    <col min="1028" max="1028" width="29.7109375" style="626" customWidth="1"/>
    <col min="1029" max="1029" width="7.7109375" style="626" customWidth="1"/>
    <col min="1030" max="1030" width="6" style="626" customWidth="1"/>
    <col min="1031" max="1031" width="11.5703125" style="626" customWidth="1"/>
    <col min="1032" max="1032" width="13.42578125" style="626" customWidth="1"/>
    <col min="1033" max="1033" width="13.85546875" style="626" customWidth="1"/>
    <col min="1034" max="1280" width="9.140625" style="626"/>
    <col min="1281" max="1281" width="13" style="626" customWidth="1"/>
    <col min="1282" max="1282" width="9.140625" style="626"/>
    <col min="1283" max="1283" width="13" style="626" customWidth="1"/>
    <col min="1284" max="1284" width="29.7109375" style="626" customWidth="1"/>
    <col min="1285" max="1285" width="7.7109375" style="626" customWidth="1"/>
    <col min="1286" max="1286" width="6" style="626" customWidth="1"/>
    <col min="1287" max="1287" width="11.5703125" style="626" customWidth="1"/>
    <col min="1288" max="1288" width="13.42578125" style="626" customWidth="1"/>
    <col min="1289" max="1289" width="13.85546875" style="626" customWidth="1"/>
    <col min="1290" max="1536" width="9.140625" style="626"/>
    <col min="1537" max="1537" width="13" style="626" customWidth="1"/>
    <col min="1538" max="1538" width="9.140625" style="626"/>
    <col min="1539" max="1539" width="13" style="626" customWidth="1"/>
    <col min="1540" max="1540" width="29.7109375" style="626" customWidth="1"/>
    <col min="1541" max="1541" width="7.7109375" style="626" customWidth="1"/>
    <col min="1542" max="1542" width="6" style="626" customWidth="1"/>
    <col min="1543" max="1543" width="11.5703125" style="626" customWidth="1"/>
    <col min="1544" max="1544" width="13.42578125" style="626" customWidth="1"/>
    <col min="1545" max="1545" width="13.85546875" style="626" customWidth="1"/>
    <col min="1546" max="1792" width="9.140625" style="626"/>
    <col min="1793" max="1793" width="13" style="626" customWidth="1"/>
    <col min="1794" max="1794" width="9.140625" style="626"/>
    <col min="1795" max="1795" width="13" style="626" customWidth="1"/>
    <col min="1796" max="1796" width="29.7109375" style="626" customWidth="1"/>
    <col min="1797" max="1797" width="7.7109375" style="626" customWidth="1"/>
    <col min="1798" max="1798" width="6" style="626" customWidth="1"/>
    <col min="1799" max="1799" width="11.5703125" style="626" customWidth="1"/>
    <col min="1800" max="1800" width="13.42578125" style="626" customWidth="1"/>
    <col min="1801" max="1801" width="13.85546875" style="626" customWidth="1"/>
    <col min="1802" max="2048" width="9.140625" style="626"/>
    <col min="2049" max="2049" width="13" style="626" customWidth="1"/>
    <col min="2050" max="2050" width="9.140625" style="626"/>
    <col min="2051" max="2051" width="13" style="626" customWidth="1"/>
    <col min="2052" max="2052" width="29.7109375" style="626" customWidth="1"/>
    <col min="2053" max="2053" width="7.7109375" style="626" customWidth="1"/>
    <col min="2054" max="2054" width="6" style="626" customWidth="1"/>
    <col min="2055" max="2055" width="11.5703125" style="626" customWidth="1"/>
    <col min="2056" max="2056" width="13.42578125" style="626" customWidth="1"/>
    <col min="2057" max="2057" width="13.85546875" style="626" customWidth="1"/>
    <col min="2058" max="2304" width="9.140625" style="626"/>
    <col min="2305" max="2305" width="13" style="626" customWidth="1"/>
    <col min="2306" max="2306" width="9.140625" style="626"/>
    <col min="2307" max="2307" width="13" style="626" customWidth="1"/>
    <col min="2308" max="2308" width="29.7109375" style="626" customWidth="1"/>
    <col min="2309" max="2309" width="7.7109375" style="626" customWidth="1"/>
    <col min="2310" max="2310" width="6" style="626" customWidth="1"/>
    <col min="2311" max="2311" width="11.5703125" style="626" customWidth="1"/>
    <col min="2312" max="2312" width="13.42578125" style="626" customWidth="1"/>
    <col min="2313" max="2313" width="13.85546875" style="626" customWidth="1"/>
    <col min="2314" max="2560" width="9.140625" style="626"/>
    <col min="2561" max="2561" width="13" style="626" customWidth="1"/>
    <col min="2562" max="2562" width="9.140625" style="626"/>
    <col min="2563" max="2563" width="13" style="626" customWidth="1"/>
    <col min="2564" max="2564" width="29.7109375" style="626" customWidth="1"/>
    <col min="2565" max="2565" width="7.7109375" style="626" customWidth="1"/>
    <col min="2566" max="2566" width="6" style="626" customWidth="1"/>
    <col min="2567" max="2567" width="11.5703125" style="626" customWidth="1"/>
    <col min="2568" max="2568" width="13.42578125" style="626" customWidth="1"/>
    <col min="2569" max="2569" width="13.85546875" style="626" customWidth="1"/>
    <col min="2570" max="2816" width="9.140625" style="626"/>
    <col min="2817" max="2817" width="13" style="626" customWidth="1"/>
    <col min="2818" max="2818" width="9.140625" style="626"/>
    <col min="2819" max="2819" width="13" style="626" customWidth="1"/>
    <col min="2820" max="2820" width="29.7109375" style="626" customWidth="1"/>
    <col min="2821" max="2821" width="7.7109375" style="626" customWidth="1"/>
    <col min="2822" max="2822" width="6" style="626" customWidth="1"/>
    <col min="2823" max="2823" width="11.5703125" style="626" customWidth="1"/>
    <col min="2824" max="2824" width="13.42578125" style="626" customWidth="1"/>
    <col min="2825" max="2825" width="13.85546875" style="626" customWidth="1"/>
    <col min="2826" max="3072" width="9.140625" style="626"/>
    <col min="3073" max="3073" width="13" style="626" customWidth="1"/>
    <col min="3074" max="3074" width="9.140625" style="626"/>
    <col min="3075" max="3075" width="13" style="626" customWidth="1"/>
    <col min="3076" max="3076" width="29.7109375" style="626" customWidth="1"/>
    <col min="3077" max="3077" width="7.7109375" style="626" customWidth="1"/>
    <col min="3078" max="3078" width="6" style="626" customWidth="1"/>
    <col min="3079" max="3079" width="11.5703125" style="626" customWidth="1"/>
    <col min="3080" max="3080" width="13.42578125" style="626" customWidth="1"/>
    <col min="3081" max="3081" width="13.85546875" style="626" customWidth="1"/>
    <col min="3082" max="3328" width="9.140625" style="626"/>
    <col min="3329" max="3329" width="13" style="626" customWidth="1"/>
    <col min="3330" max="3330" width="9.140625" style="626"/>
    <col min="3331" max="3331" width="13" style="626" customWidth="1"/>
    <col min="3332" max="3332" width="29.7109375" style="626" customWidth="1"/>
    <col min="3333" max="3333" width="7.7109375" style="626" customWidth="1"/>
    <col min="3334" max="3334" width="6" style="626" customWidth="1"/>
    <col min="3335" max="3335" width="11.5703125" style="626" customWidth="1"/>
    <col min="3336" max="3336" width="13.42578125" style="626" customWidth="1"/>
    <col min="3337" max="3337" width="13.85546875" style="626" customWidth="1"/>
    <col min="3338" max="3584" width="9.140625" style="626"/>
    <col min="3585" max="3585" width="13" style="626" customWidth="1"/>
    <col min="3586" max="3586" width="9.140625" style="626"/>
    <col min="3587" max="3587" width="13" style="626" customWidth="1"/>
    <col min="3588" max="3588" width="29.7109375" style="626" customWidth="1"/>
    <col min="3589" max="3589" width="7.7109375" style="626" customWidth="1"/>
    <col min="3590" max="3590" width="6" style="626" customWidth="1"/>
    <col min="3591" max="3591" width="11.5703125" style="626" customWidth="1"/>
    <col min="3592" max="3592" width="13.42578125" style="626" customWidth="1"/>
    <col min="3593" max="3593" width="13.85546875" style="626" customWidth="1"/>
    <col min="3594" max="3840" width="9.140625" style="626"/>
    <col min="3841" max="3841" width="13" style="626" customWidth="1"/>
    <col min="3842" max="3842" width="9.140625" style="626"/>
    <col min="3843" max="3843" width="13" style="626" customWidth="1"/>
    <col min="3844" max="3844" width="29.7109375" style="626" customWidth="1"/>
    <col min="3845" max="3845" width="7.7109375" style="626" customWidth="1"/>
    <col min="3846" max="3846" width="6" style="626" customWidth="1"/>
    <col min="3847" max="3847" width="11.5703125" style="626" customWidth="1"/>
    <col min="3848" max="3848" width="13.42578125" style="626" customWidth="1"/>
    <col min="3849" max="3849" width="13.85546875" style="626" customWidth="1"/>
    <col min="3850" max="4096" width="9.140625" style="626"/>
    <col min="4097" max="4097" width="13" style="626" customWidth="1"/>
    <col min="4098" max="4098" width="9.140625" style="626"/>
    <col min="4099" max="4099" width="13" style="626" customWidth="1"/>
    <col min="4100" max="4100" width="29.7109375" style="626" customWidth="1"/>
    <col min="4101" max="4101" width="7.7109375" style="626" customWidth="1"/>
    <col min="4102" max="4102" width="6" style="626" customWidth="1"/>
    <col min="4103" max="4103" width="11.5703125" style="626" customWidth="1"/>
    <col min="4104" max="4104" width="13.42578125" style="626" customWidth="1"/>
    <col min="4105" max="4105" width="13.85546875" style="626" customWidth="1"/>
    <col min="4106" max="4352" width="9.140625" style="626"/>
    <col min="4353" max="4353" width="13" style="626" customWidth="1"/>
    <col min="4354" max="4354" width="9.140625" style="626"/>
    <col min="4355" max="4355" width="13" style="626" customWidth="1"/>
    <col min="4356" max="4356" width="29.7109375" style="626" customWidth="1"/>
    <col min="4357" max="4357" width="7.7109375" style="626" customWidth="1"/>
    <col min="4358" max="4358" width="6" style="626" customWidth="1"/>
    <col min="4359" max="4359" width="11.5703125" style="626" customWidth="1"/>
    <col min="4360" max="4360" width="13.42578125" style="626" customWidth="1"/>
    <col min="4361" max="4361" width="13.85546875" style="626" customWidth="1"/>
    <col min="4362" max="4608" width="9.140625" style="626"/>
    <col min="4609" max="4609" width="13" style="626" customWidth="1"/>
    <col min="4610" max="4610" width="9.140625" style="626"/>
    <col min="4611" max="4611" width="13" style="626" customWidth="1"/>
    <col min="4612" max="4612" width="29.7109375" style="626" customWidth="1"/>
    <col min="4613" max="4613" width="7.7109375" style="626" customWidth="1"/>
    <col min="4614" max="4614" width="6" style="626" customWidth="1"/>
    <col min="4615" max="4615" width="11.5703125" style="626" customWidth="1"/>
    <col min="4616" max="4616" width="13.42578125" style="626" customWidth="1"/>
    <col min="4617" max="4617" width="13.85546875" style="626" customWidth="1"/>
    <col min="4618" max="4864" width="9.140625" style="626"/>
    <col min="4865" max="4865" width="13" style="626" customWidth="1"/>
    <col min="4866" max="4866" width="9.140625" style="626"/>
    <col min="4867" max="4867" width="13" style="626" customWidth="1"/>
    <col min="4868" max="4868" width="29.7109375" style="626" customWidth="1"/>
    <col min="4869" max="4869" width="7.7109375" style="626" customWidth="1"/>
    <col min="4870" max="4870" width="6" style="626" customWidth="1"/>
    <col min="4871" max="4871" width="11.5703125" style="626" customWidth="1"/>
    <col min="4872" max="4872" width="13.42578125" style="626" customWidth="1"/>
    <col min="4873" max="4873" width="13.85546875" style="626" customWidth="1"/>
    <col min="4874" max="5120" width="9.140625" style="626"/>
    <col min="5121" max="5121" width="13" style="626" customWidth="1"/>
    <col min="5122" max="5122" width="9.140625" style="626"/>
    <col min="5123" max="5123" width="13" style="626" customWidth="1"/>
    <col min="5124" max="5124" width="29.7109375" style="626" customWidth="1"/>
    <col min="5125" max="5125" width="7.7109375" style="626" customWidth="1"/>
    <col min="5126" max="5126" width="6" style="626" customWidth="1"/>
    <col min="5127" max="5127" width="11.5703125" style="626" customWidth="1"/>
    <col min="5128" max="5128" width="13.42578125" style="626" customWidth="1"/>
    <col min="5129" max="5129" width="13.85546875" style="626" customWidth="1"/>
    <col min="5130" max="5376" width="9.140625" style="626"/>
    <col min="5377" max="5377" width="13" style="626" customWidth="1"/>
    <col min="5378" max="5378" width="9.140625" style="626"/>
    <col min="5379" max="5379" width="13" style="626" customWidth="1"/>
    <col min="5380" max="5380" width="29.7109375" style="626" customWidth="1"/>
    <col min="5381" max="5381" width="7.7109375" style="626" customWidth="1"/>
    <col min="5382" max="5382" width="6" style="626" customWidth="1"/>
    <col min="5383" max="5383" width="11.5703125" style="626" customWidth="1"/>
    <col min="5384" max="5384" width="13.42578125" style="626" customWidth="1"/>
    <col min="5385" max="5385" width="13.85546875" style="626" customWidth="1"/>
    <col min="5386" max="5632" width="9.140625" style="626"/>
    <col min="5633" max="5633" width="13" style="626" customWidth="1"/>
    <col min="5634" max="5634" width="9.140625" style="626"/>
    <col min="5635" max="5635" width="13" style="626" customWidth="1"/>
    <col min="5636" max="5636" width="29.7109375" style="626" customWidth="1"/>
    <col min="5637" max="5637" width="7.7109375" style="626" customWidth="1"/>
    <col min="5638" max="5638" width="6" style="626" customWidth="1"/>
    <col min="5639" max="5639" width="11.5703125" style="626" customWidth="1"/>
    <col min="5640" max="5640" width="13.42578125" style="626" customWidth="1"/>
    <col min="5641" max="5641" width="13.85546875" style="626" customWidth="1"/>
    <col min="5642" max="5888" width="9.140625" style="626"/>
    <col min="5889" max="5889" width="13" style="626" customWidth="1"/>
    <col min="5890" max="5890" width="9.140625" style="626"/>
    <col min="5891" max="5891" width="13" style="626" customWidth="1"/>
    <col min="5892" max="5892" width="29.7109375" style="626" customWidth="1"/>
    <col min="5893" max="5893" width="7.7109375" style="626" customWidth="1"/>
    <col min="5894" max="5894" width="6" style="626" customWidth="1"/>
    <col min="5895" max="5895" width="11.5703125" style="626" customWidth="1"/>
    <col min="5896" max="5896" width="13.42578125" style="626" customWidth="1"/>
    <col min="5897" max="5897" width="13.85546875" style="626" customWidth="1"/>
    <col min="5898" max="6144" width="9.140625" style="626"/>
    <col min="6145" max="6145" width="13" style="626" customWidth="1"/>
    <col min="6146" max="6146" width="9.140625" style="626"/>
    <col min="6147" max="6147" width="13" style="626" customWidth="1"/>
    <col min="6148" max="6148" width="29.7109375" style="626" customWidth="1"/>
    <col min="6149" max="6149" width="7.7109375" style="626" customWidth="1"/>
    <col min="6150" max="6150" width="6" style="626" customWidth="1"/>
    <col min="6151" max="6151" width="11.5703125" style="626" customWidth="1"/>
    <col min="6152" max="6152" width="13.42578125" style="626" customWidth="1"/>
    <col min="6153" max="6153" width="13.85546875" style="626" customWidth="1"/>
    <col min="6154" max="6400" width="9.140625" style="626"/>
    <col min="6401" max="6401" width="13" style="626" customWidth="1"/>
    <col min="6402" max="6402" width="9.140625" style="626"/>
    <col min="6403" max="6403" width="13" style="626" customWidth="1"/>
    <col min="6404" max="6404" width="29.7109375" style="626" customWidth="1"/>
    <col min="6405" max="6405" width="7.7109375" style="626" customWidth="1"/>
    <col min="6406" max="6406" width="6" style="626" customWidth="1"/>
    <col min="6407" max="6407" width="11.5703125" style="626" customWidth="1"/>
    <col min="6408" max="6408" width="13.42578125" style="626" customWidth="1"/>
    <col min="6409" max="6409" width="13.85546875" style="626" customWidth="1"/>
    <col min="6410" max="6656" width="9.140625" style="626"/>
    <col min="6657" max="6657" width="13" style="626" customWidth="1"/>
    <col min="6658" max="6658" width="9.140625" style="626"/>
    <col min="6659" max="6659" width="13" style="626" customWidth="1"/>
    <col min="6660" max="6660" width="29.7109375" style="626" customWidth="1"/>
    <col min="6661" max="6661" width="7.7109375" style="626" customWidth="1"/>
    <col min="6662" max="6662" width="6" style="626" customWidth="1"/>
    <col min="6663" max="6663" width="11.5703125" style="626" customWidth="1"/>
    <col min="6664" max="6664" width="13.42578125" style="626" customWidth="1"/>
    <col min="6665" max="6665" width="13.85546875" style="626" customWidth="1"/>
    <col min="6666" max="6912" width="9.140625" style="626"/>
    <col min="6913" max="6913" width="13" style="626" customWidth="1"/>
    <col min="6914" max="6914" width="9.140625" style="626"/>
    <col min="6915" max="6915" width="13" style="626" customWidth="1"/>
    <col min="6916" max="6916" width="29.7109375" style="626" customWidth="1"/>
    <col min="6917" max="6917" width="7.7109375" style="626" customWidth="1"/>
    <col min="6918" max="6918" width="6" style="626" customWidth="1"/>
    <col min="6919" max="6919" width="11.5703125" style="626" customWidth="1"/>
    <col min="6920" max="6920" width="13.42578125" style="626" customWidth="1"/>
    <col min="6921" max="6921" width="13.85546875" style="626" customWidth="1"/>
    <col min="6922" max="7168" width="9.140625" style="626"/>
    <col min="7169" max="7169" width="13" style="626" customWidth="1"/>
    <col min="7170" max="7170" width="9.140625" style="626"/>
    <col min="7171" max="7171" width="13" style="626" customWidth="1"/>
    <col min="7172" max="7172" width="29.7109375" style="626" customWidth="1"/>
    <col min="7173" max="7173" width="7.7109375" style="626" customWidth="1"/>
    <col min="7174" max="7174" width="6" style="626" customWidth="1"/>
    <col min="7175" max="7175" width="11.5703125" style="626" customWidth="1"/>
    <col min="7176" max="7176" width="13.42578125" style="626" customWidth="1"/>
    <col min="7177" max="7177" width="13.85546875" style="626" customWidth="1"/>
    <col min="7178" max="7424" width="9.140625" style="626"/>
    <col min="7425" max="7425" width="13" style="626" customWidth="1"/>
    <col min="7426" max="7426" width="9.140625" style="626"/>
    <col min="7427" max="7427" width="13" style="626" customWidth="1"/>
    <col min="7428" max="7428" width="29.7109375" style="626" customWidth="1"/>
    <col min="7429" max="7429" width="7.7109375" style="626" customWidth="1"/>
    <col min="7430" max="7430" width="6" style="626" customWidth="1"/>
    <col min="7431" max="7431" width="11.5703125" style="626" customWidth="1"/>
    <col min="7432" max="7432" width="13.42578125" style="626" customWidth="1"/>
    <col min="7433" max="7433" width="13.85546875" style="626" customWidth="1"/>
    <col min="7434" max="7680" width="9.140625" style="626"/>
    <col min="7681" max="7681" width="13" style="626" customWidth="1"/>
    <col min="7682" max="7682" width="9.140625" style="626"/>
    <col min="7683" max="7683" width="13" style="626" customWidth="1"/>
    <col min="7684" max="7684" width="29.7109375" style="626" customWidth="1"/>
    <col min="7685" max="7685" width="7.7109375" style="626" customWidth="1"/>
    <col min="7686" max="7686" width="6" style="626" customWidth="1"/>
    <col min="7687" max="7687" width="11.5703125" style="626" customWidth="1"/>
    <col min="7688" max="7688" width="13.42578125" style="626" customWidth="1"/>
    <col min="7689" max="7689" width="13.85546875" style="626" customWidth="1"/>
    <col min="7690" max="7936" width="9.140625" style="626"/>
    <col min="7937" max="7937" width="13" style="626" customWidth="1"/>
    <col min="7938" max="7938" width="9.140625" style="626"/>
    <col min="7939" max="7939" width="13" style="626" customWidth="1"/>
    <col min="7940" max="7940" width="29.7109375" style="626" customWidth="1"/>
    <col min="7941" max="7941" width="7.7109375" style="626" customWidth="1"/>
    <col min="7942" max="7942" width="6" style="626" customWidth="1"/>
    <col min="7943" max="7943" width="11.5703125" style="626" customWidth="1"/>
    <col min="7944" max="7944" width="13.42578125" style="626" customWidth="1"/>
    <col min="7945" max="7945" width="13.85546875" style="626" customWidth="1"/>
    <col min="7946" max="8192" width="9.140625" style="626"/>
    <col min="8193" max="8193" width="13" style="626" customWidth="1"/>
    <col min="8194" max="8194" width="9.140625" style="626"/>
    <col min="8195" max="8195" width="13" style="626" customWidth="1"/>
    <col min="8196" max="8196" width="29.7109375" style="626" customWidth="1"/>
    <col min="8197" max="8197" width="7.7109375" style="626" customWidth="1"/>
    <col min="8198" max="8198" width="6" style="626" customWidth="1"/>
    <col min="8199" max="8199" width="11.5703125" style="626" customWidth="1"/>
    <col min="8200" max="8200" width="13.42578125" style="626" customWidth="1"/>
    <col min="8201" max="8201" width="13.85546875" style="626" customWidth="1"/>
    <col min="8202" max="8448" width="9.140625" style="626"/>
    <col min="8449" max="8449" width="13" style="626" customWidth="1"/>
    <col min="8450" max="8450" width="9.140625" style="626"/>
    <col min="8451" max="8451" width="13" style="626" customWidth="1"/>
    <col min="8452" max="8452" width="29.7109375" style="626" customWidth="1"/>
    <col min="8453" max="8453" width="7.7109375" style="626" customWidth="1"/>
    <col min="8454" max="8454" width="6" style="626" customWidth="1"/>
    <col min="8455" max="8455" width="11.5703125" style="626" customWidth="1"/>
    <col min="8456" max="8456" width="13.42578125" style="626" customWidth="1"/>
    <col min="8457" max="8457" width="13.85546875" style="626" customWidth="1"/>
    <col min="8458" max="8704" width="9.140625" style="626"/>
    <col min="8705" max="8705" width="13" style="626" customWidth="1"/>
    <col min="8706" max="8706" width="9.140625" style="626"/>
    <col min="8707" max="8707" width="13" style="626" customWidth="1"/>
    <col min="8708" max="8708" width="29.7109375" style="626" customWidth="1"/>
    <col min="8709" max="8709" width="7.7109375" style="626" customWidth="1"/>
    <col min="8710" max="8710" width="6" style="626" customWidth="1"/>
    <col min="8711" max="8711" width="11.5703125" style="626" customWidth="1"/>
    <col min="8712" max="8712" width="13.42578125" style="626" customWidth="1"/>
    <col min="8713" max="8713" width="13.85546875" style="626" customWidth="1"/>
    <col min="8714" max="8960" width="9.140625" style="626"/>
    <col min="8961" max="8961" width="13" style="626" customWidth="1"/>
    <col min="8962" max="8962" width="9.140625" style="626"/>
    <col min="8963" max="8963" width="13" style="626" customWidth="1"/>
    <col min="8964" max="8964" width="29.7109375" style="626" customWidth="1"/>
    <col min="8965" max="8965" width="7.7109375" style="626" customWidth="1"/>
    <col min="8966" max="8966" width="6" style="626" customWidth="1"/>
    <col min="8967" max="8967" width="11.5703125" style="626" customWidth="1"/>
    <col min="8968" max="8968" width="13.42578125" style="626" customWidth="1"/>
    <col min="8969" max="8969" width="13.85546875" style="626" customWidth="1"/>
    <col min="8970" max="9216" width="9.140625" style="626"/>
    <col min="9217" max="9217" width="13" style="626" customWidth="1"/>
    <col min="9218" max="9218" width="9.140625" style="626"/>
    <col min="9219" max="9219" width="13" style="626" customWidth="1"/>
    <col min="9220" max="9220" width="29.7109375" style="626" customWidth="1"/>
    <col min="9221" max="9221" width="7.7109375" style="626" customWidth="1"/>
    <col min="9222" max="9222" width="6" style="626" customWidth="1"/>
    <col min="9223" max="9223" width="11.5703125" style="626" customWidth="1"/>
    <col min="9224" max="9224" width="13.42578125" style="626" customWidth="1"/>
    <col min="9225" max="9225" width="13.85546875" style="626" customWidth="1"/>
    <col min="9226" max="9472" width="9.140625" style="626"/>
    <col min="9473" max="9473" width="13" style="626" customWidth="1"/>
    <col min="9474" max="9474" width="9.140625" style="626"/>
    <col min="9475" max="9475" width="13" style="626" customWidth="1"/>
    <col min="9476" max="9476" width="29.7109375" style="626" customWidth="1"/>
    <col min="9477" max="9477" width="7.7109375" style="626" customWidth="1"/>
    <col min="9478" max="9478" width="6" style="626" customWidth="1"/>
    <col min="9479" max="9479" width="11.5703125" style="626" customWidth="1"/>
    <col min="9480" max="9480" width="13.42578125" style="626" customWidth="1"/>
    <col min="9481" max="9481" width="13.85546875" style="626" customWidth="1"/>
    <col min="9482" max="9728" width="9.140625" style="626"/>
    <col min="9729" max="9729" width="13" style="626" customWidth="1"/>
    <col min="9730" max="9730" width="9.140625" style="626"/>
    <col min="9731" max="9731" width="13" style="626" customWidth="1"/>
    <col min="9732" max="9732" width="29.7109375" style="626" customWidth="1"/>
    <col min="9733" max="9733" width="7.7109375" style="626" customWidth="1"/>
    <col min="9734" max="9734" width="6" style="626" customWidth="1"/>
    <col min="9735" max="9735" width="11.5703125" style="626" customWidth="1"/>
    <col min="9736" max="9736" width="13.42578125" style="626" customWidth="1"/>
    <col min="9737" max="9737" width="13.85546875" style="626" customWidth="1"/>
    <col min="9738" max="9984" width="9.140625" style="626"/>
    <col min="9985" max="9985" width="13" style="626" customWidth="1"/>
    <col min="9986" max="9986" width="9.140625" style="626"/>
    <col min="9987" max="9987" width="13" style="626" customWidth="1"/>
    <col min="9988" max="9988" width="29.7109375" style="626" customWidth="1"/>
    <col min="9989" max="9989" width="7.7109375" style="626" customWidth="1"/>
    <col min="9990" max="9990" width="6" style="626" customWidth="1"/>
    <col min="9991" max="9991" width="11.5703125" style="626" customWidth="1"/>
    <col min="9992" max="9992" width="13.42578125" style="626" customWidth="1"/>
    <col min="9993" max="9993" width="13.85546875" style="626" customWidth="1"/>
    <col min="9994" max="10240" width="9.140625" style="626"/>
    <col min="10241" max="10241" width="13" style="626" customWidth="1"/>
    <col min="10242" max="10242" width="9.140625" style="626"/>
    <col min="10243" max="10243" width="13" style="626" customWidth="1"/>
    <col min="10244" max="10244" width="29.7109375" style="626" customWidth="1"/>
    <col min="10245" max="10245" width="7.7109375" style="626" customWidth="1"/>
    <col min="10246" max="10246" width="6" style="626" customWidth="1"/>
    <col min="10247" max="10247" width="11.5703125" style="626" customWidth="1"/>
    <col min="10248" max="10248" width="13.42578125" style="626" customWidth="1"/>
    <col min="10249" max="10249" width="13.85546875" style="626" customWidth="1"/>
    <col min="10250" max="10496" width="9.140625" style="626"/>
    <col min="10497" max="10497" width="13" style="626" customWidth="1"/>
    <col min="10498" max="10498" width="9.140625" style="626"/>
    <col min="10499" max="10499" width="13" style="626" customWidth="1"/>
    <col min="10500" max="10500" width="29.7109375" style="626" customWidth="1"/>
    <col min="10501" max="10501" width="7.7109375" style="626" customWidth="1"/>
    <col min="10502" max="10502" width="6" style="626" customWidth="1"/>
    <col min="10503" max="10503" width="11.5703125" style="626" customWidth="1"/>
    <col min="10504" max="10504" width="13.42578125" style="626" customWidth="1"/>
    <col min="10505" max="10505" width="13.85546875" style="626" customWidth="1"/>
    <col min="10506" max="10752" width="9.140625" style="626"/>
    <col min="10753" max="10753" width="13" style="626" customWidth="1"/>
    <col min="10754" max="10754" width="9.140625" style="626"/>
    <col min="10755" max="10755" width="13" style="626" customWidth="1"/>
    <col min="10756" max="10756" width="29.7109375" style="626" customWidth="1"/>
    <col min="10757" max="10757" width="7.7109375" style="626" customWidth="1"/>
    <col min="10758" max="10758" width="6" style="626" customWidth="1"/>
    <col min="10759" max="10759" width="11.5703125" style="626" customWidth="1"/>
    <col min="10760" max="10760" width="13.42578125" style="626" customWidth="1"/>
    <col min="10761" max="10761" width="13.85546875" style="626" customWidth="1"/>
    <col min="10762" max="11008" width="9.140625" style="626"/>
    <col min="11009" max="11009" width="13" style="626" customWidth="1"/>
    <col min="11010" max="11010" width="9.140625" style="626"/>
    <col min="11011" max="11011" width="13" style="626" customWidth="1"/>
    <col min="11012" max="11012" width="29.7109375" style="626" customWidth="1"/>
    <col min="11013" max="11013" width="7.7109375" style="626" customWidth="1"/>
    <col min="11014" max="11014" width="6" style="626" customWidth="1"/>
    <col min="11015" max="11015" width="11.5703125" style="626" customWidth="1"/>
    <col min="11016" max="11016" width="13.42578125" style="626" customWidth="1"/>
    <col min="11017" max="11017" width="13.85546875" style="626" customWidth="1"/>
    <col min="11018" max="11264" width="9.140625" style="626"/>
    <col min="11265" max="11265" width="13" style="626" customWidth="1"/>
    <col min="11266" max="11266" width="9.140625" style="626"/>
    <col min="11267" max="11267" width="13" style="626" customWidth="1"/>
    <col min="11268" max="11268" width="29.7109375" style="626" customWidth="1"/>
    <col min="11269" max="11269" width="7.7109375" style="626" customWidth="1"/>
    <col min="11270" max="11270" width="6" style="626" customWidth="1"/>
    <col min="11271" max="11271" width="11.5703125" style="626" customWidth="1"/>
    <col min="11272" max="11272" width="13.42578125" style="626" customWidth="1"/>
    <col min="11273" max="11273" width="13.85546875" style="626" customWidth="1"/>
    <col min="11274" max="11520" width="9.140625" style="626"/>
    <col min="11521" max="11521" width="13" style="626" customWidth="1"/>
    <col min="11522" max="11522" width="9.140625" style="626"/>
    <col min="11523" max="11523" width="13" style="626" customWidth="1"/>
    <col min="11524" max="11524" width="29.7109375" style="626" customWidth="1"/>
    <col min="11525" max="11525" width="7.7109375" style="626" customWidth="1"/>
    <col min="11526" max="11526" width="6" style="626" customWidth="1"/>
    <col min="11527" max="11527" width="11.5703125" style="626" customWidth="1"/>
    <col min="11528" max="11528" width="13.42578125" style="626" customWidth="1"/>
    <col min="11529" max="11529" width="13.85546875" style="626" customWidth="1"/>
    <col min="11530" max="11776" width="9.140625" style="626"/>
    <col min="11777" max="11777" width="13" style="626" customWidth="1"/>
    <col min="11778" max="11778" width="9.140625" style="626"/>
    <col min="11779" max="11779" width="13" style="626" customWidth="1"/>
    <col min="11780" max="11780" width="29.7109375" style="626" customWidth="1"/>
    <col min="11781" max="11781" width="7.7109375" style="626" customWidth="1"/>
    <col min="11782" max="11782" width="6" style="626" customWidth="1"/>
    <col min="11783" max="11783" width="11.5703125" style="626" customWidth="1"/>
    <col min="11784" max="11784" width="13.42578125" style="626" customWidth="1"/>
    <col min="11785" max="11785" width="13.85546875" style="626" customWidth="1"/>
    <col min="11786" max="12032" width="9.140625" style="626"/>
    <col min="12033" max="12033" width="13" style="626" customWidth="1"/>
    <col min="12034" max="12034" width="9.140625" style="626"/>
    <col min="12035" max="12035" width="13" style="626" customWidth="1"/>
    <col min="12036" max="12036" width="29.7109375" style="626" customWidth="1"/>
    <col min="12037" max="12037" width="7.7109375" style="626" customWidth="1"/>
    <col min="12038" max="12038" width="6" style="626" customWidth="1"/>
    <col min="12039" max="12039" width="11.5703125" style="626" customWidth="1"/>
    <col min="12040" max="12040" width="13.42578125" style="626" customWidth="1"/>
    <col min="12041" max="12041" width="13.85546875" style="626" customWidth="1"/>
    <col min="12042" max="12288" width="9.140625" style="626"/>
    <col min="12289" max="12289" width="13" style="626" customWidth="1"/>
    <col min="12290" max="12290" width="9.140625" style="626"/>
    <col min="12291" max="12291" width="13" style="626" customWidth="1"/>
    <col min="12292" max="12292" width="29.7109375" style="626" customWidth="1"/>
    <col min="12293" max="12293" width="7.7109375" style="626" customWidth="1"/>
    <col min="12294" max="12294" width="6" style="626" customWidth="1"/>
    <col min="12295" max="12295" width="11.5703125" style="626" customWidth="1"/>
    <col min="12296" max="12296" width="13.42578125" style="626" customWidth="1"/>
    <col min="12297" max="12297" width="13.85546875" style="626" customWidth="1"/>
    <col min="12298" max="12544" width="9.140625" style="626"/>
    <col min="12545" max="12545" width="13" style="626" customWidth="1"/>
    <col min="12546" max="12546" width="9.140625" style="626"/>
    <col min="12547" max="12547" width="13" style="626" customWidth="1"/>
    <col min="12548" max="12548" width="29.7109375" style="626" customWidth="1"/>
    <col min="12549" max="12549" width="7.7109375" style="626" customWidth="1"/>
    <col min="12550" max="12550" width="6" style="626" customWidth="1"/>
    <col min="12551" max="12551" width="11.5703125" style="626" customWidth="1"/>
    <col min="12552" max="12552" width="13.42578125" style="626" customWidth="1"/>
    <col min="12553" max="12553" width="13.85546875" style="626" customWidth="1"/>
    <col min="12554" max="12800" width="9.140625" style="626"/>
    <col min="12801" max="12801" width="13" style="626" customWidth="1"/>
    <col min="12802" max="12802" width="9.140625" style="626"/>
    <col min="12803" max="12803" width="13" style="626" customWidth="1"/>
    <col min="12804" max="12804" width="29.7109375" style="626" customWidth="1"/>
    <col min="12805" max="12805" width="7.7109375" style="626" customWidth="1"/>
    <col min="12806" max="12806" width="6" style="626" customWidth="1"/>
    <col min="12807" max="12807" width="11.5703125" style="626" customWidth="1"/>
    <col min="12808" max="12808" width="13.42578125" style="626" customWidth="1"/>
    <col min="12809" max="12809" width="13.85546875" style="626" customWidth="1"/>
    <col min="12810" max="13056" width="9.140625" style="626"/>
    <col min="13057" max="13057" width="13" style="626" customWidth="1"/>
    <col min="13058" max="13058" width="9.140625" style="626"/>
    <col min="13059" max="13059" width="13" style="626" customWidth="1"/>
    <col min="13060" max="13060" width="29.7109375" style="626" customWidth="1"/>
    <col min="13061" max="13061" width="7.7109375" style="626" customWidth="1"/>
    <col min="13062" max="13062" width="6" style="626" customWidth="1"/>
    <col min="13063" max="13063" width="11.5703125" style="626" customWidth="1"/>
    <col min="13064" max="13064" width="13.42578125" style="626" customWidth="1"/>
    <col min="13065" max="13065" width="13.85546875" style="626" customWidth="1"/>
    <col min="13066" max="13312" width="9.140625" style="626"/>
    <col min="13313" max="13313" width="13" style="626" customWidth="1"/>
    <col min="13314" max="13314" width="9.140625" style="626"/>
    <col min="13315" max="13315" width="13" style="626" customWidth="1"/>
    <col min="13316" max="13316" width="29.7109375" style="626" customWidth="1"/>
    <col min="13317" max="13317" width="7.7109375" style="626" customWidth="1"/>
    <col min="13318" max="13318" width="6" style="626" customWidth="1"/>
    <col min="13319" max="13319" width="11.5703125" style="626" customWidth="1"/>
    <col min="13320" max="13320" width="13.42578125" style="626" customWidth="1"/>
    <col min="13321" max="13321" width="13.85546875" style="626" customWidth="1"/>
    <col min="13322" max="13568" width="9.140625" style="626"/>
    <col min="13569" max="13569" width="13" style="626" customWidth="1"/>
    <col min="13570" max="13570" width="9.140625" style="626"/>
    <col min="13571" max="13571" width="13" style="626" customWidth="1"/>
    <col min="13572" max="13572" width="29.7109375" style="626" customWidth="1"/>
    <col min="13573" max="13573" width="7.7109375" style="626" customWidth="1"/>
    <col min="13574" max="13574" width="6" style="626" customWidth="1"/>
    <col min="13575" max="13575" width="11.5703125" style="626" customWidth="1"/>
    <col min="13576" max="13576" width="13.42578125" style="626" customWidth="1"/>
    <col min="13577" max="13577" width="13.85546875" style="626" customWidth="1"/>
    <col min="13578" max="13824" width="9.140625" style="626"/>
    <col min="13825" max="13825" width="13" style="626" customWidth="1"/>
    <col min="13826" max="13826" width="9.140625" style="626"/>
    <col min="13827" max="13827" width="13" style="626" customWidth="1"/>
    <col min="13828" max="13828" width="29.7109375" style="626" customWidth="1"/>
    <col min="13829" max="13829" width="7.7109375" style="626" customWidth="1"/>
    <col min="13830" max="13830" width="6" style="626" customWidth="1"/>
    <col min="13831" max="13831" width="11.5703125" style="626" customWidth="1"/>
    <col min="13832" max="13832" width="13.42578125" style="626" customWidth="1"/>
    <col min="13833" max="13833" width="13.85546875" style="626" customWidth="1"/>
    <col min="13834" max="14080" width="9.140625" style="626"/>
    <col min="14081" max="14081" width="13" style="626" customWidth="1"/>
    <col min="14082" max="14082" width="9.140625" style="626"/>
    <col min="14083" max="14083" width="13" style="626" customWidth="1"/>
    <col min="14084" max="14084" width="29.7109375" style="626" customWidth="1"/>
    <col min="14085" max="14085" width="7.7109375" style="626" customWidth="1"/>
    <col min="14086" max="14086" width="6" style="626" customWidth="1"/>
    <col min="14087" max="14087" width="11.5703125" style="626" customWidth="1"/>
    <col min="14088" max="14088" width="13.42578125" style="626" customWidth="1"/>
    <col min="14089" max="14089" width="13.85546875" style="626" customWidth="1"/>
    <col min="14090" max="14336" width="9.140625" style="626"/>
    <col min="14337" max="14337" width="13" style="626" customWidth="1"/>
    <col min="14338" max="14338" width="9.140625" style="626"/>
    <col min="14339" max="14339" width="13" style="626" customWidth="1"/>
    <col min="14340" max="14340" width="29.7109375" style="626" customWidth="1"/>
    <col min="14341" max="14341" width="7.7109375" style="626" customWidth="1"/>
    <col min="14342" max="14342" width="6" style="626" customWidth="1"/>
    <col min="14343" max="14343" width="11.5703125" style="626" customWidth="1"/>
    <col min="14344" max="14344" width="13.42578125" style="626" customWidth="1"/>
    <col min="14345" max="14345" width="13.85546875" style="626" customWidth="1"/>
    <col min="14346" max="14592" width="9.140625" style="626"/>
    <col min="14593" max="14593" width="13" style="626" customWidth="1"/>
    <col min="14594" max="14594" width="9.140625" style="626"/>
    <col min="14595" max="14595" width="13" style="626" customWidth="1"/>
    <col min="14596" max="14596" width="29.7109375" style="626" customWidth="1"/>
    <col min="14597" max="14597" width="7.7109375" style="626" customWidth="1"/>
    <col min="14598" max="14598" width="6" style="626" customWidth="1"/>
    <col min="14599" max="14599" width="11.5703125" style="626" customWidth="1"/>
    <col min="14600" max="14600" width="13.42578125" style="626" customWidth="1"/>
    <col min="14601" max="14601" width="13.85546875" style="626" customWidth="1"/>
    <col min="14602" max="14848" width="9.140625" style="626"/>
    <col min="14849" max="14849" width="13" style="626" customWidth="1"/>
    <col min="14850" max="14850" width="9.140625" style="626"/>
    <col min="14851" max="14851" width="13" style="626" customWidth="1"/>
    <col min="14852" max="14852" width="29.7109375" style="626" customWidth="1"/>
    <col min="14853" max="14853" width="7.7109375" style="626" customWidth="1"/>
    <col min="14854" max="14854" width="6" style="626" customWidth="1"/>
    <col min="14855" max="14855" width="11.5703125" style="626" customWidth="1"/>
    <col min="14856" max="14856" width="13.42578125" style="626" customWidth="1"/>
    <col min="14857" max="14857" width="13.85546875" style="626" customWidth="1"/>
    <col min="14858" max="15104" width="9.140625" style="626"/>
    <col min="15105" max="15105" width="13" style="626" customWidth="1"/>
    <col min="15106" max="15106" width="9.140625" style="626"/>
    <col min="15107" max="15107" width="13" style="626" customWidth="1"/>
    <col min="15108" max="15108" width="29.7109375" style="626" customWidth="1"/>
    <col min="15109" max="15109" width="7.7109375" style="626" customWidth="1"/>
    <col min="15110" max="15110" width="6" style="626" customWidth="1"/>
    <col min="15111" max="15111" width="11.5703125" style="626" customWidth="1"/>
    <col min="15112" max="15112" width="13.42578125" style="626" customWidth="1"/>
    <col min="15113" max="15113" width="13.85546875" style="626" customWidth="1"/>
    <col min="15114" max="15360" width="9.140625" style="626"/>
    <col min="15361" max="15361" width="13" style="626" customWidth="1"/>
    <col min="15362" max="15362" width="9.140625" style="626"/>
    <col min="15363" max="15363" width="13" style="626" customWidth="1"/>
    <col min="15364" max="15364" width="29.7109375" style="626" customWidth="1"/>
    <col min="15365" max="15365" width="7.7109375" style="626" customWidth="1"/>
    <col min="15366" max="15366" width="6" style="626" customWidth="1"/>
    <col min="15367" max="15367" width="11.5703125" style="626" customWidth="1"/>
    <col min="15368" max="15368" width="13.42578125" style="626" customWidth="1"/>
    <col min="15369" max="15369" width="13.85546875" style="626" customWidth="1"/>
    <col min="15370" max="15616" width="9.140625" style="626"/>
    <col min="15617" max="15617" width="13" style="626" customWidth="1"/>
    <col min="15618" max="15618" width="9.140625" style="626"/>
    <col min="15619" max="15619" width="13" style="626" customWidth="1"/>
    <col min="15620" max="15620" width="29.7109375" style="626" customWidth="1"/>
    <col min="15621" max="15621" width="7.7109375" style="626" customWidth="1"/>
    <col min="15622" max="15622" width="6" style="626" customWidth="1"/>
    <col min="15623" max="15623" width="11.5703125" style="626" customWidth="1"/>
    <col min="15624" max="15624" width="13.42578125" style="626" customWidth="1"/>
    <col min="15625" max="15625" width="13.85546875" style="626" customWidth="1"/>
    <col min="15626" max="15872" width="9.140625" style="626"/>
    <col min="15873" max="15873" width="13" style="626" customWidth="1"/>
    <col min="15874" max="15874" width="9.140625" style="626"/>
    <col min="15875" max="15875" width="13" style="626" customWidth="1"/>
    <col min="15876" max="15876" width="29.7109375" style="626" customWidth="1"/>
    <col min="15877" max="15877" width="7.7109375" style="626" customWidth="1"/>
    <col min="15878" max="15878" width="6" style="626" customWidth="1"/>
    <col min="15879" max="15879" width="11.5703125" style="626" customWidth="1"/>
    <col min="15880" max="15880" width="13.42578125" style="626" customWidth="1"/>
    <col min="15881" max="15881" width="13.85546875" style="626" customWidth="1"/>
    <col min="15882" max="16128" width="9.140625" style="626"/>
    <col min="16129" max="16129" width="13" style="626" customWidth="1"/>
    <col min="16130" max="16130" width="9.140625" style="626"/>
    <col min="16131" max="16131" width="13" style="626" customWidth="1"/>
    <col min="16132" max="16132" width="29.7109375" style="626" customWidth="1"/>
    <col min="16133" max="16133" width="7.7109375" style="626" customWidth="1"/>
    <col min="16134" max="16134" width="6" style="626" customWidth="1"/>
    <col min="16135" max="16135" width="11.5703125" style="626" customWidth="1"/>
    <col min="16136" max="16136" width="13.42578125" style="626" customWidth="1"/>
    <col min="16137" max="16137" width="13.85546875" style="626" customWidth="1"/>
    <col min="16138" max="16384" width="9.140625" style="626"/>
  </cols>
  <sheetData>
    <row r="1" spans="1:14">
      <c r="A1" s="625" t="str">
        <f>TH!A1</f>
        <v>Đơn vị: CÔNG TY TNHH SX TM KIM DUNG PHÁT</v>
      </c>
      <c r="F1" s="929" t="s">
        <v>354</v>
      </c>
      <c r="G1" s="929"/>
      <c r="H1" s="929"/>
      <c r="I1" s="929"/>
    </row>
    <row r="2" spans="1:14">
      <c r="A2" s="626" t="str">
        <f>TH!A2</f>
        <v>Địa chỉ: 1A227/1 Ấp 1, Phạm Văn Hai, Bình Chánh, TPHCM</v>
      </c>
      <c r="F2" s="928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28"/>
      <c r="H2" s="928"/>
      <c r="I2" s="928"/>
    </row>
    <row r="3" spans="1:14">
      <c r="F3" s="928"/>
      <c r="G3" s="928"/>
      <c r="H3" s="928"/>
      <c r="I3" s="928"/>
    </row>
    <row r="4" spans="1:14">
      <c r="H4" s="627"/>
      <c r="I4" s="627"/>
    </row>
    <row r="5" spans="1:14" ht="26.25" customHeight="1">
      <c r="B5" s="628"/>
      <c r="C5" s="628"/>
      <c r="D5" s="629" t="s">
        <v>355</v>
      </c>
      <c r="E5" s="628"/>
      <c r="F5" s="628"/>
      <c r="G5" s="628"/>
      <c r="H5" s="628"/>
      <c r="I5" s="628"/>
      <c r="J5" s="628"/>
      <c r="K5" s="628"/>
    </row>
    <row r="6" spans="1:14">
      <c r="B6" s="630"/>
      <c r="C6" s="630"/>
      <c r="D6" s="631" t="str">
        <f ca="1">$K$9&amp;"   -   Năm:  " &amp;YEAR(A11)</f>
        <v>Quý III   -   Năm:  2013</v>
      </c>
      <c r="E6" s="630"/>
      <c r="F6" s="630"/>
      <c r="G6" s="630"/>
      <c r="H6" s="630"/>
      <c r="I6" s="630"/>
      <c r="J6" s="630"/>
      <c r="K6" s="630"/>
    </row>
    <row r="7" spans="1:14">
      <c r="A7" s="632"/>
      <c r="B7" s="632"/>
      <c r="C7" s="632"/>
      <c r="D7" s="632"/>
      <c r="E7" s="632"/>
      <c r="F7" s="632"/>
      <c r="G7" s="632"/>
      <c r="H7" s="932" t="s">
        <v>123</v>
      </c>
      <c r="I7" s="932"/>
      <c r="J7" s="632"/>
      <c r="K7" s="632"/>
      <c r="M7" s="931" t="s">
        <v>335</v>
      </c>
      <c r="N7" s="931"/>
    </row>
    <row r="8" spans="1:14" s="857" customFormat="1" ht="23.25" customHeight="1" thickBot="1">
      <c r="A8" s="933" t="s">
        <v>356</v>
      </c>
      <c r="B8" s="935" t="s">
        <v>1</v>
      </c>
      <c r="C8" s="936"/>
      <c r="D8" s="937" t="s">
        <v>0</v>
      </c>
      <c r="E8" s="933" t="s">
        <v>357</v>
      </c>
      <c r="F8" s="930" t="s">
        <v>94</v>
      </c>
      <c r="G8" s="930"/>
      <c r="H8" s="935" t="s">
        <v>21</v>
      </c>
      <c r="I8" s="936"/>
      <c r="J8" s="856"/>
      <c r="K8" s="856"/>
      <c r="M8" s="858">
        <f>IF(K9="Quý I",1,IF(K9="Quý II",4,IF(K9="Quý III",7,IF(K9="Quý IV",10,""))))</f>
        <v>7</v>
      </c>
      <c r="N8" s="858">
        <f>IF(K9="Quý I",3,IF(K9="Quý II",6,IF(K9="Quý III",9,IF(K9="Quý IV",12,""))))</f>
        <v>9</v>
      </c>
    </row>
    <row r="9" spans="1:14" s="857" customFormat="1" ht="28.5" customHeight="1" thickBot="1">
      <c r="A9" s="934"/>
      <c r="B9" s="859" t="s">
        <v>15</v>
      </c>
      <c r="C9" s="859" t="s">
        <v>32</v>
      </c>
      <c r="D9" s="938"/>
      <c r="E9" s="934"/>
      <c r="F9" s="860" t="s">
        <v>22</v>
      </c>
      <c r="G9" s="860" t="s">
        <v>23</v>
      </c>
      <c r="H9" s="859" t="s">
        <v>358</v>
      </c>
      <c r="I9" s="859" t="s">
        <v>23</v>
      </c>
      <c r="K9" s="737" t="s">
        <v>482</v>
      </c>
    </row>
    <row r="10" spans="1:14" s="857" customFormat="1" ht="21" customHeight="1">
      <c r="A10" s="861"/>
      <c r="B10" s="861"/>
      <c r="C10" s="861"/>
      <c r="D10" s="862" t="s">
        <v>361</v>
      </c>
      <c r="E10" s="863"/>
      <c r="F10" s="861"/>
      <c r="G10" s="861"/>
      <c r="H10" s="864">
        <f>SUMIF(_M,"&lt;"&amp;$M$8,TH)</f>
        <v>2450630829</v>
      </c>
      <c r="I10" s="864">
        <f>SUMIF(_M,"&lt;"&amp;$M$8,TH)</f>
        <v>2450630829</v>
      </c>
    </row>
    <row r="11" spans="1:14" s="857" customFormat="1" ht="21" customHeight="1">
      <c r="A11" s="865">
        <f ca="1">IF(ROWS($1:1)&gt;COUNT(Dong6),"",OFFSET(TH!C$1,SMALL(Dong6,ROWS($1:1)),))</f>
        <v>41456</v>
      </c>
      <c r="B11" s="866" t="str">
        <f ca="1">IF(ROWS($1:1)&gt;COUNT(Dong6),"",OFFSET(TH!D$1,SMALL(Dong6,ROWS($1:1)),))</f>
        <v>CTGS</v>
      </c>
      <c r="C11" s="865">
        <f ca="1">IF(ROWS($1:1)&gt;COUNT(Dong6),"",OFFSET(TH!E$1,SMALL(Dong6,ROWS($1:1)),))</f>
        <v>41456</v>
      </c>
      <c r="D11" s="867" t="str">
        <f ca="1">IF(ROWS($1:1)&gt;COUNT(Dong6),"",OFFSET(TH!F$1,SMALL(Dong6,ROWS($1:1)),))</f>
        <v>Trích khấu hao TSCĐ Hữu hình</v>
      </c>
      <c r="E11" s="866">
        <f t="shared" ref="E11:E40" ca="1" si="0">IF(D11&lt;&gt;"",ROW()-10,"")</f>
        <v>1</v>
      </c>
      <c r="F11" s="868" t="str">
        <f ca="1">IF(ROWS($1:1)&gt;COUNT(Dong6),"",OFFSET(TH!L$1,SMALL(Dong6,ROWS($1:1)),))</f>
        <v>154</v>
      </c>
      <c r="G11" s="868" t="str">
        <f ca="1">IF(ROWS($1:1)&gt;COUNT(Dong6),"",OFFSET(TH!M$1,SMALL(Dong6,ROWS($1:1)),))</f>
        <v>2141</v>
      </c>
      <c r="H11" s="722">
        <f ca="1">IF(ROWS($1:1)&gt;COUNT(Dong6),"",OFFSET(TH!K$1,SMALL(Dong6,ROWS($1:1)),))</f>
        <v>18250000</v>
      </c>
      <c r="I11" s="722">
        <f ca="1">IF(ROWS($1:1)&gt;COUNT(Dong6),"",OFFSET(TH!K$1,SMALL(Dong6,ROWS($1:1)),))</f>
        <v>18250000</v>
      </c>
    </row>
    <row r="12" spans="1:14" s="857" customFormat="1" ht="21" customHeight="1">
      <c r="A12" s="865">
        <f ca="1">IF(ROWS($1:2)&gt;COUNT(Dong6),"",OFFSET(TH!C$1,SMALL(Dong6,ROWS($1:2)),))</f>
        <v>41486</v>
      </c>
      <c r="B12" s="866" t="str">
        <f ca="1">IF(ROWS($1:2)&gt;COUNT(Dong6),"",OFFSET(TH!D$1,SMALL(Dong6,ROWS($1:2)),))</f>
        <v>CTGS</v>
      </c>
      <c r="C12" s="865">
        <f ca="1">IF(ROWS($1:2)&gt;COUNT(Dong6),"",OFFSET(TH!E$1,SMALL(Dong6,ROWS($1:2)),))</f>
        <v>41486</v>
      </c>
      <c r="D12" s="867" t="str">
        <f ca="1">IF(ROWS($1:2)&gt;COUNT(Dong6),"",OFFSET(TH!F$1,SMALL(Dong6,ROWS($1:2)),))</f>
        <v>Tiền lương BP Văn phòng</v>
      </c>
      <c r="E12" s="866">
        <f t="shared" ca="1" si="0"/>
        <v>2</v>
      </c>
      <c r="F12" s="868" t="str">
        <f ca="1">IF(ROWS($1:2)&gt;COUNT(Dong6),"",OFFSET(TH!L$1,SMALL(Dong6,ROWS($1:2)),))</f>
        <v>642</v>
      </c>
      <c r="G12" s="868" t="str">
        <f ca="1">IF(ROWS($1:2)&gt;COUNT(Dong6),"",OFFSET(TH!M$1,SMALL(Dong6,ROWS($1:2)),))</f>
        <v>3341</v>
      </c>
      <c r="H12" s="722">
        <f ca="1">IF(ROWS($1:2)&gt;COUNT(Dong6),"",OFFSET(TH!K$1,SMALL(Dong6,ROWS($1:2)),))</f>
        <v>0</v>
      </c>
      <c r="I12" s="722">
        <f ca="1">IF(ROWS($1:2)&gt;COUNT(Dong6),"",OFFSET(TH!K$1,SMALL(Dong6,ROWS($1:2)),))</f>
        <v>0</v>
      </c>
    </row>
    <row r="13" spans="1:14" s="857" customFormat="1" ht="21" customHeight="1">
      <c r="A13" s="865">
        <f ca="1">IF(ROWS($1:3)&gt;COUNT(Dong6),"",OFFSET(TH!C$1,SMALL(Dong6,ROWS($1:3)),))</f>
        <v>41486</v>
      </c>
      <c r="B13" s="866" t="str">
        <f ca="1">IF(ROWS($1:3)&gt;COUNT(Dong6),"",OFFSET(TH!D$1,SMALL(Dong6,ROWS($1:3)),))</f>
        <v>CTGS</v>
      </c>
      <c r="C13" s="865">
        <f ca="1">IF(ROWS($1:3)&gt;COUNT(Dong6),"",OFFSET(TH!E$1,SMALL(Dong6,ROWS($1:3)),))</f>
        <v>41486</v>
      </c>
      <c r="D13" s="867" t="str">
        <f ca="1">IF(ROWS($1:3)&gt;COUNT(Dong6),"",OFFSET(TH!F$1,SMALL(Dong6,ROWS($1:3)),))</f>
        <v>Tiền lương BP Phân Xưởng &amp; CN</v>
      </c>
      <c r="E13" s="866">
        <f t="shared" ca="1" si="0"/>
        <v>3</v>
      </c>
      <c r="F13" s="868" t="str">
        <f ca="1">IF(ROWS($1:3)&gt;COUNT(Dong6),"",OFFSET(TH!L$1,SMALL(Dong6,ROWS($1:3)),))</f>
        <v>154</v>
      </c>
      <c r="G13" s="868" t="str">
        <f ca="1">IF(ROWS($1:3)&gt;COUNT(Dong6),"",OFFSET(TH!M$1,SMALL(Dong6,ROWS($1:3)),))</f>
        <v>3341</v>
      </c>
      <c r="H13" s="722">
        <f ca="1">IF(ROWS($1:3)&gt;COUNT(Dong6),"",OFFSET(TH!K$1,SMALL(Dong6,ROWS($1:3)),))</f>
        <v>0</v>
      </c>
      <c r="I13" s="722">
        <f ca="1">IF(ROWS($1:3)&gt;COUNT(Dong6),"",OFFSET(TH!K$1,SMALL(Dong6,ROWS($1:3)),))</f>
        <v>0</v>
      </c>
    </row>
    <row r="14" spans="1:14" s="857" customFormat="1" ht="21" customHeight="1">
      <c r="A14" s="865">
        <f ca="1">IF(ROWS($1:4)&gt;COUNT(Dong6),"",OFFSET(TH!C$1,SMALL(Dong6,ROWS($1:4)),))</f>
        <v>41486</v>
      </c>
      <c r="B14" s="866" t="str">
        <f ca="1">IF(ROWS($1:4)&gt;COUNT(Dong6),"",OFFSET(TH!D$1,SMALL(Dong6,ROWS($1:4)),))</f>
        <v>CTGS</v>
      </c>
      <c r="C14" s="865">
        <f ca="1">IF(ROWS($1:4)&gt;COUNT(Dong6),"",OFFSET(TH!E$1,SMALL(Dong6,ROWS($1:4)),))</f>
        <v>41486</v>
      </c>
      <c r="D14" s="867" t="str">
        <f ca="1">IF(ROWS($1:4)&gt;COUNT(Dong6),"",OFFSET(TH!F$1,SMALL(Dong6,ROWS($1:4)),))</f>
        <v>Thanh toán tiền lương tháng 7/2013</v>
      </c>
      <c r="E14" s="866">
        <f t="shared" ca="1" si="0"/>
        <v>4</v>
      </c>
      <c r="F14" s="868" t="str">
        <f ca="1">IF(ROWS($1:4)&gt;COUNT(Dong6),"",OFFSET(TH!L$1,SMALL(Dong6,ROWS($1:4)),))</f>
        <v>3341</v>
      </c>
      <c r="G14" s="868" t="str">
        <f ca="1">IF(ROWS($1:4)&gt;COUNT(Dong6),"",OFFSET(TH!M$1,SMALL(Dong6,ROWS($1:4)),))</f>
        <v>1111</v>
      </c>
      <c r="H14" s="722">
        <f ca="1">IF(ROWS($1:4)&gt;COUNT(Dong6),"",OFFSET(TH!K$1,SMALL(Dong6,ROWS($1:4)),))</f>
        <v>0</v>
      </c>
      <c r="I14" s="722">
        <f ca="1">IF(ROWS($1:4)&gt;COUNT(Dong6),"",OFFSET(TH!K$1,SMALL(Dong6,ROWS($1:4)),))</f>
        <v>0</v>
      </c>
    </row>
    <row r="15" spans="1:14" s="857" customFormat="1" ht="21" customHeight="1">
      <c r="A15" s="865">
        <f ca="1">IF(ROWS($1:5)&gt;COUNT(Dong6),"",OFFSET(TH!C$1,SMALL(Dong6,ROWS($1:5)),))</f>
        <v>41517</v>
      </c>
      <c r="B15" s="866" t="str">
        <f ca="1">IF(ROWS($1:5)&gt;COUNT(Dong6),"",OFFSET(TH!D$1,SMALL(Dong6,ROWS($1:5)),))</f>
        <v>CTGS</v>
      </c>
      <c r="C15" s="865">
        <f ca="1">IF(ROWS($1:5)&gt;COUNT(Dong6),"",OFFSET(TH!E$1,SMALL(Dong6,ROWS($1:5)),))</f>
        <v>41517</v>
      </c>
      <c r="D15" s="867" t="str">
        <f ca="1">IF(ROWS($1:5)&gt;COUNT(Dong6),"",OFFSET(TH!F$1,SMALL(Dong6,ROWS($1:5)),))</f>
        <v>Tiền lương BP Văn phòng</v>
      </c>
      <c r="E15" s="866">
        <f t="shared" ca="1" si="0"/>
        <v>5</v>
      </c>
      <c r="F15" s="868" t="str">
        <f ca="1">IF(ROWS($1:5)&gt;COUNT(Dong6),"",OFFSET(TH!L$1,SMALL(Dong6,ROWS($1:5)),))</f>
        <v>642</v>
      </c>
      <c r="G15" s="868" t="str">
        <f ca="1">IF(ROWS($1:5)&gt;COUNT(Dong6),"",OFFSET(TH!M$1,SMALL(Dong6,ROWS($1:5)),))</f>
        <v>3341</v>
      </c>
      <c r="H15" s="722">
        <f ca="1">IF(ROWS($1:5)&gt;COUNT(Dong6),"",OFFSET(TH!K$1,SMALL(Dong6,ROWS($1:5)),))</f>
        <v>0</v>
      </c>
      <c r="I15" s="722">
        <f ca="1">IF(ROWS($1:5)&gt;COUNT(Dong6),"",OFFSET(TH!K$1,SMALL(Dong6,ROWS($1:5)),))</f>
        <v>0</v>
      </c>
    </row>
    <row r="16" spans="1:14" s="857" customFormat="1" ht="21" customHeight="1">
      <c r="A16" s="865">
        <f ca="1">IF(ROWS($1:6)&gt;COUNT(Dong6),"",OFFSET(TH!C$1,SMALL(Dong6,ROWS($1:6)),))</f>
        <v>41517</v>
      </c>
      <c r="B16" s="866" t="str">
        <f ca="1">IF(ROWS($1:6)&gt;COUNT(Dong6),"",OFFSET(TH!D$1,SMALL(Dong6,ROWS($1:6)),))</f>
        <v>CTGS</v>
      </c>
      <c r="C16" s="865">
        <f ca="1">IF(ROWS($1:6)&gt;COUNT(Dong6),"",OFFSET(TH!E$1,SMALL(Dong6,ROWS($1:6)),))</f>
        <v>41517</v>
      </c>
      <c r="D16" s="867" t="str">
        <f ca="1">IF(ROWS($1:6)&gt;COUNT(Dong6),"",OFFSET(TH!F$1,SMALL(Dong6,ROWS($1:6)),))</f>
        <v>Tiền lương BP Phân Xưởng &amp; CN</v>
      </c>
      <c r="E16" s="866">
        <f t="shared" ca="1" si="0"/>
        <v>6</v>
      </c>
      <c r="F16" s="868" t="str">
        <f ca="1">IF(ROWS($1:6)&gt;COUNT(Dong6),"",OFFSET(TH!L$1,SMALL(Dong6,ROWS($1:6)),))</f>
        <v>154</v>
      </c>
      <c r="G16" s="868" t="str">
        <f ca="1">IF(ROWS($1:6)&gt;COUNT(Dong6),"",OFFSET(TH!M$1,SMALL(Dong6,ROWS($1:6)),))</f>
        <v>3341</v>
      </c>
      <c r="H16" s="722">
        <f ca="1">IF(ROWS($1:6)&gt;COUNT(Dong6),"",OFFSET(TH!K$1,SMALL(Dong6,ROWS($1:6)),))</f>
        <v>0</v>
      </c>
      <c r="I16" s="722">
        <f ca="1">IF(ROWS($1:6)&gt;COUNT(Dong6),"",OFFSET(TH!K$1,SMALL(Dong6,ROWS($1:6)),))</f>
        <v>0</v>
      </c>
    </row>
    <row r="17" spans="1:9" s="857" customFormat="1" ht="21" customHeight="1">
      <c r="A17" s="865">
        <f ca="1">IF(ROWS($1:7)&gt;COUNT(Dong6),"",OFFSET(TH!C$1,SMALL(Dong6,ROWS($1:7)),))</f>
        <v>41517</v>
      </c>
      <c r="B17" s="866" t="str">
        <f ca="1">IF(ROWS($1:7)&gt;COUNT(Dong6),"",OFFSET(TH!D$1,SMALL(Dong6,ROWS($1:7)),))</f>
        <v>CTGS</v>
      </c>
      <c r="C17" s="865">
        <f ca="1">IF(ROWS($1:7)&gt;COUNT(Dong6),"",OFFSET(TH!E$1,SMALL(Dong6,ROWS($1:7)),))</f>
        <v>41517</v>
      </c>
      <c r="D17" s="867" t="str">
        <f ca="1">IF(ROWS($1:7)&gt;COUNT(Dong6),"",OFFSET(TH!F$1,SMALL(Dong6,ROWS($1:7)),))</f>
        <v>Thanh toán tiền lương tháng 8/2013</v>
      </c>
      <c r="E17" s="866">
        <f t="shared" ca="1" si="0"/>
        <v>7</v>
      </c>
      <c r="F17" s="868" t="str">
        <f ca="1">IF(ROWS($1:7)&gt;COUNT(Dong6),"",OFFSET(TH!L$1,SMALL(Dong6,ROWS($1:7)),))</f>
        <v>3341</v>
      </c>
      <c r="G17" s="868" t="str">
        <f ca="1">IF(ROWS($1:7)&gt;COUNT(Dong6),"",OFFSET(TH!M$1,SMALL(Dong6,ROWS($1:7)),))</f>
        <v>1111</v>
      </c>
      <c r="H17" s="722">
        <f ca="1">IF(ROWS($1:7)&gt;COUNT(Dong6),"",OFFSET(TH!K$1,SMALL(Dong6,ROWS($1:7)),))</f>
        <v>0</v>
      </c>
      <c r="I17" s="722">
        <f ca="1">IF(ROWS($1:7)&gt;COUNT(Dong6),"",OFFSET(TH!K$1,SMALL(Dong6,ROWS($1:7)),))</f>
        <v>0</v>
      </c>
    </row>
    <row r="18" spans="1:9" s="857" customFormat="1" ht="21" customHeight="1">
      <c r="A18" s="865">
        <f ca="1">IF(ROWS($1:8)&gt;COUNT(Dong6),"",OFFSET(TH!C$1,SMALL(Dong6,ROWS($1:8)),))</f>
        <v>41547</v>
      </c>
      <c r="B18" s="866" t="str">
        <f ca="1">IF(ROWS($1:8)&gt;COUNT(Dong6),"",OFFSET(TH!D$1,SMALL(Dong6,ROWS($1:8)),))</f>
        <v>CTGS</v>
      </c>
      <c r="C18" s="865">
        <f ca="1">IF(ROWS($1:8)&gt;COUNT(Dong6),"",OFFSET(TH!E$1,SMALL(Dong6,ROWS($1:8)),))</f>
        <v>41547</v>
      </c>
      <c r="D18" s="867" t="str">
        <f ca="1">IF(ROWS($1:8)&gt;COUNT(Dong6),"",OFFSET(TH!F$1,SMALL(Dong6,ROWS($1:8)),))</f>
        <v>Tiền lương BP Văn phòng</v>
      </c>
      <c r="E18" s="866">
        <f t="shared" ca="1" si="0"/>
        <v>8</v>
      </c>
      <c r="F18" s="868" t="str">
        <f ca="1">IF(ROWS($1:8)&gt;COUNT(Dong6),"",OFFSET(TH!L$1,SMALL(Dong6,ROWS($1:8)),))</f>
        <v>642</v>
      </c>
      <c r="G18" s="868" t="str">
        <f ca="1">IF(ROWS($1:8)&gt;COUNT(Dong6),"",OFFSET(TH!M$1,SMALL(Dong6,ROWS($1:8)),))</f>
        <v>3341</v>
      </c>
      <c r="H18" s="722">
        <f ca="1">IF(ROWS($1:8)&gt;COUNT(Dong6),"",OFFSET(TH!K$1,SMALL(Dong6,ROWS($1:8)),))</f>
        <v>0</v>
      </c>
      <c r="I18" s="722">
        <f ca="1">IF(ROWS($1:8)&gt;COUNT(Dong6),"",OFFSET(TH!K$1,SMALL(Dong6,ROWS($1:8)),))</f>
        <v>0</v>
      </c>
    </row>
    <row r="19" spans="1:9" s="857" customFormat="1" ht="21" customHeight="1">
      <c r="A19" s="865">
        <f ca="1">IF(ROWS($1:9)&gt;COUNT(Dong6),"",OFFSET(TH!C$1,SMALL(Dong6,ROWS($1:9)),))</f>
        <v>41547</v>
      </c>
      <c r="B19" s="866" t="str">
        <f ca="1">IF(ROWS($1:9)&gt;COUNT(Dong6),"",OFFSET(TH!D$1,SMALL(Dong6,ROWS($1:9)),))</f>
        <v>CTGS</v>
      </c>
      <c r="C19" s="865">
        <f ca="1">IF(ROWS($1:9)&gt;COUNT(Dong6),"",OFFSET(TH!E$1,SMALL(Dong6,ROWS($1:9)),))</f>
        <v>41547</v>
      </c>
      <c r="D19" s="867" t="str">
        <f ca="1">IF(ROWS($1:9)&gt;COUNT(Dong6),"",OFFSET(TH!F$1,SMALL(Dong6,ROWS($1:9)),))</f>
        <v>Tiền lương BP Phân Xưởng &amp; CN</v>
      </c>
      <c r="E19" s="866">
        <f t="shared" ca="1" si="0"/>
        <v>9</v>
      </c>
      <c r="F19" s="868" t="str">
        <f ca="1">IF(ROWS($1:9)&gt;COUNT(Dong6),"",OFFSET(TH!L$1,SMALL(Dong6,ROWS($1:9)),))</f>
        <v>154</v>
      </c>
      <c r="G19" s="868" t="str">
        <f ca="1">IF(ROWS($1:9)&gt;COUNT(Dong6),"",OFFSET(TH!M$1,SMALL(Dong6,ROWS($1:9)),))</f>
        <v>3341</v>
      </c>
      <c r="H19" s="722">
        <f ca="1">IF(ROWS($1:9)&gt;COUNT(Dong6),"",OFFSET(TH!K$1,SMALL(Dong6,ROWS($1:9)),))</f>
        <v>0</v>
      </c>
      <c r="I19" s="722">
        <f ca="1">IF(ROWS($1:9)&gt;COUNT(Dong6),"",OFFSET(TH!K$1,SMALL(Dong6,ROWS($1:9)),))</f>
        <v>0</v>
      </c>
    </row>
    <row r="20" spans="1:9" s="857" customFormat="1" ht="21" customHeight="1">
      <c r="A20" s="865">
        <f ca="1">IF(ROWS($1:10)&gt;COUNT(Dong6),"",OFFSET(TH!C$1,SMALL(Dong6,ROWS($1:10)),))</f>
        <v>41547</v>
      </c>
      <c r="B20" s="866" t="str">
        <f ca="1">IF(ROWS($1:10)&gt;COUNT(Dong6),"",OFFSET(TH!D$1,SMALL(Dong6,ROWS($1:10)),))</f>
        <v>CTGS</v>
      </c>
      <c r="C20" s="865">
        <f ca="1">IF(ROWS($1:10)&gt;COUNT(Dong6),"",OFFSET(TH!E$1,SMALL(Dong6,ROWS($1:10)),))</f>
        <v>41547</v>
      </c>
      <c r="D20" s="867" t="str">
        <f ca="1">IF(ROWS($1:10)&gt;COUNT(Dong6),"",OFFSET(TH!F$1,SMALL(Dong6,ROWS($1:10)),))</f>
        <v>Thanh toán tiền lương tháng 9/2013</v>
      </c>
      <c r="E20" s="866">
        <f t="shared" ca="1" si="0"/>
        <v>10</v>
      </c>
      <c r="F20" s="868" t="str">
        <f ca="1">IF(ROWS($1:10)&gt;COUNT(Dong6),"",OFFSET(TH!L$1,SMALL(Dong6,ROWS($1:10)),))</f>
        <v>3341</v>
      </c>
      <c r="G20" s="868" t="str">
        <f ca="1">IF(ROWS($1:10)&gt;COUNT(Dong6),"",OFFSET(TH!M$1,SMALL(Dong6,ROWS($1:10)),))</f>
        <v>1111</v>
      </c>
      <c r="H20" s="722">
        <f ca="1">IF(ROWS($1:10)&gt;COUNT(Dong6),"",OFFSET(TH!K$1,SMALL(Dong6,ROWS($1:10)),))</f>
        <v>0</v>
      </c>
      <c r="I20" s="722">
        <f ca="1">IF(ROWS($1:10)&gt;COUNT(Dong6),"",OFFSET(TH!K$1,SMALL(Dong6,ROWS($1:10)),))</f>
        <v>0</v>
      </c>
    </row>
    <row r="21" spans="1:9" s="857" customFormat="1" ht="21" customHeight="1">
      <c r="A21" s="865">
        <f ca="1">IF(ROWS($1:11)&gt;COUNT(Dong6),"",OFFSET(TH!C$1,SMALL(Dong6,ROWS($1:11)),))</f>
        <v>41465</v>
      </c>
      <c r="B21" s="866" t="str">
        <f ca="1">IF(ROWS($1:11)&gt;COUNT(Dong6),"",OFFSET(TH!D$1,SMALL(Dong6,ROWS($1:11)),))</f>
        <v>C01</v>
      </c>
      <c r="C21" s="865">
        <f ca="1">IF(ROWS($1:11)&gt;COUNT(Dong6),"",OFFSET(TH!E$1,SMALL(Dong6,ROWS($1:11)),))</f>
        <v>41465</v>
      </c>
      <c r="D21" s="867" t="str">
        <f ca="1">IF(ROWS($1:11)&gt;COUNT(Dong6),"",OFFSET(TH!F$1,SMALL(Dong6,ROWS($1:11)),))</f>
        <v>Cước dịch vụ viễn thông</v>
      </c>
      <c r="E21" s="866">
        <f t="shared" ca="1" si="0"/>
        <v>11</v>
      </c>
      <c r="F21" s="868" t="str">
        <f ca="1">IF(ROWS($1:11)&gt;COUNT(Dong6),"",OFFSET(TH!L$1,SMALL(Dong6,ROWS($1:11)),))</f>
        <v>642</v>
      </c>
      <c r="G21" s="868" t="str">
        <f ca="1">IF(ROWS($1:11)&gt;COUNT(Dong6),"",OFFSET(TH!M$1,SMALL(Dong6,ROWS($1:11)),))</f>
        <v>1111</v>
      </c>
      <c r="H21" s="722">
        <f ca="1">IF(ROWS($1:11)&gt;COUNT(Dong6),"",OFFSET(TH!K$1,SMALL(Dong6,ROWS($1:11)),))</f>
        <v>926339</v>
      </c>
      <c r="I21" s="722">
        <f ca="1">IF(ROWS($1:11)&gt;COUNT(Dong6),"",OFFSET(TH!K$1,SMALL(Dong6,ROWS($1:11)),))</f>
        <v>926339</v>
      </c>
    </row>
    <row r="22" spans="1:9" s="857" customFormat="1" ht="21" customHeight="1">
      <c r="A22" s="865">
        <f ca="1">IF(ROWS($1:12)&gt;COUNT(Dong6),"",OFFSET(TH!C$1,SMALL(Dong6,ROWS($1:12)),))</f>
        <v>41465</v>
      </c>
      <c r="B22" s="866" t="str">
        <f ca="1">IF(ROWS($1:12)&gt;COUNT(Dong6),"",OFFSET(TH!D$1,SMALL(Dong6,ROWS($1:12)),))</f>
        <v>C01</v>
      </c>
      <c r="C22" s="865">
        <f ca="1">IF(ROWS($1:12)&gt;COUNT(Dong6),"",OFFSET(TH!E$1,SMALL(Dong6,ROWS($1:12)),))</f>
        <v>41465</v>
      </c>
      <c r="D22" s="867" t="str">
        <f ca="1">IF(ROWS($1:12)&gt;COUNT(Dong6),"",OFFSET(TH!F$1,SMALL(Dong6,ROWS($1:12)),))</f>
        <v>VAT Cước dịch vụ viễn thông</v>
      </c>
      <c r="E22" s="866">
        <f t="shared" ca="1" si="0"/>
        <v>12</v>
      </c>
      <c r="F22" s="868" t="str">
        <f ca="1">IF(ROWS($1:12)&gt;COUNT(Dong6),"",OFFSET(TH!L$1,SMALL(Dong6,ROWS($1:12)),))</f>
        <v>1331</v>
      </c>
      <c r="G22" s="868" t="str">
        <f ca="1">IF(ROWS($1:12)&gt;COUNT(Dong6),"",OFFSET(TH!M$1,SMALL(Dong6,ROWS($1:12)),))</f>
        <v>1111</v>
      </c>
      <c r="H22" s="722">
        <f ca="1">IF(ROWS($1:12)&gt;COUNT(Dong6),"",OFFSET(TH!K$1,SMALL(Dong6,ROWS($1:12)),))</f>
        <v>92633</v>
      </c>
      <c r="I22" s="722">
        <f ca="1">IF(ROWS($1:12)&gt;COUNT(Dong6),"",OFFSET(TH!K$1,SMALL(Dong6,ROWS($1:12)),))</f>
        <v>92633</v>
      </c>
    </row>
    <row r="23" spans="1:9" s="857" customFormat="1" ht="21" customHeight="1">
      <c r="A23" s="865">
        <f ca="1">IF(ROWS($1:13)&gt;COUNT(Dong6),"",OFFSET(TH!C$1,SMALL(Dong6,ROWS($1:13)),))</f>
        <v>41471</v>
      </c>
      <c r="B23" s="866" t="str">
        <f ca="1">IF(ROWS($1:13)&gt;COUNT(Dong6),"",OFFSET(TH!D$1,SMALL(Dong6,ROWS($1:13)),))</f>
        <v>C02</v>
      </c>
      <c r="C23" s="865">
        <f ca="1">IF(ROWS($1:13)&gt;COUNT(Dong6),"",OFFSET(TH!E$1,SMALL(Dong6,ROWS($1:13)),))</f>
        <v>41471</v>
      </c>
      <c r="D23" s="867" t="str">
        <f ca="1">IF(ROWS($1:13)&gt;COUNT(Dong6),"",OFFSET(TH!F$1,SMALL(Dong6,ROWS($1:13)),))</f>
        <v>Chi phí chứng thư số</v>
      </c>
      <c r="E23" s="866">
        <f t="shared" ca="1" si="0"/>
        <v>13</v>
      </c>
      <c r="F23" s="868" t="str">
        <f ca="1">IF(ROWS($1:13)&gt;COUNT(Dong6),"",OFFSET(TH!L$1,SMALL(Dong6,ROWS($1:13)),))</f>
        <v>642</v>
      </c>
      <c r="G23" s="868" t="str">
        <f ca="1">IF(ROWS($1:13)&gt;COUNT(Dong6),"",OFFSET(TH!M$1,SMALL(Dong6,ROWS($1:13)),))</f>
        <v>1111</v>
      </c>
      <c r="H23" s="722">
        <f ca="1">IF(ROWS($1:13)&gt;COUNT(Dong6),"",OFFSET(TH!K$1,SMALL(Dong6,ROWS($1:13)),))</f>
        <v>850000</v>
      </c>
      <c r="I23" s="722">
        <f ca="1">IF(ROWS($1:13)&gt;COUNT(Dong6),"",OFFSET(TH!K$1,SMALL(Dong6,ROWS($1:13)),))</f>
        <v>850000</v>
      </c>
    </row>
    <row r="24" spans="1:9" s="857" customFormat="1" ht="21" customHeight="1">
      <c r="A24" s="865">
        <f ca="1">IF(ROWS($1:14)&gt;COUNT(Dong6),"",OFFSET(TH!C$1,SMALL(Dong6,ROWS($1:14)),))</f>
        <v>41471</v>
      </c>
      <c r="B24" s="866" t="str">
        <f ca="1">IF(ROWS($1:14)&gt;COUNT(Dong6),"",OFFSET(TH!D$1,SMALL(Dong6,ROWS($1:14)),))</f>
        <v>C02</v>
      </c>
      <c r="C24" s="865">
        <f ca="1">IF(ROWS($1:14)&gt;COUNT(Dong6),"",OFFSET(TH!E$1,SMALL(Dong6,ROWS($1:14)),))</f>
        <v>41471</v>
      </c>
      <c r="D24" s="867" t="str">
        <f ca="1">IF(ROWS($1:14)&gt;COUNT(Dong6),"",OFFSET(TH!F$1,SMALL(Dong6,ROWS($1:14)),))</f>
        <v>VAT Chi phí chứng thư số</v>
      </c>
      <c r="E24" s="866">
        <f t="shared" ca="1" si="0"/>
        <v>14</v>
      </c>
      <c r="F24" s="868" t="str">
        <f ca="1">IF(ROWS($1:14)&gt;COUNT(Dong6),"",OFFSET(TH!L$1,SMALL(Dong6,ROWS($1:14)),))</f>
        <v>1331</v>
      </c>
      <c r="G24" s="868" t="str">
        <f ca="1">IF(ROWS($1:14)&gt;COUNT(Dong6),"",OFFSET(TH!M$1,SMALL(Dong6,ROWS($1:14)),))</f>
        <v>1111</v>
      </c>
      <c r="H24" s="722">
        <f ca="1">IF(ROWS($1:14)&gt;COUNT(Dong6),"",OFFSET(TH!K$1,SMALL(Dong6,ROWS($1:14)),))</f>
        <v>85000</v>
      </c>
      <c r="I24" s="722">
        <f ca="1">IF(ROWS($1:14)&gt;COUNT(Dong6),"",OFFSET(TH!K$1,SMALL(Dong6,ROWS($1:14)),))</f>
        <v>85000</v>
      </c>
    </row>
    <row r="25" spans="1:9" s="857" customFormat="1" ht="21" customHeight="1">
      <c r="A25" s="865">
        <f ca="1">IF(ROWS($1:15)&gt;COUNT(Dong6),"",OFFSET(TH!C$1,SMALL(Dong6,ROWS($1:15)),))</f>
        <v>41478</v>
      </c>
      <c r="B25" s="866" t="str">
        <f ca="1">IF(ROWS($1:15)&gt;COUNT(Dong6),"",OFFSET(TH!D$1,SMALL(Dong6,ROWS($1:15)),))</f>
        <v>GBC</v>
      </c>
      <c r="C25" s="865">
        <f ca="1">IF(ROWS($1:15)&gt;COUNT(Dong6),"",OFFSET(TH!E$1,SMALL(Dong6,ROWS($1:15)),))</f>
        <v>41478</v>
      </c>
      <c r="D25" s="867" t="str">
        <f ca="1">IF(ROWS($1:15)&gt;COUNT(Dong6),"",OFFSET(TH!F$1,SMALL(Dong6,ROWS($1:15)),))</f>
        <v>Thu tiền hàng</v>
      </c>
      <c r="E25" s="866">
        <f t="shared" ca="1" si="0"/>
        <v>15</v>
      </c>
      <c r="F25" s="868" t="str">
        <f ca="1">IF(ROWS($1:15)&gt;COUNT(Dong6),"",OFFSET(TH!L$1,SMALL(Dong6,ROWS($1:15)),))</f>
        <v>1121</v>
      </c>
      <c r="G25" s="868" t="str">
        <f ca="1">IF(ROWS($1:15)&gt;COUNT(Dong6),"",OFFSET(TH!M$1,SMALL(Dong6,ROWS($1:15)),))</f>
        <v>131</v>
      </c>
      <c r="H25" s="722">
        <f ca="1">IF(ROWS($1:15)&gt;COUNT(Dong6),"",OFFSET(TH!K$1,SMALL(Dong6,ROWS($1:15)),))</f>
        <v>9873578</v>
      </c>
      <c r="I25" s="722">
        <f ca="1">IF(ROWS($1:15)&gt;COUNT(Dong6),"",OFFSET(TH!K$1,SMALL(Dong6,ROWS($1:15)),))</f>
        <v>9873578</v>
      </c>
    </row>
    <row r="26" spans="1:9" s="857" customFormat="1" ht="21" customHeight="1">
      <c r="A26" s="865">
        <f ca="1">IF(ROWS($1:16)&gt;COUNT(Dong6),"",OFFSET(TH!C$1,SMALL(Dong6,ROWS($1:16)),))</f>
        <v>41479</v>
      </c>
      <c r="B26" s="866" t="str">
        <f ca="1">IF(ROWS($1:16)&gt;COUNT(Dong6),"",OFFSET(TH!D$1,SMALL(Dong6,ROWS($1:16)),))</f>
        <v>C03</v>
      </c>
      <c r="C26" s="865">
        <f ca="1">IF(ROWS($1:16)&gt;COUNT(Dong6),"",OFFSET(TH!E$1,SMALL(Dong6,ROWS($1:16)),))</f>
        <v>41479</v>
      </c>
      <c r="D26" s="867" t="str">
        <f ca="1">IF(ROWS($1:16)&gt;COUNT(Dong6),"",OFFSET(TH!F$1,SMALL(Dong6,ROWS($1:16)),))</f>
        <v>Mực in</v>
      </c>
      <c r="E26" s="866">
        <f t="shared" ca="1" si="0"/>
        <v>16</v>
      </c>
      <c r="F26" s="868" t="str">
        <f ca="1">IF(ROWS($1:16)&gt;COUNT(Dong6),"",OFFSET(TH!L$1,SMALL(Dong6,ROWS($1:16)),))</f>
        <v>154</v>
      </c>
      <c r="G26" s="868" t="str">
        <f ca="1">IF(ROWS($1:16)&gt;COUNT(Dong6),"",OFFSET(TH!M$1,SMALL(Dong6,ROWS($1:16)),))</f>
        <v>1111</v>
      </c>
      <c r="H26" s="722">
        <f ca="1">IF(ROWS($1:16)&gt;COUNT(Dong6),"",OFFSET(TH!K$1,SMALL(Dong6,ROWS($1:16)),))</f>
        <v>2800000</v>
      </c>
      <c r="I26" s="722">
        <f ca="1">IF(ROWS($1:16)&gt;COUNT(Dong6),"",OFFSET(TH!K$1,SMALL(Dong6,ROWS($1:16)),))</f>
        <v>2800000</v>
      </c>
    </row>
    <row r="27" spans="1:9" s="857" customFormat="1" ht="21" customHeight="1">
      <c r="A27" s="865">
        <f ca="1">IF(ROWS($1:17)&gt;COUNT(Dong6),"",OFFSET(TH!C$1,SMALL(Dong6,ROWS($1:17)),))</f>
        <v>41479</v>
      </c>
      <c r="B27" s="866" t="str">
        <f ca="1">IF(ROWS($1:17)&gt;COUNT(Dong6),"",OFFSET(TH!D$1,SMALL(Dong6,ROWS($1:17)),))</f>
        <v>C03</v>
      </c>
      <c r="C27" s="865">
        <f ca="1">IF(ROWS($1:17)&gt;COUNT(Dong6),"",OFFSET(TH!E$1,SMALL(Dong6,ROWS($1:17)),))</f>
        <v>41479</v>
      </c>
      <c r="D27" s="867" t="str">
        <f ca="1">IF(ROWS($1:17)&gt;COUNT(Dong6),"",OFFSET(TH!F$1,SMALL(Dong6,ROWS($1:17)),))</f>
        <v>VAT Mực in</v>
      </c>
      <c r="E27" s="866">
        <f t="shared" ca="1" si="0"/>
        <v>17</v>
      </c>
      <c r="F27" s="868" t="str">
        <f ca="1">IF(ROWS($1:17)&gt;COUNT(Dong6),"",OFFSET(TH!L$1,SMALL(Dong6,ROWS($1:17)),))</f>
        <v>1331</v>
      </c>
      <c r="G27" s="868" t="str">
        <f ca="1">IF(ROWS($1:17)&gt;COUNT(Dong6),"",OFFSET(TH!M$1,SMALL(Dong6,ROWS($1:17)),))</f>
        <v>1111</v>
      </c>
      <c r="H27" s="722">
        <f ca="1">IF(ROWS($1:17)&gt;COUNT(Dong6),"",OFFSET(TH!K$1,SMALL(Dong6,ROWS($1:17)),))</f>
        <v>280000</v>
      </c>
      <c r="I27" s="722">
        <f ca="1">IF(ROWS($1:17)&gt;COUNT(Dong6),"",OFFSET(TH!K$1,SMALL(Dong6,ROWS($1:17)),))</f>
        <v>280000</v>
      </c>
    </row>
    <row r="28" spans="1:9" s="857" customFormat="1" ht="21" customHeight="1">
      <c r="A28" s="865">
        <f ca="1">IF(ROWS($1:18)&gt;COUNT(Dong6),"",OFFSET(TH!C$1,SMALL(Dong6,ROWS($1:18)),))</f>
        <v>41480</v>
      </c>
      <c r="B28" s="866" t="str">
        <f ca="1">IF(ROWS($1:18)&gt;COUNT(Dong6),"",OFFSET(TH!D$1,SMALL(Dong6,ROWS($1:18)),))</f>
        <v>GBC</v>
      </c>
      <c r="C28" s="865">
        <f ca="1">IF(ROWS($1:18)&gt;COUNT(Dong6),"",OFFSET(TH!E$1,SMALL(Dong6,ROWS($1:18)),))</f>
        <v>41480</v>
      </c>
      <c r="D28" s="867" t="str">
        <f ca="1">IF(ROWS($1:18)&gt;COUNT(Dong6),"",OFFSET(TH!F$1,SMALL(Dong6,ROWS($1:18)),))</f>
        <v>Thu tiền hàng</v>
      </c>
      <c r="E28" s="866">
        <f t="shared" ca="1" si="0"/>
        <v>18</v>
      </c>
      <c r="F28" s="868" t="str">
        <f ca="1">IF(ROWS($1:18)&gt;COUNT(Dong6),"",OFFSET(TH!L$1,SMALL(Dong6,ROWS($1:18)),))</f>
        <v>1121</v>
      </c>
      <c r="G28" s="868" t="str">
        <f ca="1">IF(ROWS($1:18)&gt;COUNT(Dong6),"",OFFSET(TH!M$1,SMALL(Dong6,ROWS($1:18)),))</f>
        <v>131</v>
      </c>
      <c r="H28" s="722">
        <f ca="1">IF(ROWS($1:18)&gt;COUNT(Dong6),"",OFFSET(TH!K$1,SMALL(Dong6,ROWS($1:18)),))</f>
        <v>20754363</v>
      </c>
      <c r="I28" s="722">
        <f ca="1">IF(ROWS($1:18)&gt;COUNT(Dong6),"",OFFSET(TH!K$1,SMALL(Dong6,ROWS($1:18)),))</f>
        <v>20754363</v>
      </c>
    </row>
    <row r="29" spans="1:9" s="857" customFormat="1" ht="21" customHeight="1">
      <c r="A29" s="865">
        <f ca="1">IF(ROWS($1:19)&gt;COUNT(Dong6),"",OFFSET(TH!C$1,SMALL(Dong6,ROWS($1:19)),))</f>
        <v>41480</v>
      </c>
      <c r="B29" s="866" t="str">
        <f ca="1">IF(ROWS($1:19)&gt;COUNT(Dong6),"",OFFSET(TH!D$1,SMALL(Dong6,ROWS($1:19)),))</f>
        <v>GBC</v>
      </c>
      <c r="C29" s="865">
        <f ca="1">IF(ROWS($1:19)&gt;COUNT(Dong6),"",OFFSET(TH!E$1,SMALL(Dong6,ROWS($1:19)),))</f>
        <v>41480</v>
      </c>
      <c r="D29" s="867" t="str">
        <f ca="1">IF(ROWS($1:19)&gt;COUNT(Dong6),"",OFFSET(TH!F$1,SMALL(Dong6,ROWS($1:19)),))</f>
        <v>Lãi tiền gửi</v>
      </c>
      <c r="E29" s="866">
        <f t="shared" ca="1" si="0"/>
        <v>19</v>
      </c>
      <c r="F29" s="868" t="str">
        <f ca="1">IF(ROWS($1:19)&gt;COUNT(Dong6),"",OFFSET(TH!L$1,SMALL(Dong6,ROWS($1:19)),))</f>
        <v>1121</v>
      </c>
      <c r="G29" s="868" t="str">
        <f ca="1">IF(ROWS($1:19)&gt;COUNT(Dong6),"",OFFSET(TH!M$1,SMALL(Dong6,ROWS($1:19)),))</f>
        <v>515</v>
      </c>
      <c r="H29" s="722">
        <f ca="1">IF(ROWS($1:19)&gt;COUNT(Dong6),"",OFFSET(TH!K$1,SMALL(Dong6,ROWS($1:19)),))</f>
        <v>1736</v>
      </c>
      <c r="I29" s="722">
        <f ca="1">IF(ROWS($1:19)&gt;COUNT(Dong6),"",OFFSET(TH!K$1,SMALL(Dong6,ROWS($1:19)),))</f>
        <v>1736</v>
      </c>
    </row>
    <row r="30" spans="1:9" s="857" customFormat="1" ht="21" customHeight="1">
      <c r="A30" s="865">
        <f ca="1">IF(ROWS($1:20)&gt;COUNT(Dong6),"",OFFSET(TH!C$1,SMALL(Dong6,ROWS($1:20)),))</f>
        <v>41480</v>
      </c>
      <c r="B30" s="866" t="str">
        <f ca="1">IF(ROWS($1:20)&gt;COUNT(Dong6),"",OFFSET(TH!D$1,SMALL(Dong6,ROWS($1:20)),))</f>
        <v>C04</v>
      </c>
      <c r="C30" s="865">
        <f ca="1">IF(ROWS($1:20)&gt;COUNT(Dong6),"",OFFSET(TH!E$1,SMALL(Dong6,ROWS($1:20)),))</f>
        <v>41480</v>
      </c>
      <c r="D30" s="867" t="str">
        <f ca="1">IF(ROWS($1:20)&gt;COUNT(Dong6),"",OFFSET(TH!F$1,SMALL(Dong6,ROWS($1:20)),))</f>
        <v>Mực in</v>
      </c>
      <c r="E30" s="866">
        <f t="shared" ca="1" si="0"/>
        <v>20</v>
      </c>
      <c r="F30" s="868" t="str">
        <f ca="1">IF(ROWS($1:20)&gt;COUNT(Dong6),"",OFFSET(TH!L$1,SMALL(Dong6,ROWS($1:20)),))</f>
        <v>154</v>
      </c>
      <c r="G30" s="868" t="str">
        <f ca="1">IF(ROWS($1:20)&gt;COUNT(Dong6),"",OFFSET(TH!M$1,SMALL(Dong6,ROWS($1:20)),))</f>
        <v>1111</v>
      </c>
      <c r="H30" s="722">
        <f ca="1">IF(ROWS($1:20)&gt;COUNT(Dong6),"",OFFSET(TH!K$1,SMALL(Dong6,ROWS($1:20)),))</f>
        <v>660000</v>
      </c>
      <c r="I30" s="722">
        <f ca="1">IF(ROWS($1:20)&gt;COUNT(Dong6),"",OFFSET(TH!K$1,SMALL(Dong6,ROWS($1:20)),))</f>
        <v>660000</v>
      </c>
    </row>
    <row r="31" spans="1:9" s="857" customFormat="1" ht="21" customHeight="1">
      <c r="A31" s="865">
        <f ca="1">IF(ROWS($1:21)&gt;COUNT(Dong6),"",OFFSET(TH!C$1,SMALL(Dong6,ROWS($1:21)),))</f>
        <v>41480</v>
      </c>
      <c r="B31" s="866" t="str">
        <f ca="1">IF(ROWS($1:21)&gt;COUNT(Dong6),"",OFFSET(TH!D$1,SMALL(Dong6,ROWS($1:21)),))</f>
        <v>C04</v>
      </c>
      <c r="C31" s="865">
        <f ca="1">IF(ROWS($1:21)&gt;COUNT(Dong6),"",OFFSET(TH!E$1,SMALL(Dong6,ROWS($1:21)),))</f>
        <v>41480</v>
      </c>
      <c r="D31" s="867" t="str">
        <f ca="1">IF(ROWS($1:21)&gt;COUNT(Dong6),"",OFFSET(TH!F$1,SMALL(Dong6,ROWS($1:21)),))</f>
        <v>VAT Mực in</v>
      </c>
      <c r="E31" s="866">
        <f t="shared" ca="1" si="0"/>
        <v>21</v>
      </c>
      <c r="F31" s="868" t="str">
        <f ca="1">IF(ROWS($1:21)&gt;COUNT(Dong6),"",OFFSET(TH!L$1,SMALL(Dong6,ROWS($1:21)),))</f>
        <v>1331</v>
      </c>
      <c r="G31" s="868" t="str">
        <f ca="1">IF(ROWS($1:21)&gt;COUNT(Dong6),"",OFFSET(TH!M$1,SMALL(Dong6,ROWS($1:21)),))</f>
        <v>1111</v>
      </c>
      <c r="H31" s="722">
        <f ca="1">IF(ROWS($1:21)&gt;COUNT(Dong6),"",OFFSET(TH!K$1,SMALL(Dong6,ROWS($1:21)),))</f>
        <v>66000</v>
      </c>
      <c r="I31" s="722">
        <f ca="1">IF(ROWS($1:21)&gt;COUNT(Dong6),"",OFFSET(TH!K$1,SMALL(Dong6,ROWS($1:21)),))</f>
        <v>66000</v>
      </c>
    </row>
    <row r="32" spans="1:9" s="857" customFormat="1" ht="21" customHeight="1">
      <c r="A32" s="865">
        <f ca="1">IF(ROWS($1:22)&gt;COUNT(Dong6),"",OFFSET(TH!C$1,SMALL(Dong6,ROWS($1:22)),))</f>
        <v>41481</v>
      </c>
      <c r="B32" s="866" t="str">
        <f ca="1">IF(ROWS($1:22)&gt;COUNT(Dong6),"",OFFSET(TH!D$1,SMALL(Dong6,ROWS($1:22)),))</f>
        <v>GBC</v>
      </c>
      <c r="C32" s="865">
        <f ca="1">IF(ROWS($1:22)&gt;COUNT(Dong6),"",OFFSET(TH!E$1,SMALL(Dong6,ROWS($1:22)),))</f>
        <v>41481</v>
      </c>
      <c r="D32" s="867" t="str">
        <f ca="1">IF(ROWS($1:22)&gt;COUNT(Dong6),"",OFFSET(TH!F$1,SMALL(Dong6,ROWS($1:22)),))</f>
        <v>Thu tiền hàng</v>
      </c>
      <c r="E32" s="866">
        <f t="shared" ca="1" si="0"/>
        <v>22</v>
      </c>
      <c r="F32" s="868" t="str">
        <f ca="1">IF(ROWS($1:22)&gt;COUNT(Dong6),"",OFFSET(TH!L$1,SMALL(Dong6,ROWS($1:22)),))</f>
        <v>1121</v>
      </c>
      <c r="G32" s="868" t="str">
        <f ca="1">IF(ROWS($1:22)&gt;COUNT(Dong6),"",OFFSET(TH!M$1,SMALL(Dong6,ROWS($1:22)),))</f>
        <v>131</v>
      </c>
      <c r="H32" s="722">
        <f ca="1">IF(ROWS($1:22)&gt;COUNT(Dong6),"",OFFSET(TH!K$1,SMALL(Dong6,ROWS($1:22)),))</f>
        <v>19948170</v>
      </c>
      <c r="I32" s="722">
        <f ca="1">IF(ROWS($1:22)&gt;COUNT(Dong6),"",OFFSET(TH!K$1,SMALL(Dong6,ROWS($1:22)),))</f>
        <v>19948170</v>
      </c>
    </row>
    <row r="33" spans="1:9" s="857" customFormat="1" ht="21" customHeight="1">
      <c r="A33" s="865">
        <f ca="1">IF(ROWS($1:23)&gt;COUNT(Dong6),"",OFFSET(TH!C$1,SMALL(Dong6,ROWS($1:23)),))</f>
        <v>41481</v>
      </c>
      <c r="B33" s="866" t="str">
        <f ca="1">IF(ROWS($1:23)&gt;COUNT(Dong6),"",OFFSET(TH!D$1,SMALL(Dong6,ROWS($1:23)),))</f>
        <v>T01</v>
      </c>
      <c r="C33" s="865">
        <f ca="1">IF(ROWS($1:23)&gt;COUNT(Dong6),"",OFFSET(TH!E$1,SMALL(Dong6,ROWS($1:23)),))</f>
        <v>41481</v>
      </c>
      <c r="D33" s="867" t="str">
        <f ca="1">IF(ROWS($1:23)&gt;COUNT(Dong6),"",OFFSET(TH!F$1,SMALL(Dong6,ROWS($1:23)),))</f>
        <v>Chi sec nhập quỹ tiền mặt</v>
      </c>
      <c r="E33" s="866">
        <f t="shared" ca="1" si="0"/>
        <v>23</v>
      </c>
      <c r="F33" s="868" t="str">
        <f ca="1">IF(ROWS($1:23)&gt;COUNT(Dong6),"",OFFSET(TH!L$1,SMALL(Dong6,ROWS($1:23)),))</f>
        <v>1111</v>
      </c>
      <c r="G33" s="868" t="str">
        <f ca="1">IF(ROWS($1:23)&gt;COUNT(Dong6),"",OFFSET(TH!M$1,SMALL(Dong6,ROWS($1:23)),))</f>
        <v>1121</v>
      </c>
      <c r="H33" s="722">
        <f ca="1">IF(ROWS($1:23)&gt;COUNT(Dong6),"",OFFSET(TH!K$1,SMALL(Dong6,ROWS($1:23)),))</f>
        <v>31000000</v>
      </c>
      <c r="I33" s="722">
        <f ca="1">IF(ROWS($1:23)&gt;COUNT(Dong6),"",OFFSET(TH!K$1,SMALL(Dong6,ROWS($1:23)),))</f>
        <v>31000000</v>
      </c>
    </row>
    <row r="34" spans="1:9" s="857" customFormat="1" ht="21" customHeight="1">
      <c r="A34" s="865">
        <f ca="1">IF(ROWS($1:24)&gt;COUNT(Dong6),"",OFFSET(TH!C$1,SMALL(Dong6,ROWS($1:24)),))</f>
        <v>41481</v>
      </c>
      <c r="B34" s="866" t="str">
        <f ca="1">IF(ROWS($1:24)&gt;COUNT(Dong6),"",OFFSET(TH!D$1,SMALL(Dong6,ROWS($1:24)),))</f>
        <v>C05</v>
      </c>
      <c r="C34" s="865">
        <f ca="1">IF(ROWS($1:24)&gt;COUNT(Dong6),"",OFFSET(TH!E$1,SMALL(Dong6,ROWS($1:24)),))</f>
        <v>41481</v>
      </c>
      <c r="D34" s="867" t="str">
        <f ca="1">IF(ROWS($1:24)&gt;COUNT(Dong6),"",OFFSET(TH!F$1,SMALL(Dong6,ROWS($1:24)),))</f>
        <v>Phạt vi phạm hành chánh</v>
      </c>
      <c r="E34" s="866">
        <f t="shared" ca="1" si="0"/>
        <v>24</v>
      </c>
      <c r="F34" s="868" t="str">
        <f ca="1">IF(ROWS($1:24)&gt;COUNT(Dong6),"",OFFSET(TH!L$1,SMALL(Dong6,ROWS($1:24)),))</f>
        <v>811</v>
      </c>
      <c r="G34" s="868" t="str">
        <f ca="1">IF(ROWS($1:24)&gt;COUNT(Dong6),"",OFFSET(TH!M$1,SMALL(Dong6,ROWS($1:24)),))</f>
        <v>1111</v>
      </c>
      <c r="H34" s="722">
        <f ca="1">IF(ROWS($1:24)&gt;COUNT(Dong6),"",OFFSET(TH!K$1,SMALL(Dong6,ROWS($1:24)),))</f>
        <v>670000</v>
      </c>
      <c r="I34" s="722">
        <f ca="1">IF(ROWS($1:24)&gt;COUNT(Dong6),"",OFFSET(TH!K$1,SMALL(Dong6,ROWS($1:24)),))</f>
        <v>670000</v>
      </c>
    </row>
    <row r="35" spans="1:9" s="857" customFormat="1" ht="21" customHeight="1">
      <c r="A35" s="865">
        <f ca="1">IF(ROWS($1:25)&gt;COUNT(Dong6),"",OFFSET(TH!C$1,SMALL(Dong6,ROWS($1:25)),))</f>
        <v>41485</v>
      </c>
      <c r="B35" s="866" t="str">
        <f ca="1">IF(ROWS($1:25)&gt;COUNT(Dong6),"",OFFSET(TH!D$1,SMALL(Dong6,ROWS($1:25)),))</f>
        <v>GBN</v>
      </c>
      <c r="C35" s="865">
        <f ca="1">IF(ROWS($1:25)&gt;COUNT(Dong6),"",OFFSET(TH!E$1,SMALL(Dong6,ROWS($1:25)),))</f>
        <v>41485</v>
      </c>
      <c r="D35" s="867" t="str">
        <f ca="1">IF(ROWS($1:25)&gt;COUNT(Dong6),"",OFFSET(TH!F$1,SMALL(Dong6,ROWS($1:25)),))</f>
        <v>Thanh toán tiền hàng</v>
      </c>
      <c r="E35" s="866">
        <f t="shared" ca="1" si="0"/>
        <v>25</v>
      </c>
      <c r="F35" s="868" t="str">
        <f ca="1">IF(ROWS($1:25)&gt;COUNT(Dong6),"",OFFSET(TH!L$1,SMALL(Dong6,ROWS($1:25)),))</f>
        <v>331</v>
      </c>
      <c r="G35" s="868" t="str">
        <f ca="1">IF(ROWS($1:25)&gt;COUNT(Dong6),"",OFFSET(TH!M$1,SMALL(Dong6,ROWS($1:25)),))</f>
        <v>1121</v>
      </c>
      <c r="H35" s="722">
        <f ca="1">IF(ROWS($1:25)&gt;COUNT(Dong6),"",OFFSET(TH!K$1,SMALL(Dong6,ROWS($1:25)),))</f>
        <v>20000000</v>
      </c>
      <c r="I35" s="722">
        <f ca="1">IF(ROWS($1:25)&gt;COUNT(Dong6),"",OFFSET(TH!K$1,SMALL(Dong6,ROWS($1:25)),))</f>
        <v>20000000</v>
      </c>
    </row>
    <row r="36" spans="1:9" s="857" customFormat="1" ht="21" customHeight="1">
      <c r="A36" s="865">
        <f ca="1">IF(ROWS($1:26)&gt;COUNT(Dong6),"",OFFSET(TH!C$1,SMALL(Dong6,ROWS($1:26)),))</f>
        <v>41492</v>
      </c>
      <c r="B36" s="866" t="str">
        <f ca="1">IF(ROWS($1:26)&gt;COUNT(Dong6),"",OFFSET(TH!D$1,SMALL(Dong6,ROWS($1:26)),))</f>
        <v>GBC</v>
      </c>
      <c r="C36" s="865">
        <f ca="1">IF(ROWS($1:26)&gt;COUNT(Dong6),"",OFFSET(TH!E$1,SMALL(Dong6,ROWS($1:26)),))</f>
        <v>41492</v>
      </c>
      <c r="D36" s="867" t="str">
        <f ca="1">IF(ROWS($1:26)&gt;COUNT(Dong6),"",OFFSET(TH!F$1,SMALL(Dong6,ROWS($1:26)),))</f>
        <v>Thu tiền hàng</v>
      </c>
      <c r="E36" s="866">
        <f t="shared" ca="1" si="0"/>
        <v>26</v>
      </c>
      <c r="F36" s="868" t="str">
        <f ca="1">IF(ROWS($1:26)&gt;COUNT(Dong6),"",OFFSET(TH!L$1,SMALL(Dong6,ROWS($1:26)),))</f>
        <v>1121</v>
      </c>
      <c r="G36" s="868" t="str">
        <f ca="1">IF(ROWS($1:26)&gt;COUNT(Dong6),"",OFFSET(TH!M$1,SMALL(Dong6,ROWS($1:26)),))</f>
        <v>131</v>
      </c>
      <c r="H36" s="722">
        <f ca="1">IF(ROWS($1:26)&gt;COUNT(Dong6),"",OFFSET(TH!K$1,SMALL(Dong6,ROWS($1:26)),))</f>
        <v>31257600</v>
      </c>
      <c r="I36" s="722">
        <f ca="1">IF(ROWS($1:26)&gt;COUNT(Dong6),"",OFFSET(TH!K$1,SMALL(Dong6,ROWS($1:26)),))</f>
        <v>31257600</v>
      </c>
    </row>
    <row r="37" spans="1:9" s="857" customFormat="1" ht="21" customHeight="1">
      <c r="A37" s="865">
        <f ca="1">IF(ROWS($1:27)&gt;COUNT(Dong6),"",OFFSET(TH!C$1,SMALL(Dong6,ROWS($1:27)),))</f>
        <v>41493</v>
      </c>
      <c r="B37" s="866" t="str">
        <f ca="1">IF(ROWS($1:27)&gt;COUNT(Dong6),"",OFFSET(TH!D$1,SMALL(Dong6,ROWS($1:27)),))</f>
        <v>GBC</v>
      </c>
      <c r="C37" s="865">
        <f ca="1">IF(ROWS($1:27)&gt;COUNT(Dong6),"",OFFSET(TH!E$1,SMALL(Dong6,ROWS($1:27)),))</f>
        <v>41493</v>
      </c>
      <c r="D37" s="867" t="str">
        <f ca="1">IF(ROWS($1:27)&gt;COUNT(Dong6),"",OFFSET(TH!F$1,SMALL(Dong6,ROWS($1:27)),))</f>
        <v>Thu tiền hàng</v>
      </c>
      <c r="E37" s="866">
        <f t="shared" ca="1" si="0"/>
        <v>27</v>
      </c>
      <c r="F37" s="868" t="str">
        <f ca="1">IF(ROWS($1:27)&gt;COUNT(Dong6),"",OFFSET(TH!L$1,SMALL(Dong6,ROWS($1:27)),))</f>
        <v>1121</v>
      </c>
      <c r="G37" s="868" t="str">
        <f ca="1">IF(ROWS($1:27)&gt;COUNT(Dong6),"",OFFSET(TH!M$1,SMALL(Dong6,ROWS($1:27)),))</f>
        <v>131</v>
      </c>
      <c r="H37" s="722">
        <f ca="1">IF(ROWS($1:27)&gt;COUNT(Dong6),"",OFFSET(TH!K$1,SMALL(Dong6,ROWS($1:27)),))</f>
        <v>7668870</v>
      </c>
      <c r="I37" s="722">
        <f ca="1">IF(ROWS($1:27)&gt;COUNT(Dong6),"",OFFSET(TH!K$1,SMALL(Dong6,ROWS($1:27)),))</f>
        <v>7668870</v>
      </c>
    </row>
    <row r="38" spans="1:9" s="857" customFormat="1" ht="21" customHeight="1">
      <c r="A38" s="865">
        <f ca="1">IF(ROWS($1:28)&gt;COUNT(Dong6),"",OFFSET(TH!C$1,SMALL(Dong6,ROWS($1:28)),))</f>
        <v>41493</v>
      </c>
      <c r="B38" s="866" t="str">
        <f ca="1">IF(ROWS($1:28)&gt;COUNT(Dong6),"",OFFSET(TH!D$1,SMALL(Dong6,ROWS($1:28)),))</f>
        <v>T02</v>
      </c>
      <c r="C38" s="865">
        <f ca="1">IF(ROWS($1:28)&gt;COUNT(Dong6),"",OFFSET(TH!E$1,SMALL(Dong6,ROWS($1:28)),))</f>
        <v>41493</v>
      </c>
      <c r="D38" s="867" t="str">
        <f ca="1">IF(ROWS($1:28)&gt;COUNT(Dong6),"",OFFSET(TH!F$1,SMALL(Dong6,ROWS($1:28)),))</f>
        <v>Chi sec nhập quỹ tiền mặt</v>
      </c>
      <c r="E38" s="866">
        <f t="shared" ca="1" si="0"/>
        <v>28</v>
      </c>
      <c r="F38" s="868" t="str">
        <f ca="1">IF(ROWS($1:28)&gt;COUNT(Dong6),"",OFFSET(TH!L$1,SMALL(Dong6,ROWS($1:28)),))</f>
        <v>1111</v>
      </c>
      <c r="G38" s="868" t="str">
        <f ca="1">IF(ROWS($1:28)&gt;COUNT(Dong6),"",OFFSET(TH!M$1,SMALL(Dong6,ROWS($1:28)),))</f>
        <v>1121</v>
      </c>
      <c r="H38" s="722">
        <f ca="1">IF(ROWS($1:28)&gt;COUNT(Dong6),"",OFFSET(TH!K$1,SMALL(Dong6,ROWS($1:28)),))</f>
        <v>39000000</v>
      </c>
      <c r="I38" s="722">
        <f ca="1">IF(ROWS($1:28)&gt;COUNT(Dong6),"",OFFSET(TH!K$1,SMALL(Dong6,ROWS($1:28)),))</f>
        <v>39000000</v>
      </c>
    </row>
    <row r="39" spans="1:9" s="857" customFormat="1" ht="21" customHeight="1">
      <c r="A39" s="865">
        <f ca="1">IF(ROWS($1:29)&gt;COUNT(Dong6),"",OFFSET(TH!C$1,SMALL(Dong6,ROWS($1:29)),))</f>
        <v>41493</v>
      </c>
      <c r="B39" s="866" t="str">
        <f ca="1">IF(ROWS($1:29)&gt;COUNT(Dong6),"",OFFSET(TH!D$1,SMALL(Dong6,ROWS($1:29)),))</f>
        <v>C06</v>
      </c>
      <c r="C39" s="865">
        <f ca="1">IF(ROWS($1:29)&gt;COUNT(Dong6),"",OFFSET(TH!E$1,SMALL(Dong6,ROWS($1:29)),))</f>
        <v>41493</v>
      </c>
      <c r="D39" s="867" t="str">
        <f ca="1">IF(ROWS($1:29)&gt;COUNT(Dong6),"",OFFSET(TH!F$1,SMALL(Dong6,ROWS($1:29)),))</f>
        <v>Cước dịch vụ viễn thông</v>
      </c>
      <c r="E39" s="866">
        <f t="shared" ca="1" si="0"/>
        <v>29</v>
      </c>
      <c r="F39" s="868" t="str">
        <f ca="1">IF(ROWS($1:29)&gt;COUNT(Dong6),"",OFFSET(TH!L$1,SMALL(Dong6,ROWS($1:29)),))</f>
        <v>642</v>
      </c>
      <c r="G39" s="868" t="str">
        <f ca="1">IF(ROWS($1:29)&gt;COUNT(Dong6),"",OFFSET(TH!M$1,SMALL(Dong6,ROWS($1:29)),))</f>
        <v>1111</v>
      </c>
      <c r="H39" s="722">
        <f ca="1">IF(ROWS($1:29)&gt;COUNT(Dong6),"",OFFSET(TH!K$1,SMALL(Dong6,ROWS($1:29)),))</f>
        <v>299871</v>
      </c>
      <c r="I39" s="722">
        <f ca="1">IF(ROWS($1:29)&gt;COUNT(Dong6),"",OFFSET(TH!K$1,SMALL(Dong6,ROWS($1:29)),))</f>
        <v>299871</v>
      </c>
    </row>
    <row r="40" spans="1:9" s="857" customFormat="1" ht="21" customHeight="1">
      <c r="A40" s="865">
        <f ca="1">IF(ROWS($1:30)&gt;COUNT(Dong6),"",OFFSET(TH!C$1,SMALL(Dong6,ROWS($1:30)),))</f>
        <v>41493</v>
      </c>
      <c r="B40" s="866" t="str">
        <f ca="1">IF(ROWS($1:30)&gt;COUNT(Dong6),"",OFFSET(TH!D$1,SMALL(Dong6,ROWS($1:30)),))</f>
        <v>C06</v>
      </c>
      <c r="C40" s="865">
        <f ca="1">IF(ROWS($1:30)&gt;COUNT(Dong6),"",OFFSET(TH!E$1,SMALL(Dong6,ROWS($1:30)),))</f>
        <v>41493</v>
      </c>
      <c r="D40" s="867" t="str">
        <f ca="1">IF(ROWS($1:30)&gt;COUNT(Dong6),"",OFFSET(TH!F$1,SMALL(Dong6,ROWS($1:30)),))</f>
        <v>VAT Cước dịch vụ viễn thông</v>
      </c>
      <c r="E40" s="866">
        <f t="shared" ca="1" si="0"/>
        <v>30</v>
      </c>
      <c r="F40" s="868" t="str">
        <f ca="1">IF(ROWS($1:30)&gt;COUNT(Dong6),"",OFFSET(TH!L$1,SMALL(Dong6,ROWS($1:30)),))</f>
        <v>1331</v>
      </c>
      <c r="G40" s="868" t="str">
        <f ca="1">IF(ROWS($1:30)&gt;COUNT(Dong6),"",OFFSET(TH!M$1,SMALL(Dong6,ROWS($1:30)),))</f>
        <v>1111</v>
      </c>
      <c r="H40" s="722">
        <f ca="1">IF(ROWS($1:30)&gt;COUNT(Dong6),"",OFFSET(TH!K$1,SMALL(Dong6,ROWS($1:30)),))</f>
        <v>29987</v>
      </c>
      <c r="I40" s="722">
        <f ca="1">IF(ROWS($1:30)&gt;COUNT(Dong6),"",OFFSET(TH!K$1,SMALL(Dong6,ROWS($1:30)),))</f>
        <v>29987</v>
      </c>
    </row>
    <row r="41" spans="1:9" s="857" customFormat="1" ht="21" customHeight="1">
      <c r="A41" s="865">
        <f ca="1">IF(ROWS($1:31)&gt;COUNT(Dong6),"",OFFSET(TH!C$1,SMALL(Dong6,ROWS($1:31)),))</f>
        <v>41496</v>
      </c>
      <c r="B41" s="866" t="str">
        <f ca="1">IF(ROWS($1:31)&gt;COUNT(Dong6),"",OFFSET(TH!D$1,SMALL(Dong6,ROWS($1:31)),))</f>
        <v>C07</v>
      </c>
      <c r="C41" s="865">
        <f ca="1">IF(ROWS($1:31)&gt;COUNT(Dong6),"",OFFSET(TH!E$1,SMALL(Dong6,ROWS($1:31)),))</f>
        <v>41496</v>
      </c>
      <c r="D41" s="867" t="str">
        <f ca="1">IF(ROWS($1:31)&gt;COUNT(Dong6),"",OFFSET(TH!F$1,SMALL(Dong6,ROWS($1:31)),))</f>
        <v>Mực in</v>
      </c>
      <c r="E41" s="866">
        <f t="shared" ref="E41:E50" ca="1" si="1">IF(D41&lt;&gt;"",ROW()-10,"")</f>
        <v>31</v>
      </c>
      <c r="F41" s="868" t="str">
        <f ca="1">IF(ROWS($1:31)&gt;COUNT(Dong6),"",OFFSET(TH!L$1,SMALL(Dong6,ROWS($1:31)),))</f>
        <v>154</v>
      </c>
      <c r="G41" s="868" t="str">
        <f ca="1">IF(ROWS($1:31)&gt;COUNT(Dong6),"",OFFSET(TH!M$1,SMALL(Dong6,ROWS($1:31)),))</f>
        <v>1111</v>
      </c>
      <c r="H41" s="722">
        <f ca="1">IF(ROWS($1:31)&gt;COUNT(Dong6),"",OFFSET(TH!K$1,SMALL(Dong6,ROWS($1:31)),))</f>
        <v>3900000</v>
      </c>
      <c r="I41" s="722">
        <f ca="1">IF(ROWS($1:31)&gt;COUNT(Dong6),"",OFFSET(TH!K$1,SMALL(Dong6,ROWS($1:31)),))</f>
        <v>3900000</v>
      </c>
    </row>
    <row r="42" spans="1:9" s="857" customFormat="1" ht="21" customHeight="1">
      <c r="A42" s="865">
        <f ca="1">IF(ROWS($1:32)&gt;COUNT(Dong6),"",OFFSET(TH!C$1,SMALL(Dong6,ROWS($1:32)),))</f>
        <v>41496</v>
      </c>
      <c r="B42" s="866" t="str">
        <f ca="1">IF(ROWS($1:32)&gt;COUNT(Dong6),"",OFFSET(TH!D$1,SMALL(Dong6,ROWS($1:32)),))</f>
        <v>C07</v>
      </c>
      <c r="C42" s="865">
        <f ca="1">IF(ROWS($1:32)&gt;COUNT(Dong6),"",OFFSET(TH!E$1,SMALL(Dong6,ROWS($1:32)),))</f>
        <v>41496</v>
      </c>
      <c r="D42" s="867" t="str">
        <f ca="1">IF(ROWS($1:32)&gt;COUNT(Dong6),"",OFFSET(TH!F$1,SMALL(Dong6,ROWS($1:32)),))</f>
        <v>VAT Mực in</v>
      </c>
      <c r="E42" s="866">
        <f t="shared" ca="1" si="1"/>
        <v>32</v>
      </c>
      <c r="F42" s="868" t="str">
        <f ca="1">IF(ROWS($1:32)&gt;COUNT(Dong6),"",OFFSET(TH!L$1,SMALL(Dong6,ROWS($1:32)),))</f>
        <v>1331</v>
      </c>
      <c r="G42" s="868" t="str">
        <f ca="1">IF(ROWS($1:32)&gt;COUNT(Dong6),"",OFFSET(TH!M$1,SMALL(Dong6,ROWS($1:32)),))</f>
        <v>1111</v>
      </c>
      <c r="H42" s="722">
        <f ca="1">IF(ROWS($1:32)&gt;COUNT(Dong6),"",OFFSET(TH!K$1,SMALL(Dong6,ROWS($1:32)),))</f>
        <v>390000</v>
      </c>
      <c r="I42" s="722">
        <f ca="1">IF(ROWS($1:32)&gt;COUNT(Dong6),"",OFFSET(TH!K$1,SMALL(Dong6,ROWS($1:32)),))</f>
        <v>390000</v>
      </c>
    </row>
    <row r="43" spans="1:9" s="857" customFormat="1" ht="21" customHeight="1">
      <c r="A43" s="865">
        <f ca="1">IF(ROWS($1:33)&gt;COUNT(Dong6),"",OFFSET(TH!C$1,SMALL(Dong6,ROWS($1:33)),))</f>
        <v>41498</v>
      </c>
      <c r="B43" s="866" t="str">
        <f ca="1">IF(ROWS($1:33)&gt;COUNT(Dong6),"",OFFSET(TH!D$1,SMALL(Dong6,ROWS($1:33)),))</f>
        <v>GBC</v>
      </c>
      <c r="C43" s="865">
        <f ca="1">IF(ROWS($1:33)&gt;COUNT(Dong6),"",OFFSET(TH!E$1,SMALL(Dong6,ROWS($1:33)),))</f>
        <v>41498</v>
      </c>
      <c r="D43" s="867" t="str">
        <f ca="1">IF(ROWS($1:33)&gt;COUNT(Dong6),"",OFFSET(TH!F$1,SMALL(Dong6,ROWS($1:33)),))</f>
        <v>Thu tiền hàng</v>
      </c>
      <c r="E43" s="866">
        <f t="shared" ca="1" si="1"/>
        <v>33</v>
      </c>
      <c r="F43" s="868" t="str">
        <f ca="1">IF(ROWS($1:33)&gt;COUNT(Dong6),"",OFFSET(TH!L$1,SMALL(Dong6,ROWS($1:33)),))</f>
        <v>1121</v>
      </c>
      <c r="G43" s="868" t="str">
        <f ca="1">IF(ROWS($1:33)&gt;COUNT(Dong6),"",OFFSET(TH!M$1,SMALL(Dong6,ROWS($1:33)),))</f>
        <v>131</v>
      </c>
      <c r="H43" s="722">
        <f ca="1">IF(ROWS($1:33)&gt;COUNT(Dong6),"",OFFSET(TH!K$1,SMALL(Dong6,ROWS($1:33)),))</f>
        <v>13769635</v>
      </c>
      <c r="I43" s="722">
        <f ca="1">IF(ROWS($1:33)&gt;COUNT(Dong6),"",OFFSET(TH!K$1,SMALL(Dong6,ROWS($1:33)),))</f>
        <v>13769635</v>
      </c>
    </row>
    <row r="44" spans="1:9" s="857" customFormat="1" ht="21" customHeight="1">
      <c r="A44" s="865">
        <f ca="1">IF(ROWS($1:34)&gt;COUNT(Dong6),"",OFFSET(TH!C$1,SMALL(Dong6,ROWS($1:34)),))</f>
        <v>41500</v>
      </c>
      <c r="B44" s="866" t="str">
        <f ca="1">IF(ROWS($1:34)&gt;COUNT(Dong6),"",OFFSET(TH!D$1,SMALL(Dong6,ROWS($1:34)),))</f>
        <v>GBC</v>
      </c>
      <c r="C44" s="865">
        <f ca="1">IF(ROWS($1:34)&gt;COUNT(Dong6),"",OFFSET(TH!E$1,SMALL(Dong6,ROWS($1:34)),))</f>
        <v>41500</v>
      </c>
      <c r="D44" s="867" t="str">
        <f ca="1">IF(ROWS($1:34)&gt;COUNT(Dong6),"",OFFSET(TH!F$1,SMALL(Dong6,ROWS($1:34)),))</f>
        <v>Thu tiền hàng</v>
      </c>
      <c r="E44" s="866">
        <f t="shared" ca="1" si="1"/>
        <v>34</v>
      </c>
      <c r="F44" s="868" t="str">
        <f ca="1">IF(ROWS($1:34)&gt;COUNT(Dong6),"",OFFSET(TH!L$1,SMALL(Dong6,ROWS($1:34)),))</f>
        <v>1121</v>
      </c>
      <c r="G44" s="868" t="str">
        <f ca="1">IF(ROWS($1:34)&gt;COUNT(Dong6),"",OFFSET(TH!M$1,SMALL(Dong6,ROWS($1:34)),))</f>
        <v>131</v>
      </c>
      <c r="H44" s="722">
        <f ca="1">IF(ROWS($1:34)&gt;COUNT(Dong6),"",OFFSET(TH!K$1,SMALL(Dong6,ROWS($1:34)),))</f>
        <v>13730475</v>
      </c>
      <c r="I44" s="722">
        <f ca="1">IF(ROWS($1:34)&gt;COUNT(Dong6),"",OFFSET(TH!K$1,SMALL(Dong6,ROWS($1:34)),))</f>
        <v>13730475</v>
      </c>
    </row>
    <row r="45" spans="1:9" s="857" customFormat="1" ht="21" customHeight="1">
      <c r="A45" s="865">
        <f ca="1">IF(ROWS($1:35)&gt;COUNT(Dong6),"",OFFSET(TH!C$1,SMALL(Dong6,ROWS($1:35)),))</f>
        <v>41500</v>
      </c>
      <c r="B45" s="866" t="str">
        <f ca="1">IF(ROWS($1:35)&gt;COUNT(Dong6),"",OFFSET(TH!D$1,SMALL(Dong6,ROWS($1:35)),))</f>
        <v>GBC</v>
      </c>
      <c r="C45" s="865">
        <f ca="1">IF(ROWS($1:35)&gt;COUNT(Dong6),"",OFFSET(TH!E$1,SMALL(Dong6,ROWS($1:35)),))</f>
        <v>41500</v>
      </c>
      <c r="D45" s="867" t="str">
        <f ca="1">IF(ROWS($1:35)&gt;COUNT(Dong6),"",OFFSET(TH!F$1,SMALL(Dong6,ROWS($1:35)),))</f>
        <v>Thu tiền hàng</v>
      </c>
      <c r="E45" s="866">
        <f t="shared" ca="1" si="1"/>
        <v>35</v>
      </c>
      <c r="F45" s="868" t="str">
        <f ca="1">IF(ROWS($1:35)&gt;COUNT(Dong6),"",OFFSET(TH!L$1,SMALL(Dong6,ROWS($1:35)),))</f>
        <v>1121</v>
      </c>
      <c r="G45" s="868" t="str">
        <f ca="1">IF(ROWS($1:35)&gt;COUNT(Dong6),"",OFFSET(TH!M$1,SMALL(Dong6,ROWS($1:35)),))</f>
        <v>131</v>
      </c>
      <c r="H45" s="722">
        <f ca="1">IF(ROWS($1:35)&gt;COUNT(Dong6),"",OFFSET(TH!K$1,SMALL(Dong6,ROWS($1:35)),))</f>
        <v>9614000</v>
      </c>
      <c r="I45" s="722">
        <f ca="1">IF(ROWS($1:35)&gt;COUNT(Dong6),"",OFFSET(TH!K$1,SMALL(Dong6,ROWS($1:35)),))</f>
        <v>9614000</v>
      </c>
    </row>
    <row r="46" spans="1:9" s="857" customFormat="1" ht="21" customHeight="1">
      <c r="A46" s="865">
        <f ca="1">IF(ROWS($1:36)&gt;COUNT(Dong6),"",OFFSET(TH!C$1,SMALL(Dong6,ROWS($1:36)),))</f>
        <v>41501</v>
      </c>
      <c r="B46" s="866" t="str">
        <f ca="1">IF(ROWS($1:36)&gt;COUNT(Dong6),"",OFFSET(TH!D$1,SMALL(Dong6,ROWS($1:36)),))</f>
        <v>GBC</v>
      </c>
      <c r="C46" s="865">
        <f ca="1">IF(ROWS($1:36)&gt;COUNT(Dong6),"",OFFSET(TH!E$1,SMALL(Dong6,ROWS($1:36)),))</f>
        <v>41501</v>
      </c>
      <c r="D46" s="867" t="str">
        <f ca="1">IF(ROWS($1:36)&gt;COUNT(Dong6),"",OFFSET(TH!F$1,SMALL(Dong6,ROWS($1:36)),))</f>
        <v>Thu tiền hàng</v>
      </c>
      <c r="E46" s="866">
        <f t="shared" ca="1" si="1"/>
        <v>36</v>
      </c>
      <c r="F46" s="868" t="str">
        <f ca="1">IF(ROWS($1:36)&gt;COUNT(Dong6),"",OFFSET(TH!L$1,SMALL(Dong6,ROWS($1:36)),))</f>
        <v>1121</v>
      </c>
      <c r="G46" s="868" t="str">
        <f ca="1">IF(ROWS($1:36)&gt;COUNT(Dong6),"",OFFSET(TH!M$1,SMALL(Dong6,ROWS($1:36)),))</f>
        <v>131</v>
      </c>
      <c r="H46" s="722">
        <f ca="1">IF(ROWS($1:36)&gt;COUNT(Dong6),"",OFFSET(TH!K$1,SMALL(Dong6,ROWS($1:36)),))</f>
        <v>14048210</v>
      </c>
      <c r="I46" s="722">
        <f ca="1">IF(ROWS($1:36)&gt;COUNT(Dong6),"",OFFSET(TH!K$1,SMALL(Dong6,ROWS($1:36)),))</f>
        <v>14048210</v>
      </c>
    </row>
    <row r="47" spans="1:9" s="857" customFormat="1" ht="21" customHeight="1">
      <c r="A47" s="865">
        <f ca="1">IF(ROWS($1:37)&gt;COUNT(Dong6),"",OFFSET(TH!C$1,SMALL(Dong6,ROWS($1:37)),))</f>
        <v>41502</v>
      </c>
      <c r="B47" s="866" t="str">
        <f ca="1">IF(ROWS($1:37)&gt;COUNT(Dong6),"",OFFSET(TH!D$1,SMALL(Dong6,ROWS($1:37)),))</f>
        <v>T03</v>
      </c>
      <c r="C47" s="865">
        <f ca="1">IF(ROWS($1:37)&gt;COUNT(Dong6),"",OFFSET(TH!E$1,SMALL(Dong6,ROWS($1:37)),))</f>
        <v>41502</v>
      </c>
      <c r="D47" s="867" t="str">
        <f ca="1">IF(ROWS($1:37)&gt;COUNT(Dong6),"",OFFSET(TH!F$1,SMALL(Dong6,ROWS($1:37)),))</f>
        <v>Chi sec nhập quỹ tiền mặt</v>
      </c>
      <c r="E47" s="866">
        <f t="shared" ca="1" si="1"/>
        <v>37</v>
      </c>
      <c r="F47" s="868" t="str">
        <f ca="1">IF(ROWS($1:37)&gt;COUNT(Dong6),"",OFFSET(TH!L$1,SMALL(Dong6,ROWS($1:37)),))</f>
        <v>1111</v>
      </c>
      <c r="G47" s="868" t="str">
        <f ca="1">IF(ROWS($1:37)&gt;COUNT(Dong6),"",OFFSET(TH!M$1,SMALL(Dong6,ROWS($1:37)),))</f>
        <v>1121</v>
      </c>
      <c r="H47" s="722">
        <f ca="1">IF(ROWS($1:37)&gt;COUNT(Dong6),"",OFFSET(TH!K$1,SMALL(Dong6,ROWS($1:37)),))</f>
        <v>35600000</v>
      </c>
      <c r="I47" s="722">
        <f ca="1">IF(ROWS($1:37)&gt;COUNT(Dong6),"",OFFSET(TH!K$1,SMALL(Dong6,ROWS($1:37)),))</f>
        <v>35600000</v>
      </c>
    </row>
    <row r="48" spans="1:9" s="857" customFormat="1" ht="21" customHeight="1">
      <c r="A48" s="865">
        <f ca="1">IF(ROWS($1:38)&gt;COUNT(Dong6),"",OFFSET(TH!C$1,SMALL(Dong6,ROWS($1:38)),))</f>
        <v>41502</v>
      </c>
      <c r="B48" s="866" t="str">
        <f ca="1">IF(ROWS($1:38)&gt;COUNT(Dong6),"",OFFSET(TH!D$1,SMALL(Dong6,ROWS($1:38)),))</f>
        <v>GBN</v>
      </c>
      <c r="C48" s="865">
        <f ca="1">IF(ROWS($1:38)&gt;COUNT(Dong6),"",OFFSET(TH!E$1,SMALL(Dong6,ROWS($1:38)),))</f>
        <v>41502</v>
      </c>
      <c r="D48" s="867" t="str">
        <f ca="1">IF(ROWS($1:38)&gt;COUNT(Dong6),"",OFFSET(TH!F$1,SMALL(Dong6,ROWS($1:38)),))</f>
        <v>Thanh toán tiền hàng</v>
      </c>
      <c r="E48" s="866">
        <f t="shared" ca="1" si="1"/>
        <v>38</v>
      </c>
      <c r="F48" s="868" t="str">
        <f ca="1">IF(ROWS($1:38)&gt;COUNT(Dong6),"",OFFSET(TH!L$1,SMALL(Dong6,ROWS($1:38)),))</f>
        <v>331</v>
      </c>
      <c r="G48" s="868" t="str">
        <f ca="1">IF(ROWS($1:38)&gt;COUNT(Dong6),"",OFFSET(TH!M$1,SMALL(Dong6,ROWS($1:38)),))</f>
        <v>1121</v>
      </c>
      <c r="H48" s="722">
        <f ca="1">IF(ROWS($1:38)&gt;COUNT(Dong6),"",OFFSET(TH!K$1,SMALL(Dong6,ROWS($1:38)),))</f>
        <v>15500000</v>
      </c>
      <c r="I48" s="722">
        <f ca="1">IF(ROWS($1:38)&gt;COUNT(Dong6),"",OFFSET(TH!K$1,SMALL(Dong6,ROWS($1:38)),))</f>
        <v>15500000</v>
      </c>
    </row>
    <row r="49" spans="1:10" s="857" customFormat="1" ht="21" customHeight="1">
      <c r="A49" s="865">
        <f ca="1">IF(ROWS($1:39)&gt;COUNT(Dong6),"",OFFSET(TH!C$1,SMALL(Dong6,ROWS($1:39)),))</f>
        <v>41502</v>
      </c>
      <c r="B49" s="866" t="str">
        <f ca="1">IF(ROWS($1:39)&gt;COUNT(Dong6),"",OFFSET(TH!D$1,SMALL(Dong6,ROWS($1:39)),))</f>
        <v>GBN</v>
      </c>
      <c r="C49" s="865">
        <f ca="1">IF(ROWS($1:39)&gt;COUNT(Dong6),"",OFFSET(TH!E$1,SMALL(Dong6,ROWS($1:39)),))</f>
        <v>41502</v>
      </c>
      <c r="D49" s="867" t="str">
        <f ca="1">IF(ROWS($1:39)&gt;COUNT(Dong6),"",OFFSET(TH!F$1,SMALL(Dong6,ROWS($1:39)),))</f>
        <v>Phí chuyển tiền</v>
      </c>
      <c r="E49" s="866">
        <f t="shared" ca="1" si="1"/>
        <v>39</v>
      </c>
      <c r="F49" s="868" t="str">
        <f ca="1">IF(ROWS($1:39)&gt;COUNT(Dong6),"",OFFSET(TH!L$1,SMALL(Dong6,ROWS($1:39)),))</f>
        <v>642</v>
      </c>
      <c r="G49" s="868" t="str">
        <f ca="1">IF(ROWS($1:39)&gt;COUNT(Dong6),"",OFFSET(TH!M$1,SMALL(Dong6,ROWS($1:39)),))</f>
        <v>1121</v>
      </c>
      <c r="H49" s="722">
        <f ca="1">IF(ROWS($1:39)&gt;COUNT(Dong6),"",OFFSET(TH!K$1,SMALL(Dong6,ROWS($1:39)),))</f>
        <v>15000</v>
      </c>
      <c r="I49" s="722">
        <f ca="1">IF(ROWS($1:39)&gt;COUNT(Dong6),"",OFFSET(TH!K$1,SMALL(Dong6,ROWS($1:39)),))</f>
        <v>15000</v>
      </c>
    </row>
    <row r="50" spans="1:10" s="857" customFormat="1" ht="21" customHeight="1">
      <c r="A50" s="865">
        <f ca="1">IF(ROWS($1:40)&gt;COUNT(Dong6),"",OFFSET(TH!C$1,SMALL(Dong6,ROWS($1:40)),))</f>
        <v>41505</v>
      </c>
      <c r="B50" s="866" t="str">
        <f ca="1">IF(ROWS($1:40)&gt;COUNT(Dong6),"",OFFSET(TH!D$1,SMALL(Dong6,ROWS($1:40)),))</f>
        <v>GBC</v>
      </c>
      <c r="C50" s="865">
        <f ca="1">IF(ROWS($1:40)&gt;COUNT(Dong6),"",OFFSET(TH!E$1,SMALL(Dong6,ROWS($1:40)),))</f>
        <v>41505</v>
      </c>
      <c r="D50" s="867" t="str">
        <f ca="1">IF(ROWS($1:40)&gt;COUNT(Dong6),"",OFFSET(TH!F$1,SMALL(Dong6,ROWS($1:40)),))</f>
        <v>Thu tiền hàng</v>
      </c>
      <c r="E50" s="866">
        <f t="shared" ca="1" si="1"/>
        <v>40</v>
      </c>
      <c r="F50" s="868" t="str">
        <f ca="1">IF(ROWS($1:40)&gt;COUNT(Dong6),"",OFFSET(TH!L$1,SMALL(Dong6,ROWS($1:40)),))</f>
        <v>1121</v>
      </c>
      <c r="G50" s="868" t="str">
        <f ca="1">IF(ROWS($1:40)&gt;COUNT(Dong6),"",OFFSET(TH!M$1,SMALL(Dong6,ROWS($1:40)),))</f>
        <v>131</v>
      </c>
      <c r="H50" s="722">
        <f ca="1">IF(ROWS($1:40)&gt;COUNT(Dong6),"",OFFSET(TH!K$1,SMALL(Dong6,ROWS($1:40)),))</f>
        <v>21154375</v>
      </c>
      <c r="I50" s="722">
        <f ca="1">IF(ROWS($1:40)&gt;COUNT(Dong6),"",OFFSET(TH!K$1,SMALL(Dong6,ROWS($1:40)),))</f>
        <v>21154375</v>
      </c>
    </row>
    <row r="51" spans="1:10" s="857" customFormat="1" ht="21" customHeight="1">
      <c r="A51" s="865"/>
      <c r="B51" s="866"/>
      <c r="C51" s="865"/>
      <c r="D51" s="867"/>
      <c r="E51" s="866"/>
      <c r="F51" s="868"/>
      <c r="G51" s="868"/>
      <c r="H51" s="722"/>
      <c r="I51" s="722"/>
    </row>
    <row r="52" spans="1:10" s="857" customFormat="1" ht="21" customHeight="1">
      <c r="A52" s="869"/>
      <c r="B52" s="869"/>
      <c r="C52" s="869"/>
      <c r="D52" s="870" t="s">
        <v>362</v>
      </c>
      <c r="E52" s="871" t="s">
        <v>19</v>
      </c>
      <c r="F52" s="871"/>
      <c r="G52" s="871" t="s">
        <v>19</v>
      </c>
      <c r="H52" s="872">
        <f ca="1">SUBTOTAL(9,$H$10:$H$51)</f>
        <v>2782866671</v>
      </c>
      <c r="I52" s="872">
        <f ca="1">SUBTOTAL(9,I10:I51)</f>
        <v>2782866671</v>
      </c>
    </row>
    <row r="53" spans="1:10" s="857" customFormat="1" ht="15">
      <c r="A53" s="873" t="s">
        <v>493</v>
      </c>
    </row>
    <row r="54" spans="1:10" s="857" customFormat="1" ht="15">
      <c r="A54" s="873" t="str">
        <f ca="1">"- Ngày mở sổ: "&amp;DAY($A$11)&amp;"/"&amp;MONTH($A$11)&amp;"/ " &amp;YEAR($A$11)</f>
        <v>- Ngày mở sổ: 1/7/ 2013</v>
      </c>
    </row>
    <row r="55" spans="1:10" s="857" customFormat="1" ht="15">
      <c r="H55" s="136" t="str">
        <f ca="1">"Ngày "&amp;IF(OR($L$11=4,$L$11=6,$L$11=9,$L$11=11),"30",IF($L$11=2,"28","31"))&amp;" tháng "&amp;$N$8&amp;"  năm  "&amp;YEAR($A$14)</f>
        <v>Ngày 31 tháng 9  năm  2013</v>
      </c>
      <c r="I55" s="874"/>
      <c r="J55" s="874"/>
    </row>
    <row r="56" spans="1:10" s="857" customFormat="1" ht="15">
      <c r="B56" s="874" t="s">
        <v>359</v>
      </c>
      <c r="D56" s="874" t="s">
        <v>12</v>
      </c>
      <c r="H56" s="874" t="s">
        <v>360</v>
      </c>
      <c r="I56" s="874"/>
      <c r="J56" s="874"/>
    </row>
    <row r="57" spans="1:10" s="857" customFormat="1" ht="15">
      <c r="B57" s="874" t="s">
        <v>13</v>
      </c>
      <c r="D57" s="874" t="s">
        <v>13</v>
      </c>
      <c r="H57" s="874" t="s">
        <v>136</v>
      </c>
      <c r="I57" s="874"/>
      <c r="J57" s="874"/>
    </row>
    <row r="58" spans="1:10" s="857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43" t="s">
        <v>145</v>
      </c>
      <c r="H2" s="943"/>
      <c r="I2" s="943"/>
    </row>
    <row r="3" spans="1:9" ht="15.75" customHeight="1">
      <c r="A3" s="1" t="str">
        <f>TH!A2</f>
        <v>Địa chỉ: 1A227/1 Ấp 1, Phạm Văn Hai, Bình Chánh, TPHCM</v>
      </c>
      <c r="G3" s="944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44"/>
      <c r="I3" s="944"/>
    </row>
    <row r="4" spans="1:9">
      <c r="F4" s="17"/>
      <c r="G4" s="944"/>
      <c r="H4" s="944"/>
      <c r="I4" s="944"/>
    </row>
    <row r="5" spans="1:9" ht="17.25" customHeight="1">
      <c r="A5" s="945" t="s">
        <v>146</v>
      </c>
      <c r="B5" s="945"/>
      <c r="C5" s="945"/>
      <c r="D5" s="945"/>
      <c r="E5" s="945"/>
      <c r="F5" s="945"/>
      <c r="G5" s="945"/>
      <c r="H5" s="945"/>
      <c r="I5" s="945"/>
    </row>
    <row r="6" spans="1:9">
      <c r="A6" s="946" t="s">
        <v>147</v>
      </c>
      <c r="B6" s="947"/>
      <c r="C6" s="947"/>
      <c r="D6" s="947"/>
      <c r="E6" s="947"/>
      <c r="F6" s="947"/>
      <c r="G6" s="947"/>
      <c r="H6" s="947"/>
      <c r="I6" s="947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947" t="s">
        <v>29</v>
      </c>
      <c r="B9" s="948"/>
      <c r="C9" s="948"/>
      <c r="D9" s="948"/>
      <c r="E9" s="948"/>
      <c r="F9" s="948"/>
      <c r="G9" s="948"/>
      <c r="H9" s="948"/>
      <c r="I9" s="948"/>
    </row>
    <row r="10" spans="1:9" ht="9.75" customHeight="1">
      <c r="C10" s="949"/>
      <c r="D10" s="950"/>
      <c r="E10" s="950"/>
      <c r="F10" s="950"/>
      <c r="G10" s="950"/>
      <c r="H10" s="950"/>
      <c r="I10" s="950"/>
    </row>
    <row r="11" spans="1:9" s="18" customFormat="1" ht="19.5" customHeight="1">
      <c r="A11" s="951" t="s">
        <v>20</v>
      </c>
      <c r="B11" s="941" t="s">
        <v>1</v>
      </c>
      <c r="C11" s="952"/>
      <c r="D11" s="951" t="s">
        <v>0</v>
      </c>
      <c r="E11" s="951" t="s">
        <v>14</v>
      </c>
      <c r="F11" s="941" t="s">
        <v>21</v>
      </c>
      <c r="G11" s="952"/>
      <c r="H11" s="941" t="s">
        <v>31</v>
      </c>
      <c r="I11" s="942"/>
    </row>
    <row r="12" spans="1:9" s="18" customFormat="1" ht="32.25" customHeight="1">
      <c r="A12" s="951"/>
      <c r="B12" s="242" t="s">
        <v>15</v>
      </c>
      <c r="C12" s="242" t="s">
        <v>32</v>
      </c>
      <c r="D12" s="951"/>
      <c r="E12" s="951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41639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41639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30329402</v>
      </c>
      <c r="H15" s="247">
        <f ca="1">IF(D15&lt;&gt;"",MAX(H14+F15-G15-I14,0),0)</f>
        <v>0</v>
      </c>
      <c r="I15" s="247">
        <f ca="1">IF(D15&lt;&gt;"",MAX(I14+G15-H14-F15,0),0)</f>
        <v>30329402</v>
      </c>
    </row>
    <row r="16" spans="1:9" s="18" customFormat="1" ht="18" customHeight="1">
      <c r="A16" s="199">
        <f ca="1">IF(ROWS($1:2)&gt;COUNT(Dong5),"",OFFSET(TH!C$1,SMALL(Dong5,ROWS($1:2)),))</f>
        <v>41305</v>
      </c>
      <c r="B16" s="199" t="str">
        <f ca="1">IF(ROWS($1:2)&gt;COUNT(Dong5),"",OFFSET(TH!D$1,SMALL(Dong5,ROWS($1:2)),))</f>
        <v>CTGS</v>
      </c>
      <c r="C16" s="199">
        <f ca="1">IF(ROWS($1:2)&gt;COUNT(Dong5),"",OFFSET(TH!E$1,SMALL(Dong5,ROWS($1:2)),))</f>
        <v>41305</v>
      </c>
      <c r="D16" s="245" t="str">
        <f ca="1">IF(ROWS($1:2)&gt;COUNT(Dong5),"",OFFSET(TH!F$1,SMALL(Dong5,ROWS($1:2)),))</f>
        <v>Tiền lương BP Văn phòng</v>
      </c>
      <c r="E16" s="199" t="str">
        <f ca="1">IF(ROWS($1:2)&gt;COUNT(Dong5),"",IF(OFFSET(TH!L$1,SMALL(Dong5,ROWS($1:2)),)=$E$7,OFFSET(TH!M$1,SMALL(Dong5,ROWS($1:2)),),OFFSET(TH!L$1,SMALL(Dong5,ROWS($1:2)),)))</f>
        <v>3341</v>
      </c>
      <c r="F16" s="246">
        <f ca="1">IF(ROWS($1:2)&gt;COUNT(Dong5),0,IF(OFFSET(TH!L$1,SMALL(Dong5,ROWS($1:2)),)=$E$7,OFFSET(TH!K$1,SMALL(Dong5,ROWS($1:2)),),0))</f>
        <v>0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30329402</v>
      </c>
    </row>
    <row r="17" spans="1:9" s="18" customFormat="1" ht="18" customHeight="1">
      <c r="A17" s="199">
        <f ca="1">IF(ROWS($1:3)&gt;COUNT(Dong5),"",OFFSET(TH!C$1,SMALL(Dong5,ROWS($1:3)),))</f>
        <v>41333</v>
      </c>
      <c r="B17" s="199" t="str">
        <f ca="1">IF(ROWS($1:3)&gt;COUNT(Dong5),"",OFFSET(TH!D$1,SMALL(Dong5,ROWS($1:3)),))</f>
        <v>CTGS</v>
      </c>
      <c r="C17" s="199">
        <f ca="1">IF(ROWS($1:3)&gt;COUNT(Dong5),"",OFFSET(TH!E$1,SMALL(Dong5,ROWS($1:3)),))</f>
        <v>41333</v>
      </c>
      <c r="D17" s="245" t="str">
        <f ca="1">IF(ROWS($1:3)&gt;COUNT(Dong5),"",OFFSET(TH!F$1,SMALL(Dong5,ROWS($1:3)),))</f>
        <v>Tiền lương BP Văn phòng</v>
      </c>
      <c r="E17" s="199" t="str">
        <f ca="1">IF(ROWS($1:3)&gt;COUNT(Dong5),"",IF(OFFSET(TH!L$1,SMALL(Dong5,ROWS($1:3)),)=$E$7,OFFSET(TH!M$1,SMALL(Dong5,ROWS($1:3)),),OFFSET(TH!L$1,SMALL(Dong5,ROWS($1:3)),)))</f>
        <v>3341</v>
      </c>
      <c r="F17" s="246">
        <f ca="1">IF(ROWS($1:3)&gt;COUNT(Dong5),0,IF(OFFSET(TH!L$1,SMALL(Dong5,ROWS($1:3)),)=$E$7,OFFSET(TH!K$1,SMALL(Dong5,ROWS($1:3)),),0))</f>
        <v>0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30329402</v>
      </c>
    </row>
    <row r="18" spans="1:9" s="18" customFormat="1" ht="18" customHeight="1">
      <c r="A18" s="199">
        <f ca="1">IF(ROWS($1:4)&gt;COUNT(Dong5),"",OFFSET(TH!C$1,SMALL(Dong5,ROWS($1:4)),))</f>
        <v>41364</v>
      </c>
      <c r="B18" s="199" t="str">
        <f ca="1">IF(ROWS($1:4)&gt;COUNT(Dong5),"",OFFSET(TH!D$1,SMALL(Dong5,ROWS($1:4)),))</f>
        <v>CTGS</v>
      </c>
      <c r="C18" s="199">
        <f ca="1">IF(ROWS($1:4)&gt;COUNT(Dong5),"",OFFSET(TH!E$1,SMALL(Dong5,ROWS($1:4)),))</f>
        <v>41364</v>
      </c>
      <c r="D18" s="245" t="str">
        <f ca="1">IF(ROWS($1:4)&gt;COUNT(Dong5),"",OFFSET(TH!F$1,SMALL(Dong5,ROWS($1:4)),))</f>
        <v>Tiền lương BP Văn phòng</v>
      </c>
      <c r="E18" s="199" t="str">
        <f ca="1">IF(ROWS($1:4)&gt;COUNT(Dong5),"",IF(OFFSET(TH!L$1,SMALL(Dong5,ROWS($1:4)),)=$E$7,OFFSET(TH!M$1,SMALL(Dong5,ROWS($1:4)),),OFFSET(TH!L$1,SMALL(Dong5,ROWS($1:4)),)))</f>
        <v>3341</v>
      </c>
      <c r="F18" s="246">
        <f ca="1">IF(ROWS($1:4)&gt;COUNT(Dong5),0,IF(OFFSET(TH!L$1,SMALL(Dong5,ROWS($1:4)),)=$E$7,OFFSET(TH!K$1,SMALL(Dong5,ROWS($1:4)),),0))</f>
        <v>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30329402</v>
      </c>
    </row>
    <row r="19" spans="1:9" s="18" customFormat="1" ht="18" customHeight="1">
      <c r="A19" s="199">
        <f ca="1">IF(ROWS($1:5)&gt;COUNT(Dong5),"",OFFSET(TH!C$1,SMALL(Dong5,ROWS($1:5)),))</f>
        <v>41394</v>
      </c>
      <c r="B19" s="199" t="str">
        <f ca="1">IF(ROWS($1:5)&gt;COUNT(Dong5),"",OFFSET(TH!D$1,SMALL(Dong5,ROWS($1:5)),))</f>
        <v>CTGS</v>
      </c>
      <c r="C19" s="199">
        <f ca="1">IF(ROWS($1:5)&gt;COUNT(Dong5),"",OFFSET(TH!E$1,SMALL(Dong5,ROWS($1:5)),))</f>
        <v>41394</v>
      </c>
      <c r="D19" s="245" t="str">
        <f ca="1">IF(ROWS($1:5)&gt;COUNT(Dong5),"",OFFSET(TH!F$1,SMALL(Dong5,ROWS($1:5)),))</f>
        <v>Tiền lương BP Văn phòng</v>
      </c>
      <c r="E19" s="199" t="str">
        <f ca="1">IF(ROWS($1:5)&gt;COUNT(Dong5),"",IF(OFFSET(TH!L$1,SMALL(Dong5,ROWS($1:5)),)=$E$7,OFFSET(TH!M$1,SMALL(Dong5,ROWS($1:5)),),OFFSET(TH!L$1,SMALL(Dong5,ROWS($1:5)),)))</f>
        <v>3341</v>
      </c>
      <c r="F19" s="246">
        <f ca="1">IF(ROWS($1:5)&gt;COUNT(Dong5),0,IF(OFFSET(TH!L$1,SMALL(Dong5,ROWS($1:5)),)=$E$7,OFFSET(TH!K$1,SMALL(Dong5,ROWS($1:5)),),0))</f>
        <v>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30329402</v>
      </c>
    </row>
    <row r="20" spans="1:9" s="18" customFormat="1" ht="18" customHeight="1">
      <c r="A20" s="199">
        <f ca="1">IF(ROWS($1:6)&gt;COUNT(Dong5),"",OFFSET(TH!C$1,SMALL(Dong5,ROWS($1:6)),))</f>
        <v>41425</v>
      </c>
      <c r="B20" s="199" t="str">
        <f ca="1">IF(ROWS($1:6)&gt;COUNT(Dong5),"",OFFSET(TH!D$1,SMALL(Dong5,ROWS($1:6)),))</f>
        <v>CTGS</v>
      </c>
      <c r="C20" s="199">
        <f ca="1">IF(ROWS($1:6)&gt;COUNT(Dong5),"",OFFSET(TH!E$1,SMALL(Dong5,ROWS($1:6)),))</f>
        <v>41425</v>
      </c>
      <c r="D20" s="245" t="str">
        <f ca="1">IF(ROWS($1:6)&gt;COUNT(Dong5),"",OFFSET(TH!F$1,SMALL(Dong5,ROWS($1:6)),))</f>
        <v>Tiền lương BP Văn phòng</v>
      </c>
      <c r="E20" s="199" t="str">
        <f ca="1">IF(ROWS($1:6)&gt;COUNT(Dong5),"",IF(OFFSET(TH!L$1,SMALL(Dong5,ROWS($1:6)),)=$E$7,OFFSET(TH!M$1,SMALL(Dong5,ROWS($1:6)),),OFFSET(TH!L$1,SMALL(Dong5,ROWS($1:6)),)))</f>
        <v>3341</v>
      </c>
      <c r="F20" s="246">
        <f ca="1">IF(ROWS($1:6)&gt;COUNT(Dong5),0,IF(OFFSET(TH!L$1,SMALL(Dong5,ROWS($1:6)),)=$E$7,OFFSET(TH!K$1,SMALL(Dong5,ROWS($1:6)),),0))</f>
        <v>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30329402</v>
      </c>
    </row>
    <row r="21" spans="1:9" s="18" customFormat="1" ht="18" customHeight="1">
      <c r="A21" s="199">
        <f ca="1">IF(ROWS($1:7)&gt;COUNT(Dong5),"",OFFSET(TH!C$1,SMALL(Dong5,ROWS($1:7)),))</f>
        <v>41455</v>
      </c>
      <c r="B21" s="199" t="str">
        <f ca="1">IF(ROWS($1:7)&gt;COUNT(Dong5),"",OFFSET(TH!D$1,SMALL(Dong5,ROWS($1:7)),))</f>
        <v>CTGS</v>
      </c>
      <c r="C21" s="199">
        <f ca="1">IF(ROWS($1:7)&gt;COUNT(Dong5),"",OFFSET(TH!E$1,SMALL(Dong5,ROWS($1:7)),))</f>
        <v>41455</v>
      </c>
      <c r="D21" s="245" t="str">
        <f ca="1">IF(ROWS($1:7)&gt;COUNT(Dong5),"",OFFSET(TH!F$1,SMALL(Dong5,ROWS($1:7)),))</f>
        <v>Tiền lương BP Văn phòng</v>
      </c>
      <c r="E21" s="199" t="str">
        <f ca="1">IF(ROWS($1:7)&gt;COUNT(Dong5),"",IF(OFFSET(TH!L$1,SMALL(Dong5,ROWS($1:7)),)=$E$7,OFFSET(TH!M$1,SMALL(Dong5,ROWS($1:7)),),OFFSET(TH!L$1,SMALL(Dong5,ROWS($1:7)),)))</f>
        <v>3341</v>
      </c>
      <c r="F21" s="246">
        <f ca="1">IF(ROWS($1:7)&gt;COUNT(Dong5),0,IF(OFFSET(TH!L$1,SMALL(Dong5,ROWS($1:7)),)=$E$7,OFFSET(TH!K$1,SMALL(Dong5,ROWS($1:7)),),0))</f>
        <v>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30329402</v>
      </c>
    </row>
    <row r="22" spans="1:9" s="18" customFormat="1" ht="18" customHeight="1">
      <c r="A22" s="199">
        <f ca="1">IF(ROWS($1:8)&gt;COUNT(Dong5),"",OFFSET(TH!C$1,SMALL(Dong5,ROWS($1:8)),))</f>
        <v>41486</v>
      </c>
      <c r="B22" s="199" t="str">
        <f ca="1">IF(ROWS($1:8)&gt;COUNT(Dong5),"",OFFSET(TH!D$1,SMALL(Dong5,ROWS($1:8)),))</f>
        <v>CTGS</v>
      </c>
      <c r="C22" s="199">
        <f ca="1">IF(ROWS($1:8)&gt;COUNT(Dong5),"",OFFSET(TH!E$1,SMALL(Dong5,ROWS($1:8)),))</f>
        <v>41486</v>
      </c>
      <c r="D22" s="245" t="str">
        <f ca="1">IF(ROWS($1:8)&gt;COUNT(Dong5),"",OFFSET(TH!F$1,SMALL(Dong5,ROWS($1:8)),))</f>
        <v>Tiền lương BP Văn phòng</v>
      </c>
      <c r="E22" s="199" t="str">
        <f ca="1">IF(ROWS($1:8)&gt;COUNT(Dong5),"",IF(OFFSET(TH!L$1,SMALL(Dong5,ROWS($1:8)),)=$E$7,OFFSET(TH!M$1,SMALL(Dong5,ROWS($1:8)),),OFFSET(TH!L$1,SMALL(Dong5,ROWS($1:8)),)))</f>
        <v>3341</v>
      </c>
      <c r="F22" s="246">
        <f ca="1">IF(ROWS($1:8)&gt;COUNT(Dong5),0,IF(OFFSET(TH!L$1,SMALL(Dong5,ROWS($1:8)),)=$E$7,OFFSET(TH!K$1,SMALL(Dong5,ROWS($1:8)),),0))</f>
        <v>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30329402</v>
      </c>
    </row>
    <row r="23" spans="1:9" s="18" customFormat="1" ht="18" customHeight="1">
      <c r="A23" s="199">
        <f ca="1">IF(ROWS($1:9)&gt;COUNT(Dong5),"",OFFSET(TH!C$1,SMALL(Dong5,ROWS($1:9)),))</f>
        <v>41517</v>
      </c>
      <c r="B23" s="199" t="str">
        <f ca="1">IF(ROWS($1:9)&gt;COUNT(Dong5),"",OFFSET(TH!D$1,SMALL(Dong5,ROWS($1:9)),))</f>
        <v>CTGS</v>
      </c>
      <c r="C23" s="199">
        <f ca="1">IF(ROWS($1:9)&gt;COUNT(Dong5),"",OFFSET(TH!E$1,SMALL(Dong5,ROWS($1:9)),))</f>
        <v>41517</v>
      </c>
      <c r="D23" s="245" t="str">
        <f ca="1">IF(ROWS($1:9)&gt;COUNT(Dong5),"",OFFSET(TH!F$1,SMALL(Dong5,ROWS($1:9)),))</f>
        <v>Tiền lương BP Văn phòng</v>
      </c>
      <c r="E23" s="199" t="str">
        <f ca="1">IF(ROWS($1:9)&gt;COUNT(Dong5),"",IF(OFFSET(TH!L$1,SMALL(Dong5,ROWS($1:9)),)=$E$7,OFFSET(TH!M$1,SMALL(Dong5,ROWS($1:9)),),OFFSET(TH!L$1,SMALL(Dong5,ROWS($1:9)),)))</f>
        <v>3341</v>
      </c>
      <c r="F23" s="246">
        <f ca="1">IF(ROWS($1:9)&gt;COUNT(Dong5),0,IF(OFFSET(TH!L$1,SMALL(Dong5,ROWS($1:9)),)=$E$7,OFFSET(TH!K$1,SMALL(Dong5,ROWS($1:9)),),0))</f>
        <v>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30329402</v>
      </c>
    </row>
    <row r="24" spans="1:9" s="18" customFormat="1" ht="18" customHeight="1">
      <c r="A24" s="199">
        <f ca="1">IF(ROWS($1:10)&gt;COUNT(Dong5),"",OFFSET(TH!C$1,SMALL(Dong5,ROWS($1:10)),))</f>
        <v>41547</v>
      </c>
      <c r="B24" s="199" t="str">
        <f ca="1">IF(ROWS($1:10)&gt;COUNT(Dong5),"",OFFSET(TH!D$1,SMALL(Dong5,ROWS($1:10)),))</f>
        <v>CTGS</v>
      </c>
      <c r="C24" s="199">
        <f ca="1">IF(ROWS($1:10)&gt;COUNT(Dong5),"",OFFSET(TH!E$1,SMALL(Dong5,ROWS($1:10)),))</f>
        <v>41547</v>
      </c>
      <c r="D24" s="245" t="str">
        <f ca="1">IF(ROWS($1:10)&gt;COUNT(Dong5),"",OFFSET(TH!F$1,SMALL(Dong5,ROWS($1:10)),))</f>
        <v>Tiền lương BP Văn phòng</v>
      </c>
      <c r="E24" s="199" t="str">
        <f ca="1">IF(ROWS($1:10)&gt;COUNT(Dong5),"",IF(OFFSET(TH!L$1,SMALL(Dong5,ROWS($1:10)),)=$E$7,OFFSET(TH!M$1,SMALL(Dong5,ROWS($1:10)),),OFFSET(TH!L$1,SMALL(Dong5,ROWS($1:10)),)))</f>
        <v>3341</v>
      </c>
      <c r="F24" s="246">
        <f ca="1">IF(ROWS($1:10)&gt;COUNT(Dong5),0,IF(OFFSET(TH!L$1,SMALL(Dong5,ROWS($1:10)),)=$E$7,OFFSET(TH!K$1,SMALL(Dong5,ROWS($1:10)),),0))</f>
        <v>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30329402</v>
      </c>
    </row>
    <row r="25" spans="1:9" s="18" customFormat="1" ht="18" customHeight="1">
      <c r="A25" s="199">
        <f ca="1">IF(ROWS($1:11)&gt;COUNT(Dong5),"",OFFSET(TH!C$1,SMALL(Dong5,ROWS($1:11)),))</f>
        <v>41578</v>
      </c>
      <c r="B25" s="199" t="str">
        <f ca="1">IF(ROWS($1:11)&gt;COUNT(Dong5),"",OFFSET(TH!D$1,SMALL(Dong5,ROWS($1:11)),))</f>
        <v>CTGS</v>
      </c>
      <c r="C25" s="199">
        <f ca="1">IF(ROWS($1:11)&gt;COUNT(Dong5),"",OFFSET(TH!E$1,SMALL(Dong5,ROWS($1:11)),))</f>
        <v>41578</v>
      </c>
      <c r="D25" s="245" t="str">
        <f ca="1">IF(ROWS($1:11)&gt;COUNT(Dong5),"",OFFSET(TH!F$1,SMALL(Dong5,ROWS($1:11)),))</f>
        <v>Tiền lương BP Văn phòng</v>
      </c>
      <c r="E25" s="199" t="str">
        <f ca="1">IF(ROWS($1:11)&gt;COUNT(Dong5),"",IF(OFFSET(TH!L$1,SMALL(Dong5,ROWS($1:11)),)=$E$7,OFFSET(TH!M$1,SMALL(Dong5,ROWS($1:11)),),OFFSET(TH!L$1,SMALL(Dong5,ROWS($1:11)),)))</f>
        <v>3341</v>
      </c>
      <c r="F25" s="246">
        <f ca="1">IF(ROWS($1:11)&gt;COUNT(Dong5),0,IF(OFFSET(TH!L$1,SMALL(Dong5,ROWS($1:11)),)=$E$7,OFFSET(TH!K$1,SMALL(Dong5,ROWS($1:11)),),0))</f>
        <v>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30329402</v>
      </c>
    </row>
    <row r="26" spans="1:9" s="18" customFormat="1" ht="18" customHeight="1">
      <c r="A26" s="199">
        <f ca="1">IF(ROWS($1:12)&gt;COUNT(Dong5),"",OFFSET(TH!C$1,SMALL(Dong5,ROWS($1:12)),))</f>
        <v>41608</v>
      </c>
      <c r="B26" s="199" t="str">
        <f ca="1">IF(ROWS($1:12)&gt;COUNT(Dong5),"",OFFSET(TH!D$1,SMALL(Dong5,ROWS($1:12)),))</f>
        <v>CTGS</v>
      </c>
      <c r="C26" s="199">
        <f ca="1">IF(ROWS($1:12)&gt;COUNT(Dong5),"",OFFSET(TH!E$1,SMALL(Dong5,ROWS($1:12)),))</f>
        <v>41608</v>
      </c>
      <c r="D26" s="245" t="str">
        <f ca="1">IF(ROWS($1:12)&gt;COUNT(Dong5),"",OFFSET(TH!F$1,SMALL(Dong5,ROWS($1:12)),))</f>
        <v>Tiền lương BP Văn phòng</v>
      </c>
      <c r="E26" s="199" t="str">
        <f ca="1">IF(ROWS($1:12)&gt;COUNT(Dong5),"",IF(OFFSET(TH!L$1,SMALL(Dong5,ROWS($1:12)),)=$E$7,OFFSET(TH!M$1,SMALL(Dong5,ROWS($1:12)),),OFFSET(TH!L$1,SMALL(Dong5,ROWS($1:12)),)))</f>
        <v>3341</v>
      </c>
      <c r="F26" s="246">
        <f ca="1">IF(ROWS($1:12)&gt;COUNT(Dong5),0,IF(OFFSET(TH!L$1,SMALL(Dong5,ROWS($1:12)),)=$E$7,OFFSET(TH!K$1,SMALL(Dong5,ROWS($1:12)),),0))</f>
        <v>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30329402</v>
      </c>
    </row>
    <row r="27" spans="1:9" s="18" customFormat="1" ht="18" customHeight="1">
      <c r="A27" s="199">
        <f ca="1">IF(ROWS($1:13)&gt;COUNT(Dong5),"",OFFSET(TH!C$1,SMALL(Dong5,ROWS($1:13)),))</f>
        <v>41639</v>
      </c>
      <c r="B27" s="199" t="str">
        <f ca="1">IF(ROWS($1:13)&gt;COUNT(Dong5),"",OFFSET(TH!D$1,SMALL(Dong5,ROWS($1:13)),))</f>
        <v>CTGS</v>
      </c>
      <c r="C27" s="199">
        <f ca="1">IF(ROWS($1:13)&gt;COUNT(Dong5),"",OFFSET(TH!E$1,SMALL(Dong5,ROWS($1:13)),))</f>
        <v>41639</v>
      </c>
      <c r="D27" s="245" t="str">
        <f ca="1">IF(ROWS($1:13)&gt;COUNT(Dong5),"",OFFSET(TH!F$1,SMALL(Dong5,ROWS($1:13)),))</f>
        <v>Tiền lương BP Văn phòng</v>
      </c>
      <c r="E27" s="199" t="str">
        <f ca="1">IF(ROWS($1:13)&gt;COUNT(Dong5),"",IF(OFFSET(TH!L$1,SMALL(Dong5,ROWS($1:13)),)=$E$7,OFFSET(TH!M$1,SMALL(Dong5,ROWS($1:13)),),OFFSET(TH!L$1,SMALL(Dong5,ROWS($1:13)),)))</f>
        <v>3341</v>
      </c>
      <c r="F27" s="246">
        <f ca="1">IF(ROWS($1:13)&gt;COUNT(Dong5),0,IF(OFFSET(TH!L$1,SMALL(Dong5,ROWS($1:13)),)=$E$7,OFFSET(TH!K$1,SMALL(Dong5,ROWS($1:13)),),0))</f>
        <v>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30329402</v>
      </c>
    </row>
    <row r="28" spans="1:9" s="18" customFormat="1" ht="18" customHeight="1">
      <c r="A28" s="199">
        <f ca="1">IF(ROWS($1:14)&gt;COUNT(Dong5),"",OFFSET(TH!C$1,SMALL(Dong5,ROWS($1:14)),))</f>
        <v>41276</v>
      </c>
      <c r="B28" s="199" t="str">
        <f ca="1">IF(ROWS($1:14)&gt;COUNT(Dong5),"",OFFSET(TH!D$1,SMALL(Dong5,ROWS($1:14)),))</f>
        <v>VL/N01</v>
      </c>
      <c r="C28" s="199">
        <f ca="1">IF(ROWS($1:14)&gt;COUNT(Dong5),"",OFFSET(TH!E$1,SMALL(Dong5,ROWS($1:14)),))</f>
        <v>41235</v>
      </c>
      <c r="D28" s="245" t="str">
        <f ca="1">IF(ROWS($1:14)&gt;COUNT(Dong5),"",OFFSET(TH!F$1,SMALL(Dong5,ROWS($1:14)),))</f>
        <v>VAT Dây nylon</v>
      </c>
      <c r="E28" s="199" t="str">
        <f ca="1">IF(ROWS($1:14)&gt;COUNT(Dong5),"",IF(OFFSET(TH!L$1,SMALL(Dong5,ROWS($1:14)),)=$E$7,OFFSET(TH!M$1,SMALL(Dong5,ROWS($1:14)),),OFFSET(TH!L$1,SMALL(Dong5,ROWS($1:14)),)))</f>
        <v>331</v>
      </c>
      <c r="F28" s="246">
        <f ca="1">IF(ROWS($1:14)&gt;COUNT(Dong5),0,IF(OFFSET(TH!L$1,SMALL(Dong5,ROWS($1:14)),)=$E$7,OFFSET(TH!K$1,SMALL(Dong5,ROWS($1:14)),),0))</f>
        <v>40753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30288649</v>
      </c>
    </row>
    <row r="29" spans="1:9" s="18" customFormat="1" ht="18" customHeight="1">
      <c r="A29" s="199">
        <f ca="1">IF(ROWS($1:15)&gt;COUNT(Dong5),"",OFFSET(TH!C$1,SMALL(Dong5,ROWS($1:15)),))</f>
        <v>41277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41277</v>
      </c>
      <c r="D29" s="245" t="str">
        <f ca="1">IF(ROWS($1:15)&gt;COUNT(Dong5),"",OFFSET(TH!F$1,SMALL(Dong5,ROWS($1:15)),))</f>
        <v>Phí chuyển tiền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20080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30268569</v>
      </c>
    </row>
    <row r="30" spans="1:9" s="18" customFormat="1" ht="18" customHeight="1">
      <c r="A30" s="199">
        <f ca="1">IF(ROWS($1:16)&gt;COUNT(Dong5),"",OFFSET(TH!C$1,SMALL(Dong5,ROWS($1:16)),))</f>
        <v>41277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41277</v>
      </c>
      <c r="D30" s="245" t="str">
        <f ca="1">IF(ROWS($1:16)&gt;COUNT(Dong5),"",OFFSET(TH!F$1,SMALL(Dong5,ROWS($1:16)),))</f>
        <v>Phí kiểm đếm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6">
        <f ca="1">IF(ROWS($1:16)&gt;COUNT(Dong5),0,IF(OFFSET(TH!L$1,SMALL(Dong5,ROWS($1:16)),)=$E$7,OFFSET(TH!K$1,SMALL(Dong5,ROWS($1:16)),),0))</f>
        <v>12000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30256569</v>
      </c>
    </row>
    <row r="31" spans="1:9" s="18" customFormat="1" ht="18" customHeight="1">
      <c r="A31" s="199">
        <f ca="1">IF(ROWS($1:17)&gt;COUNT(Dong5),"",OFFSET(TH!C$1,SMALL(Dong5,ROWS($1:17)),))</f>
        <v>41299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41299</v>
      </c>
      <c r="D31" s="245" t="str">
        <f ca="1">IF(ROWS($1:17)&gt;COUNT(Dong5),"",OFFSET(TH!F$1,SMALL(Dong5,ROWS($1:17)),))</f>
        <v>Phí chuyển tiền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6">
        <f ca="1">IF(ROWS($1:17)&gt;COUNT(Dong5),0,IF(OFFSET(TH!L$1,SMALL(Dong5,ROWS($1:17)),)=$E$7,OFFSET(TH!K$1,SMALL(Dong5,ROWS($1:17)),),0))</f>
        <v>10000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30246569</v>
      </c>
    </row>
    <row r="32" spans="1:9" s="18" customFormat="1" ht="18" customHeight="1">
      <c r="A32" s="199">
        <f ca="1">IF(ROWS($1:18)&gt;COUNT(Dong5),"",OFFSET(TH!C$1,SMALL(Dong5,ROWS($1:18)),))</f>
        <v>41299</v>
      </c>
      <c r="B32" s="199" t="str">
        <f ca="1">IF(ROWS($1:18)&gt;COUNT(Dong5),"",OFFSET(TH!D$1,SMALL(Dong5,ROWS($1:18)),))</f>
        <v>GBN</v>
      </c>
      <c r="C32" s="199">
        <f ca="1">IF(ROWS($1:18)&gt;COUNT(Dong5),"",OFFSET(TH!E$1,SMALL(Dong5,ROWS($1:18)),))</f>
        <v>41299</v>
      </c>
      <c r="D32" s="245" t="str">
        <f ca="1">IF(ROWS($1:18)&gt;COUNT(Dong5),"",OFFSET(TH!F$1,SMALL(Dong5,ROWS($1:18)),))</f>
        <v>Phí kiểm đếm</v>
      </c>
      <c r="E32" s="199" t="str">
        <f ca="1">IF(ROWS($1:18)&gt;COUNT(Dong5),"",IF(OFFSET(TH!L$1,SMALL(Dong5,ROWS($1:18)),)=$E$7,OFFSET(TH!M$1,SMALL(Dong5,ROWS($1:18)),),OFFSET(TH!L$1,SMALL(Dong5,ROWS($1:18)),)))</f>
        <v>1121</v>
      </c>
      <c r="F32" s="246">
        <f ca="1">IF(ROWS($1:18)&gt;COUNT(Dong5),0,IF(OFFSET(TH!L$1,SMALL(Dong5,ROWS($1:18)),)=$E$7,OFFSET(TH!K$1,SMALL(Dong5,ROWS($1:18)),),0))</f>
        <v>10000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30236569</v>
      </c>
    </row>
    <row r="33" spans="1:9" s="18" customFormat="1" ht="18" customHeight="1">
      <c r="A33" s="199">
        <f ca="1">IF(ROWS($1:19)&gt;COUNT(Dong5),"",OFFSET(TH!C$1,SMALL(Dong5,ROWS($1:19)),))</f>
        <v>41311</v>
      </c>
      <c r="B33" s="199" t="str">
        <f ca="1">IF(ROWS($1:19)&gt;COUNT(Dong5),"",OFFSET(TH!D$1,SMALL(Dong5,ROWS($1:19)),))</f>
        <v>GBN</v>
      </c>
      <c r="C33" s="199">
        <f ca="1">IF(ROWS($1:19)&gt;COUNT(Dong5),"",OFFSET(TH!E$1,SMALL(Dong5,ROWS($1:19)),))</f>
        <v>41311</v>
      </c>
      <c r="D33" s="245" t="str">
        <f ca="1">IF(ROWS($1:19)&gt;COUNT(Dong5),"",OFFSET(TH!F$1,SMALL(Dong5,ROWS($1:19)),))</f>
        <v>Phí kiểm đếm</v>
      </c>
      <c r="E33" s="199" t="str">
        <f ca="1">IF(ROWS($1:19)&gt;COUNT(Dong5),"",IF(OFFSET(TH!L$1,SMALL(Dong5,ROWS($1:19)),)=$E$7,OFFSET(TH!M$1,SMALL(Dong5,ROWS($1:19)),),OFFSET(TH!L$1,SMALL(Dong5,ROWS($1:19)),)))</f>
        <v>1121</v>
      </c>
      <c r="F33" s="246">
        <f ca="1">IF(ROWS($1:19)&gt;COUNT(Dong5),0,IF(OFFSET(TH!L$1,SMALL(Dong5,ROWS($1:19)),)=$E$7,OFFSET(TH!K$1,SMALL(Dong5,ROWS($1:19)),),0))</f>
        <v>11902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30224667</v>
      </c>
    </row>
    <row r="34" spans="1:9" s="18" customFormat="1" ht="18" customHeight="1">
      <c r="A34" s="199">
        <f ca="1">IF(ROWS($1:20)&gt;COUNT(Dong5),"",OFFSET(TH!C$1,SMALL(Dong5,ROWS($1:20)),))</f>
        <v>41311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41311</v>
      </c>
      <c r="D34" s="245" t="str">
        <f ca="1">IF(ROWS($1:20)&gt;COUNT(Dong5),"",OFFSET(TH!F$1,SMALL(Dong5,ROWS($1:20)),))</f>
        <v>Phí chuyển tiền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25000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30199667</v>
      </c>
    </row>
    <row r="35" spans="1:9" s="18" customFormat="1" ht="18" customHeight="1">
      <c r="A35" s="199">
        <f ca="1">IF(ROWS($1:21)&gt;COUNT(Dong5),"",OFFSET(TH!C$1,SMALL(Dong5,ROWS($1:21)),))</f>
        <v>41311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41311</v>
      </c>
      <c r="D35" s="245" t="str">
        <f ca="1">IF(ROWS($1:21)&gt;COUNT(Dong5),"",OFFSET(TH!F$1,SMALL(Dong5,ROWS($1:21)),))</f>
        <v>Phí chuyển tiền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6">
        <f ca="1">IF(ROWS($1:21)&gt;COUNT(Dong5),0,IF(OFFSET(TH!L$1,SMALL(Dong5,ROWS($1:21)),)=$E$7,OFFSET(TH!K$1,SMALL(Dong5,ROWS($1:21)),),0))</f>
        <v>20000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30179667</v>
      </c>
    </row>
    <row r="36" spans="1:9" s="18" customFormat="1" ht="18" customHeight="1">
      <c r="A36" s="199">
        <f ca="1">IF(ROWS($1:22)&gt;COUNT(Dong5),"",OFFSET(TH!C$1,SMALL(Dong5,ROWS($1:22)),))</f>
        <v>41337</v>
      </c>
      <c r="B36" s="199" t="str">
        <f ca="1">IF(ROWS($1:22)&gt;COUNT(Dong5),"",OFFSET(TH!D$1,SMALL(Dong5,ROWS($1:22)),))</f>
        <v>GBN</v>
      </c>
      <c r="C36" s="199">
        <f ca="1">IF(ROWS($1:22)&gt;COUNT(Dong5),"",OFFSET(TH!E$1,SMALL(Dong5,ROWS($1:22)),))</f>
        <v>41337</v>
      </c>
      <c r="D36" s="245" t="str">
        <f ca="1">IF(ROWS($1:22)&gt;COUNT(Dong5),"",OFFSET(TH!F$1,SMALL(Dong5,ROWS($1:22)),))</f>
        <v>Phí chuyển tiền</v>
      </c>
      <c r="E36" s="199" t="str">
        <f ca="1">IF(ROWS($1:22)&gt;COUNT(Dong5),"",IF(OFFSET(TH!L$1,SMALL(Dong5,ROWS($1:22)),)=$E$7,OFFSET(TH!M$1,SMALL(Dong5,ROWS($1:22)),),OFFSET(TH!L$1,SMALL(Dong5,ROWS($1:22)),)))</f>
        <v>1121</v>
      </c>
      <c r="F36" s="246">
        <f ca="1">IF(ROWS($1:22)&gt;COUNT(Dong5),0,IF(OFFSET(TH!L$1,SMALL(Dong5,ROWS($1:22)),)=$E$7,OFFSET(TH!K$1,SMALL(Dong5,ROWS($1:22)),),0))</f>
        <v>20000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30159667</v>
      </c>
    </row>
    <row r="37" spans="1:9" s="18" customFormat="1" ht="18" customHeight="1">
      <c r="A37" s="199">
        <f ca="1">IF(ROWS($1:23)&gt;COUNT(Dong5),"",OFFSET(TH!C$1,SMALL(Dong5,ROWS($1:23)),))</f>
        <v>41337</v>
      </c>
      <c r="B37" s="199" t="str">
        <f ca="1">IF(ROWS($1:23)&gt;COUNT(Dong5),"",OFFSET(TH!D$1,SMALL(Dong5,ROWS($1:23)),))</f>
        <v>GBN</v>
      </c>
      <c r="C37" s="199">
        <f ca="1">IF(ROWS($1:23)&gt;COUNT(Dong5),"",OFFSET(TH!E$1,SMALL(Dong5,ROWS($1:23)),))</f>
        <v>41337</v>
      </c>
      <c r="D37" s="245" t="str">
        <f ca="1">IF(ROWS($1:23)&gt;COUNT(Dong5),"",OFFSET(TH!F$1,SMALL(Dong5,ROWS($1:23)),))</f>
        <v>Phí kiểm đếm</v>
      </c>
      <c r="E37" s="199" t="str">
        <f ca="1">IF(ROWS($1:23)&gt;COUNT(Dong5),"",IF(OFFSET(TH!L$1,SMALL(Dong5,ROWS($1:23)),)=$E$7,OFFSET(TH!M$1,SMALL(Dong5,ROWS($1:23)),),OFFSET(TH!L$1,SMALL(Dong5,ROWS($1:23)),)))</f>
        <v>1121</v>
      </c>
      <c r="F37" s="246">
        <f ca="1">IF(ROWS($1:23)&gt;COUNT(Dong5),0,IF(OFFSET(TH!L$1,SMALL(Dong5,ROWS($1:23)),)=$E$7,OFFSET(TH!K$1,SMALL(Dong5,ROWS($1:23)),),0))</f>
        <v>10000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30149667</v>
      </c>
    </row>
    <row r="38" spans="1:9" s="18" customFormat="1" ht="18" customHeight="1">
      <c r="A38" s="199">
        <f ca="1">IF(ROWS($1:24)&gt;COUNT(Dong5),"",OFFSET(TH!C$1,SMALL(Dong5,ROWS($1:24)),))</f>
        <v>41365</v>
      </c>
      <c r="B38" s="199" t="str">
        <f ca="1">IF(ROWS($1:24)&gt;COUNT(Dong5),"",OFFSET(TH!D$1,SMALL(Dong5,ROWS($1:24)),))</f>
        <v>GBN</v>
      </c>
      <c r="C38" s="199">
        <f ca="1">IF(ROWS($1:24)&gt;COUNT(Dong5),"",OFFSET(TH!E$1,SMALL(Dong5,ROWS($1:24)),))</f>
        <v>41365</v>
      </c>
      <c r="D38" s="245" t="str">
        <f ca="1">IF(ROWS($1:24)&gt;COUNT(Dong5),"",OFFSET(TH!F$1,SMALL(Dong5,ROWS($1:24)),))</f>
        <v>Thu phí duy trì tài khoản</v>
      </c>
      <c r="E38" s="199" t="str">
        <f ca="1">IF(ROWS($1:24)&gt;COUNT(Dong5),"",IF(OFFSET(TH!L$1,SMALL(Dong5,ROWS($1:24)),)=$E$7,OFFSET(TH!M$1,SMALL(Dong5,ROWS($1:24)),),OFFSET(TH!L$1,SMALL(Dong5,ROWS($1:24)),)))</f>
        <v>1121</v>
      </c>
      <c r="F38" s="246">
        <f ca="1">IF(ROWS($1:24)&gt;COUNT(Dong5),0,IF(OFFSET(TH!L$1,SMALL(Dong5,ROWS($1:24)),)=$E$7,OFFSET(TH!K$1,SMALL(Dong5,ROWS($1:24)),),0))</f>
        <v>30000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30119667</v>
      </c>
    </row>
    <row r="39" spans="1:9" s="18" customFormat="1" ht="18" customHeight="1">
      <c r="A39" s="199">
        <f ca="1">IF(ROWS($1:25)&gt;COUNT(Dong5),"",OFFSET(TH!C$1,SMALL(Dong5,ROWS($1:25)),))</f>
        <v>41391</v>
      </c>
      <c r="B39" s="199" t="str">
        <f ca="1">IF(ROWS($1:25)&gt;COUNT(Dong5),"",OFFSET(TH!D$1,SMALL(Dong5,ROWS($1:25)),))</f>
        <v>GBN</v>
      </c>
      <c r="C39" s="199">
        <f ca="1">IF(ROWS($1:25)&gt;COUNT(Dong5),"",OFFSET(TH!E$1,SMALL(Dong5,ROWS($1:25)),))</f>
        <v>41391</v>
      </c>
      <c r="D39" s="245" t="str">
        <f ca="1">IF(ROWS($1:25)&gt;COUNT(Dong5),"",OFFSET(TH!F$1,SMALL(Dong5,ROWS($1:25)),))</f>
        <v>Phí chuyển tiền</v>
      </c>
      <c r="E39" s="199" t="str">
        <f ca="1">IF(ROWS($1:25)&gt;COUNT(Dong5),"",IF(OFFSET(TH!L$1,SMALL(Dong5,ROWS($1:25)),)=$E$7,OFFSET(TH!M$1,SMALL(Dong5,ROWS($1:25)),),OFFSET(TH!L$1,SMALL(Dong5,ROWS($1:25)),)))</f>
        <v>1121</v>
      </c>
      <c r="F39" s="246">
        <f ca="1">IF(ROWS($1:25)&gt;COUNT(Dong5),0,IF(OFFSET(TH!L$1,SMALL(Dong5,ROWS($1:25)),)=$E$7,OFFSET(TH!K$1,SMALL(Dong5,ROWS($1:25)),),0))</f>
        <v>20000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30099667</v>
      </c>
    </row>
    <row r="40" spans="1:9" s="18" customFormat="1" ht="18" customHeight="1">
      <c r="A40" s="199">
        <f ca="1">IF(ROWS($1:26)&gt;COUNT(Dong5),"",OFFSET(TH!C$1,SMALL(Dong5,ROWS($1:26)),))</f>
        <v>41391</v>
      </c>
      <c r="B40" s="199" t="str">
        <f ca="1">IF(ROWS($1:26)&gt;COUNT(Dong5),"",OFFSET(TH!D$1,SMALL(Dong5,ROWS($1:26)),))</f>
        <v>GBN</v>
      </c>
      <c r="C40" s="199">
        <f ca="1">IF(ROWS($1:26)&gt;COUNT(Dong5),"",OFFSET(TH!E$1,SMALL(Dong5,ROWS($1:26)),))</f>
        <v>41391</v>
      </c>
      <c r="D40" s="245" t="str">
        <f ca="1">IF(ROWS($1:26)&gt;COUNT(Dong5),"",OFFSET(TH!F$1,SMALL(Dong5,ROWS($1:26)),))</f>
        <v>Phí kiểm đếm</v>
      </c>
      <c r="E40" s="199" t="str">
        <f ca="1">IF(ROWS($1:26)&gt;COUNT(Dong5),"",IF(OFFSET(TH!L$1,SMALL(Dong5,ROWS($1:26)),)=$E$7,OFFSET(TH!M$1,SMALL(Dong5,ROWS($1:26)),),OFFSET(TH!L$1,SMALL(Dong5,ROWS($1:26)),)))</f>
        <v>1121</v>
      </c>
      <c r="F40" s="246">
        <f ca="1">IF(ROWS($1:26)&gt;COUNT(Dong5),0,IF(OFFSET(TH!L$1,SMALL(Dong5,ROWS($1:26)),)=$E$7,OFFSET(TH!K$1,SMALL(Dong5,ROWS($1:26)),),0))</f>
        <v>15000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30084667</v>
      </c>
    </row>
    <row r="41" spans="1:9" s="18" customFormat="1" ht="18" customHeight="1">
      <c r="A41" s="199">
        <f ca="1">IF(ROWS($1:27)&gt;COUNT(Dong5),"",OFFSET(TH!C$1,SMALL(Dong5,ROWS($1:27)),))</f>
        <v>41403</v>
      </c>
      <c r="B41" s="199" t="str">
        <f ca="1">IF(ROWS($1:27)&gt;COUNT(Dong5),"",OFFSET(TH!D$1,SMALL(Dong5,ROWS($1:27)),))</f>
        <v>C03</v>
      </c>
      <c r="C41" s="199">
        <f ca="1">IF(ROWS($1:27)&gt;COUNT(Dong5),"",OFFSET(TH!E$1,SMALL(Dong5,ROWS($1:27)),))</f>
        <v>41403</v>
      </c>
      <c r="D41" s="245" t="str">
        <f ca="1">IF(ROWS($1:27)&gt;COUNT(Dong5),"",OFFSET(TH!F$1,SMALL(Dong5,ROWS($1:27)),))</f>
        <v>Văn phòng phẩm</v>
      </c>
      <c r="E41" s="199" t="str">
        <f ca="1">IF(ROWS($1:27)&gt;COUNT(Dong5),"",IF(OFFSET(TH!L$1,SMALL(Dong5,ROWS($1:27)),)=$E$7,OFFSET(TH!M$1,SMALL(Dong5,ROWS($1:27)),),OFFSET(TH!L$1,SMALL(Dong5,ROWS($1:27)),)))</f>
        <v>1111</v>
      </c>
      <c r="F41" s="246">
        <f ca="1">IF(ROWS($1:27)&gt;COUNT(Dong5),0,IF(OFFSET(TH!L$1,SMALL(Dong5,ROWS($1:27)),)=$E$7,OFFSET(TH!K$1,SMALL(Dong5,ROWS($1:27)),),0))</f>
        <v>556300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29528367</v>
      </c>
    </row>
    <row r="42" spans="1:9" s="18" customFormat="1" ht="18" customHeight="1">
      <c r="A42" s="199">
        <f ca="1">IF(ROWS($1:28)&gt;COUNT(Dong5),"",OFFSET(TH!C$1,SMALL(Dong5,ROWS($1:28)),))</f>
        <v>41411</v>
      </c>
      <c r="B42" s="199" t="str">
        <f ca="1">IF(ROWS($1:28)&gt;COUNT(Dong5),"",OFFSET(TH!D$1,SMALL(Dong5,ROWS($1:28)),))</f>
        <v>GBN</v>
      </c>
      <c r="C42" s="199">
        <f ca="1">IF(ROWS($1:28)&gt;COUNT(Dong5),"",OFFSET(TH!E$1,SMALL(Dong5,ROWS($1:28)),))</f>
        <v>41411</v>
      </c>
      <c r="D42" s="245" t="str">
        <f ca="1">IF(ROWS($1:28)&gt;COUNT(Dong5),"",OFFSET(TH!F$1,SMALL(Dong5,ROWS($1:28)),))</f>
        <v>Phí chuyển tiền</v>
      </c>
      <c r="E42" s="199" t="str">
        <f ca="1">IF(ROWS($1:28)&gt;COUNT(Dong5),"",IF(OFFSET(TH!L$1,SMALL(Dong5,ROWS($1:28)),)=$E$7,OFFSET(TH!M$1,SMALL(Dong5,ROWS($1:28)),),OFFSET(TH!L$1,SMALL(Dong5,ROWS($1:28)),)))</f>
        <v>1121</v>
      </c>
      <c r="F42" s="246">
        <f ca="1">IF(ROWS($1:28)&gt;COUNT(Dong5),0,IF(OFFSET(TH!L$1,SMALL(Dong5,ROWS($1:28)),)=$E$7,OFFSET(TH!K$1,SMALL(Dong5,ROWS($1:28)),),0))</f>
        <v>20000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29508367</v>
      </c>
    </row>
    <row r="43" spans="1:9" s="18" customFormat="1" ht="18" customHeight="1">
      <c r="A43" s="199">
        <f ca="1">IF(ROWS($1:29)&gt;COUNT(Dong5),"",OFFSET(TH!C$1,SMALL(Dong5,ROWS($1:29)),))</f>
        <v>41411</v>
      </c>
      <c r="B43" s="199" t="str">
        <f ca="1">IF(ROWS($1:29)&gt;COUNT(Dong5),"",OFFSET(TH!D$1,SMALL(Dong5,ROWS($1:29)),))</f>
        <v>GBN</v>
      </c>
      <c r="C43" s="199">
        <f ca="1">IF(ROWS($1:29)&gt;COUNT(Dong5),"",OFFSET(TH!E$1,SMALL(Dong5,ROWS($1:29)),))</f>
        <v>41411</v>
      </c>
      <c r="D43" s="245" t="str">
        <f ca="1">IF(ROWS($1:29)&gt;COUNT(Dong5),"",OFFSET(TH!F$1,SMALL(Dong5,ROWS($1:29)),))</f>
        <v>Phí bán 3 cuốn sec</v>
      </c>
      <c r="E43" s="199" t="str">
        <f ca="1">IF(ROWS($1:29)&gt;COUNT(Dong5),"",IF(OFFSET(TH!L$1,SMALL(Dong5,ROWS($1:29)),)=$E$7,OFFSET(TH!M$1,SMALL(Dong5,ROWS($1:29)),),OFFSET(TH!L$1,SMALL(Dong5,ROWS($1:29)),)))</f>
        <v>1121</v>
      </c>
      <c r="F43" s="246">
        <f ca="1">IF(ROWS($1:29)&gt;COUNT(Dong5),0,IF(OFFSET(TH!L$1,SMALL(Dong5,ROWS($1:29)),)=$E$7,OFFSET(TH!K$1,SMALL(Dong5,ROWS($1:29)),),0))</f>
        <v>15000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29493367</v>
      </c>
    </row>
    <row r="44" spans="1:9" s="18" customFormat="1" ht="18" customHeight="1">
      <c r="A44" s="199">
        <f ca="1">IF(ROWS($1:30)&gt;COUNT(Dong5),"",OFFSET(TH!C$1,SMALL(Dong5,ROWS($1:30)),))</f>
        <v>41443</v>
      </c>
      <c r="B44" s="199" t="str">
        <f ca="1">IF(ROWS($1:30)&gt;COUNT(Dong5),"",OFFSET(TH!D$1,SMALL(Dong5,ROWS($1:30)),))</f>
        <v>C06</v>
      </c>
      <c r="C44" s="199">
        <f ca="1">IF(ROWS($1:30)&gt;COUNT(Dong5),"",OFFSET(TH!E$1,SMALL(Dong5,ROWS($1:30)),))</f>
        <v>41443</v>
      </c>
      <c r="D44" s="245" t="str">
        <f ca="1">IF(ROWS($1:30)&gt;COUNT(Dong5),"",OFFSET(TH!F$1,SMALL(Dong5,ROWS($1:30)),))</f>
        <v>Tiền điện</v>
      </c>
      <c r="E44" s="199" t="str">
        <f ca="1">IF(ROWS($1:30)&gt;COUNT(Dong5),"",IF(OFFSET(TH!L$1,SMALL(Dong5,ROWS($1:30)),)=$E$7,OFFSET(TH!M$1,SMALL(Dong5,ROWS($1:30)),),OFFSET(TH!L$1,SMALL(Dong5,ROWS($1:30)),)))</f>
        <v>1111</v>
      </c>
      <c r="F44" s="246">
        <f ca="1">IF(ROWS($1:30)&gt;COUNT(Dong5),0,IF(OFFSET(TH!L$1,SMALL(Dong5,ROWS($1:30)),)=$E$7,OFFSET(TH!K$1,SMALL(Dong5,ROWS($1:30)),),0))</f>
        <v>543634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28949733</v>
      </c>
    </row>
    <row r="45" spans="1:9" s="18" customFormat="1" ht="18" customHeight="1">
      <c r="A45" s="199">
        <f ca="1">IF(ROWS($1:31)&gt;COUNT(Dong5),"",OFFSET(TH!C$1,SMALL(Dong5,ROWS($1:31)),))</f>
        <v>41445</v>
      </c>
      <c r="B45" s="199" t="str">
        <f ca="1">IF(ROWS($1:31)&gt;COUNT(Dong5),"",OFFSET(TH!D$1,SMALL(Dong5,ROWS($1:31)),))</f>
        <v>C07</v>
      </c>
      <c r="C45" s="199">
        <f ca="1">IF(ROWS($1:31)&gt;COUNT(Dong5),"",OFFSET(TH!E$1,SMALL(Dong5,ROWS($1:31)),))</f>
        <v>41445</v>
      </c>
      <c r="D45" s="245" t="str">
        <f ca="1">IF(ROWS($1:31)&gt;COUNT(Dong5),"",OFFSET(TH!F$1,SMALL(Dong5,ROWS($1:31)),))</f>
        <v>Văn phòng phẩm</v>
      </c>
      <c r="E45" s="199" t="str">
        <f ca="1">IF(ROWS($1:31)&gt;COUNT(Dong5),"",IF(OFFSET(TH!L$1,SMALL(Dong5,ROWS($1:31)),)=$E$7,OFFSET(TH!M$1,SMALL(Dong5,ROWS($1:31)),),OFFSET(TH!L$1,SMALL(Dong5,ROWS($1:31)),)))</f>
        <v>1111</v>
      </c>
      <c r="F45" s="246">
        <f ca="1">IF(ROWS($1:31)&gt;COUNT(Dong5),0,IF(OFFSET(TH!L$1,SMALL(Dong5,ROWS($1:31)),)=$E$7,OFFSET(TH!K$1,SMALL(Dong5,ROWS($1:31)),),0))</f>
        <v>400000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28549733</v>
      </c>
    </row>
    <row r="46" spans="1:9" s="18" customFormat="1" ht="18" customHeight="1">
      <c r="A46" s="199">
        <f ca="1">IF(ROWS($1:32)&gt;COUNT(Dong5),"",OFFSET(TH!C$1,SMALL(Dong5,ROWS($1:32)),))</f>
        <v>41447</v>
      </c>
      <c r="B46" s="199" t="str">
        <f ca="1">IF(ROWS($1:32)&gt;COUNT(Dong5),"",OFFSET(TH!D$1,SMALL(Dong5,ROWS($1:32)),))</f>
        <v>GBN</v>
      </c>
      <c r="C46" s="199">
        <f ca="1">IF(ROWS($1:32)&gt;COUNT(Dong5),"",OFFSET(TH!E$1,SMALL(Dong5,ROWS($1:32)),))</f>
        <v>41447</v>
      </c>
      <c r="D46" s="245" t="str">
        <f ca="1">IF(ROWS($1:32)&gt;COUNT(Dong5),"",OFFSET(TH!F$1,SMALL(Dong5,ROWS($1:32)),))</f>
        <v>Phí chuyển tiền</v>
      </c>
      <c r="E46" s="199" t="str">
        <f ca="1">IF(ROWS($1:32)&gt;COUNT(Dong5),"",IF(OFFSET(TH!L$1,SMALL(Dong5,ROWS($1:32)),)=$E$7,OFFSET(TH!M$1,SMALL(Dong5,ROWS($1:32)),),OFFSET(TH!L$1,SMALL(Dong5,ROWS($1:32)),)))</f>
        <v>1121</v>
      </c>
      <c r="F46" s="246">
        <f ca="1">IF(ROWS($1:32)&gt;COUNT(Dong5),0,IF(OFFSET(TH!L$1,SMALL(Dong5,ROWS($1:32)),)=$E$7,OFFSET(TH!K$1,SMALL(Dong5,ROWS($1:32)),),0))</f>
        <v>20000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28529733</v>
      </c>
    </row>
    <row r="47" spans="1:9" s="18" customFormat="1" ht="18" customHeight="1">
      <c r="A47" s="199">
        <f ca="1">IF(ROWS($1:33)&gt;COUNT(Dong5),"",OFFSET(TH!C$1,SMALL(Dong5,ROWS($1:33)),))</f>
        <v>41465</v>
      </c>
      <c r="B47" s="199" t="str">
        <f ca="1">IF(ROWS($1:33)&gt;COUNT(Dong5),"",OFFSET(TH!D$1,SMALL(Dong5,ROWS($1:33)),))</f>
        <v>C01</v>
      </c>
      <c r="C47" s="199">
        <f ca="1">IF(ROWS($1:33)&gt;COUNT(Dong5),"",OFFSET(TH!E$1,SMALL(Dong5,ROWS($1:33)),))</f>
        <v>41465</v>
      </c>
      <c r="D47" s="245" t="str">
        <f ca="1">IF(ROWS($1:33)&gt;COUNT(Dong5),"",OFFSET(TH!F$1,SMALL(Dong5,ROWS($1:33)),))</f>
        <v>Cước dịch vụ viễn thông</v>
      </c>
      <c r="E47" s="199" t="str">
        <f ca="1">IF(ROWS($1:33)&gt;COUNT(Dong5),"",IF(OFFSET(TH!L$1,SMALL(Dong5,ROWS($1:33)),)=$E$7,OFFSET(TH!M$1,SMALL(Dong5,ROWS($1:33)),),OFFSET(TH!L$1,SMALL(Dong5,ROWS($1:33)),)))</f>
        <v>1111</v>
      </c>
      <c r="F47" s="246">
        <f ca="1">IF(ROWS($1:33)&gt;COUNT(Dong5),0,IF(OFFSET(TH!L$1,SMALL(Dong5,ROWS($1:33)),)=$E$7,OFFSET(TH!K$1,SMALL(Dong5,ROWS($1:33)),),0))</f>
        <v>926339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27603394</v>
      </c>
    </row>
    <row r="48" spans="1:9" s="18" customFormat="1" ht="18" customHeight="1">
      <c r="A48" s="199">
        <f ca="1">IF(ROWS($1:34)&gt;COUNT(Dong5),"",OFFSET(TH!C$1,SMALL(Dong5,ROWS($1:34)),))</f>
        <v>41471</v>
      </c>
      <c r="B48" s="199" t="str">
        <f ca="1">IF(ROWS($1:34)&gt;COUNT(Dong5),"",OFFSET(TH!D$1,SMALL(Dong5,ROWS($1:34)),))</f>
        <v>C02</v>
      </c>
      <c r="C48" s="199">
        <f ca="1">IF(ROWS($1:34)&gt;COUNT(Dong5),"",OFFSET(TH!E$1,SMALL(Dong5,ROWS($1:34)),))</f>
        <v>41471</v>
      </c>
      <c r="D48" s="245" t="str">
        <f ca="1">IF(ROWS($1:34)&gt;COUNT(Dong5),"",OFFSET(TH!F$1,SMALL(Dong5,ROWS($1:34)),))</f>
        <v>Chi phí chứng thư số</v>
      </c>
      <c r="E48" s="199" t="str">
        <f ca="1">IF(ROWS($1:34)&gt;COUNT(Dong5),"",IF(OFFSET(TH!L$1,SMALL(Dong5,ROWS($1:34)),)=$E$7,OFFSET(TH!M$1,SMALL(Dong5,ROWS($1:34)),),OFFSET(TH!L$1,SMALL(Dong5,ROWS($1:34)),)))</f>
        <v>1111</v>
      </c>
      <c r="F48" s="246">
        <f ca="1">IF(ROWS($1:34)&gt;COUNT(Dong5),0,IF(OFFSET(TH!L$1,SMALL(Dong5,ROWS($1:34)),)=$E$7,OFFSET(TH!K$1,SMALL(Dong5,ROWS($1:34)),),0))</f>
        <v>850000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26753394</v>
      </c>
    </row>
    <row r="49" spans="1:9" s="18" customFormat="1" ht="18" customHeight="1">
      <c r="A49" s="199">
        <f ca="1">IF(ROWS($1:35)&gt;COUNT(Dong5),"",OFFSET(TH!C$1,SMALL(Dong5,ROWS($1:35)),))</f>
        <v>41493</v>
      </c>
      <c r="B49" s="199" t="str">
        <f ca="1">IF(ROWS($1:35)&gt;COUNT(Dong5),"",OFFSET(TH!D$1,SMALL(Dong5,ROWS($1:35)),))</f>
        <v>C06</v>
      </c>
      <c r="C49" s="199">
        <f ca="1">IF(ROWS($1:35)&gt;COUNT(Dong5),"",OFFSET(TH!E$1,SMALL(Dong5,ROWS($1:35)),))</f>
        <v>41493</v>
      </c>
      <c r="D49" s="245" t="str">
        <f ca="1">IF(ROWS($1:35)&gt;COUNT(Dong5),"",OFFSET(TH!F$1,SMALL(Dong5,ROWS($1:35)),))</f>
        <v>Cước dịch vụ viễn thông</v>
      </c>
      <c r="E49" s="199" t="str">
        <f ca="1">IF(ROWS($1:35)&gt;COUNT(Dong5),"",IF(OFFSET(TH!L$1,SMALL(Dong5,ROWS($1:35)),)=$E$7,OFFSET(TH!M$1,SMALL(Dong5,ROWS($1:35)),),OFFSET(TH!L$1,SMALL(Dong5,ROWS($1:35)),)))</f>
        <v>1111</v>
      </c>
      <c r="F49" s="246">
        <f ca="1">IF(ROWS($1:35)&gt;COUNT(Dong5),0,IF(OFFSET(TH!L$1,SMALL(Dong5,ROWS($1:35)),)=$E$7,OFFSET(TH!K$1,SMALL(Dong5,ROWS($1:35)),),0))</f>
        <v>299871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26453523</v>
      </c>
    </row>
    <row r="50" spans="1:9" s="18" customFormat="1" ht="18" customHeight="1">
      <c r="A50" s="199">
        <f ca="1">IF(ROWS($1:36)&gt;COUNT(Dong5),"",OFFSET(TH!C$1,SMALL(Dong5,ROWS($1:36)),))</f>
        <v>41502</v>
      </c>
      <c r="B50" s="199" t="str">
        <f ca="1">IF(ROWS($1:36)&gt;COUNT(Dong5),"",OFFSET(TH!D$1,SMALL(Dong5,ROWS($1:36)),))</f>
        <v>GBN</v>
      </c>
      <c r="C50" s="199">
        <f ca="1">IF(ROWS($1:36)&gt;COUNT(Dong5),"",OFFSET(TH!E$1,SMALL(Dong5,ROWS($1:36)),))</f>
        <v>41502</v>
      </c>
      <c r="D50" s="245" t="str">
        <f ca="1">IF(ROWS($1:36)&gt;COUNT(Dong5),"",OFFSET(TH!F$1,SMALL(Dong5,ROWS($1:36)),))</f>
        <v>Phí chuyển tiền</v>
      </c>
      <c r="E50" s="199" t="str">
        <f ca="1">IF(ROWS($1:36)&gt;COUNT(Dong5),"",IF(OFFSET(TH!L$1,SMALL(Dong5,ROWS($1:36)),)=$E$7,OFFSET(TH!M$1,SMALL(Dong5,ROWS($1:36)),),OFFSET(TH!L$1,SMALL(Dong5,ROWS($1:36)),)))</f>
        <v>1121</v>
      </c>
      <c r="F50" s="246">
        <f ca="1">IF(ROWS($1:36)&gt;COUNT(Dong5),0,IF(OFFSET(TH!L$1,SMALL(Dong5,ROWS($1:36)),)=$E$7,OFFSET(TH!K$1,SMALL(Dong5,ROWS($1:36)),),0))</f>
        <v>15000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26438523</v>
      </c>
    </row>
    <row r="51" spans="1:9" s="18" customFormat="1" ht="18" customHeight="1">
      <c r="A51" s="199">
        <f ca="1">IF(ROWS($1:37)&gt;COUNT(Dong5),"",OFFSET(TH!C$1,SMALL(Dong5,ROWS($1:37)),))</f>
        <v>41522</v>
      </c>
      <c r="B51" s="199" t="str">
        <f ca="1">IF(ROWS($1:37)&gt;COUNT(Dong5),"",OFFSET(TH!D$1,SMALL(Dong5,ROWS($1:37)),))</f>
        <v>C09</v>
      </c>
      <c r="C51" s="199">
        <f ca="1">IF(ROWS($1:37)&gt;COUNT(Dong5),"",OFFSET(TH!E$1,SMALL(Dong5,ROWS($1:37)),))</f>
        <v>41522</v>
      </c>
      <c r="D51" s="245" t="str">
        <f ca="1">IF(ROWS($1:37)&gt;COUNT(Dong5),"",OFFSET(TH!F$1,SMALL(Dong5,ROWS($1:37)),))</f>
        <v>Cước dịch vụ viễn thông</v>
      </c>
      <c r="E51" s="199" t="str">
        <f ca="1">IF(ROWS($1:37)&gt;COUNT(Dong5),"",IF(OFFSET(TH!L$1,SMALL(Dong5,ROWS($1:37)),)=$E$7,OFFSET(TH!M$1,SMALL(Dong5,ROWS($1:37)),),OFFSET(TH!L$1,SMALL(Dong5,ROWS($1:37)),)))</f>
        <v>1111</v>
      </c>
      <c r="F51" s="246">
        <f ca="1">IF(ROWS($1:37)&gt;COUNT(Dong5),0,IF(OFFSET(TH!L$1,SMALL(Dong5,ROWS($1:37)),)=$E$7,OFFSET(TH!K$1,SMALL(Dong5,ROWS($1:37)),),0))</f>
        <v>451401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25987122</v>
      </c>
    </row>
    <row r="52" spans="1:9" s="18" customFormat="1" ht="18" customHeight="1">
      <c r="A52" s="199">
        <f ca="1">IF(ROWS($1:38)&gt;COUNT(Dong5),"",OFFSET(TH!C$1,SMALL(Dong5,ROWS($1:38)),))</f>
        <v>41549</v>
      </c>
      <c r="B52" s="199" t="str">
        <f ca="1">IF(ROWS($1:38)&gt;COUNT(Dong5),"",OFFSET(TH!D$1,SMALL(Dong5,ROWS($1:38)),))</f>
        <v>C01</v>
      </c>
      <c r="C52" s="199">
        <f ca="1">IF(ROWS($1:38)&gt;COUNT(Dong5),"",OFFSET(TH!E$1,SMALL(Dong5,ROWS($1:38)),))</f>
        <v>41549</v>
      </c>
      <c r="D52" s="245" t="str">
        <f ca="1">IF(ROWS($1:38)&gt;COUNT(Dong5),"",OFFSET(TH!F$1,SMALL(Dong5,ROWS($1:38)),))</f>
        <v>Cước dịch vụ viễn thông</v>
      </c>
      <c r="E52" s="199" t="str">
        <f ca="1">IF(ROWS($1:38)&gt;COUNT(Dong5),"",IF(OFFSET(TH!L$1,SMALL(Dong5,ROWS($1:38)),)=$E$7,OFFSET(TH!M$1,SMALL(Dong5,ROWS($1:38)),),OFFSET(TH!L$1,SMALL(Dong5,ROWS($1:38)),)))</f>
        <v>1111</v>
      </c>
      <c r="F52" s="246">
        <f ca="1">IF(ROWS($1:38)&gt;COUNT(Dong5),0,IF(OFFSET(TH!L$1,SMALL(Dong5,ROWS($1:38)),)=$E$7,OFFSET(TH!K$1,SMALL(Dong5,ROWS($1:38)),),0))</f>
        <v>741835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25245287</v>
      </c>
    </row>
    <row r="53" spans="1:9" s="18" customFormat="1" ht="18" customHeight="1">
      <c r="A53" s="199">
        <f ca="1">IF(ROWS($1:39)&gt;COUNT(Dong5),"",OFFSET(TH!C$1,SMALL(Dong5,ROWS($1:39)),))</f>
        <v>41577</v>
      </c>
      <c r="B53" s="199" t="str">
        <f ca="1">IF(ROWS($1:39)&gt;COUNT(Dong5),"",OFFSET(TH!D$1,SMALL(Dong5,ROWS($1:39)),))</f>
        <v>C02</v>
      </c>
      <c r="C53" s="199">
        <f ca="1">IF(ROWS($1:39)&gt;COUNT(Dong5),"",OFFSET(TH!E$1,SMALL(Dong5,ROWS($1:39)),))</f>
        <v>41577</v>
      </c>
      <c r="D53" s="245" t="str">
        <f ca="1">IF(ROWS($1:39)&gt;COUNT(Dong5),"",OFFSET(TH!F$1,SMALL(Dong5,ROWS($1:39)),))</f>
        <v>Tiền điện</v>
      </c>
      <c r="E53" s="199" t="str">
        <f ca="1">IF(ROWS($1:39)&gt;COUNT(Dong5),"",IF(OFFSET(TH!L$1,SMALL(Dong5,ROWS($1:39)),)=$E$7,OFFSET(TH!M$1,SMALL(Dong5,ROWS($1:39)),),OFFSET(TH!L$1,SMALL(Dong5,ROWS($1:39)),)))</f>
        <v>1111</v>
      </c>
      <c r="F53" s="246">
        <f ca="1">IF(ROWS($1:39)&gt;COUNT(Dong5),0,IF(OFFSET(TH!L$1,SMALL(Dong5,ROWS($1:39)),)=$E$7,OFFSET(TH!K$1,SMALL(Dong5,ROWS($1:39)),),0))</f>
        <v>1616900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23628387</v>
      </c>
    </row>
    <row r="54" spans="1:9" s="18" customFormat="1" ht="18" customHeight="1">
      <c r="A54" s="199">
        <f ca="1">IF(ROWS($1:40)&gt;COUNT(Dong5),"",OFFSET(TH!C$1,SMALL(Dong5,ROWS($1:40)),))</f>
        <v>41581</v>
      </c>
      <c r="B54" s="199" t="str">
        <f ca="1">IF(ROWS($1:40)&gt;COUNT(Dong5),"",OFFSET(TH!D$1,SMALL(Dong5,ROWS($1:40)),))</f>
        <v>C04</v>
      </c>
      <c r="C54" s="199">
        <f ca="1">IF(ROWS($1:40)&gt;COUNT(Dong5),"",OFFSET(TH!E$1,SMALL(Dong5,ROWS($1:40)),))</f>
        <v>41581</v>
      </c>
      <c r="D54" s="245" t="str">
        <f ca="1">IF(ROWS($1:40)&gt;COUNT(Dong5),"",OFFSET(TH!F$1,SMALL(Dong5,ROWS($1:40)),))</f>
        <v>Ipad 4 Retina Wifi</v>
      </c>
      <c r="E54" s="199" t="str">
        <f ca="1">IF(ROWS($1:40)&gt;COUNT(Dong5),"",IF(OFFSET(TH!L$1,SMALL(Dong5,ROWS($1:40)),)=$E$7,OFFSET(TH!M$1,SMALL(Dong5,ROWS($1:40)),),OFFSET(TH!L$1,SMALL(Dong5,ROWS($1:40)),)))</f>
        <v>1111</v>
      </c>
      <c r="F54" s="246">
        <f ca="1">IF(ROWS($1:40)&gt;COUNT(Dong5),0,IF(OFFSET(TH!L$1,SMALL(Dong5,ROWS($1:40)),)=$E$7,OFFSET(TH!K$1,SMALL(Dong5,ROWS($1:40)),),0))</f>
        <v>15445455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8182932</v>
      </c>
    </row>
    <row r="55" spans="1:9" s="18" customFormat="1" ht="18" customHeight="1">
      <c r="A55" s="199">
        <f ca="1">IF(ROWS($1:41)&gt;COUNT(Dong5),"",OFFSET(TH!C$1,SMALL(Dong5,ROWS($1:41)),))</f>
        <v>41589</v>
      </c>
      <c r="B55" s="199" t="str">
        <f ca="1">IF(ROWS($1:41)&gt;COUNT(Dong5),"",OFFSET(TH!D$1,SMALL(Dong5,ROWS($1:41)),))</f>
        <v>C05</v>
      </c>
      <c r="C55" s="199">
        <f ca="1">IF(ROWS($1:41)&gt;COUNT(Dong5),"",OFFSET(TH!E$1,SMALL(Dong5,ROWS($1:41)),))</f>
        <v>41589</v>
      </c>
      <c r="D55" s="245" t="str">
        <f ca="1">IF(ROWS($1:41)&gt;COUNT(Dong5),"",OFFSET(TH!F$1,SMALL(Dong5,ROWS($1:41)),))</f>
        <v>Văn phòng phẩm</v>
      </c>
      <c r="E55" s="199" t="str">
        <f ca="1">IF(ROWS($1:41)&gt;COUNT(Dong5),"",IF(OFFSET(TH!L$1,SMALL(Dong5,ROWS($1:41)),)=$E$7,OFFSET(TH!M$1,SMALL(Dong5,ROWS($1:41)),),OFFSET(TH!L$1,SMALL(Dong5,ROWS($1:41)),)))</f>
        <v>1111</v>
      </c>
      <c r="F55" s="246">
        <f ca="1">IF(ROWS($1:41)&gt;COUNT(Dong5),0,IF(OFFSET(TH!L$1,SMALL(Dong5,ROWS($1:41)),)=$E$7,OFFSET(TH!K$1,SMALL(Dong5,ROWS($1:41)),),0))</f>
        <v>293364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7889568</v>
      </c>
    </row>
    <row r="56" spans="1:9" s="18" customFormat="1" ht="18" customHeight="1">
      <c r="A56" s="199">
        <f ca="1">IF(ROWS($1:42)&gt;COUNT(Dong5),"",OFFSET(TH!C$1,SMALL(Dong5,ROWS($1:42)),))</f>
        <v>41591</v>
      </c>
      <c r="B56" s="199" t="str">
        <f ca="1">IF(ROWS($1:42)&gt;COUNT(Dong5),"",OFFSET(TH!D$1,SMALL(Dong5,ROWS($1:42)),))</f>
        <v>C06</v>
      </c>
      <c r="C56" s="199">
        <f ca="1">IF(ROWS($1:42)&gt;COUNT(Dong5),"",OFFSET(TH!E$1,SMALL(Dong5,ROWS($1:42)),))</f>
        <v>41591</v>
      </c>
      <c r="D56" s="245" t="str">
        <f ca="1">IF(ROWS($1:42)&gt;COUNT(Dong5),"",OFFSET(TH!F$1,SMALL(Dong5,ROWS($1:42)),))</f>
        <v>Cước dịch vụ viễn thông</v>
      </c>
      <c r="E56" s="199" t="str">
        <f ca="1">IF(ROWS($1:42)&gt;COUNT(Dong5),"",IF(OFFSET(TH!L$1,SMALL(Dong5,ROWS($1:42)),)=$E$7,OFFSET(TH!M$1,SMALL(Dong5,ROWS($1:42)),),OFFSET(TH!L$1,SMALL(Dong5,ROWS($1:42)),)))</f>
        <v>1111</v>
      </c>
      <c r="F56" s="246">
        <f ca="1">IF(ROWS($1:42)&gt;COUNT(Dong5),0,IF(OFFSET(TH!L$1,SMALL(Dong5,ROWS($1:42)),)=$E$7,OFFSET(TH!K$1,SMALL(Dong5,ROWS($1:42)),),0))</f>
        <v>1681380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6208188</v>
      </c>
    </row>
    <row r="57" spans="1:9" s="18" customFormat="1" ht="18" customHeight="1">
      <c r="A57" s="199">
        <f ca="1">IF(ROWS($1:43)&gt;COUNT(Dong5),"",OFFSET(TH!C$1,SMALL(Dong5,ROWS($1:43)),))</f>
        <v>41600</v>
      </c>
      <c r="B57" s="199" t="str">
        <f ca="1">IF(ROWS($1:43)&gt;COUNT(Dong5),"",OFFSET(TH!D$1,SMALL(Dong5,ROWS($1:43)),))</f>
        <v>C08</v>
      </c>
      <c r="C57" s="199">
        <f ca="1">IF(ROWS($1:43)&gt;COUNT(Dong5),"",OFFSET(TH!E$1,SMALL(Dong5,ROWS($1:43)),))</f>
        <v>41600</v>
      </c>
      <c r="D57" s="245" t="str">
        <f ca="1">IF(ROWS($1:43)&gt;COUNT(Dong5),"",OFFSET(TH!F$1,SMALL(Dong5,ROWS($1:43)),))</f>
        <v>Chi phí tiếp khách</v>
      </c>
      <c r="E57" s="199" t="str">
        <f ca="1">IF(ROWS($1:43)&gt;COUNT(Dong5),"",IF(OFFSET(TH!L$1,SMALL(Dong5,ROWS($1:43)),)=$E$7,OFFSET(TH!M$1,SMALL(Dong5,ROWS($1:43)),),OFFSET(TH!L$1,SMALL(Dong5,ROWS($1:43)),)))</f>
        <v>1111</v>
      </c>
      <c r="F57" s="246">
        <f ca="1">IF(ROWS($1:43)&gt;COUNT(Dong5),0,IF(OFFSET(TH!L$1,SMALL(Dong5,ROWS($1:43)),)=$E$7,OFFSET(TH!K$1,SMALL(Dong5,ROWS($1:43)),),0))</f>
        <v>1027273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5180915</v>
      </c>
    </row>
    <row r="58" spans="1:9" s="18" customFormat="1" ht="18" customHeight="1">
      <c r="A58" s="199">
        <f ca="1">IF(ROWS($1:44)&gt;COUNT(Dong5),"",OFFSET(TH!C$1,SMALL(Dong5,ROWS($1:44)),))</f>
        <v>41607</v>
      </c>
      <c r="B58" s="199" t="str">
        <f ca="1">IF(ROWS($1:44)&gt;COUNT(Dong5),"",OFFSET(TH!D$1,SMALL(Dong5,ROWS($1:44)),))</f>
        <v>C10</v>
      </c>
      <c r="C58" s="199">
        <f ca="1">IF(ROWS($1:44)&gt;COUNT(Dong5),"",OFFSET(TH!E$1,SMALL(Dong5,ROWS($1:44)),))</f>
        <v>41607</v>
      </c>
      <c r="D58" s="245" t="str">
        <f ca="1">IF(ROWS($1:44)&gt;COUNT(Dong5),"",OFFSET(TH!F$1,SMALL(Dong5,ROWS($1:44)),))</f>
        <v>Tiền điện</v>
      </c>
      <c r="E58" s="199" t="str">
        <f ca="1">IF(ROWS($1:44)&gt;COUNT(Dong5),"",IF(OFFSET(TH!L$1,SMALL(Dong5,ROWS($1:44)),)=$E$7,OFFSET(TH!M$1,SMALL(Dong5,ROWS($1:44)),),OFFSET(TH!L$1,SMALL(Dong5,ROWS($1:44)),)))</f>
        <v>1111</v>
      </c>
      <c r="F58" s="246">
        <f ca="1">IF(ROWS($1:44)&gt;COUNT(Dong5),0,IF(OFFSET(TH!L$1,SMALL(Dong5,ROWS($1:44)),)=$E$7,OFFSET(TH!K$1,SMALL(Dong5,ROWS($1:44)),),0))</f>
        <v>1131830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4049085</v>
      </c>
    </row>
    <row r="59" spans="1:9" s="18" customFormat="1" ht="18" customHeight="1">
      <c r="A59" s="199">
        <f ca="1">IF(ROWS($1:45)&gt;COUNT(Dong5),"",OFFSET(TH!C$1,SMALL(Dong5,ROWS($1:45)),))</f>
        <v>41607</v>
      </c>
      <c r="B59" s="199" t="str">
        <f ca="1">IF(ROWS($1:45)&gt;COUNT(Dong5),"",OFFSET(TH!D$1,SMALL(Dong5,ROWS($1:45)),))</f>
        <v>C11</v>
      </c>
      <c r="C59" s="199">
        <f ca="1">IF(ROWS($1:45)&gt;COUNT(Dong5),"",OFFSET(TH!E$1,SMALL(Dong5,ROWS($1:45)),))</f>
        <v>41607</v>
      </c>
      <c r="D59" s="245" t="str">
        <f ca="1">IF(ROWS($1:45)&gt;COUNT(Dong5),"",OFFSET(TH!F$1,SMALL(Dong5,ROWS($1:45)),))</f>
        <v>Băng keo</v>
      </c>
      <c r="E59" s="199" t="str">
        <f ca="1">IF(ROWS($1:45)&gt;COUNT(Dong5),"",IF(OFFSET(TH!L$1,SMALL(Dong5,ROWS($1:45)),)=$E$7,OFFSET(TH!M$1,SMALL(Dong5,ROWS($1:45)),),OFFSET(TH!L$1,SMALL(Dong5,ROWS($1:45)),)))</f>
        <v>1111</v>
      </c>
      <c r="F59" s="246">
        <f ca="1">IF(ROWS($1:45)&gt;COUNT(Dong5),0,IF(OFFSET(TH!L$1,SMALL(Dong5,ROWS($1:45)),)=$E$7,OFFSET(TH!K$1,SMALL(Dong5,ROWS($1:45)),),0))</f>
        <v>1454400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2594685</v>
      </c>
    </row>
    <row r="60" spans="1:9" s="18" customFormat="1" ht="18" customHeight="1">
      <c r="A60" s="199">
        <f ca="1">IF(ROWS($1:46)&gt;COUNT(Dong5),"",OFFSET(TH!C$1,SMALL(Dong5,ROWS($1:46)),))</f>
        <v>41616</v>
      </c>
      <c r="B60" s="199" t="str">
        <f ca="1">IF(ROWS($1:46)&gt;COUNT(Dong5),"",OFFSET(TH!D$1,SMALL(Dong5,ROWS($1:46)),))</f>
        <v>C14</v>
      </c>
      <c r="C60" s="199">
        <f ca="1">IF(ROWS($1:46)&gt;COUNT(Dong5),"",OFFSET(TH!E$1,SMALL(Dong5,ROWS($1:46)),))</f>
        <v>41616</v>
      </c>
      <c r="D60" s="245" t="str">
        <f ca="1">IF(ROWS($1:46)&gt;COUNT(Dong5),"",OFFSET(TH!F$1,SMALL(Dong5,ROWS($1:46)),))</f>
        <v>Chi phí tiếp khách</v>
      </c>
      <c r="E60" s="199" t="str">
        <f ca="1">IF(ROWS($1:46)&gt;COUNT(Dong5),"",IF(OFFSET(TH!L$1,SMALL(Dong5,ROWS($1:46)),)=$E$7,OFFSET(TH!M$1,SMALL(Dong5,ROWS($1:46)),),OFFSET(TH!L$1,SMALL(Dong5,ROWS($1:46)),)))</f>
        <v>1111</v>
      </c>
      <c r="F60" s="246">
        <f ca="1">IF(ROWS($1:46)&gt;COUNT(Dong5),0,IF(OFFSET(TH!L$1,SMALL(Dong5,ROWS($1:46)),)=$E$7,OFFSET(TH!K$1,SMALL(Dong5,ROWS($1:46)),),0))</f>
        <v>1413637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1181048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29148354</v>
      </c>
      <c r="G62" s="248">
        <f ca="1">SUM(G15:G61)</f>
        <v>30329402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1181048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31/12/ 2013</v>
      </c>
      <c r="E66" s="214"/>
    </row>
    <row r="67" spans="1:9" s="18" customFormat="1" ht="13.5" customHeight="1">
      <c r="A67" s="214"/>
      <c r="B67" s="214"/>
      <c r="C67" s="214"/>
      <c r="E67" s="939" t="str">
        <f ca="1">"Ngày 31 tháng  12  năm  "&amp;YEAR($A$15)</f>
        <v>Ngày 31 tháng  12  năm  2013</v>
      </c>
      <c r="F67" s="939"/>
      <c r="G67" s="939"/>
      <c r="H67" s="939"/>
      <c r="I67" s="939"/>
    </row>
    <row r="68" spans="1:9" s="18" customFormat="1" ht="12.75">
      <c r="A68" s="939" t="s">
        <v>11</v>
      </c>
      <c r="B68" s="939"/>
      <c r="C68" s="939"/>
      <c r="D68" s="939"/>
      <c r="E68" s="939" t="s">
        <v>12</v>
      </c>
      <c r="F68" s="939"/>
      <c r="G68" s="939"/>
      <c r="H68" s="939"/>
      <c r="I68" s="939"/>
    </row>
    <row r="69" spans="1:9" s="18" customFormat="1" ht="12.75">
      <c r="A69" s="939" t="s">
        <v>13</v>
      </c>
      <c r="B69" s="939"/>
      <c r="C69" s="939"/>
      <c r="D69" s="939"/>
      <c r="E69" s="939" t="s">
        <v>13</v>
      </c>
      <c r="F69" s="939"/>
      <c r="G69" s="939"/>
      <c r="H69" s="939"/>
      <c r="I69" s="939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940"/>
      <c r="B76" s="940"/>
      <c r="C76" s="940"/>
      <c r="D76" s="940"/>
    </row>
  </sheetData>
  <mergeCells count="18"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68:D68"/>
    <mergeCell ref="E68:I68"/>
    <mergeCell ref="A69:D69"/>
    <mergeCell ref="E69:I69"/>
    <mergeCell ref="A76:D7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43" t="s">
        <v>119</v>
      </c>
      <c r="H1" s="943"/>
      <c r="I1" s="943"/>
      <c r="J1" s="943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44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944"/>
      <c r="I2" s="944"/>
      <c r="J2" s="944"/>
    </row>
    <row r="3" spans="1:15" s="3" customFormat="1" ht="16.5" customHeight="1">
      <c r="A3" s="4"/>
      <c r="B3" s="16"/>
      <c r="C3" s="109"/>
      <c r="D3" s="109"/>
      <c r="E3" s="16"/>
      <c r="G3" s="944"/>
      <c r="H3" s="944"/>
      <c r="I3" s="944"/>
      <c r="J3" s="944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53" t="s">
        <v>120</v>
      </c>
      <c r="B5" s="953"/>
      <c r="C5" s="953"/>
      <c r="D5" s="953"/>
      <c r="E5" s="953"/>
      <c r="F5" s="953"/>
      <c r="G5" s="953"/>
      <c r="H5" s="953"/>
      <c r="I5" s="953"/>
      <c r="J5" s="953"/>
    </row>
    <row r="6" spans="1:15" ht="14.25" customHeight="1">
      <c r="A6" s="955" t="str">
        <f ca="1">$L$11&amp;" / "&amp;YEAR($A$14)</f>
        <v>Quý III / 2013</v>
      </c>
      <c r="B6" s="955"/>
      <c r="C6" s="955"/>
      <c r="D6" s="955"/>
      <c r="E6" s="955"/>
      <c r="F6" s="955"/>
      <c r="G6" s="955"/>
      <c r="H6" s="955"/>
      <c r="I6" s="955"/>
      <c r="J6" s="955"/>
    </row>
    <row r="7" spans="1:15">
      <c r="A7" s="954" t="s">
        <v>121</v>
      </c>
      <c r="B7" s="954"/>
      <c r="C7" s="954"/>
      <c r="D7" s="954"/>
      <c r="E7" s="954"/>
      <c r="F7" s="954"/>
      <c r="G7" s="954"/>
      <c r="H7" s="954"/>
      <c r="I7" s="954"/>
      <c r="J7" s="954"/>
    </row>
    <row r="8" spans="1:15">
      <c r="A8" s="954" t="s">
        <v>122</v>
      </c>
      <c r="B8" s="954"/>
      <c r="C8" s="954"/>
      <c r="D8" s="954"/>
      <c r="E8" s="954"/>
      <c r="F8" s="954"/>
      <c r="G8" s="954"/>
      <c r="H8" s="954"/>
      <c r="I8" s="954"/>
      <c r="J8" s="954"/>
    </row>
    <row r="9" spans="1:15">
      <c r="A9" s="112"/>
      <c r="I9" s="112" t="s">
        <v>123</v>
      </c>
    </row>
    <row r="10" spans="1:15" ht="33" customHeight="1" thickBot="1">
      <c r="A10" s="957" t="s">
        <v>20</v>
      </c>
      <c r="B10" s="957" t="s">
        <v>124</v>
      </c>
      <c r="C10" s="956" t="s">
        <v>125</v>
      </c>
      <c r="D10" s="956"/>
      <c r="E10" s="956" t="s">
        <v>0</v>
      </c>
      <c r="F10" s="957" t="s">
        <v>14</v>
      </c>
      <c r="G10" s="956" t="s">
        <v>21</v>
      </c>
      <c r="H10" s="956"/>
      <c r="I10" s="956" t="s">
        <v>126</v>
      </c>
      <c r="J10" s="956" t="s">
        <v>127</v>
      </c>
      <c r="L10" s="611"/>
      <c r="N10" s="931" t="s">
        <v>335</v>
      </c>
      <c r="O10" s="931"/>
    </row>
    <row r="11" spans="1:15" ht="24" customHeight="1" thickBot="1">
      <c r="A11" s="958"/>
      <c r="B11" s="958"/>
      <c r="C11" s="113" t="s">
        <v>128</v>
      </c>
      <c r="D11" s="113" t="s">
        <v>129</v>
      </c>
      <c r="E11" s="956"/>
      <c r="F11" s="958"/>
      <c r="G11" s="113" t="s">
        <v>22</v>
      </c>
      <c r="H11" s="113" t="s">
        <v>23</v>
      </c>
      <c r="I11" s="956"/>
      <c r="J11" s="956"/>
      <c r="L11" s="178" t="s">
        <v>482</v>
      </c>
      <c r="N11" s="633">
        <f>IF(L11="Quý I",1,IF(L11="Quý II",4,IF(L11="Quý III",7,IF(L11="Quý IV",10,""))))</f>
        <v>7</v>
      </c>
      <c r="O11" s="633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34"/>
      <c r="O12" s="634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729446675</v>
      </c>
      <c r="J13" s="117"/>
      <c r="N13" s="635"/>
      <c r="O13" s="635"/>
    </row>
    <row r="14" spans="1:15" ht="21.75" customHeight="1">
      <c r="A14" s="120">
        <f ca="1">IF(ROWS($1:1)&gt;COUNT(Dong1),"",OFFSET(TH!C$1,SMALL(Dong1,ROWS($1:1)),))</f>
        <v>41486</v>
      </c>
      <c r="B14" s="120">
        <f ca="1">IF(ROWS($1:1)&gt;COUNT(Dong1),"",OFFSET(TH!E$1,SMALL(Dong1,ROWS($1:1)),))</f>
        <v>41486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CTGS</v>
      </c>
      <c r="E14" s="229" t="str">
        <f ca="1">IF(ROWS($1:1)&gt;COUNT(Dong1),"",OFFSET(TH!F$1,SMALL(Dong1,ROWS($1:1)),))</f>
        <v>Thanh toán tiền lương tháng 7/2013</v>
      </c>
      <c r="F14" s="124" t="str">
        <f ca="1">IF(ROWS($1:1)&gt;COUNT(Dong1),"",IF(OFFSET(TH!M$1,SMALL(Dong1,ROWS($1:1)),)="1111",OFFSET(TH!L$1,SMALL(Dong1,ROWS($1:1)),),OFFSET(TH!M$1,SMALL(Dong1,ROWS($1:1)),)))</f>
        <v>3341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0</v>
      </c>
      <c r="I14" s="121">
        <f ca="1">IF(E14&lt;&gt;"",I13+G14-H14,0)</f>
        <v>729446675</v>
      </c>
      <c r="J14" s="126"/>
      <c r="N14" s="636"/>
      <c r="O14" s="636"/>
    </row>
    <row r="15" spans="1:15" ht="21.75" customHeight="1">
      <c r="A15" s="120">
        <f ca="1">IF(ROWS($1:2)&gt;COUNT(Dong1),"",OFFSET(TH!C$1,SMALL(Dong1,ROWS($1:2)),))</f>
        <v>41517</v>
      </c>
      <c r="B15" s="120">
        <f ca="1">IF(ROWS($1:2)&gt;COUNT(Dong1),"",OFFSET(TH!E$1,SMALL(Dong1,ROWS($1:2)),))</f>
        <v>41517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CTGS</v>
      </c>
      <c r="E15" s="229" t="str">
        <f ca="1">IF(ROWS($1:2)&gt;COUNT(Dong1),"",OFFSET(TH!F$1,SMALL(Dong1,ROWS($1:2)),))</f>
        <v>Thanh toán tiền lương tháng 8/2013</v>
      </c>
      <c r="F15" s="124" t="str">
        <f ca="1">IF(ROWS($1:2)&gt;COUNT(Dong1),"",IF(OFFSET(TH!M$1,SMALL(Dong1,ROWS($1:2)),)="1111",OFFSET(TH!L$1,SMALL(Dong1,ROWS($1:2)),),OFFSET(TH!M$1,SMALL(Dong1,ROWS($1:2)),)))</f>
        <v>3341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0</v>
      </c>
      <c r="I15" s="121">
        <f t="shared" ref="I15:I62" ca="1" si="0">IF(E15&lt;&gt;"",I14+G15-H15,0)</f>
        <v>729446675</v>
      </c>
      <c r="J15" s="126"/>
      <c r="N15" s="636"/>
      <c r="O15" s="636"/>
    </row>
    <row r="16" spans="1:15" ht="21.75" customHeight="1">
      <c r="A16" s="120">
        <f ca="1">IF(ROWS($1:3)&gt;COUNT(Dong1),"",OFFSET(TH!C$1,SMALL(Dong1,ROWS($1:3)),))</f>
        <v>41547</v>
      </c>
      <c r="B16" s="120">
        <f ca="1">IF(ROWS($1:3)&gt;COUNT(Dong1),"",OFFSET(TH!E$1,SMALL(Dong1,ROWS($1:3)),))</f>
        <v>41547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CTGS</v>
      </c>
      <c r="E16" s="229" t="str">
        <f ca="1">IF(ROWS($1:3)&gt;COUNT(Dong1),"",OFFSET(TH!F$1,SMALL(Dong1,ROWS($1:3)),))</f>
        <v>Thanh toán tiền lương tháng 9/2013</v>
      </c>
      <c r="F16" s="124" t="str">
        <f ca="1">IF(ROWS($1:3)&gt;COUNT(Dong1),"",IF(OFFSET(TH!M$1,SMALL(Dong1,ROWS($1:3)),)="1111",OFFSET(TH!L$1,SMALL(Dong1,ROWS($1:3)),),OFFSET(TH!M$1,SMALL(Dong1,ROWS($1:3)),)))</f>
        <v>3341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0</v>
      </c>
      <c r="I16" s="121">
        <f t="shared" ca="1" si="0"/>
        <v>729446675</v>
      </c>
      <c r="J16" s="126"/>
      <c r="N16" s="636"/>
      <c r="O16" s="636"/>
    </row>
    <row r="17" spans="1:15" ht="21.75" customHeight="1">
      <c r="A17" s="120">
        <f ca="1">IF(ROWS($1:4)&gt;COUNT(Dong1),"",OFFSET(TH!C$1,SMALL(Dong1,ROWS($1:4)),))</f>
        <v>41465</v>
      </c>
      <c r="B17" s="120">
        <f ca="1">IF(ROWS($1:4)&gt;COUNT(Dong1),"",OFFSET(TH!E$1,SMALL(Dong1,ROWS($1:4)),))</f>
        <v>41465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C01</v>
      </c>
      <c r="E17" s="229" t="str">
        <f ca="1">IF(ROWS($1:4)&gt;COUNT(Dong1),"",OFFSET(TH!F$1,SMALL(Dong1,ROWS($1:4)),))</f>
        <v>Cước dịch vụ viễn thông</v>
      </c>
      <c r="F17" s="124" t="str">
        <f ca="1">IF(ROWS($1:4)&gt;COUNT(Dong1),"",IF(OFFSET(TH!M$1,SMALL(Dong1,ROWS($1:4)),)="1111",OFFSET(TH!L$1,SMALL(Dong1,ROWS($1:4)),),OFFSET(TH!M$1,SMALL(Dong1,ROWS($1:4)),)))</f>
        <v>642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926339</v>
      </c>
      <c r="I17" s="121">
        <f t="shared" ca="1" si="0"/>
        <v>728520336</v>
      </c>
      <c r="J17" s="126"/>
      <c r="N17" s="636"/>
      <c r="O17" s="636"/>
    </row>
    <row r="18" spans="1:15" ht="21.75" customHeight="1">
      <c r="A18" s="120">
        <f ca="1">IF(ROWS($1:5)&gt;COUNT(Dong1),"",OFFSET(TH!C$1,SMALL(Dong1,ROWS($1:5)),))</f>
        <v>41465</v>
      </c>
      <c r="B18" s="120">
        <f ca="1">IF(ROWS($1:5)&gt;COUNT(Dong1),"",OFFSET(TH!E$1,SMALL(Dong1,ROWS($1:5)),))</f>
        <v>41465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C01</v>
      </c>
      <c r="E18" s="229" t="str">
        <f ca="1">IF(ROWS($1:5)&gt;COUNT(Dong1),"",OFFSET(TH!F$1,SMALL(Dong1,ROWS($1:5)),))</f>
        <v>VAT Cước dịch vụ viễn thông</v>
      </c>
      <c r="F18" s="124" t="str">
        <f ca="1">IF(ROWS($1:5)&gt;COUNT(Dong1),"",IF(OFFSET(TH!M$1,SMALL(Dong1,ROWS($1:5)),)="1111",OFFSET(TH!L$1,SMALL(Dong1,ROWS($1:5)),),OFFSET(TH!M$1,SMALL(Dong1,ROWS($1:5)),)))</f>
        <v>1331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92633</v>
      </c>
      <c r="I18" s="121">
        <f t="shared" ca="1" si="0"/>
        <v>728427703</v>
      </c>
      <c r="J18" s="126"/>
      <c r="N18" s="636"/>
      <c r="O18" s="636"/>
    </row>
    <row r="19" spans="1:15" ht="21.75" customHeight="1">
      <c r="A19" s="120">
        <f ca="1">IF(ROWS($1:6)&gt;COUNT(Dong1),"",OFFSET(TH!C$1,SMALL(Dong1,ROWS($1:6)),))</f>
        <v>41471</v>
      </c>
      <c r="B19" s="120">
        <f ca="1">IF(ROWS($1:6)&gt;COUNT(Dong1),"",OFFSET(TH!E$1,SMALL(Dong1,ROWS($1:6)),))</f>
        <v>41471</v>
      </c>
      <c r="C19" s="121" t="str">
        <f ca="1">IF(ROWS($1:6)&gt;COUNT(Dong1),"",IF(OFFSET(TH!L$1,SMALL(Dong1,ROWS($1:6)),)="1111",OFFSET(TH!D$1,SMALL(Dong1,ROWS($1:6)),),""))</f>
        <v/>
      </c>
      <c r="D19" s="122" t="str">
        <f ca="1">IF(ROWS($1:6)&gt;COUNT(Dong1),"",IF(OFFSET(TH!M$1,SMALL(Dong1,ROWS($1:6)),)="1111",OFFSET(TH!D$1,SMALL(Dong1,ROWS($1:6)),),""))</f>
        <v>C02</v>
      </c>
      <c r="E19" s="229" t="str">
        <f ca="1">IF(ROWS($1:6)&gt;COUNT(Dong1),"",OFFSET(TH!F$1,SMALL(Dong1,ROWS($1:6)),))</f>
        <v>Chi phí chứng thư số</v>
      </c>
      <c r="F19" s="124" t="str">
        <f ca="1">IF(ROWS($1:6)&gt;COUNT(Dong1),"",IF(OFFSET(TH!M$1,SMALL(Dong1,ROWS($1:6)),)="1111",OFFSET(TH!L$1,SMALL(Dong1,ROWS($1:6)),),OFFSET(TH!M$1,SMALL(Dong1,ROWS($1:6)),)))</f>
        <v>642</v>
      </c>
      <c r="G19" s="125">
        <f ca="1">IF(ROWS($1:6)&gt;COUNT(Dong1),"",IF(OFFSET(TH!L$1,SMALL(Dong1,ROWS($1:6)),)="1111",OFFSET(TH!K$1,SMALL(Dong1,ROWS($1:6)),),0))</f>
        <v>0</v>
      </c>
      <c r="H19" s="123">
        <f ca="1">IF(ROWS($1:6)&gt;COUNT(Dong1),"",IF(OFFSET(TH!M$1,SMALL(Dong1,ROWS($1:6)),)="1111",OFFSET(TH!K$1,SMALL(Dong1,ROWS($1:6)),),0))</f>
        <v>850000</v>
      </c>
      <c r="I19" s="121">
        <f t="shared" ca="1" si="0"/>
        <v>727577703</v>
      </c>
      <c r="J19" s="126"/>
      <c r="N19" s="636"/>
      <c r="O19" s="636"/>
    </row>
    <row r="20" spans="1:15" ht="21.75" customHeight="1">
      <c r="A20" s="120">
        <f ca="1">IF(ROWS($1:7)&gt;COUNT(Dong1),"",OFFSET(TH!C$1,SMALL(Dong1,ROWS($1:7)),))</f>
        <v>41471</v>
      </c>
      <c r="B20" s="120">
        <f ca="1">IF(ROWS($1:7)&gt;COUNT(Dong1),"",OFFSET(TH!E$1,SMALL(Dong1,ROWS($1:7)),))</f>
        <v>41471</v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>C02</v>
      </c>
      <c r="E20" s="229" t="str">
        <f ca="1">IF(ROWS($1:7)&gt;COUNT(Dong1),"",OFFSET(TH!F$1,SMALL(Dong1,ROWS($1:7)),))</f>
        <v>VAT Chi phí chứng thư số</v>
      </c>
      <c r="F20" s="124" t="str">
        <f ca="1">IF(ROWS($1:7)&gt;COUNT(Dong1),"",IF(OFFSET(TH!M$1,SMALL(Dong1,ROWS($1:7)),)="1111",OFFSET(TH!L$1,SMALL(Dong1,ROWS($1:7)),),OFFSET(TH!M$1,SMALL(Dong1,ROWS($1:7)),)))</f>
        <v>1331</v>
      </c>
      <c r="G20" s="125">
        <f ca="1">IF(ROWS($1:7)&gt;COUNT(Dong1),"",IF(OFFSET(TH!L$1,SMALL(Dong1,ROWS($1:7)),)="1111",OFFSET(TH!K$1,SMALL(Dong1,ROWS($1:7)),),0))</f>
        <v>0</v>
      </c>
      <c r="H20" s="123">
        <f ca="1">IF(ROWS($1:7)&gt;COUNT(Dong1),"",IF(OFFSET(TH!M$1,SMALL(Dong1,ROWS($1:7)),)="1111",OFFSET(TH!K$1,SMALL(Dong1,ROWS($1:7)),),0))</f>
        <v>85000</v>
      </c>
      <c r="I20" s="121">
        <f t="shared" ca="1" si="0"/>
        <v>727492703</v>
      </c>
      <c r="J20" s="126"/>
      <c r="N20" s="636"/>
      <c r="O20" s="636"/>
    </row>
    <row r="21" spans="1:15" ht="21.75" customHeight="1">
      <c r="A21" s="120">
        <f ca="1">IF(ROWS($1:8)&gt;COUNT(Dong1),"",OFFSET(TH!C$1,SMALL(Dong1,ROWS($1:8)),))</f>
        <v>41479</v>
      </c>
      <c r="B21" s="120">
        <f ca="1">IF(ROWS($1:8)&gt;COUNT(Dong1),"",OFFSET(TH!E$1,SMALL(Dong1,ROWS($1:8)),))</f>
        <v>41479</v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>C03</v>
      </c>
      <c r="E21" s="229" t="str">
        <f ca="1">IF(ROWS($1:8)&gt;COUNT(Dong1),"",OFFSET(TH!F$1,SMALL(Dong1,ROWS($1:8)),))</f>
        <v>Mực in</v>
      </c>
      <c r="F21" s="124" t="str">
        <f ca="1">IF(ROWS($1:8)&gt;COUNT(Dong1),"",IF(OFFSET(TH!M$1,SMALL(Dong1,ROWS($1:8)),)="1111",OFFSET(TH!L$1,SMALL(Dong1,ROWS($1:8)),),OFFSET(TH!M$1,SMALL(Dong1,ROWS($1:8)),)))</f>
        <v>154</v>
      </c>
      <c r="G21" s="125">
        <f ca="1">IF(ROWS($1:8)&gt;COUNT(Dong1),"",IF(OFFSET(TH!L$1,SMALL(Dong1,ROWS($1:8)),)="1111",OFFSET(TH!K$1,SMALL(Dong1,ROWS($1:8)),),0))</f>
        <v>0</v>
      </c>
      <c r="H21" s="123">
        <f ca="1">IF(ROWS($1:8)&gt;COUNT(Dong1),"",IF(OFFSET(TH!M$1,SMALL(Dong1,ROWS($1:8)),)="1111",OFFSET(TH!K$1,SMALL(Dong1,ROWS($1:8)),),0))</f>
        <v>2800000</v>
      </c>
      <c r="I21" s="121">
        <f t="shared" ca="1" si="0"/>
        <v>724692703</v>
      </c>
      <c r="J21" s="126"/>
      <c r="N21" s="636"/>
      <c r="O21" s="636"/>
    </row>
    <row r="22" spans="1:15" ht="21.75" customHeight="1">
      <c r="A22" s="120">
        <f ca="1">IF(ROWS($1:9)&gt;COUNT(Dong1),"",OFFSET(TH!C$1,SMALL(Dong1,ROWS($1:9)),))</f>
        <v>41479</v>
      </c>
      <c r="B22" s="120">
        <f ca="1">IF(ROWS($1:9)&gt;COUNT(Dong1),"",OFFSET(TH!E$1,SMALL(Dong1,ROWS($1:9)),))</f>
        <v>41479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C03</v>
      </c>
      <c r="E22" s="229" t="str">
        <f ca="1">IF(ROWS($1:9)&gt;COUNT(Dong1),"",OFFSET(TH!F$1,SMALL(Dong1,ROWS($1:9)),))</f>
        <v>VAT Mực in</v>
      </c>
      <c r="F22" s="124" t="str">
        <f ca="1">IF(ROWS($1:9)&gt;COUNT(Dong1),"",IF(OFFSET(TH!M$1,SMALL(Dong1,ROWS($1:9)),)="1111",OFFSET(TH!L$1,SMALL(Dong1,ROWS($1:9)),),OFFSET(TH!M$1,SMALL(Dong1,ROWS($1:9)),)))</f>
        <v>1331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280000</v>
      </c>
      <c r="I22" s="121">
        <f t="shared" ca="1" si="0"/>
        <v>724412703</v>
      </c>
      <c r="J22" s="126"/>
      <c r="N22" s="636"/>
      <c r="O22" s="636"/>
    </row>
    <row r="23" spans="1:15" ht="21.75" customHeight="1">
      <c r="A23" s="120">
        <f ca="1">IF(ROWS($1:10)&gt;COUNT(Dong1),"",OFFSET(TH!C$1,SMALL(Dong1,ROWS($1:10)),))</f>
        <v>41480</v>
      </c>
      <c r="B23" s="120">
        <f ca="1">IF(ROWS($1:10)&gt;COUNT(Dong1),"",OFFSET(TH!E$1,SMALL(Dong1,ROWS($1:10)),))</f>
        <v>41480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C04</v>
      </c>
      <c r="E23" s="229" t="str">
        <f ca="1">IF(ROWS($1:10)&gt;COUNT(Dong1),"",OFFSET(TH!F$1,SMALL(Dong1,ROWS($1:10)),))</f>
        <v>Mực in</v>
      </c>
      <c r="F23" s="124" t="str">
        <f ca="1">IF(ROWS($1:10)&gt;COUNT(Dong1),"",IF(OFFSET(TH!M$1,SMALL(Dong1,ROWS($1:10)),)="1111",OFFSET(TH!L$1,SMALL(Dong1,ROWS($1:10)),),OFFSET(TH!M$1,SMALL(Dong1,ROWS($1:10)),)))</f>
        <v>154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660000</v>
      </c>
      <c r="I23" s="121">
        <f t="shared" ca="1" si="0"/>
        <v>723752703</v>
      </c>
      <c r="J23" s="126"/>
      <c r="N23" s="636"/>
      <c r="O23" s="636"/>
    </row>
    <row r="24" spans="1:15" ht="21.75" customHeight="1">
      <c r="A24" s="120">
        <f ca="1">IF(ROWS($1:11)&gt;COUNT(Dong1),"",OFFSET(TH!C$1,SMALL(Dong1,ROWS($1:11)),))</f>
        <v>41480</v>
      </c>
      <c r="B24" s="120">
        <f ca="1">IF(ROWS($1:11)&gt;COUNT(Dong1),"",OFFSET(TH!E$1,SMALL(Dong1,ROWS($1:11)),))</f>
        <v>41480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C04</v>
      </c>
      <c r="E24" s="229" t="str">
        <f ca="1">IF(ROWS($1:11)&gt;COUNT(Dong1),"",OFFSET(TH!F$1,SMALL(Dong1,ROWS($1:11)),))</f>
        <v>VAT Mực in</v>
      </c>
      <c r="F24" s="124" t="str">
        <f ca="1">IF(ROWS($1:11)&gt;COUNT(Dong1),"",IF(OFFSET(TH!M$1,SMALL(Dong1,ROWS($1:11)),)="1111",OFFSET(TH!L$1,SMALL(Dong1,ROWS($1:11)),),OFFSET(TH!M$1,SMALL(Dong1,ROWS($1:11)),)))</f>
        <v>1331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66000</v>
      </c>
      <c r="I24" s="121">
        <f t="shared" ca="1" si="0"/>
        <v>723686703</v>
      </c>
      <c r="J24" s="126"/>
      <c r="N24" s="636"/>
      <c r="O24" s="636"/>
    </row>
    <row r="25" spans="1:15" ht="21.75" customHeight="1">
      <c r="A25" s="120">
        <f ca="1">IF(ROWS($1:12)&gt;COUNT(Dong1),"",OFFSET(TH!C$1,SMALL(Dong1,ROWS($1:12)),))</f>
        <v>41481</v>
      </c>
      <c r="B25" s="120">
        <f ca="1">IF(ROWS($1:12)&gt;COUNT(Dong1),"",OFFSET(TH!E$1,SMALL(Dong1,ROWS($1:12)),))</f>
        <v>41481</v>
      </c>
      <c r="C25" s="121" t="str">
        <f ca="1">IF(ROWS($1:12)&gt;COUNT(Dong1),"",IF(OFFSET(TH!L$1,SMALL(Dong1,ROWS($1:12)),)="1111",OFFSET(TH!D$1,SMALL(Dong1,ROWS($1:12)),),""))</f>
        <v>T01</v>
      </c>
      <c r="D25" s="122" t="str">
        <f ca="1">IF(ROWS($1:12)&gt;COUNT(Dong1),"",IF(OFFSET(TH!M$1,SMALL(Dong1,ROWS($1:12)),)="1111",OFFSET(TH!D$1,SMALL(Dong1,ROWS($1:12)),),""))</f>
        <v/>
      </c>
      <c r="E25" s="229" t="str">
        <f ca="1">IF(ROWS($1:12)&gt;COUNT(Dong1),"",OFFSET(TH!F$1,SMALL(Dong1,ROWS($1:12)),))</f>
        <v>Chi sec nhập quỹ tiền mặt</v>
      </c>
      <c r="F25" s="124" t="str">
        <f ca="1">IF(ROWS($1:12)&gt;COUNT(Dong1),"",IF(OFFSET(TH!M$1,SMALL(Dong1,ROWS($1:12)),)="1111",OFFSET(TH!L$1,SMALL(Dong1,ROWS($1:12)),),OFFSET(TH!M$1,SMALL(Dong1,ROWS($1:12)),)))</f>
        <v>1121</v>
      </c>
      <c r="G25" s="125">
        <f ca="1">IF(ROWS($1:12)&gt;COUNT(Dong1),"",IF(OFFSET(TH!L$1,SMALL(Dong1,ROWS($1:12)),)="1111",OFFSET(TH!K$1,SMALL(Dong1,ROWS($1:12)),),0))</f>
        <v>31000000</v>
      </c>
      <c r="H25" s="123">
        <f ca="1">IF(ROWS($1:12)&gt;COUNT(Dong1),"",IF(OFFSET(TH!M$1,SMALL(Dong1,ROWS($1:12)),)="1111",OFFSET(TH!K$1,SMALL(Dong1,ROWS($1:12)),),0))</f>
        <v>0</v>
      </c>
      <c r="I25" s="121">
        <f t="shared" ca="1" si="0"/>
        <v>754686703</v>
      </c>
      <c r="J25" s="126"/>
      <c r="N25" s="636"/>
      <c r="O25" s="636"/>
    </row>
    <row r="26" spans="1:15" ht="21.75" customHeight="1">
      <c r="A26" s="120">
        <f ca="1">IF(ROWS($1:13)&gt;COUNT(Dong1),"",OFFSET(TH!C$1,SMALL(Dong1,ROWS($1:13)),))</f>
        <v>41481</v>
      </c>
      <c r="B26" s="120">
        <f ca="1">IF(ROWS($1:13)&gt;COUNT(Dong1),"",OFFSET(TH!E$1,SMALL(Dong1,ROWS($1:13)),))</f>
        <v>41481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C05</v>
      </c>
      <c r="E26" s="229" t="str">
        <f ca="1">IF(ROWS($1:13)&gt;COUNT(Dong1),"",OFFSET(TH!F$1,SMALL(Dong1,ROWS($1:13)),))</f>
        <v>Phạt vi phạm hành chánh</v>
      </c>
      <c r="F26" s="124" t="str">
        <f ca="1">IF(ROWS($1:13)&gt;COUNT(Dong1),"",IF(OFFSET(TH!M$1,SMALL(Dong1,ROWS($1:13)),)="1111",OFFSET(TH!L$1,SMALL(Dong1,ROWS($1:13)),),OFFSET(TH!M$1,SMALL(Dong1,ROWS($1:13)),)))</f>
        <v>811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670000</v>
      </c>
      <c r="I26" s="121">
        <f t="shared" ca="1" si="0"/>
        <v>754016703</v>
      </c>
      <c r="J26" s="126"/>
      <c r="N26" s="636"/>
      <c r="O26" s="636"/>
    </row>
    <row r="27" spans="1:15" ht="21.75" customHeight="1">
      <c r="A27" s="120">
        <f ca="1">IF(ROWS($1:14)&gt;COUNT(Dong1),"",OFFSET(TH!C$1,SMALL(Dong1,ROWS($1:14)),))</f>
        <v>41493</v>
      </c>
      <c r="B27" s="120">
        <f ca="1">IF(ROWS($1:14)&gt;COUNT(Dong1),"",OFFSET(TH!E$1,SMALL(Dong1,ROWS($1:14)),))</f>
        <v>41493</v>
      </c>
      <c r="C27" s="121" t="str">
        <f ca="1">IF(ROWS($1:14)&gt;COUNT(Dong1),"",IF(OFFSET(TH!L$1,SMALL(Dong1,ROWS($1:14)),)="1111",OFFSET(TH!D$1,SMALL(Dong1,ROWS($1:14)),),""))</f>
        <v>T02</v>
      </c>
      <c r="D27" s="122" t="str">
        <f ca="1">IF(ROWS($1:14)&gt;COUNT(Dong1),"",IF(OFFSET(TH!M$1,SMALL(Dong1,ROWS($1:14)),)="1111",OFFSET(TH!D$1,SMALL(Dong1,ROWS($1:14)),),""))</f>
        <v/>
      </c>
      <c r="E27" s="229" t="str">
        <f ca="1">IF(ROWS($1:14)&gt;COUNT(Dong1),"",OFFSET(TH!F$1,SMALL(Dong1,ROWS($1:14)),))</f>
        <v>Chi sec nhập quỹ tiền mặt</v>
      </c>
      <c r="F27" s="124" t="str">
        <f ca="1">IF(ROWS($1:14)&gt;COUNT(Dong1),"",IF(OFFSET(TH!M$1,SMALL(Dong1,ROWS($1:14)),)="1111",OFFSET(TH!L$1,SMALL(Dong1,ROWS($1:14)),),OFFSET(TH!M$1,SMALL(Dong1,ROWS($1:14)),)))</f>
        <v>1121</v>
      </c>
      <c r="G27" s="125">
        <f ca="1">IF(ROWS($1:14)&gt;COUNT(Dong1),"",IF(OFFSET(TH!L$1,SMALL(Dong1,ROWS($1:14)),)="1111",OFFSET(TH!K$1,SMALL(Dong1,ROWS($1:14)),),0))</f>
        <v>39000000</v>
      </c>
      <c r="H27" s="123">
        <f ca="1">IF(ROWS($1:14)&gt;COUNT(Dong1),"",IF(OFFSET(TH!M$1,SMALL(Dong1,ROWS($1:14)),)="1111",OFFSET(TH!K$1,SMALL(Dong1,ROWS($1:14)),),0))</f>
        <v>0</v>
      </c>
      <c r="I27" s="121">
        <f t="shared" ca="1" si="0"/>
        <v>793016703</v>
      </c>
      <c r="J27" s="126"/>
      <c r="N27" s="636"/>
      <c r="O27" s="636"/>
    </row>
    <row r="28" spans="1:15" ht="21.75" customHeight="1">
      <c r="A28" s="120">
        <f ca="1">IF(ROWS($1:15)&gt;COUNT(Dong1),"",OFFSET(TH!C$1,SMALL(Dong1,ROWS($1:15)),))</f>
        <v>41493</v>
      </c>
      <c r="B28" s="120">
        <f ca="1">IF(ROWS($1:15)&gt;COUNT(Dong1),"",OFFSET(TH!E$1,SMALL(Dong1,ROWS($1:15)),))</f>
        <v>41493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C06</v>
      </c>
      <c r="E28" s="229" t="str">
        <f ca="1">IF(ROWS($1:15)&gt;COUNT(Dong1),"",OFFSET(TH!F$1,SMALL(Dong1,ROWS($1:15)),))</f>
        <v>Cước dịch vụ viễn thông</v>
      </c>
      <c r="F28" s="124" t="str">
        <f ca="1">IF(ROWS($1:15)&gt;COUNT(Dong1),"",IF(OFFSET(TH!M$1,SMALL(Dong1,ROWS($1:15)),)="1111",OFFSET(TH!L$1,SMALL(Dong1,ROWS($1:15)),),OFFSET(TH!M$1,SMALL(Dong1,ROWS($1:15)),)))</f>
        <v>642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299871</v>
      </c>
      <c r="I28" s="121">
        <f t="shared" ca="1" si="0"/>
        <v>792716832</v>
      </c>
      <c r="J28" s="126"/>
      <c r="N28" s="636"/>
      <c r="O28" s="636"/>
    </row>
    <row r="29" spans="1:15" ht="21.75" customHeight="1">
      <c r="A29" s="120">
        <f ca="1">IF(ROWS($1:16)&gt;COUNT(Dong1),"",OFFSET(TH!C$1,SMALL(Dong1,ROWS($1:16)),))</f>
        <v>41493</v>
      </c>
      <c r="B29" s="120">
        <f ca="1">IF(ROWS($1:16)&gt;COUNT(Dong1),"",OFFSET(TH!E$1,SMALL(Dong1,ROWS($1:16)),))</f>
        <v>41493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C06</v>
      </c>
      <c r="E29" s="229" t="str">
        <f ca="1">IF(ROWS($1:16)&gt;COUNT(Dong1),"",OFFSET(TH!F$1,SMALL(Dong1,ROWS($1:16)),))</f>
        <v>VAT Cước dịch vụ viễn thông</v>
      </c>
      <c r="F29" s="124" t="str">
        <f ca="1">IF(ROWS($1:16)&gt;COUNT(Dong1),"",IF(OFFSET(TH!M$1,SMALL(Dong1,ROWS($1:16)),)="1111",OFFSET(TH!L$1,SMALL(Dong1,ROWS($1:16)),),OFFSET(TH!M$1,SMALL(Dong1,ROWS($1:16)),)))</f>
        <v>1331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29987</v>
      </c>
      <c r="I29" s="121">
        <f t="shared" ca="1" si="0"/>
        <v>792686845</v>
      </c>
      <c r="J29" s="126"/>
      <c r="N29" s="636"/>
      <c r="O29" s="636"/>
    </row>
    <row r="30" spans="1:15" ht="21.75" customHeight="1">
      <c r="A30" s="120">
        <f ca="1">IF(ROWS($1:17)&gt;COUNT(Dong1),"",OFFSET(TH!C$1,SMALL(Dong1,ROWS($1:17)),))</f>
        <v>41496</v>
      </c>
      <c r="B30" s="120">
        <f ca="1">IF(ROWS($1:17)&gt;COUNT(Dong1),"",OFFSET(TH!E$1,SMALL(Dong1,ROWS($1:17)),))</f>
        <v>41496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C07</v>
      </c>
      <c r="E30" s="229" t="str">
        <f ca="1">IF(ROWS($1:17)&gt;COUNT(Dong1),"",OFFSET(TH!F$1,SMALL(Dong1,ROWS($1:17)),))</f>
        <v>Mực in</v>
      </c>
      <c r="F30" s="124" t="str">
        <f ca="1">IF(ROWS($1:17)&gt;COUNT(Dong1),"",IF(OFFSET(TH!M$1,SMALL(Dong1,ROWS($1:17)),)="1111",OFFSET(TH!L$1,SMALL(Dong1,ROWS($1:17)),),OFFSET(TH!M$1,SMALL(Dong1,ROWS($1:17)),)))</f>
        <v>154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3900000</v>
      </c>
      <c r="I30" s="121">
        <f t="shared" ca="1" si="0"/>
        <v>788786845</v>
      </c>
      <c r="J30" s="126"/>
      <c r="N30" s="636"/>
      <c r="O30" s="636"/>
    </row>
    <row r="31" spans="1:15" ht="21.75" customHeight="1">
      <c r="A31" s="120">
        <f ca="1">IF(ROWS($1:18)&gt;COUNT(Dong1),"",OFFSET(TH!C$1,SMALL(Dong1,ROWS($1:18)),))</f>
        <v>41496</v>
      </c>
      <c r="B31" s="120">
        <f ca="1">IF(ROWS($1:18)&gt;COUNT(Dong1),"",OFFSET(TH!E$1,SMALL(Dong1,ROWS($1:18)),))</f>
        <v>41496</v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>C07</v>
      </c>
      <c r="E31" s="229" t="str">
        <f ca="1">IF(ROWS($1:18)&gt;COUNT(Dong1),"",OFFSET(TH!F$1,SMALL(Dong1,ROWS($1:18)),))</f>
        <v>VAT Mực in</v>
      </c>
      <c r="F31" s="124" t="str">
        <f ca="1">IF(ROWS($1:18)&gt;COUNT(Dong1),"",IF(OFFSET(TH!M$1,SMALL(Dong1,ROWS($1:18)),)="1111",OFFSET(TH!L$1,SMALL(Dong1,ROWS($1:18)),),OFFSET(TH!M$1,SMALL(Dong1,ROWS($1:18)),)))</f>
        <v>1331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390000</v>
      </c>
      <c r="I31" s="121">
        <f t="shared" ca="1" si="0"/>
        <v>788396845</v>
      </c>
      <c r="J31" s="126"/>
      <c r="N31" s="636"/>
      <c r="O31" s="636"/>
    </row>
    <row r="32" spans="1:15" ht="21.75" customHeight="1">
      <c r="A32" s="120">
        <f ca="1">IF(ROWS($1:19)&gt;COUNT(Dong1),"",OFFSET(TH!C$1,SMALL(Dong1,ROWS($1:19)),))</f>
        <v>41502</v>
      </c>
      <c r="B32" s="120">
        <f ca="1">IF(ROWS($1:19)&gt;COUNT(Dong1),"",OFFSET(TH!E$1,SMALL(Dong1,ROWS($1:19)),))</f>
        <v>41502</v>
      </c>
      <c r="C32" s="121" t="str">
        <f ca="1">IF(ROWS($1:19)&gt;COUNT(Dong1),"",IF(OFFSET(TH!L$1,SMALL(Dong1,ROWS($1:19)),)="1111",OFFSET(TH!D$1,SMALL(Dong1,ROWS($1:19)),),""))</f>
        <v>T03</v>
      </c>
      <c r="D32" s="122" t="str">
        <f ca="1">IF(ROWS($1:19)&gt;COUNT(Dong1),"",IF(OFFSET(TH!M$1,SMALL(Dong1,ROWS($1:19)),)="1111",OFFSET(TH!D$1,SMALL(Dong1,ROWS($1:19)),),""))</f>
        <v/>
      </c>
      <c r="E32" s="229" t="str">
        <f ca="1">IF(ROWS($1:19)&gt;COUNT(Dong1),"",OFFSET(TH!F$1,SMALL(Dong1,ROWS($1:19)),))</f>
        <v>Chi sec nhập quỹ tiền mặt</v>
      </c>
      <c r="F32" s="124" t="str">
        <f ca="1">IF(ROWS($1:19)&gt;COUNT(Dong1),"",IF(OFFSET(TH!M$1,SMALL(Dong1,ROWS($1:19)),)="1111",OFFSET(TH!L$1,SMALL(Dong1,ROWS($1:19)),),OFFSET(TH!M$1,SMALL(Dong1,ROWS($1:19)),)))</f>
        <v>1121</v>
      </c>
      <c r="G32" s="125">
        <f ca="1">IF(ROWS($1:19)&gt;COUNT(Dong1),"",IF(OFFSET(TH!L$1,SMALL(Dong1,ROWS($1:19)),)="1111",OFFSET(TH!K$1,SMALL(Dong1,ROWS($1:19)),),0))</f>
        <v>35600000</v>
      </c>
      <c r="H32" s="123">
        <f ca="1">IF(ROWS($1:19)&gt;COUNT(Dong1),"",IF(OFFSET(TH!M$1,SMALL(Dong1,ROWS($1:19)),)="1111",OFFSET(TH!K$1,SMALL(Dong1,ROWS($1:19)),),0))</f>
        <v>0</v>
      </c>
      <c r="I32" s="121">
        <f t="shared" ca="1" si="0"/>
        <v>823996845</v>
      </c>
      <c r="J32" s="126"/>
      <c r="N32" s="636"/>
      <c r="O32" s="636"/>
    </row>
    <row r="33" spans="1:15" ht="21.75" customHeight="1">
      <c r="A33" s="120">
        <f ca="1">IF(ROWS($1:20)&gt;COUNT(Dong1),"",OFFSET(TH!C$1,SMALL(Dong1,ROWS($1:20)),))</f>
        <v>41509</v>
      </c>
      <c r="B33" s="120">
        <f ca="1">IF(ROWS($1:20)&gt;COUNT(Dong1),"",OFFSET(TH!E$1,SMALL(Dong1,ROWS($1:20)),))</f>
        <v>41509</v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>C08</v>
      </c>
      <c r="E33" s="229" t="str">
        <f ca="1">IF(ROWS($1:20)&gt;COUNT(Dong1),"",OFFSET(TH!F$1,SMALL(Dong1,ROWS($1:20)),))</f>
        <v>Mực in</v>
      </c>
      <c r="F33" s="124" t="str">
        <f ca="1">IF(ROWS($1:20)&gt;COUNT(Dong1),"",IF(OFFSET(TH!M$1,SMALL(Dong1,ROWS($1:20)),)="1111",OFFSET(TH!L$1,SMALL(Dong1,ROWS($1:20)),),OFFSET(TH!M$1,SMALL(Dong1,ROWS($1:20)),)))</f>
        <v>154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1000000</v>
      </c>
      <c r="I33" s="121">
        <f t="shared" ca="1" si="0"/>
        <v>822996845</v>
      </c>
      <c r="J33" s="126"/>
      <c r="N33" s="636"/>
      <c r="O33" s="636"/>
    </row>
    <row r="34" spans="1:15" ht="21.75" customHeight="1">
      <c r="A34" s="120">
        <f ca="1">IF(ROWS($1:21)&gt;COUNT(Dong1),"",OFFSET(TH!C$1,SMALL(Dong1,ROWS($1:21)),))</f>
        <v>41509</v>
      </c>
      <c r="B34" s="120">
        <f ca="1">IF(ROWS($1:21)&gt;COUNT(Dong1),"",OFFSET(TH!E$1,SMALL(Dong1,ROWS($1:21)),))</f>
        <v>41509</v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>C08</v>
      </c>
      <c r="E34" s="229" t="str">
        <f ca="1">IF(ROWS($1:21)&gt;COUNT(Dong1),"",OFFSET(TH!F$1,SMALL(Dong1,ROWS($1:21)),))</f>
        <v>VAT Mực in</v>
      </c>
      <c r="F34" s="124" t="str">
        <f ca="1">IF(ROWS($1:21)&gt;COUNT(Dong1),"",IF(OFFSET(TH!M$1,SMALL(Dong1,ROWS($1:21)),)="1111",OFFSET(TH!L$1,SMALL(Dong1,ROWS($1:21)),),OFFSET(TH!M$1,SMALL(Dong1,ROWS($1:21)),)))</f>
        <v>1331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100000</v>
      </c>
      <c r="I34" s="121">
        <f t="shared" ca="1" si="0"/>
        <v>822896845</v>
      </c>
      <c r="J34" s="126"/>
      <c r="N34" s="636"/>
      <c r="O34" s="636"/>
    </row>
    <row r="35" spans="1:15" ht="21.75" customHeight="1">
      <c r="A35" s="120">
        <f ca="1">IF(ROWS($1:22)&gt;COUNT(Dong1),"",OFFSET(TH!C$1,SMALL(Dong1,ROWS($1:22)),))</f>
        <v>41512</v>
      </c>
      <c r="B35" s="120">
        <f ca="1">IF(ROWS($1:22)&gt;COUNT(Dong1),"",OFFSET(TH!E$1,SMALL(Dong1,ROWS($1:22)),))</f>
        <v>41512</v>
      </c>
      <c r="C35" s="121" t="str">
        <f ca="1">IF(ROWS($1:22)&gt;COUNT(Dong1),"",IF(OFFSET(TH!L$1,SMALL(Dong1,ROWS($1:22)),)="1111",OFFSET(TH!D$1,SMALL(Dong1,ROWS($1:22)),),""))</f>
        <v>T04</v>
      </c>
      <c r="D35" s="122" t="str">
        <f ca="1">IF(ROWS($1:22)&gt;COUNT(Dong1),"",IF(OFFSET(TH!M$1,SMALL(Dong1,ROWS($1:22)),)="1111",OFFSET(TH!D$1,SMALL(Dong1,ROWS($1:22)),),""))</f>
        <v/>
      </c>
      <c r="E35" s="229" t="str">
        <f ca="1">IF(ROWS($1:22)&gt;COUNT(Dong1),"",OFFSET(TH!F$1,SMALL(Dong1,ROWS($1:22)),))</f>
        <v>Chi sec nhập quỹ tiền mặt</v>
      </c>
      <c r="F35" s="124" t="str">
        <f ca="1">IF(ROWS($1:22)&gt;COUNT(Dong1),"",IF(OFFSET(TH!M$1,SMALL(Dong1,ROWS($1:22)),)="1111",OFFSET(TH!L$1,SMALL(Dong1,ROWS($1:22)),),OFFSET(TH!M$1,SMALL(Dong1,ROWS($1:22)),)))</f>
        <v>1121</v>
      </c>
      <c r="G35" s="125">
        <f ca="1">IF(ROWS($1:22)&gt;COUNT(Dong1),"",IF(OFFSET(TH!L$1,SMALL(Dong1,ROWS($1:22)),)="1111",OFFSET(TH!K$1,SMALL(Dong1,ROWS($1:22)),),0))</f>
        <v>75500000</v>
      </c>
      <c r="H35" s="123">
        <f ca="1">IF(ROWS($1:22)&gt;COUNT(Dong1),"",IF(OFFSET(TH!M$1,SMALL(Dong1,ROWS($1:22)),)="1111",OFFSET(TH!K$1,SMALL(Dong1,ROWS($1:22)),),0))</f>
        <v>0</v>
      </c>
      <c r="I35" s="121">
        <f t="shared" ca="1" si="0"/>
        <v>898396845</v>
      </c>
      <c r="J35" s="126"/>
      <c r="N35" s="636"/>
      <c r="O35" s="636"/>
    </row>
    <row r="36" spans="1:15" ht="21.75" customHeight="1">
      <c r="A36" s="120">
        <f ca="1">IF(ROWS($1:23)&gt;COUNT(Dong1),"",OFFSET(TH!C$1,SMALL(Dong1,ROWS($1:23)),))</f>
        <v>41517</v>
      </c>
      <c r="B36" s="120">
        <f ca="1">IF(ROWS($1:23)&gt;COUNT(Dong1),"",OFFSET(TH!E$1,SMALL(Dong1,ROWS($1:23)),))</f>
        <v>41517</v>
      </c>
      <c r="C36" s="121" t="str">
        <f ca="1">IF(ROWS($1:23)&gt;COUNT(Dong1),"",IF(OFFSET(TH!L$1,SMALL(Dong1,ROWS($1:23)),)="1111",OFFSET(TH!D$1,SMALL(Dong1,ROWS($1:23)),),""))</f>
        <v>T05</v>
      </c>
      <c r="D36" s="122" t="str">
        <f ca="1">IF(ROWS($1:23)&gt;COUNT(Dong1),"",IF(OFFSET(TH!M$1,SMALL(Dong1,ROWS($1:23)),)="1111",OFFSET(TH!D$1,SMALL(Dong1,ROWS($1:23)),),""))</f>
        <v/>
      </c>
      <c r="E36" s="229" t="str">
        <f ca="1">IF(ROWS($1:23)&gt;COUNT(Dong1),"",OFFSET(TH!F$1,SMALL(Dong1,ROWS($1:23)),))</f>
        <v>Chi sec nhập quỹ tiền mặt</v>
      </c>
      <c r="F36" s="124" t="str">
        <f ca="1">IF(ROWS($1:23)&gt;COUNT(Dong1),"",IF(OFFSET(TH!M$1,SMALL(Dong1,ROWS($1:23)),)="1111",OFFSET(TH!L$1,SMALL(Dong1,ROWS($1:23)),),OFFSET(TH!M$1,SMALL(Dong1,ROWS($1:23)),)))</f>
        <v>1121</v>
      </c>
      <c r="G36" s="125">
        <f ca="1">IF(ROWS($1:23)&gt;COUNT(Dong1),"",IF(OFFSET(TH!L$1,SMALL(Dong1,ROWS($1:23)),)="1111",OFFSET(TH!K$1,SMALL(Dong1,ROWS($1:23)),),0))</f>
        <v>16700000</v>
      </c>
      <c r="H36" s="123">
        <f ca="1">IF(ROWS($1:23)&gt;COUNT(Dong1),"",IF(OFFSET(TH!M$1,SMALL(Dong1,ROWS($1:23)),)="1111",OFFSET(TH!K$1,SMALL(Dong1,ROWS($1:23)),),0))</f>
        <v>0</v>
      </c>
      <c r="I36" s="121">
        <f t="shared" ca="1" si="0"/>
        <v>915096845</v>
      </c>
      <c r="J36" s="126"/>
      <c r="N36" s="636"/>
      <c r="O36" s="636"/>
    </row>
    <row r="37" spans="1:15" ht="21.75" customHeight="1">
      <c r="A37" s="120">
        <f ca="1">IF(ROWS($1:24)&gt;COUNT(Dong1),"",OFFSET(TH!C$1,SMALL(Dong1,ROWS($1:24)),))</f>
        <v>41522</v>
      </c>
      <c r="B37" s="120">
        <f ca="1">IF(ROWS($1:24)&gt;COUNT(Dong1),"",OFFSET(TH!E$1,SMALL(Dong1,ROWS($1:24)),))</f>
        <v>41522</v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>C09</v>
      </c>
      <c r="E37" s="229" t="str">
        <f ca="1">IF(ROWS($1:24)&gt;COUNT(Dong1),"",OFFSET(TH!F$1,SMALL(Dong1,ROWS($1:24)),))</f>
        <v>Cước dịch vụ viễn thông</v>
      </c>
      <c r="F37" s="124" t="str">
        <f ca="1">IF(ROWS($1:24)&gt;COUNT(Dong1),"",IF(OFFSET(TH!M$1,SMALL(Dong1,ROWS($1:24)),)="1111",OFFSET(TH!L$1,SMALL(Dong1,ROWS($1:24)),),OFFSET(TH!M$1,SMALL(Dong1,ROWS($1:24)),)))</f>
        <v>642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451401</v>
      </c>
      <c r="I37" s="121">
        <f t="shared" ca="1" si="0"/>
        <v>914645444</v>
      </c>
      <c r="J37" s="126"/>
      <c r="N37" s="636"/>
      <c r="O37" s="636"/>
    </row>
    <row r="38" spans="1:15" ht="21.75" customHeight="1">
      <c r="A38" s="120">
        <f ca="1">IF(ROWS($1:25)&gt;COUNT(Dong1),"",OFFSET(TH!C$1,SMALL(Dong1,ROWS($1:25)),))</f>
        <v>41522</v>
      </c>
      <c r="B38" s="120">
        <f ca="1">IF(ROWS($1:25)&gt;COUNT(Dong1),"",OFFSET(TH!E$1,SMALL(Dong1,ROWS($1:25)),))</f>
        <v>41522</v>
      </c>
      <c r="C38" s="121" t="str">
        <f ca="1">IF(ROWS($1:25)&gt;COUNT(Dong1),"",IF(OFFSET(TH!L$1,SMALL(Dong1,ROWS($1:25)),)="1111",OFFSET(TH!D$1,SMALL(Dong1,ROWS($1:25)),),""))</f>
        <v/>
      </c>
      <c r="D38" s="122" t="str">
        <f ca="1">IF(ROWS($1:25)&gt;COUNT(Dong1),"",IF(OFFSET(TH!M$1,SMALL(Dong1,ROWS($1:25)),)="1111",OFFSET(TH!D$1,SMALL(Dong1,ROWS($1:25)),),""))</f>
        <v>C09</v>
      </c>
      <c r="E38" s="229" t="str">
        <f ca="1">IF(ROWS($1:25)&gt;COUNT(Dong1),"",OFFSET(TH!F$1,SMALL(Dong1,ROWS($1:25)),))</f>
        <v>VAT Cước dịch vụ viễn thông</v>
      </c>
      <c r="F38" s="124" t="str">
        <f ca="1">IF(ROWS($1:25)&gt;COUNT(Dong1),"",IF(OFFSET(TH!M$1,SMALL(Dong1,ROWS($1:25)),)="1111",OFFSET(TH!L$1,SMALL(Dong1,ROWS($1:25)),),OFFSET(TH!M$1,SMALL(Dong1,ROWS($1:25)),)))</f>
        <v>1331</v>
      </c>
      <c r="G38" s="125">
        <f ca="1">IF(ROWS($1:25)&gt;COUNT(Dong1),"",IF(OFFSET(TH!L$1,SMALL(Dong1,ROWS($1:25)),)="1111",OFFSET(TH!K$1,SMALL(Dong1,ROWS($1:25)),),0))</f>
        <v>0</v>
      </c>
      <c r="H38" s="123">
        <f ca="1">IF(ROWS($1:25)&gt;COUNT(Dong1),"",IF(OFFSET(TH!M$1,SMALL(Dong1,ROWS($1:25)),)="1111",OFFSET(TH!K$1,SMALL(Dong1,ROWS($1:25)),),0))</f>
        <v>45139</v>
      </c>
      <c r="I38" s="121">
        <f t="shared" ca="1" si="0"/>
        <v>914600305</v>
      </c>
      <c r="J38" s="126"/>
      <c r="N38" s="636"/>
      <c r="O38" s="636"/>
    </row>
    <row r="39" spans="1:15" ht="21.75" customHeight="1">
      <c r="A39" s="120">
        <f ca="1">IF(ROWS($1:26)&gt;COUNT(Dong1),"",OFFSET(TH!C$1,SMALL(Dong1,ROWS($1:26)),))</f>
        <v>41528</v>
      </c>
      <c r="B39" s="120">
        <f ca="1">IF(ROWS($1:26)&gt;COUNT(Dong1),"",OFFSET(TH!E$1,SMALL(Dong1,ROWS($1:26)),))</f>
        <v>41528</v>
      </c>
      <c r="C39" s="121" t="str">
        <f ca="1">IF(ROWS($1:26)&gt;COUNT(Dong1),"",IF(OFFSET(TH!L$1,SMALL(Dong1,ROWS($1:26)),)="1111",OFFSET(TH!D$1,SMALL(Dong1,ROWS($1:26)),),""))</f>
        <v>T06</v>
      </c>
      <c r="D39" s="122" t="str">
        <f ca="1">IF(ROWS($1:26)&gt;COUNT(Dong1),"",IF(OFFSET(TH!M$1,SMALL(Dong1,ROWS($1:26)),)="1111",OFFSET(TH!D$1,SMALL(Dong1,ROWS($1:26)),),""))</f>
        <v/>
      </c>
      <c r="E39" s="229" t="str">
        <f ca="1">IF(ROWS($1:26)&gt;COUNT(Dong1),"",OFFSET(TH!F$1,SMALL(Dong1,ROWS($1:26)),))</f>
        <v>Chi sec nhập quỹ tiền mặt</v>
      </c>
      <c r="F39" s="124" t="str">
        <f ca="1">IF(ROWS($1:26)&gt;COUNT(Dong1),"",IF(OFFSET(TH!M$1,SMALL(Dong1,ROWS($1:26)),)="1111",OFFSET(TH!L$1,SMALL(Dong1,ROWS($1:26)),),OFFSET(TH!M$1,SMALL(Dong1,ROWS($1:26)),)))</f>
        <v>1121</v>
      </c>
      <c r="G39" s="125">
        <f ca="1">IF(ROWS($1:26)&gt;COUNT(Dong1),"",IF(OFFSET(TH!L$1,SMALL(Dong1,ROWS($1:26)),)="1111",OFFSET(TH!K$1,SMALL(Dong1,ROWS($1:26)),),0))</f>
        <v>28800000</v>
      </c>
      <c r="H39" s="123">
        <f ca="1">IF(ROWS($1:26)&gt;COUNT(Dong1),"",IF(OFFSET(TH!M$1,SMALL(Dong1,ROWS($1:26)),)="1111",OFFSET(TH!K$1,SMALL(Dong1,ROWS($1:26)),),0))</f>
        <v>0</v>
      </c>
      <c r="I39" s="121">
        <f t="shared" ca="1" si="0"/>
        <v>943400305</v>
      </c>
      <c r="J39" s="126"/>
      <c r="N39" s="636"/>
      <c r="O39" s="636"/>
    </row>
    <row r="40" spans="1:15" ht="21.75" customHeight="1">
      <c r="A40" s="120">
        <f ca="1">IF(ROWS($1:27)&gt;COUNT(Dong1),"",OFFSET(TH!C$1,SMALL(Dong1,ROWS($1:27)),))</f>
        <v>41535</v>
      </c>
      <c r="B40" s="120">
        <f ca="1">IF(ROWS($1:27)&gt;COUNT(Dong1),"",OFFSET(TH!E$1,SMALL(Dong1,ROWS($1:27)),))</f>
        <v>41535</v>
      </c>
      <c r="C40" s="121" t="str">
        <f ca="1">IF(ROWS($1:27)&gt;COUNT(Dong1),"",IF(OFFSET(TH!L$1,SMALL(Dong1,ROWS($1:27)),)="1111",OFFSET(TH!D$1,SMALL(Dong1,ROWS($1:27)),),""))</f>
        <v>T07</v>
      </c>
      <c r="D40" s="122" t="str">
        <f ca="1">IF(ROWS($1:27)&gt;COUNT(Dong1),"",IF(OFFSET(TH!M$1,SMALL(Dong1,ROWS($1:27)),)="1111",OFFSET(TH!D$1,SMALL(Dong1,ROWS($1:27)),),""))</f>
        <v/>
      </c>
      <c r="E40" s="229" t="str">
        <f ca="1">IF(ROWS($1:27)&gt;COUNT(Dong1),"",OFFSET(TH!F$1,SMALL(Dong1,ROWS($1:27)),))</f>
        <v>Chi sec nhập quỹ tiền mặt</v>
      </c>
      <c r="F40" s="124" t="str">
        <f ca="1">IF(ROWS($1:27)&gt;COUNT(Dong1),"",IF(OFFSET(TH!M$1,SMALL(Dong1,ROWS($1:27)),)="1111",OFFSET(TH!L$1,SMALL(Dong1,ROWS($1:27)),),OFFSET(TH!M$1,SMALL(Dong1,ROWS($1:27)),)))</f>
        <v>1121</v>
      </c>
      <c r="G40" s="125">
        <f ca="1">IF(ROWS($1:27)&gt;COUNT(Dong1),"",IF(OFFSET(TH!L$1,SMALL(Dong1,ROWS($1:27)),)="1111",OFFSET(TH!K$1,SMALL(Dong1,ROWS($1:27)),),0))</f>
        <v>21500000</v>
      </c>
      <c r="H40" s="123">
        <f ca="1">IF(ROWS($1:27)&gt;COUNT(Dong1),"",IF(OFFSET(TH!M$1,SMALL(Dong1,ROWS($1:27)),)="1111",OFFSET(TH!K$1,SMALL(Dong1,ROWS($1:27)),),0))</f>
        <v>0</v>
      </c>
      <c r="I40" s="121">
        <f t="shared" ca="1" si="0"/>
        <v>964900305</v>
      </c>
      <c r="J40" s="126"/>
      <c r="N40" s="636"/>
      <c r="O40" s="636"/>
    </row>
    <row r="41" spans="1:15" ht="21.75" customHeight="1">
      <c r="A41" s="120">
        <f ca="1">IF(ROWS($1:28)&gt;COUNT(Dong1),"",OFFSET(TH!C$1,SMALL(Dong1,ROWS($1:28)),))</f>
        <v>41537</v>
      </c>
      <c r="B41" s="120">
        <f ca="1">IF(ROWS($1:28)&gt;COUNT(Dong1),"",OFFSET(TH!E$1,SMALL(Dong1,ROWS($1:28)),))</f>
        <v>41537</v>
      </c>
      <c r="C41" s="121" t="str">
        <f ca="1">IF(ROWS($1:28)&gt;COUNT(Dong1),"",IF(OFFSET(TH!L$1,SMALL(Dong1,ROWS($1:28)),)="1111",OFFSET(TH!D$1,SMALL(Dong1,ROWS($1:28)),),""))</f>
        <v>T08</v>
      </c>
      <c r="D41" s="122" t="str">
        <f ca="1">IF(ROWS($1:28)&gt;COUNT(Dong1),"",IF(OFFSET(TH!M$1,SMALL(Dong1,ROWS($1:28)),)="1111",OFFSET(TH!D$1,SMALL(Dong1,ROWS($1:28)),),""))</f>
        <v/>
      </c>
      <c r="E41" s="229" t="str">
        <f ca="1">IF(ROWS($1:28)&gt;COUNT(Dong1),"",OFFSET(TH!F$1,SMALL(Dong1,ROWS($1:28)),))</f>
        <v>Chi sec nhập quỹ tiền mặt</v>
      </c>
      <c r="F41" s="124" t="str">
        <f ca="1">IF(ROWS($1:28)&gt;COUNT(Dong1),"",IF(OFFSET(TH!M$1,SMALL(Dong1,ROWS($1:28)),)="1111",OFFSET(TH!L$1,SMALL(Dong1,ROWS($1:28)),),OFFSET(TH!M$1,SMALL(Dong1,ROWS($1:28)),)))</f>
        <v>1121</v>
      </c>
      <c r="G41" s="125">
        <f ca="1">IF(ROWS($1:28)&gt;COUNT(Dong1),"",IF(OFFSET(TH!L$1,SMALL(Dong1,ROWS($1:28)),)="1111",OFFSET(TH!K$1,SMALL(Dong1,ROWS($1:28)),),0))</f>
        <v>26000000</v>
      </c>
      <c r="H41" s="123">
        <f ca="1">IF(ROWS($1:28)&gt;COUNT(Dong1),"",IF(OFFSET(TH!M$1,SMALL(Dong1,ROWS($1:28)),)="1111",OFFSET(TH!K$1,SMALL(Dong1,ROWS($1:28)),),0))</f>
        <v>0</v>
      </c>
      <c r="I41" s="121">
        <f t="shared" ca="1" si="0"/>
        <v>990900305</v>
      </c>
      <c r="J41" s="126"/>
      <c r="N41" s="636"/>
      <c r="O41" s="636"/>
    </row>
    <row r="42" spans="1:15" ht="21.75" customHeight="1">
      <c r="A42" s="120">
        <f ca="1">IF(ROWS($1:29)&gt;COUNT(Dong1),"",OFFSET(TH!C$1,SMALL(Dong1,ROWS($1:29)),))</f>
        <v>41540</v>
      </c>
      <c r="B42" s="120">
        <f ca="1">IF(ROWS($1:29)&gt;COUNT(Dong1),"",OFFSET(TH!E$1,SMALL(Dong1,ROWS($1:29)),))</f>
        <v>41540</v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>C10</v>
      </c>
      <c r="E42" s="229" t="str">
        <f ca="1">IF(ROWS($1:29)&gt;COUNT(Dong1),"",OFFSET(TH!F$1,SMALL(Dong1,ROWS($1:29)),))</f>
        <v>Mực in</v>
      </c>
      <c r="F42" s="124" t="str">
        <f ca="1">IF(ROWS($1:29)&gt;COUNT(Dong1),"",IF(OFFSET(TH!M$1,SMALL(Dong1,ROWS($1:29)),)="1111",OFFSET(TH!L$1,SMALL(Dong1,ROWS($1:29)),),OFFSET(TH!M$1,SMALL(Dong1,ROWS($1:29)),)))</f>
        <v>154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1680000</v>
      </c>
      <c r="I42" s="121">
        <f t="shared" ca="1" si="0"/>
        <v>989220305</v>
      </c>
      <c r="J42" s="126"/>
      <c r="N42" s="636"/>
      <c r="O42" s="636"/>
    </row>
    <row r="43" spans="1:15" ht="21.75" customHeight="1">
      <c r="A43" s="120">
        <f ca="1">IF(ROWS($1:30)&gt;COUNT(Dong1),"",OFFSET(TH!C$1,SMALL(Dong1,ROWS($1:30)),))</f>
        <v>41540</v>
      </c>
      <c r="B43" s="120">
        <f ca="1">IF(ROWS($1:30)&gt;COUNT(Dong1),"",OFFSET(TH!E$1,SMALL(Dong1,ROWS($1:30)),))</f>
        <v>41540</v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>C10</v>
      </c>
      <c r="E43" s="229" t="str">
        <f ca="1">IF(ROWS($1:30)&gt;COUNT(Dong1),"",OFFSET(TH!F$1,SMALL(Dong1,ROWS($1:30)),))</f>
        <v>VAT Mực in</v>
      </c>
      <c r="F43" s="124" t="str">
        <f ca="1">IF(ROWS($1:30)&gt;COUNT(Dong1),"",IF(OFFSET(TH!M$1,SMALL(Dong1,ROWS($1:30)),)="1111",OFFSET(TH!L$1,SMALL(Dong1,ROWS($1:30)),),OFFSET(TH!M$1,SMALL(Dong1,ROWS($1:30)),)))</f>
        <v>1331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168000</v>
      </c>
      <c r="I43" s="121">
        <f t="shared" ca="1" si="0"/>
        <v>989052305</v>
      </c>
      <c r="J43" s="126"/>
      <c r="N43" s="636"/>
      <c r="O43" s="636"/>
    </row>
    <row r="44" spans="1:15" ht="21.75" customHeight="1">
      <c r="A44" s="120">
        <f ca="1">IF(ROWS($1:31)&gt;COUNT(Dong1),"",OFFSET(TH!C$1,SMALL(Dong1,ROWS($1:31)),))</f>
        <v>41542</v>
      </c>
      <c r="B44" s="120">
        <f ca="1">IF(ROWS($1:31)&gt;COUNT(Dong1),"",OFFSET(TH!E$1,SMALL(Dong1,ROWS($1:31)),))</f>
        <v>41542</v>
      </c>
      <c r="C44" s="121" t="str">
        <f ca="1">IF(ROWS($1:31)&gt;COUNT(Dong1),"",IF(OFFSET(TH!L$1,SMALL(Dong1,ROWS($1:31)),)="1111",OFFSET(TH!D$1,SMALL(Dong1,ROWS($1:31)),),""))</f>
        <v>T09</v>
      </c>
      <c r="D44" s="122" t="str">
        <f ca="1">IF(ROWS($1:31)&gt;COUNT(Dong1),"",IF(OFFSET(TH!M$1,SMALL(Dong1,ROWS($1:31)),)="1111",OFFSET(TH!D$1,SMALL(Dong1,ROWS($1:31)),),""))</f>
        <v/>
      </c>
      <c r="E44" s="229" t="str">
        <f ca="1">IF(ROWS($1:31)&gt;COUNT(Dong1),"",OFFSET(TH!F$1,SMALL(Dong1,ROWS($1:31)),))</f>
        <v>Chi sec nhập quỹ tiền mặt</v>
      </c>
      <c r="F44" s="124" t="str">
        <f ca="1">IF(ROWS($1:31)&gt;COUNT(Dong1),"",IF(OFFSET(TH!M$1,SMALL(Dong1,ROWS($1:31)),)="1111",OFFSET(TH!L$1,SMALL(Dong1,ROWS($1:31)),),OFFSET(TH!M$1,SMALL(Dong1,ROWS($1:31)),)))</f>
        <v>1121</v>
      </c>
      <c r="G44" s="125">
        <f ca="1">IF(ROWS($1:31)&gt;COUNT(Dong1),"",IF(OFFSET(TH!L$1,SMALL(Dong1,ROWS($1:31)),)="1111",OFFSET(TH!K$1,SMALL(Dong1,ROWS($1:31)),),0))</f>
        <v>12900000</v>
      </c>
      <c r="H44" s="123">
        <f ca="1">IF(ROWS($1:31)&gt;COUNT(Dong1),"",IF(OFFSET(TH!M$1,SMALL(Dong1,ROWS($1:31)),)="1111",OFFSET(TH!K$1,SMALL(Dong1,ROWS($1:31)),),0))</f>
        <v>0</v>
      </c>
      <c r="I44" s="121">
        <f t="shared" ca="1" si="0"/>
        <v>1001952305</v>
      </c>
      <c r="J44" s="126"/>
      <c r="N44" s="636"/>
      <c r="O44" s="636"/>
    </row>
    <row r="45" spans="1:15" ht="21.75" customHeight="1">
      <c r="A45" s="120">
        <f ca="1">IF(ROWS($1:32)&gt;COUNT(Dong1),"",OFFSET(TH!C$1,SMALL(Dong1,ROWS($1:32)),))</f>
        <v>41543</v>
      </c>
      <c r="B45" s="120">
        <f ca="1">IF(ROWS($1:32)&gt;COUNT(Dong1),"",OFFSET(TH!E$1,SMALL(Dong1,ROWS($1:32)),))</f>
        <v>41543</v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>C11</v>
      </c>
      <c r="E45" s="229" t="str">
        <f ca="1">IF(ROWS($1:32)&gt;COUNT(Dong1),"",OFFSET(TH!F$1,SMALL(Dong1,ROWS($1:32)),))</f>
        <v>Mực in</v>
      </c>
      <c r="F45" s="124" t="str">
        <f ca="1">IF(ROWS($1:32)&gt;COUNT(Dong1),"",IF(OFFSET(TH!M$1,SMALL(Dong1,ROWS($1:32)),)="1111",OFFSET(TH!L$1,SMALL(Dong1,ROWS($1:32)),),OFFSET(TH!M$1,SMALL(Dong1,ROWS($1:32)),)))</f>
        <v>154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4020000</v>
      </c>
      <c r="I45" s="121">
        <f t="shared" ca="1" si="0"/>
        <v>997932305</v>
      </c>
      <c r="J45" s="126"/>
      <c r="N45" s="636"/>
      <c r="O45" s="636"/>
    </row>
    <row r="46" spans="1:15" ht="21.75" customHeight="1">
      <c r="A46" s="120">
        <f ca="1">IF(ROWS($1:33)&gt;COUNT(Dong1),"",OFFSET(TH!C$1,SMALL(Dong1,ROWS($1:33)),))</f>
        <v>41543</v>
      </c>
      <c r="B46" s="120">
        <f ca="1">IF(ROWS($1:33)&gt;COUNT(Dong1),"",OFFSET(TH!E$1,SMALL(Dong1,ROWS($1:33)),))</f>
        <v>41543</v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>C11</v>
      </c>
      <c r="E46" s="229" t="str">
        <f ca="1">IF(ROWS($1:33)&gt;COUNT(Dong1),"",OFFSET(TH!F$1,SMALL(Dong1,ROWS($1:33)),))</f>
        <v>VAT Mực in</v>
      </c>
      <c r="F46" s="124" t="str">
        <f ca="1">IF(ROWS($1:33)&gt;COUNT(Dong1),"",IF(OFFSET(TH!M$1,SMALL(Dong1,ROWS($1:33)),)="1111",OFFSET(TH!L$1,SMALL(Dong1,ROWS($1:33)),),OFFSET(TH!M$1,SMALL(Dong1,ROWS($1:33)),)))</f>
        <v>1331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402000</v>
      </c>
      <c r="I46" s="121">
        <f t="shared" ca="1" si="0"/>
        <v>997530305</v>
      </c>
      <c r="J46" s="126"/>
      <c r="N46" s="636"/>
      <c r="O46" s="636"/>
    </row>
    <row r="47" spans="1:15" ht="21.75" customHeight="1">
      <c r="A47" s="120">
        <f ca="1">IF(ROWS($1:34)&gt;COUNT(Dong1),"",OFFSET(TH!C$1,SMALL(Dong1,ROWS($1:34)),))</f>
        <v>41544</v>
      </c>
      <c r="B47" s="120">
        <f ca="1">IF(ROWS($1:34)&gt;COUNT(Dong1),"",OFFSET(TH!E$1,SMALL(Dong1,ROWS($1:34)),))</f>
        <v>41544</v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>C12</v>
      </c>
      <c r="E47" s="229" t="str">
        <f ca="1">IF(ROWS($1:34)&gt;COUNT(Dong1),"",OFFSET(TH!F$1,SMALL(Dong1,ROWS($1:34)),))</f>
        <v>Mực in</v>
      </c>
      <c r="F47" s="124" t="str">
        <f ca="1">IF(ROWS($1:34)&gt;COUNT(Dong1),"",IF(OFFSET(TH!M$1,SMALL(Dong1,ROWS($1:34)),)="1111",OFFSET(TH!L$1,SMALL(Dong1,ROWS($1:34)),),OFFSET(TH!M$1,SMALL(Dong1,ROWS($1:34)),)))</f>
        <v>154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3920000</v>
      </c>
      <c r="I47" s="121">
        <f t="shared" ca="1" si="0"/>
        <v>993610305</v>
      </c>
      <c r="J47" s="126"/>
      <c r="N47" s="636"/>
      <c r="O47" s="636"/>
    </row>
    <row r="48" spans="1:15" ht="21.75" customHeight="1">
      <c r="A48" s="120">
        <f ca="1">IF(ROWS($1:35)&gt;COUNT(Dong1),"",OFFSET(TH!C$1,SMALL(Dong1,ROWS($1:35)),))</f>
        <v>41544</v>
      </c>
      <c r="B48" s="120">
        <f ca="1">IF(ROWS($1:35)&gt;COUNT(Dong1),"",OFFSET(TH!E$1,SMALL(Dong1,ROWS($1:35)),))</f>
        <v>41544</v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>C12</v>
      </c>
      <c r="E48" s="229" t="str">
        <f ca="1">IF(ROWS($1:35)&gt;COUNT(Dong1),"",OFFSET(TH!F$1,SMALL(Dong1,ROWS($1:35)),))</f>
        <v>VAT Mực in</v>
      </c>
      <c r="F48" s="124" t="str">
        <f ca="1">IF(ROWS($1:35)&gt;COUNT(Dong1),"",IF(OFFSET(TH!M$1,SMALL(Dong1,ROWS($1:35)),)="1111",OFFSET(TH!L$1,SMALL(Dong1,ROWS($1:35)),),OFFSET(TH!M$1,SMALL(Dong1,ROWS($1:35)),)))</f>
        <v>1331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392000</v>
      </c>
      <c r="I48" s="121">
        <f t="shared" ca="1" si="0"/>
        <v>993218305</v>
      </c>
      <c r="J48" s="126"/>
      <c r="N48" s="636"/>
      <c r="O48" s="636"/>
    </row>
    <row r="49" spans="1:15" ht="21.75" customHeight="1">
      <c r="A49" s="120">
        <f ca="1">IF(ROWS($1:36)&gt;COUNT(Dong1),"",OFFSET(TH!C$1,SMALL(Dong1,ROWS($1:36)),))</f>
        <v>41547</v>
      </c>
      <c r="B49" s="120">
        <f ca="1">IF(ROWS($1:36)&gt;COUNT(Dong1),"",OFFSET(TH!E$1,SMALL(Dong1,ROWS($1:36)),))</f>
        <v>41547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C13</v>
      </c>
      <c r="E49" s="229" t="str">
        <f ca="1">IF(ROWS($1:36)&gt;COUNT(Dong1),"",OFFSET(TH!F$1,SMALL(Dong1,ROWS($1:36)),))</f>
        <v>Mực in</v>
      </c>
      <c r="F49" s="124" t="str">
        <f ca="1">IF(ROWS($1:36)&gt;COUNT(Dong1),"",IF(OFFSET(TH!M$1,SMALL(Dong1,ROWS($1:36)),)="1111",OFFSET(TH!L$1,SMALL(Dong1,ROWS($1:36)),),OFFSET(TH!M$1,SMALL(Dong1,ROWS($1:36)),)))</f>
        <v>154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1520000</v>
      </c>
      <c r="I49" s="121">
        <f t="shared" ca="1" si="0"/>
        <v>991698305</v>
      </c>
      <c r="J49" s="126"/>
      <c r="N49" s="636"/>
      <c r="O49" s="636"/>
    </row>
    <row r="50" spans="1:15" ht="21.75" customHeight="1">
      <c r="A50" s="120">
        <f ca="1">IF(ROWS($1:37)&gt;COUNT(Dong1),"",OFFSET(TH!C$1,SMALL(Dong1,ROWS($1:37)),))</f>
        <v>41547</v>
      </c>
      <c r="B50" s="120">
        <f ca="1">IF(ROWS($1:37)&gt;COUNT(Dong1),"",OFFSET(TH!E$1,SMALL(Dong1,ROWS($1:37)),))</f>
        <v>41547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C13</v>
      </c>
      <c r="E50" s="229" t="str">
        <f ca="1">IF(ROWS($1:37)&gt;COUNT(Dong1),"",OFFSET(TH!F$1,SMALL(Dong1,ROWS($1:37)),))</f>
        <v>VAT Mực in</v>
      </c>
      <c r="F50" s="124" t="str">
        <f ca="1">IF(ROWS($1:37)&gt;COUNT(Dong1),"",IF(OFFSET(TH!M$1,SMALL(Dong1,ROWS($1:37)),)="1111",OFFSET(TH!L$1,SMALL(Dong1,ROWS($1:37)),),OFFSET(TH!M$1,SMALL(Dong1,ROWS($1:37)),)))</f>
        <v>1331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152000</v>
      </c>
      <c r="I50" s="121">
        <f t="shared" ca="1" si="0"/>
        <v>991546305</v>
      </c>
      <c r="J50" s="126"/>
    </row>
    <row r="51" spans="1:15" ht="21.75" customHeight="1">
      <c r="A51" s="120">
        <f ca="1">IF(ROWS($1:38)&gt;COUNT(Dong1),"",OFFSET(TH!C$1,SMALL(Dong1,ROWS($1:38)),))</f>
        <v>41517</v>
      </c>
      <c r="B51" s="120">
        <f ca="1">IF(ROWS($1:38)&gt;COUNT(Dong1),"",OFFSET(TH!E$1,SMALL(Dong1,ROWS($1:38)),))</f>
        <v>41517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NL/N17</v>
      </c>
      <c r="E51" s="229" t="str">
        <f ca="1">IF(ROWS($1:38)&gt;COUNT(Dong1),"",OFFSET(TH!F$1,SMALL(Dong1,ROWS($1:38)),))</f>
        <v>Thanh toán tiền hàng</v>
      </c>
      <c r="F51" s="124" t="str">
        <f ca="1">IF(ROWS($1:38)&gt;COUNT(Dong1),"",IF(OFFSET(TH!M$1,SMALL(Dong1,ROWS($1:38)),)="1111",OFFSET(TH!L$1,SMALL(Dong1,ROWS($1:38)),),OFFSET(TH!M$1,SMALL(Dong1,ROWS($1:38)),)))</f>
        <v>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18066091</v>
      </c>
      <c r="I51" s="121">
        <f t="shared" ca="1" si="0"/>
        <v>973480214</v>
      </c>
      <c r="J51" s="126"/>
    </row>
    <row r="52" spans="1:15" ht="21.75" customHeight="1">
      <c r="A52" s="120">
        <f ca="1">IF(ROWS($1:39)&gt;COUNT(Dong1),"",OFFSET(TH!C$1,SMALL(Dong1,ROWS($1:39)),))</f>
        <v>41487</v>
      </c>
      <c r="B52" s="120">
        <f ca="1">IF(ROWS($1:39)&gt;COUNT(Dong1),"",OFFSET(TH!E$1,SMALL(Dong1,ROWS($1:39)),))</f>
        <v>41487</v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>NL/N01</v>
      </c>
      <c r="E52" s="229" t="str">
        <f ca="1">IF(ROWS($1:39)&gt;COUNT(Dong1),"",OFFSET(TH!F$1,SMALL(Dong1,ROWS($1:39)),))</f>
        <v>Thanh toán tiền hàng</v>
      </c>
      <c r="F52" s="124" t="str">
        <f ca="1">IF(ROWS($1:39)&gt;COUNT(Dong1),"",IF(OFFSET(TH!M$1,SMALL(Dong1,ROWS($1:39)),)="1111",OFFSET(TH!L$1,SMALL(Dong1,ROWS($1:39)),),OFFSET(TH!M$1,SMALL(Dong1,ROWS($1:39)),)))</f>
        <v>331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6847555</v>
      </c>
      <c r="I52" s="121">
        <f t="shared" ca="1" si="0"/>
        <v>966632659</v>
      </c>
      <c r="J52" s="126"/>
    </row>
    <row r="53" spans="1:15" ht="21.75" customHeight="1">
      <c r="A53" s="120">
        <f ca="1">IF(ROWS($1:40)&gt;COUNT(Dong1),"",OFFSET(TH!C$1,SMALL(Dong1,ROWS($1:40)),))</f>
        <v>41502</v>
      </c>
      <c r="B53" s="120">
        <f ca="1">IF(ROWS($1:40)&gt;COUNT(Dong1),"",OFFSET(TH!E$1,SMALL(Dong1,ROWS($1:40)),))</f>
        <v>41502</v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>NL/N01</v>
      </c>
      <c r="E53" s="229" t="str">
        <f ca="1">IF(ROWS($1:40)&gt;COUNT(Dong1),"",OFFSET(TH!F$1,SMALL(Dong1,ROWS($1:40)),))</f>
        <v>Thanh toán tiền hàng</v>
      </c>
      <c r="F53" s="124" t="str">
        <f ca="1">IF(ROWS($1:40)&gt;COUNT(Dong1),"",IF(OFFSET(TH!M$1,SMALL(Dong1,ROWS($1:40)),)="1111",OFFSET(TH!L$1,SMALL(Dong1,ROWS($1:40)),),OFFSET(TH!M$1,SMALL(Dong1,ROWS($1:40)),)))</f>
        <v>331</v>
      </c>
      <c r="G53" s="125">
        <f ca="1">IF(ROWS($1:40)&gt;COUNT(Dong1),"",IF(OFFSET(TH!L$1,SMALL(Dong1,ROWS($1:40)),)="1111",OFFSET(TH!K$1,SMALL(Dong1,ROWS($1:40)),),0))</f>
        <v>0</v>
      </c>
      <c r="H53" s="123">
        <f ca="1">IF(ROWS($1:40)&gt;COUNT(Dong1),"",IF(OFFSET(TH!M$1,SMALL(Dong1,ROWS($1:40)),)="1111",OFFSET(TH!K$1,SMALL(Dong1,ROWS($1:40)),),0))</f>
        <v>25788400</v>
      </c>
      <c r="I53" s="121">
        <f t="shared" ca="1" si="0"/>
        <v>940844259</v>
      </c>
      <c r="J53" s="126"/>
    </row>
    <row r="54" spans="1:15" ht="21.75" customHeight="1">
      <c r="A54" s="120">
        <f ca="1">IF(ROWS($1:41)&gt;COUNT(Dong1),"",OFFSET(TH!C$1,SMALL(Dong1,ROWS($1:41)),))</f>
        <v>41505</v>
      </c>
      <c r="B54" s="120">
        <f ca="1">IF(ROWS($1:41)&gt;COUNT(Dong1),"",OFFSET(TH!E$1,SMALL(Dong1,ROWS($1:41)),))</f>
        <v>41505</v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>NL/N02</v>
      </c>
      <c r="E54" s="229" t="str">
        <f ca="1">IF(ROWS($1:41)&gt;COUNT(Dong1),"",OFFSET(TH!F$1,SMALL(Dong1,ROWS($1:41)),))</f>
        <v>Thanh toán tiền hàng</v>
      </c>
      <c r="F54" s="124" t="str">
        <f ca="1">IF(ROWS($1:41)&gt;COUNT(Dong1),"",IF(OFFSET(TH!M$1,SMALL(Dong1,ROWS($1:41)),)="1111",OFFSET(TH!L$1,SMALL(Dong1,ROWS($1:41)),),OFFSET(TH!M$1,SMALL(Dong1,ROWS($1:41)),)))</f>
        <v>331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14405930</v>
      </c>
      <c r="I54" s="121">
        <f t="shared" ca="1" si="0"/>
        <v>926438329</v>
      </c>
      <c r="J54" s="126"/>
    </row>
    <row r="55" spans="1:15" ht="21.75" customHeight="1">
      <c r="A55" s="120">
        <f ca="1">IF(ROWS($1:42)&gt;COUNT(Dong1),"",OFFSET(TH!C$1,SMALL(Dong1,ROWS($1:42)),))</f>
        <v>41506</v>
      </c>
      <c r="B55" s="120">
        <f ca="1">IF(ROWS($1:42)&gt;COUNT(Dong1),"",OFFSET(TH!E$1,SMALL(Dong1,ROWS($1:42)),))</f>
        <v>41506</v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>NL/N03</v>
      </c>
      <c r="E55" s="229" t="str">
        <f ca="1">IF(ROWS($1:42)&gt;COUNT(Dong1),"",OFFSET(TH!F$1,SMALL(Dong1,ROWS($1:42)),))</f>
        <v>Thanh toán tiền hàng</v>
      </c>
      <c r="F55" s="124" t="str">
        <f ca="1">IF(ROWS($1:42)&gt;COUNT(Dong1),"",IF(OFFSET(TH!M$1,SMALL(Dong1,ROWS($1:42)),)="1111",OFFSET(TH!L$1,SMALL(Dong1,ROWS($1:42)),),OFFSET(TH!M$1,SMALL(Dong1,ROWS($1:42)),)))</f>
        <v>331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12316700</v>
      </c>
      <c r="I55" s="121">
        <f t="shared" ca="1" si="0"/>
        <v>914121629</v>
      </c>
      <c r="J55" s="126"/>
    </row>
    <row r="56" spans="1:15" ht="21.75" customHeight="1">
      <c r="A56" s="120">
        <f ca="1">IF(ROWS($1:43)&gt;COUNT(Dong1),"",OFFSET(TH!C$1,SMALL(Dong1,ROWS($1:43)),))</f>
        <v>41508</v>
      </c>
      <c r="B56" s="120">
        <f ca="1">IF(ROWS($1:43)&gt;COUNT(Dong1),"",OFFSET(TH!E$1,SMALL(Dong1,ROWS($1:43)),))</f>
        <v>41508</v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>NL/N04</v>
      </c>
      <c r="E56" s="229" t="str">
        <f ca="1">IF(ROWS($1:43)&gt;COUNT(Dong1),"",OFFSET(TH!F$1,SMALL(Dong1,ROWS($1:43)),))</f>
        <v>Thanh toán tiền hàng</v>
      </c>
      <c r="F56" s="124" t="str">
        <f ca="1">IF(ROWS($1:43)&gt;COUNT(Dong1),"",IF(OFFSET(TH!M$1,SMALL(Dong1,ROWS($1:43)),)="1111",OFFSET(TH!L$1,SMALL(Dong1,ROWS($1:43)),),OFFSET(TH!M$1,SMALL(Dong1,ROWS($1:43)),)))</f>
        <v>331</v>
      </c>
      <c r="G56" s="125">
        <f ca="1">IF(ROWS($1:43)&gt;COUNT(Dong1),"",IF(OFFSET(TH!L$1,SMALL(Dong1,ROWS($1:43)),)="1111",OFFSET(TH!K$1,SMALL(Dong1,ROWS($1:43)),),0))</f>
        <v>0</v>
      </c>
      <c r="H56" s="123">
        <f ca="1">IF(ROWS($1:43)&gt;COUNT(Dong1),"",IF(OFFSET(TH!M$1,SMALL(Dong1,ROWS($1:43)),)="1111",OFFSET(TH!K$1,SMALL(Dong1,ROWS($1:43)),),0))</f>
        <v>4494930</v>
      </c>
      <c r="I56" s="121">
        <f t="shared" ca="1" si="0"/>
        <v>909626699</v>
      </c>
      <c r="J56" s="126"/>
    </row>
    <row r="57" spans="1:15" ht="21.75" customHeight="1">
      <c r="A57" s="120">
        <f ca="1">IF(ROWS($1:44)&gt;COUNT(Dong1),"",OFFSET(TH!C$1,SMALL(Dong1,ROWS($1:44)),))</f>
        <v>41508</v>
      </c>
      <c r="B57" s="120">
        <f ca="1">IF(ROWS($1:44)&gt;COUNT(Dong1),"",OFFSET(TH!E$1,SMALL(Dong1,ROWS($1:44)),))</f>
        <v>41508</v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>NL/N04</v>
      </c>
      <c r="E57" s="229" t="str">
        <f ca="1">IF(ROWS($1:44)&gt;COUNT(Dong1),"",OFFSET(TH!F$1,SMALL(Dong1,ROWS($1:44)),))</f>
        <v>Thanh toán tiền hàng</v>
      </c>
      <c r="F57" s="124" t="str">
        <f ca="1">IF(ROWS($1:44)&gt;COUNT(Dong1),"",IF(OFFSET(TH!M$1,SMALL(Dong1,ROWS($1:44)),)="1111",OFFSET(TH!L$1,SMALL(Dong1,ROWS($1:44)),),OFFSET(TH!M$1,SMALL(Dong1,ROWS($1:44)),)))</f>
        <v>331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7470386</v>
      </c>
      <c r="I57" s="121">
        <f t="shared" ca="1" si="0"/>
        <v>902156313</v>
      </c>
      <c r="J57" s="126"/>
    </row>
    <row r="58" spans="1:15" ht="21.75" customHeight="1">
      <c r="A58" s="120" t="str">
        <f ca="1">IF(ROWS($1:45)&gt;COUNT(Dong1),"",OFFSET(TH!C$1,SMALL(Dong1,ROWS($1:45)),))</f>
        <v/>
      </c>
      <c r="B58" s="120" t="str">
        <f ca="1">IF(ROWS($1:45)&gt;COUNT(Dong1),"",OFFSET(TH!E$1,SMALL(Dong1,ROWS($1:45)),))</f>
        <v/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/>
      </c>
      <c r="E58" s="229" t="str">
        <f ca="1">IF(ROWS($1:45)&gt;COUNT(Dong1),"",OFFSET(TH!F$1,SMALL(Dong1,ROWS($1:45)),))</f>
        <v/>
      </c>
      <c r="F58" s="124" t="str">
        <f ca="1">IF(ROWS($1:45)&gt;COUNT(Dong1),"",IF(OFFSET(TH!M$1,SMALL(Dong1,ROWS($1:45)),)="1111",OFFSET(TH!L$1,SMALL(Dong1,ROWS($1:45)),),OFFSET(TH!M$1,SMALL(Dong1,ROWS($1:45)),)))</f>
        <v/>
      </c>
      <c r="G58" s="125" t="str">
        <f ca="1">IF(ROWS($1:45)&gt;COUNT(Dong1),"",IF(OFFSET(TH!L$1,SMALL(Dong1,ROWS($1:45)),)="1111",OFFSET(TH!K$1,SMALL(Dong1,ROWS($1:45)),),0))</f>
        <v/>
      </c>
      <c r="H58" s="123" t="str">
        <f ca="1">IF(ROWS($1:45)&gt;COUNT(Dong1),"",IF(OFFSET(TH!M$1,SMALL(Dong1,ROWS($1:45)),)="1111",OFFSET(TH!K$1,SMALL(Dong1,ROWS($1:45)),),0))</f>
        <v/>
      </c>
      <c r="I58" s="121">
        <f t="shared" ca="1" si="0"/>
        <v>0</v>
      </c>
      <c r="J58" s="126"/>
    </row>
    <row r="59" spans="1:15" ht="21.75" customHeight="1">
      <c r="A59" s="120" t="str">
        <f ca="1">IF(ROWS($1:46)&gt;COUNT(Dong1),"",OFFSET(TH!C$1,SMALL(Dong1,ROWS($1:46)),))</f>
        <v/>
      </c>
      <c r="B59" s="120" t="str">
        <f ca="1">IF(ROWS($1:46)&gt;COUNT(Dong1),"",OFFSET(TH!E$1,SMALL(Dong1,ROWS($1:46)),))</f>
        <v/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/>
      </c>
      <c r="E59" s="229" t="str">
        <f ca="1">IF(ROWS($1:46)&gt;COUNT(Dong1),"",OFFSET(TH!F$1,SMALL(Dong1,ROWS($1:46)),))</f>
        <v/>
      </c>
      <c r="F59" s="124" t="str">
        <f ca="1">IF(ROWS($1:46)&gt;COUNT(Dong1),"",IF(OFFSET(TH!M$1,SMALL(Dong1,ROWS($1:46)),)="1111",OFFSET(TH!L$1,SMALL(Dong1,ROWS($1:46)),),OFFSET(TH!M$1,SMALL(Dong1,ROWS($1:46)),)))</f>
        <v/>
      </c>
      <c r="G59" s="125" t="str">
        <f ca="1">IF(ROWS($1:46)&gt;COUNT(Dong1),"",IF(OFFSET(TH!L$1,SMALL(Dong1,ROWS($1:46)),)="1111",OFFSET(TH!K$1,SMALL(Dong1,ROWS($1:46)),),0))</f>
        <v/>
      </c>
      <c r="H59" s="123" t="str">
        <f ca="1">IF(ROWS($1:46)&gt;COUNT(Dong1),"",IF(OFFSET(TH!M$1,SMALL(Dong1,ROWS($1:46)),)="1111",OFFSET(TH!K$1,SMALL(Dong1,ROWS($1:46)),),0))</f>
        <v/>
      </c>
      <c r="I59" s="121">
        <f t="shared" ca="1" si="0"/>
        <v>0</v>
      </c>
      <c r="J59" s="126"/>
    </row>
    <row r="60" spans="1:15" ht="21.75" customHeight="1">
      <c r="A60" s="120" t="str">
        <f ca="1">IF(ROWS($1:47)&gt;COUNT(Dong1),"",OFFSET(TH!C$1,SMALL(Dong1,ROWS($1:47)),))</f>
        <v/>
      </c>
      <c r="B60" s="120" t="str">
        <f ca="1">IF(ROWS($1:47)&gt;COUNT(Dong1),"",OFFSET(TH!E$1,SMALL(Dong1,ROWS($1:47)),))</f>
        <v/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/>
      </c>
      <c r="E60" s="229" t="str">
        <f ca="1">IF(ROWS($1:47)&gt;COUNT(Dong1),"",OFFSET(TH!F$1,SMALL(Dong1,ROWS($1:47)),))</f>
        <v/>
      </c>
      <c r="F60" s="124" t="str">
        <f ca="1">IF(ROWS($1:47)&gt;COUNT(Dong1),"",IF(OFFSET(TH!M$1,SMALL(Dong1,ROWS($1:47)),)="1111",OFFSET(TH!L$1,SMALL(Dong1,ROWS($1:47)),),OFFSET(TH!M$1,SMALL(Dong1,ROWS($1:47)),)))</f>
        <v/>
      </c>
      <c r="G60" s="125" t="str">
        <f ca="1">IF(ROWS($1:47)&gt;COUNT(Dong1),"",IF(OFFSET(TH!L$1,SMALL(Dong1,ROWS($1:47)),)="1111",OFFSET(TH!K$1,SMALL(Dong1,ROWS($1:47)),),0))</f>
        <v/>
      </c>
      <c r="H60" s="123" t="str">
        <f ca="1">IF(ROWS($1:47)&gt;COUNT(Dong1),"",IF(OFFSET(TH!M$1,SMALL(Dong1,ROWS($1:47)),)="1111",OFFSET(TH!K$1,SMALL(Dong1,ROWS($1:47)),),0))</f>
        <v/>
      </c>
      <c r="I60" s="121">
        <f t="shared" ca="1" si="0"/>
        <v>0</v>
      </c>
      <c r="J60" s="126"/>
    </row>
    <row r="61" spans="1:15" ht="21.75" customHeight="1">
      <c r="A61" s="120" t="str">
        <f ca="1">IF(ROWS($1:48)&gt;COUNT(Dong1),"",OFFSET(TH!C$1,SMALL(Dong1,ROWS($1:48)),))</f>
        <v/>
      </c>
      <c r="B61" s="120" t="str">
        <f ca="1">IF(ROWS($1:48)&gt;COUNT(Dong1),"",OFFSET(TH!E$1,SMALL(Dong1,ROWS($1:48)),))</f>
        <v/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/>
      </c>
      <c r="E61" s="229" t="str">
        <f ca="1">IF(ROWS($1:48)&gt;COUNT(Dong1),"",OFFSET(TH!F$1,SMALL(Dong1,ROWS($1:48)),))</f>
        <v/>
      </c>
      <c r="F61" s="124" t="str">
        <f ca="1">IF(ROWS($1:48)&gt;COUNT(Dong1),"",IF(OFFSET(TH!M$1,SMALL(Dong1,ROWS($1:48)),)="1111",OFFSET(TH!L$1,SMALL(Dong1,ROWS($1:48)),),OFFSET(TH!M$1,SMALL(Dong1,ROWS($1:48)),)))</f>
        <v/>
      </c>
      <c r="G61" s="125" t="str">
        <f ca="1">IF(ROWS($1:48)&gt;COUNT(Dong1),"",IF(OFFSET(TH!L$1,SMALL(Dong1,ROWS($1:48)),)="1111",OFFSET(TH!K$1,SMALL(Dong1,ROWS($1:48)),),0))</f>
        <v/>
      </c>
      <c r="H61" s="123" t="str">
        <f ca="1">IF(ROWS($1:48)&gt;COUNT(Dong1),"",IF(OFFSET(TH!M$1,SMALL(Dong1,ROWS($1:48)),)="1111",OFFSET(TH!K$1,SMALL(Dong1,ROWS($1:48)),),0))</f>
        <v/>
      </c>
      <c r="I61" s="121">
        <f t="shared" ca="1" si="0"/>
        <v>0</v>
      </c>
      <c r="J61" s="126"/>
    </row>
    <row r="62" spans="1:15" ht="21.75" customHeight="1">
      <c r="A62" s="120" t="str">
        <f ca="1">IF(ROWS($1:49)&gt;COUNT(Dong1),"",OFFSET(TH!C$1,SMALL(Dong1,ROWS($1:49)),))</f>
        <v/>
      </c>
      <c r="B62" s="120" t="str">
        <f ca="1">IF(ROWS($1:49)&gt;COUNT(Dong1),"",OFFSET(TH!E$1,SMALL(Dong1,ROWS($1:49)),))</f>
        <v/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/>
      </c>
      <c r="E62" s="229" t="str">
        <f ca="1">IF(ROWS($1:49)&gt;COUNT(Dong1),"",OFFSET(TH!F$1,SMALL(Dong1,ROWS($1:49)),))</f>
        <v/>
      </c>
      <c r="F62" s="124" t="str">
        <f ca="1">IF(ROWS($1:49)&gt;COUNT(Dong1),"",IF(OFFSET(TH!M$1,SMALL(Dong1,ROWS($1:49)),)="1111",OFFSET(TH!L$1,SMALL(Dong1,ROWS($1:49)),),OFFSET(TH!M$1,SMALL(Dong1,ROWS($1:49)),)))</f>
        <v/>
      </c>
      <c r="G62" s="125" t="str">
        <f ca="1">IF(ROWS($1:49)&gt;COUNT(Dong1),"",IF(OFFSET(TH!L$1,SMALL(Dong1,ROWS($1:49)),)="1111",OFFSET(TH!K$1,SMALL(Dong1,ROWS($1:49)),),0))</f>
        <v/>
      </c>
      <c r="H62" s="123" t="str">
        <f ca="1">IF(ROWS($1:49)&gt;COUNT(Dong1),"",IF(OFFSET(TH!M$1,SMALL(Dong1,ROWS($1:49)),)="1111",OFFSET(TH!K$1,SMALL(Dong1,ROWS($1:49)),),0))</f>
        <v/>
      </c>
      <c r="I62" s="121">
        <f t="shared" ca="1" si="0"/>
        <v>0</v>
      </c>
      <c r="J62" s="126"/>
    </row>
    <row r="63" spans="1:15" ht="21.75" customHeight="1">
      <c r="A63" s="127"/>
      <c r="B63" s="126"/>
      <c r="C63" s="126"/>
      <c r="D63" s="126"/>
      <c r="E63" s="230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287000000</v>
      </c>
      <c r="H64" s="129">
        <f ca="1">SUM(H14:H63)</f>
        <v>114290362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902156313</v>
      </c>
      <c r="J65" s="132" t="s">
        <v>19</v>
      </c>
    </row>
    <row r="66" spans="1:12">
      <c r="L66" s="252" t="s">
        <v>155</v>
      </c>
    </row>
    <row r="67" spans="1:12">
      <c r="A67" s="134" t="s">
        <v>156</v>
      </c>
      <c r="L67" s="252" t="s">
        <v>156</v>
      </c>
    </row>
    <row r="68" spans="1:12">
      <c r="A68" s="180" t="str">
        <f ca="1">"- Ngày mở sổ: "&amp;DAY($A$14)&amp;"/"&amp;MONTH($A$14)&amp;"/ " &amp;YEAR($A$14)</f>
        <v>- Ngày mở sổ: 31/7/ 2013</v>
      </c>
      <c r="L68" s="252" t="s">
        <v>135</v>
      </c>
    </row>
    <row r="69" spans="1:12">
      <c r="I69" s="190" t="str">
        <f ca="1">"Ngày "&amp;IF(OR($L$11=4,$L$11=6,$L$11=9,$L$11=11),"30",IF($L$11=2,"28","31"))&amp;" tháng "&amp;$O$11&amp;"  năm  "&amp;YEAR($A$14)</f>
        <v>Ngày 31 tháng 9  năm  2013</v>
      </c>
      <c r="L69" s="252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7"/>
      <c r="I78" s="228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89"/>
      <c r="R3" s="195"/>
      <c r="S3" s="196" t="s">
        <v>351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90"/>
      <c r="R4" s="81"/>
      <c r="S4" s="617">
        <v>4</v>
      </c>
      <c r="T4" s="81"/>
      <c r="U4" s="491" t="s">
        <v>4</v>
      </c>
      <c r="V4" s="107"/>
      <c r="W4" s="492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89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&amp;[3]!VND('IN-TC'!D13,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76"/>
  <sheetViews>
    <sheetView topLeftCell="A6" workbookViewId="0">
      <pane ySplit="6" topLeftCell="A56" activePane="bottomLeft" state="frozen"/>
      <selection activeCell="A6" sqref="A6"/>
      <selection pane="bottomLeft" activeCell="A54" sqref="A54:I68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41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596"/>
      <c r="I1" s="231"/>
      <c r="K1" s="849"/>
      <c r="L1" s="849"/>
    </row>
    <row r="2" spans="1:20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959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59"/>
      <c r="H2" s="959"/>
      <c r="I2" s="232"/>
      <c r="K2" s="850"/>
      <c r="L2" s="850"/>
    </row>
    <row r="3" spans="1:20" s="140" customFormat="1" ht="16.5" customHeight="1">
      <c r="A3" s="177"/>
      <c r="B3" s="177"/>
      <c r="C3" s="177"/>
      <c r="D3" s="177"/>
      <c r="F3" s="959"/>
      <c r="G3" s="959"/>
      <c r="H3" s="959"/>
      <c r="I3" s="232"/>
    </row>
    <row r="4" spans="1:20" s="140" customFormat="1" ht="19.5" customHeight="1">
      <c r="A4" s="962" t="s">
        <v>137</v>
      </c>
      <c r="B4" s="962"/>
      <c r="C4" s="962"/>
      <c r="D4" s="962"/>
      <c r="E4" s="962"/>
      <c r="F4" s="962"/>
      <c r="G4" s="962"/>
      <c r="H4" s="962"/>
      <c r="I4" s="962"/>
    </row>
    <row r="5" spans="1:20" s="140" customFormat="1" ht="15">
      <c r="A5" s="963" t="str">
        <f>"Nơi mở tài khoản giao dịch:  "&amp;IF($M$9="ACB"," Ngân Hàng ACB"," Ngân Hàng Eximbank - Chi Nhánh Chợ Lớn")</f>
        <v>Nơi mở tài khoản giao dịch:   Ngân Hàng ACB</v>
      </c>
      <c r="B5" s="963"/>
      <c r="C5" s="963"/>
      <c r="D5" s="963"/>
      <c r="E5" s="963"/>
      <c r="F5" s="963"/>
      <c r="G5" s="963"/>
      <c r="H5" s="963"/>
      <c r="I5" s="963"/>
    </row>
    <row r="6" spans="1:20" s="140" customFormat="1" ht="15">
      <c r="D6" s="260" t="s">
        <v>158</v>
      </c>
      <c r="E6" s="963" t="str">
        <f>IF($M$9="ACB","100983119","1004 148 5104 6511")</f>
        <v>100983119</v>
      </c>
      <c r="F6" s="963"/>
      <c r="G6" s="963"/>
      <c r="H6" s="597" t="s">
        <v>108</v>
      </c>
      <c r="I6" s="261" t="str">
        <f>IF(H6="VNĐ","1121",IF(H6="USD","1122",""))</f>
        <v>1121</v>
      </c>
      <c r="N6" s="954" t="s">
        <v>335</v>
      </c>
      <c r="O6" s="954"/>
      <c r="Q6" s="960" t="s">
        <v>276</v>
      </c>
      <c r="R6" s="960" t="s">
        <v>336</v>
      </c>
      <c r="S6" s="960" t="s">
        <v>337</v>
      </c>
    </row>
    <row r="7" spans="1:20" s="140" customFormat="1" ht="8.25" customHeight="1" thickBot="1">
      <c r="A7" s="143"/>
      <c r="B7" s="144"/>
      <c r="C7" s="143"/>
      <c r="D7" s="144"/>
      <c r="E7" s="144"/>
      <c r="F7" s="144"/>
      <c r="G7" s="144"/>
      <c r="H7" s="598"/>
      <c r="I7" s="144"/>
      <c r="Q7" s="961"/>
      <c r="R7" s="961"/>
      <c r="S7" s="961"/>
    </row>
    <row r="8" spans="1:20" s="145" customFormat="1" ht="22.5" customHeight="1" thickBot="1">
      <c r="A8" s="966" t="s">
        <v>138</v>
      </c>
      <c r="B8" s="968" t="s">
        <v>1</v>
      </c>
      <c r="C8" s="969"/>
      <c r="D8" s="964" t="s">
        <v>0</v>
      </c>
      <c r="E8" s="970" t="s">
        <v>14</v>
      </c>
      <c r="F8" s="972" t="s">
        <v>139</v>
      </c>
      <c r="G8" s="972"/>
      <c r="H8" s="969"/>
      <c r="I8" s="964" t="s">
        <v>127</v>
      </c>
      <c r="K8" s="138"/>
      <c r="L8" s="140"/>
      <c r="N8" s="605">
        <f>IF(K9="Quý I",1,IF(K9="Quý II",4,IF(K9="Quý III",7,IF(K9="Quý IV",10,""))))</f>
        <v>10</v>
      </c>
      <c r="O8" s="606">
        <f>IF(K9="Quý I",3,IF(K9="Quý II",6,IF(K9="Quý III",9,IF(K9="Quý IV",12,""))))</f>
        <v>12</v>
      </c>
      <c r="Q8" s="469" t="s">
        <v>277</v>
      </c>
      <c r="R8" s="470">
        <v>334933</v>
      </c>
      <c r="S8" s="470"/>
      <c r="T8" s="471">
        <f>SUM(R8:S8)</f>
        <v>334933</v>
      </c>
    </row>
    <row r="9" spans="1:20" s="145" customFormat="1" ht="22.5" customHeight="1" thickBot="1">
      <c r="A9" s="967"/>
      <c r="B9" s="146" t="s">
        <v>15</v>
      </c>
      <c r="C9" s="147" t="s">
        <v>140</v>
      </c>
      <c r="D9" s="965"/>
      <c r="E9" s="971"/>
      <c r="F9" s="253" t="s">
        <v>141</v>
      </c>
      <c r="G9" s="148" t="s">
        <v>142</v>
      </c>
      <c r="H9" s="599" t="s">
        <v>143</v>
      </c>
      <c r="I9" s="965"/>
      <c r="K9" s="178" t="s">
        <v>486</v>
      </c>
      <c r="L9" s="140"/>
      <c r="M9" s="468" t="s">
        <v>336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</row>
    <row r="11" spans="1:20" s="155" customFormat="1" ht="18.75" customHeight="1">
      <c r="A11" s="152"/>
      <c r="B11" s="153"/>
      <c r="C11" s="152"/>
      <c r="D11" s="154" t="s">
        <v>7</v>
      </c>
      <c r="E11" s="154"/>
      <c r="F11" s="475"/>
      <c r="G11" s="475"/>
      <c r="H11" s="475">
        <f>IF($M$9="ACB",$R$8,$S$8)+SUMIF(_N112,"x",TH)-SUMIF(_C112,"x",TH)</f>
        <v>14933944</v>
      </c>
      <c r="I11" s="472"/>
      <c r="L11" s="140"/>
      <c r="Q11" s="145"/>
      <c r="R11" s="145"/>
      <c r="S11" s="145"/>
      <c r="T11" s="145"/>
    </row>
    <row r="12" spans="1:20" s="145" customFormat="1" ht="18.75" customHeight="1">
      <c r="A12" s="156">
        <f ca="1">IF(ROWS($1:1)&gt;COUNT(Dong2),"",OFFSET(TH!C$1,SMALL(Dong2,ROWS($1:1)),))</f>
        <v>41552</v>
      </c>
      <c r="B12" s="156" t="str">
        <f ca="1">IF(ROWS($1:1)&gt;COUNT(Dong2),"",OFFSET(TH!D$1,SMALL(Dong2,ROWS($1:1)),))</f>
        <v>T01</v>
      </c>
      <c r="C12" s="156">
        <f ca="1">IF(ROWS($1:1)&gt;COUNT(Dong2),"",OFFSET(TH!E$1,SMALL(Dong2,ROWS($1:1)),))</f>
        <v>41552</v>
      </c>
      <c r="D12" s="235" t="str">
        <f ca="1">IF(ROWS($1:1)&gt;COUNT(Dong2),"",OFFSET(TH!F$1,SMALL(Dong2,ROWS($1:1)),))</f>
        <v>Chi sec nhập quỹ tiền mặt</v>
      </c>
      <c r="E12" s="156" t="str">
        <f ca="1">IF(ROWS($1:1)&gt;COUNT(Dong2),"",IF(OFFSET(TH!M$1,SMALL(Dong2,ROWS($1:1)),)=$I$6,OFFSET(TH!L$1,SMALL(Dong2,ROWS($1:1)),),OFFSET(TH!M$1,SMALL(Dong2,ROWS($1:1)),)))</f>
        <v>1111</v>
      </c>
      <c r="F12" s="476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0</v>
      </c>
      <c r="G12" s="476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14800000</v>
      </c>
      <c r="H12" s="607">
        <f ca="1">IF(A12&lt;&gt;"",H11+F12-G12,0)</f>
        <v>133944</v>
      </c>
      <c r="I12" s="473"/>
      <c r="L12" s="140"/>
    </row>
    <row r="13" spans="1:20" s="145" customFormat="1" ht="18.75" customHeight="1">
      <c r="A13" s="156">
        <f ca="1">IF(ROWS($1:2)&gt;COUNT(Dong2),"",OFFSET(TH!C$1,SMALL(Dong2,ROWS($1:2)),))</f>
        <v>41554</v>
      </c>
      <c r="B13" s="156" t="str">
        <f ca="1">IF(ROWS($1:2)&gt;COUNT(Dong2),"",OFFSET(TH!D$1,SMALL(Dong2,ROWS($1:2)),))</f>
        <v>GBC</v>
      </c>
      <c r="C13" s="156">
        <f ca="1">IF(ROWS($1:2)&gt;COUNT(Dong2),"",OFFSET(TH!E$1,SMALL(Dong2,ROWS($1:2)),))</f>
        <v>41554</v>
      </c>
      <c r="D13" s="235" t="str">
        <f ca="1">IF(ROWS($1:2)&gt;COUNT(Dong2),"",OFFSET(TH!F$1,SMALL(Dong2,ROWS($1:2)),))</f>
        <v>Thu tiền hàng</v>
      </c>
      <c r="E13" s="156" t="str">
        <f ca="1">IF(ROWS($1:2)&gt;COUNT(Dong2),"",IF(OFFSET(TH!M$1,SMALL(Dong2,ROWS($1:2)),)=$I$6,OFFSET(TH!L$1,SMALL(Dong2,ROWS($1:2)),),OFFSET(TH!M$1,SMALL(Dong2,ROWS($1:2)),)))</f>
        <v>131</v>
      </c>
      <c r="F13" s="476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19729600</v>
      </c>
      <c r="G13" s="476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607">
        <f t="shared" ref="H13:H40" ca="1" si="0">IF(A13&lt;&gt;"",H12+F13-G13,0)</f>
        <v>19863544</v>
      </c>
      <c r="I13" s="473"/>
      <c r="L13" s="140"/>
    </row>
    <row r="14" spans="1:20" s="145" customFormat="1" ht="18.75" customHeight="1">
      <c r="A14" s="156">
        <f ca="1">IF(ROWS($1:3)&gt;COUNT(Dong2),"",OFFSET(TH!C$1,SMALL(Dong2,ROWS($1:3)),))</f>
        <v>41554</v>
      </c>
      <c r="B14" s="156" t="str">
        <f ca="1">IF(ROWS($1:3)&gt;COUNT(Dong2),"",OFFSET(TH!D$1,SMALL(Dong2,ROWS($1:3)),))</f>
        <v>GBC</v>
      </c>
      <c r="C14" s="156">
        <f ca="1">IF(ROWS($1:3)&gt;COUNT(Dong2),"",OFFSET(TH!E$1,SMALL(Dong2,ROWS($1:3)),))</f>
        <v>41554</v>
      </c>
      <c r="D14" s="235" t="str">
        <f ca="1">IF(ROWS($1:3)&gt;COUNT(Dong2),"",OFFSET(TH!F$1,SMALL(Dong2,ROWS($1:3)),))</f>
        <v>Thu tiền hàng</v>
      </c>
      <c r="E14" s="156" t="str">
        <f ca="1">IF(ROWS($1:3)&gt;COUNT(Dong2),"",IF(OFFSET(TH!M$1,SMALL(Dong2,ROWS($1:3)),)=$I$6,OFFSET(TH!L$1,SMALL(Dong2,ROWS($1:3)),),OFFSET(TH!M$1,SMALL(Dong2,ROWS($1:3)),)))</f>
        <v>131</v>
      </c>
      <c r="F14" s="476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13959000</v>
      </c>
      <c r="G14" s="476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07">
        <f t="shared" ca="1" si="0"/>
        <v>33822544</v>
      </c>
      <c r="I14" s="473"/>
      <c r="L14" s="140"/>
    </row>
    <row r="15" spans="1:20" s="145" customFormat="1" ht="18.75" customHeight="1">
      <c r="A15" s="156">
        <f ca="1">IF(ROWS($1:4)&gt;COUNT(Dong2),"",OFFSET(TH!C$1,SMALL(Dong2,ROWS($1:4)),))</f>
        <v>41554</v>
      </c>
      <c r="B15" s="156" t="str">
        <f ca="1">IF(ROWS($1:4)&gt;COUNT(Dong2),"",OFFSET(TH!D$1,SMALL(Dong2,ROWS($1:4)),))</f>
        <v>GBC</v>
      </c>
      <c r="C15" s="156">
        <f ca="1">IF(ROWS($1:4)&gt;COUNT(Dong2),"",OFFSET(TH!E$1,SMALL(Dong2,ROWS($1:4)),))</f>
        <v>41554</v>
      </c>
      <c r="D15" s="235" t="str">
        <f ca="1">IF(ROWS($1:4)&gt;COUNT(Dong2),"",OFFSET(TH!F$1,SMALL(Dong2,ROWS($1:4)),))</f>
        <v>Thu tiền hàng</v>
      </c>
      <c r="E15" s="156" t="str">
        <f ca="1">IF(ROWS($1:4)&gt;COUNT(Dong2),"",IF(OFFSET(TH!M$1,SMALL(Dong2,ROWS($1:4)),)=$I$6,OFFSET(TH!L$1,SMALL(Dong2,ROWS($1:4)),),OFFSET(TH!M$1,SMALL(Dong2,ROWS($1:4)),)))</f>
        <v>131</v>
      </c>
      <c r="F15" s="476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18621130</v>
      </c>
      <c r="G15" s="476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07">
        <f t="shared" ca="1" si="0"/>
        <v>52443674</v>
      </c>
      <c r="I15" s="473"/>
      <c r="L15" s="140"/>
    </row>
    <row r="16" spans="1:20" s="145" customFormat="1" ht="18.75" customHeight="1">
      <c r="A16" s="156">
        <f ca="1">IF(ROWS($1:5)&gt;COUNT(Dong2),"",OFFSET(TH!C$1,SMALL(Dong2,ROWS($1:5)),))</f>
        <v>41554</v>
      </c>
      <c r="B16" s="156" t="str">
        <f ca="1">IF(ROWS($1:5)&gt;COUNT(Dong2),"",OFFSET(TH!D$1,SMALL(Dong2,ROWS($1:5)),))</f>
        <v>T02</v>
      </c>
      <c r="C16" s="156">
        <f ca="1">IF(ROWS($1:5)&gt;COUNT(Dong2),"",OFFSET(TH!E$1,SMALL(Dong2,ROWS($1:5)),))</f>
        <v>41554</v>
      </c>
      <c r="D16" s="235" t="str">
        <f ca="1">IF(ROWS($1:5)&gt;COUNT(Dong2),"",OFFSET(TH!F$1,SMALL(Dong2,ROWS($1:5)),))</f>
        <v>Chi sec nhập quỹ tiền mặt</v>
      </c>
      <c r="E16" s="156" t="str">
        <f ca="1">IF(ROWS($1:5)&gt;COUNT(Dong2),"",IF(OFFSET(TH!M$1,SMALL(Dong2,ROWS($1:5)),)=$I$6,OFFSET(TH!L$1,SMALL(Dong2,ROWS($1:5)),),OFFSET(TH!M$1,SMALL(Dong2,ROWS($1:5)),)))</f>
        <v>1111</v>
      </c>
      <c r="F16" s="476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76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33700000</v>
      </c>
      <c r="H16" s="607">
        <f t="shared" ca="1" si="0"/>
        <v>18743674</v>
      </c>
      <c r="I16" s="473"/>
      <c r="L16" s="140"/>
    </row>
    <row r="17" spans="1:17" s="145" customFormat="1" ht="18.75" customHeight="1">
      <c r="A17" s="156">
        <f ca="1">IF(ROWS($1:6)&gt;COUNT(Dong2),"",OFFSET(TH!C$1,SMALL(Dong2,ROWS($1:6)),))</f>
        <v>41556</v>
      </c>
      <c r="B17" s="156" t="str">
        <f ca="1">IF(ROWS($1:6)&gt;COUNT(Dong2),"",OFFSET(TH!D$1,SMALL(Dong2,ROWS($1:6)),))</f>
        <v>T03</v>
      </c>
      <c r="C17" s="156">
        <f ca="1">IF(ROWS($1:6)&gt;COUNT(Dong2),"",OFFSET(TH!E$1,SMALL(Dong2,ROWS($1:6)),))</f>
        <v>41556</v>
      </c>
      <c r="D17" s="235" t="str">
        <f ca="1">IF(ROWS($1:6)&gt;COUNT(Dong2),"",OFFSET(TH!F$1,SMALL(Dong2,ROWS($1:6)),))</f>
        <v>Chi sec nhập quỹ tiền mặt</v>
      </c>
      <c r="E17" s="156" t="str">
        <f ca="1">IF(ROWS($1:6)&gt;COUNT(Dong2),"",IF(OFFSET(TH!M$1,SMALL(Dong2,ROWS($1:6)),)=$I$6,OFFSET(TH!L$1,SMALL(Dong2,ROWS($1:6)),),OFFSET(TH!M$1,SMALL(Dong2,ROWS($1:6)),)))</f>
        <v>1111</v>
      </c>
      <c r="F17" s="476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76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18500000</v>
      </c>
      <c r="H17" s="607">
        <f t="shared" ca="1" si="0"/>
        <v>243674</v>
      </c>
      <c r="I17" s="473"/>
      <c r="L17" s="140"/>
    </row>
    <row r="18" spans="1:17" s="145" customFormat="1" ht="18.75" customHeight="1">
      <c r="A18" s="156">
        <f ca="1">IF(ROWS($1:7)&gt;COUNT(Dong2),"",OFFSET(TH!C$1,SMALL(Dong2,ROWS($1:7)),))</f>
        <v>41557</v>
      </c>
      <c r="B18" s="156" t="str">
        <f ca="1">IF(ROWS($1:7)&gt;COUNT(Dong2),"",OFFSET(TH!D$1,SMALL(Dong2,ROWS($1:7)),))</f>
        <v>GBC</v>
      </c>
      <c r="C18" s="156">
        <f ca="1">IF(ROWS($1:7)&gt;COUNT(Dong2),"",OFFSET(TH!E$1,SMALL(Dong2,ROWS($1:7)),))</f>
        <v>41557</v>
      </c>
      <c r="D18" s="235" t="str">
        <f ca="1">IF(ROWS($1:7)&gt;COUNT(Dong2),"",OFFSET(TH!F$1,SMALL(Dong2,ROWS($1:7)),))</f>
        <v>Thu tiền hàng</v>
      </c>
      <c r="E18" s="156" t="str">
        <f ca="1">IF(ROWS($1:7)&gt;COUNT(Dong2),"",IF(OFFSET(TH!M$1,SMALL(Dong2,ROWS($1:7)),)=$I$6,OFFSET(TH!L$1,SMALL(Dong2,ROWS($1:7)),),OFFSET(TH!M$1,SMALL(Dong2,ROWS($1:7)),)))</f>
        <v>131</v>
      </c>
      <c r="F18" s="476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6806250</v>
      </c>
      <c r="G18" s="476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07">
        <f t="shared" ca="1" si="0"/>
        <v>7049924</v>
      </c>
      <c r="I18" s="473"/>
      <c r="L18" s="140"/>
    </row>
    <row r="19" spans="1:17" s="145" customFormat="1" ht="18.75" customHeight="1">
      <c r="A19" s="156">
        <f ca="1">IF(ROWS($1:8)&gt;COUNT(Dong2),"",OFFSET(TH!C$1,SMALL(Dong2,ROWS($1:8)),))</f>
        <v>41561</v>
      </c>
      <c r="B19" s="156" t="str">
        <f ca="1">IF(ROWS($1:8)&gt;COUNT(Dong2),"",OFFSET(TH!D$1,SMALL(Dong2,ROWS($1:8)),))</f>
        <v>GBC</v>
      </c>
      <c r="C19" s="156">
        <f ca="1">IF(ROWS($1:8)&gt;COUNT(Dong2),"",OFFSET(TH!E$1,SMALL(Dong2,ROWS($1:8)),))</f>
        <v>41561</v>
      </c>
      <c r="D19" s="235" t="str">
        <f ca="1">IF(ROWS($1:8)&gt;COUNT(Dong2),"",OFFSET(TH!F$1,SMALL(Dong2,ROWS($1:8)),))</f>
        <v>Thu tiền hàng</v>
      </c>
      <c r="E19" s="156" t="str">
        <f ca="1">IF(ROWS($1:8)&gt;COUNT(Dong2),"",IF(OFFSET(TH!M$1,SMALL(Dong2,ROWS($1:8)),)=$I$6,OFFSET(TH!L$1,SMALL(Dong2,ROWS($1:8)),),OFFSET(TH!M$1,SMALL(Dong2,ROWS($1:8)),)))</f>
        <v>131</v>
      </c>
      <c r="F19" s="476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13855600</v>
      </c>
      <c r="G19" s="476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607">
        <f t="shared" ca="1" si="0"/>
        <v>20905524</v>
      </c>
      <c r="I19" s="473"/>
      <c r="L19" s="140"/>
    </row>
    <row r="20" spans="1:17" s="145" customFormat="1" ht="18.75" customHeight="1">
      <c r="A20" s="156">
        <f ca="1">IF(ROWS($1:9)&gt;COUNT(Dong2),"",OFFSET(TH!C$1,SMALL(Dong2,ROWS($1:9)),))</f>
        <v>41562</v>
      </c>
      <c r="B20" s="156" t="str">
        <f ca="1">IF(ROWS($1:9)&gt;COUNT(Dong2),"",OFFSET(TH!D$1,SMALL(Dong2,ROWS($1:9)),))</f>
        <v>GBC</v>
      </c>
      <c r="C20" s="156">
        <f ca="1">IF(ROWS($1:9)&gt;COUNT(Dong2),"",OFFSET(TH!E$1,SMALL(Dong2,ROWS($1:9)),))</f>
        <v>41562</v>
      </c>
      <c r="D20" s="235" t="str">
        <f ca="1">IF(ROWS($1:9)&gt;COUNT(Dong2),"",OFFSET(TH!F$1,SMALL(Dong2,ROWS($1:9)),))</f>
        <v>Thu tiền hàng</v>
      </c>
      <c r="E20" s="156" t="str">
        <f ca="1">IF(ROWS($1:9)&gt;COUNT(Dong2),"",IF(OFFSET(TH!M$1,SMALL(Dong2,ROWS($1:9)),)=$I$6,OFFSET(TH!L$1,SMALL(Dong2,ROWS($1:9)),),OFFSET(TH!M$1,SMALL(Dong2,ROWS($1:9)),)))</f>
        <v>131</v>
      </c>
      <c r="F20" s="476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10000000</v>
      </c>
      <c r="G20" s="476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607">
        <f t="shared" ca="1" si="0"/>
        <v>30905524</v>
      </c>
      <c r="I20" s="473"/>
      <c r="L20" s="140"/>
    </row>
    <row r="21" spans="1:17" s="145" customFormat="1" ht="18.75" customHeight="1">
      <c r="A21" s="156">
        <f ca="1">IF(ROWS($1:10)&gt;COUNT(Dong2),"",OFFSET(TH!C$1,SMALL(Dong2,ROWS($1:10)),))</f>
        <v>41562</v>
      </c>
      <c r="B21" s="156" t="str">
        <f ca="1">IF(ROWS($1:10)&gt;COUNT(Dong2),"",OFFSET(TH!D$1,SMALL(Dong2,ROWS($1:10)),))</f>
        <v>T04</v>
      </c>
      <c r="C21" s="156">
        <f ca="1">IF(ROWS($1:10)&gt;COUNT(Dong2),"",OFFSET(TH!E$1,SMALL(Dong2,ROWS($1:10)),))</f>
        <v>41562</v>
      </c>
      <c r="D21" s="235" t="str">
        <f ca="1">IF(ROWS($1:10)&gt;COUNT(Dong2),"",OFFSET(TH!F$1,SMALL(Dong2,ROWS($1:10)),))</f>
        <v>Chi sec nhập quỹ tiền mặt</v>
      </c>
      <c r="E21" s="156" t="str">
        <f ca="1">IF(ROWS($1:10)&gt;COUNT(Dong2),"",IF(OFFSET(TH!M$1,SMALL(Dong2,ROWS($1:10)),)=$I$6,OFFSET(TH!L$1,SMALL(Dong2,ROWS($1:10)),),OFFSET(TH!M$1,SMALL(Dong2,ROWS($1:10)),)))</f>
        <v>1111</v>
      </c>
      <c r="F21" s="476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76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30800000</v>
      </c>
      <c r="H21" s="607">
        <f t="shared" ca="1" si="0"/>
        <v>105524</v>
      </c>
      <c r="I21" s="473"/>
      <c r="L21" s="140"/>
      <c r="Q21" s="471"/>
    </row>
    <row r="22" spans="1:17" s="145" customFormat="1" ht="18.75" customHeight="1">
      <c r="A22" s="156">
        <f ca="1">IF(ROWS($1:11)&gt;COUNT(Dong2),"",OFFSET(TH!C$1,SMALL(Dong2,ROWS($1:11)),))</f>
        <v>41570</v>
      </c>
      <c r="B22" s="156" t="str">
        <f ca="1">IF(ROWS($1:11)&gt;COUNT(Dong2),"",OFFSET(TH!D$1,SMALL(Dong2,ROWS($1:11)),))</f>
        <v>GBC</v>
      </c>
      <c r="C22" s="156">
        <f ca="1">IF(ROWS($1:11)&gt;COUNT(Dong2),"",OFFSET(TH!E$1,SMALL(Dong2,ROWS($1:11)),))</f>
        <v>41570</v>
      </c>
      <c r="D22" s="235" t="str">
        <f ca="1">IF(ROWS($1:11)&gt;COUNT(Dong2),"",OFFSET(TH!F$1,SMALL(Dong2,ROWS($1:11)),))</f>
        <v>Thu tiền hàng</v>
      </c>
      <c r="E22" s="156" t="str">
        <f ca="1">IF(ROWS($1:11)&gt;COUNT(Dong2),"",IF(OFFSET(TH!M$1,SMALL(Dong2,ROWS($1:11)),)=$I$6,OFFSET(TH!L$1,SMALL(Dong2,ROWS($1:11)),),OFFSET(TH!M$1,SMALL(Dong2,ROWS($1:11)),)))</f>
        <v>131</v>
      </c>
      <c r="F22" s="476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5085806</v>
      </c>
      <c r="G22" s="476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607">
        <f t="shared" ca="1" si="0"/>
        <v>5191330</v>
      </c>
      <c r="I22" s="473"/>
      <c r="L22" s="140"/>
    </row>
    <row r="23" spans="1:17" s="145" customFormat="1" ht="18.75" customHeight="1">
      <c r="A23" s="156">
        <f ca="1">IF(ROWS($1:12)&gt;COUNT(Dong2),"",OFFSET(TH!C$1,SMALL(Dong2,ROWS($1:12)),))</f>
        <v>41572</v>
      </c>
      <c r="B23" s="156" t="str">
        <f ca="1">IF(ROWS($1:12)&gt;COUNT(Dong2),"",OFFSET(TH!D$1,SMALL(Dong2,ROWS($1:12)),))</f>
        <v>GBC</v>
      </c>
      <c r="C23" s="156">
        <f ca="1">IF(ROWS($1:12)&gt;COUNT(Dong2),"",OFFSET(TH!E$1,SMALL(Dong2,ROWS($1:12)),))</f>
        <v>41572</v>
      </c>
      <c r="D23" s="235" t="str">
        <f ca="1">IF(ROWS($1:12)&gt;COUNT(Dong2),"",OFFSET(TH!F$1,SMALL(Dong2,ROWS($1:12)),))</f>
        <v>Lãi tiền gửi</v>
      </c>
      <c r="E23" s="156" t="str">
        <f ca="1">IF(ROWS($1:12)&gt;COUNT(Dong2),"",IF(OFFSET(TH!M$1,SMALL(Dong2,ROWS($1:12)),)=$I$6,OFFSET(TH!L$1,SMALL(Dong2,ROWS($1:12)),),OFFSET(TH!M$1,SMALL(Dong2,ROWS($1:12)),)))</f>
        <v>515</v>
      </c>
      <c r="F23" s="476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5895</v>
      </c>
      <c r="G23" s="476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607">
        <f t="shared" ca="1" si="0"/>
        <v>5197225</v>
      </c>
      <c r="I23" s="473"/>
      <c r="L23" s="140"/>
      <c r="Q23" s="595"/>
    </row>
    <row r="24" spans="1:17" s="145" customFormat="1" ht="18.75" customHeight="1">
      <c r="A24" s="156">
        <f ca="1">IF(ROWS($1:13)&gt;COUNT(Dong2),"",OFFSET(TH!C$1,SMALL(Dong2,ROWS($1:13)),))</f>
        <v>41575</v>
      </c>
      <c r="B24" s="156" t="str">
        <f ca="1">IF(ROWS($1:13)&gt;COUNT(Dong2),"",OFFSET(TH!D$1,SMALL(Dong2,ROWS($1:13)),))</f>
        <v>GBC</v>
      </c>
      <c r="C24" s="156">
        <f ca="1">IF(ROWS($1:13)&gt;COUNT(Dong2),"",OFFSET(TH!E$1,SMALL(Dong2,ROWS($1:13)),))</f>
        <v>41575</v>
      </c>
      <c r="D24" s="235" t="str">
        <f ca="1">IF(ROWS($1:13)&gt;COUNT(Dong2),"",OFFSET(TH!F$1,SMALL(Dong2,ROWS($1:13)),))</f>
        <v>Thu tiền hàng</v>
      </c>
      <c r="E24" s="156" t="str">
        <f ca="1">IF(ROWS($1:13)&gt;COUNT(Dong2),"",IF(OFFSET(TH!M$1,SMALL(Dong2,ROWS($1:13)),)=$I$6,OFFSET(TH!L$1,SMALL(Dong2,ROWS($1:13)),),OFFSET(TH!M$1,SMALL(Dong2,ROWS($1:13)),)))</f>
        <v>131</v>
      </c>
      <c r="F24" s="476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10488500</v>
      </c>
      <c r="G24" s="476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607">
        <f t="shared" ca="1" si="0"/>
        <v>15685725</v>
      </c>
      <c r="I24" s="473"/>
      <c r="L24" s="140"/>
    </row>
    <row r="25" spans="1:17" s="145" customFormat="1" ht="18.75" customHeight="1">
      <c r="A25" s="156">
        <f ca="1">IF(ROWS($1:14)&gt;COUNT(Dong2),"",OFFSET(TH!C$1,SMALL(Dong2,ROWS($1:14)),))</f>
        <v>41575</v>
      </c>
      <c r="B25" s="156" t="str">
        <f ca="1">IF(ROWS($1:14)&gt;COUNT(Dong2),"",OFFSET(TH!D$1,SMALL(Dong2,ROWS($1:14)),))</f>
        <v>GBC</v>
      </c>
      <c r="C25" s="156">
        <f ca="1">IF(ROWS($1:14)&gt;COUNT(Dong2),"",OFFSET(TH!E$1,SMALL(Dong2,ROWS($1:14)),))</f>
        <v>41575</v>
      </c>
      <c r="D25" s="235" t="str">
        <f ca="1">IF(ROWS($1:14)&gt;COUNT(Dong2),"",OFFSET(TH!F$1,SMALL(Dong2,ROWS($1:14)),))</f>
        <v>Thu tiền hàng</v>
      </c>
      <c r="E25" s="156" t="str">
        <f ca="1">IF(ROWS($1:14)&gt;COUNT(Dong2),"",IF(OFFSET(TH!M$1,SMALL(Dong2,ROWS($1:14)),)=$I$6,OFFSET(TH!L$1,SMALL(Dong2,ROWS($1:14)),),OFFSET(TH!M$1,SMALL(Dong2,ROWS($1:14)),)))</f>
        <v>131</v>
      </c>
      <c r="F25" s="476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13959000</v>
      </c>
      <c r="G25" s="476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07">
        <f t="shared" ca="1" si="0"/>
        <v>29644725</v>
      </c>
      <c r="I25" s="473"/>
      <c r="L25" s="140"/>
    </row>
    <row r="26" spans="1:17" s="145" customFormat="1" ht="18.75" customHeight="1">
      <c r="A26" s="156">
        <f ca="1">IF(ROWS($1:15)&gt;COUNT(Dong2),"",OFFSET(TH!C$1,SMALL(Dong2,ROWS($1:15)),))</f>
        <v>41575</v>
      </c>
      <c r="B26" s="156" t="str">
        <f ca="1">IF(ROWS($1:15)&gt;COUNT(Dong2),"",OFFSET(TH!D$1,SMALL(Dong2,ROWS($1:15)),))</f>
        <v>GBC</v>
      </c>
      <c r="C26" s="156">
        <f ca="1">IF(ROWS($1:15)&gt;COUNT(Dong2),"",OFFSET(TH!E$1,SMALL(Dong2,ROWS($1:15)),))</f>
        <v>41575</v>
      </c>
      <c r="D26" s="235" t="str">
        <f ca="1">IF(ROWS($1:15)&gt;COUNT(Dong2),"",OFFSET(TH!F$1,SMALL(Dong2,ROWS($1:15)),))</f>
        <v>Thu tiền hàng</v>
      </c>
      <c r="E26" s="156" t="str">
        <f ca="1">IF(ROWS($1:15)&gt;COUNT(Dong2),"",IF(OFFSET(TH!M$1,SMALL(Dong2,ROWS($1:15)),)=$I$6,OFFSET(TH!L$1,SMALL(Dong2,ROWS($1:15)),),OFFSET(TH!M$1,SMALL(Dong2,ROWS($1:15)),)))</f>
        <v>131</v>
      </c>
      <c r="F26" s="476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15708000</v>
      </c>
      <c r="G26" s="476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607">
        <f t="shared" ca="1" si="0"/>
        <v>45352725</v>
      </c>
      <c r="I26" s="473"/>
      <c r="L26" s="140"/>
    </row>
    <row r="27" spans="1:17" s="145" customFormat="1" ht="18.75" customHeight="1">
      <c r="A27" s="156">
        <f ca="1">IF(ROWS($1:16)&gt;COUNT(Dong2),"",OFFSET(TH!C$1,SMALL(Dong2,ROWS($1:16)),))</f>
        <v>41576</v>
      </c>
      <c r="B27" s="156" t="str">
        <f ca="1">IF(ROWS($1:16)&gt;COUNT(Dong2),"",OFFSET(TH!D$1,SMALL(Dong2,ROWS($1:16)),))</f>
        <v>T05</v>
      </c>
      <c r="C27" s="156">
        <f ca="1">IF(ROWS($1:16)&gt;COUNT(Dong2),"",OFFSET(TH!E$1,SMALL(Dong2,ROWS($1:16)),))</f>
        <v>41576</v>
      </c>
      <c r="D27" s="235" t="str">
        <f ca="1">IF(ROWS($1:16)&gt;COUNT(Dong2),"",OFFSET(TH!F$1,SMALL(Dong2,ROWS($1:16)),))</f>
        <v>Chi sec nhập quỹ tiền mặt</v>
      </c>
      <c r="E27" s="156" t="str">
        <f ca="1">IF(ROWS($1:16)&gt;COUNT(Dong2),"",IF(OFFSET(TH!M$1,SMALL(Dong2,ROWS($1:16)),)=$I$6,OFFSET(TH!L$1,SMALL(Dong2,ROWS($1:16)),),OFFSET(TH!M$1,SMALL(Dong2,ROWS($1:16)),)))</f>
        <v>1111</v>
      </c>
      <c r="F27" s="476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76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45200000</v>
      </c>
      <c r="H27" s="607">
        <f t="shared" ca="1" si="0"/>
        <v>152725</v>
      </c>
      <c r="I27" s="473"/>
      <c r="L27" s="140"/>
    </row>
    <row r="28" spans="1:17" s="145" customFormat="1" ht="18.75" customHeight="1">
      <c r="A28" s="156">
        <f ca="1">IF(ROWS($1:17)&gt;COUNT(Dong2),"",OFFSET(TH!C$1,SMALL(Dong2,ROWS($1:17)),))</f>
        <v>41577</v>
      </c>
      <c r="B28" s="156" t="str">
        <f ca="1">IF(ROWS($1:17)&gt;COUNT(Dong2),"",OFFSET(TH!D$1,SMALL(Dong2,ROWS($1:17)),))</f>
        <v>GBC</v>
      </c>
      <c r="C28" s="156">
        <f ca="1">IF(ROWS($1:17)&gt;COUNT(Dong2),"",OFFSET(TH!E$1,SMALL(Dong2,ROWS($1:17)),))</f>
        <v>41577</v>
      </c>
      <c r="D28" s="235" t="str">
        <f ca="1">IF(ROWS($1:17)&gt;COUNT(Dong2),"",OFFSET(TH!F$1,SMALL(Dong2,ROWS($1:17)),))</f>
        <v>Thu tiền hàng</v>
      </c>
      <c r="E28" s="156" t="str">
        <f ca="1">IF(ROWS($1:17)&gt;COUNT(Dong2),"",IF(OFFSET(TH!M$1,SMALL(Dong2,ROWS($1:17)),)=$I$6,OFFSET(TH!L$1,SMALL(Dong2,ROWS($1:17)),),OFFSET(TH!M$1,SMALL(Dong2,ROWS($1:17)),)))</f>
        <v>131</v>
      </c>
      <c r="F28" s="476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34257520</v>
      </c>
      <c r="G28" s="476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607">
        <f t="shared" ca="1" si="0"/>
        <v>34410245</v>
      </c>
      <c r="I28" s="473"/>
      <c r="L28" s="140"/>
    </row>
    <row r="29" spans="1:17" s="145" customFormat="1" ht="18.75" customHeight="1">
      <c r="A29" s="156">
        <f ca="1">IF(ROWS($1:18)&gt;COUNT(Dong2),"",OFFSET(TH!C$1,SMALL(Dong2,ROWS($1:18)),))</f>
        <v>41579</v>
      </c>
      <c r="B29" s="156" t="str">
        <f ca="1">IF(ROWS($1:18)&gt;COUNT(Dong2),"",OFFSET(TH!D$1,SMALL(Dong2,ROWS($1:18)),))</f>
        <v>GBC</v>
      </c>
      <c r="C29" s="156">
        <f ca="1">IF(ROWS($1:18)&gt;COUNT(Dong2),"",OFFSET(TH!E$1,SMALL(Dong2,ROWS($1:18)),))</f>
        <v>41579</v>
      </c>
      <c r="D29" s="235" t="str">
        <f ca="1">IF(ROWS($1:18)&gt;COUNT(Dong2),"",OFFSET(TH!F$1,SMALL(Dong2,ROWS($1:18)),))</f>
        <v>Thu tiền hàng</v>
      </c>
      <c r="E29" s="156" t="str">
        <f ca="1">IF(ROWS($1:18)&gt;COUNT(Dong2),"",IF(OFFSET(TH!M$1,SMALL(Dong2,ROWS($1:18)),)=$I$6,OFFSET(TH!L$1,SMALL(Dong2,ROWS($1:18)),),OFFSET(TH!M$1,SMALL(Dong2,ROWS($1:18)),)))</f>
        <v>131</v>
      </c>
      <c r="F29" s="476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14856710</v>
      </c>
      <c r="G29" s="476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0</v>
      </c>
      <c r="H29" s="607">
        <f t="shared" ca="1" si="0"/>
        <v>49266955</v>
      </c>
      <c r="I29" s="473"/>
      <c r="L29" s="140"/>
    </row>
    <row r="30" spans="1:17" s="145" customFormat="1" ht="18.75" customHeight="1">
      <c r="A30" s="156">
        <f ca="1">IF(ROWS($1:19)&gt;COUNT(Dong2),"",OFFSET(TH!C$1,SMALL(Dong2,ROWS($1:19)),))</f>
        <v>41580</v>
      </c>
      <c r="B30" s="156" t="str">
        <f ca="1">IF(ROWS($1:19)&gt;COUNT(Dong2),"",OFFSET(TH!D$1,SMALL(Dong2,ROWS($1:19)),))</f>
        <v>T06</v>
      </c>
      <c r="C30" s="156">
        <f ca="1">IF(ROWS($1:19)&gt;COUNT(Dong2),"",OFFSET(TH!E$1,SMALL(Dong2,ROWS($1:19)),))</f>
        <v>41580</v>
      </c>
      <c r="D30" s="235" t="str">
        <f ca="1">IF(ROWS($1:19)&gt;COUNT(Dong2),"",OFFSET(TH!F$1,SMALL(Dong2,ROWS($1:19)),))</f>
        <v>Chi sec nhập quỹ tiền mặt</v>
      </c>
      <c r="E30" s="156" t="str">
        <f ca="1">IF(ROWS($1:19)&gt;COUNT(Dong2),"",IF(OFFSET(TH!M$1,SMALL(Dong2,ROWS($1:19)),)=$I$6,OFFSET(TH!L$1,SMALL(Dong2,ROWS($1:19)),),OFFSET(TH!M$1,SMALL(Dong2,ROWS($1:19)),)))</f>
        <v>1111</v>
      </c>
      <c r="F30" s="476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76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49000000</v>
      </c>
      <c r="H30" s="607">
        <f t="shared" ca="1" si="0"/>
        <v>266955</v>
      </c>
      <c r="I30" s="473"/>
      <c r="L30" s="140"/>
    </row>
    <row r="31" spans="1:17" s="145" customFormat="1" ht="18.75" customHeight="1">
      <c r="A31" s="156">
        <f ca="1">IF(ROWS($1:20)&gt;COUNT(Dong2),"",OFFSET(TH!C$1,SMALL(Dong2,ROWS($1:20)),))</f>
        <v>41582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41582</v>
      </c>
      <c r="D31" s="235" t="str">
        <f ca="1">IF(ROWS($1:20)&gt;COUNT(Dong2),"",OFFSET(TH!F$1,SMALL(Dong2,ROWS($1:20)),))</f>
        <v>Thu tiền hàng</v>
      </c>
      <c r="E31" s="156" t="str">
        <f ca="1">IF(ROWS($1:20)&gt;COUNT(Dong2),"",IF(OFFSET(TH!M$1,SMALL(Dong2,ROWS($1:20)),)=$I$6,OFFSET(TH!L$1,SMALL(Dong2,ROWS($1:20)),),OFFSET(TH!M$1,SMALL(Dong2,ROWS($1:20)),)))</f>
        <v>131</v>
      </c>
      <c r="F31" s="476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17671050</v>
      </c>
      <c r="G31" s="476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07">
        <f t="shared" ca="1" si="0"/>
        <v>17938005</v>
      </c>
      <c r="I31" s="473"/>
      <c r="L31" s="140"/>
    </row>
    <row r="32" spans="1:17" s="145" customFormat="1" ht="18.75" customHeight="1">
      <c r="A32" s="156">
        <f ca="1">IF(ROWS($1:21)&gt;COUNT(Dong2),"",OFFSET(TH!C$1,SMALL(Dong2,ROWS($1:21)),))</f>
        <v>41583</v>
      </c>
      <c r="B32" s="156" t="str">
        <f ca="1">IF(ROWS($1:21)&gt;COUNT(Dong2),"",OFFSET(TH!D$1,SMALL(Dong2,ROWS($1:21)),))</f>
        <v>GBC</v>
      </c>
      <c r="C32" s="156">
        <f ca="1">IF(ROWS($1:21)&gt;COUNT(Dong2),"",OFFSET(TH!E$1,SMALL(Dong2,ROWS($1:21)),))</f>
        <v>41583</v>
      </c>
      <c r="D32" s="235" t="str">
        <f ca="1">IF(ROWS($1:21)&gt;COUNT(Dong2),"",OFFSET(TH!F$1,SMALL(Dong2,ROWS($1:21)),))</f>
        <v>Thu tiền hàng</v>
      </c>
      <c r="E32" s="156" t="str">
        <f ca="1">IF(ROWS($1:21)&gt;COUNT(Dong2),"",IF(OFFSET(TH!M$1,SMALL(Dong2,ROWS($1:21)),)=$I$6,OFFSET(TH!L$1,SMALL(Dong2,ROWS($1:21)),),OFFSET(TH!M$1,SMALL(Dong2,ROWS($1:21)),)))</f>
        <v>131</v>
      </c>
      <c r="F32" s="476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9604386</v>
      </c>
      <c r="G32" s="476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07">
        <f t="shared" ca="1" si="0"/>
        <v>27542391</v>
      </c>
      <c r="I32" s="473"/>
      <c r="L32" s="140"/>
    </row>
    <row r="33" spans="1:12" s="145" customFormat="1" ht="18.75" customHeight="1">
      <c r="A33" s="156">
        <f ca="1">IF(ROWS($1:22)&gt;COUNT(Dong2),"",OFFSET(TH!C$1,SMALL(Dong2,ROWS($1:22)),))</f>
        <v>41583</v>
      </c>
      <c r="B33" s="156" t="str">
        <f ca="1">IF(ROWS($1:22)&gt;COUNT(Dong2),"",OFFSET(TH!D$1,SMALL(Dong2,ROWS($1:22)),))</f>
        <v>T07</v>
      </c>
      <c r="C33" s="156">
        <f ca="1">IF(ROWS($1:22)&gt;COUNT(Dong2),"",OFFSET(TH!E$1,SMALL(Dong2,ROWS($1:22)),))</f>
        <v>41583</v>
      </c>
      <c r="D33" s="235" t="str">
        <f ca="1">IF(ROWS($1:22)&gt;COUNT(Dong2),"",OFFSET(TH!F$1,SMALL(Dong2,ROWS($1:22)),))</f>
        <v>Chi sec nhập quỹ tiền mặt</v>
      </c>
      <c r="E33" s="156" t="str">
        <f ca="1">IF(ROWS($1:22)&gt;COUNT(Dong2),"",IF(OFFSET(TH!M$1,SMALL(Dong2,ROWS($1:22)),)=$I$6,OFFSET(TH!L$1,SMALL(Dong2,ROWS($1:22)),),OFFSET(TH!M$1,SMALL(Dong2,ROWS($1:22)),)))</f>
        <v>1111</v>
      </c>
      <c r="F33" s="476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76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27500000</v>
      </c>
      <c r="H33" s="607">
        <f t="shared" ca="1" si="0"/>
        <v>42391</v>
      </c>
      <c r="I33" s="473"/>
      <c r="L33" s="140"/>
    </row>
    <row r="34" spans="1:12" s="145" customFormat="1" ht="18.75" customHeight="1">
      <c r="A34" s="156">
        <f ca="1">IF(ROWS($1:23)&gt;COUNT(Dong2),"",OFFSET(TH!C$1,SMALL(Dong2,ROWS($1:23)),))</f>
        <v>41585</v>
      </c>
      <c r="B34" s="156" t="str">
        <f ca="1">IF(ROWS($1:23)&gt;COUNT(Dong2),"",OFFSET(TH!D$1,SMALL(Dong2,ROWS($1:23)),))</f>
        <v>GBC</v>
      </c>
      <c r="C34" s="156">
        <f ca="1">IF(ROWS($1:23)&gt;COUNT(Dong2),"",OFFSET(TH!E$1,SMALL(Dong2,ROWS($1:23)),))</f>
        <v>41585</v>
      </c>
      <c r="D34" s="235" t="str">
        <f ca="1">IF(ROWS($1:23)&gt;COUNT(Dong2),"",OFFSET(TH!F$1,SMALL(Dong2,ROWS($1:23)),))</f>
        <v>Thu tiền hàng</v>
      </c>
      <c r="E34" s="156" t="str">
        <f ca="1">IF(ROWS($1:23)&gt;COUNT(Dong2),"",IF(OFFSET(TH!M$1,SMALL(Dong2,ROWS($1:23)),)=$I$6,OFFSET(TH!L$1,SMALL(Dong2,ROWS($1:23)),),OFFSET(TH!M$1,SMALL(Dong2,ROWS($1:23)),)))</f>
        <v>131</v>
      </c>
      <c r="F34" s="476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15245736</v>
      </c>
      <c r="G34" s="476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607">
        <f t="shared" ca="1" si="0"/>
        <v>15288127</v>
      </c>
      <c r="I34" s="473"/>
      <c r="L34" s="140"/>
    </row>
    <row r="35" spans="1:12" s="145" customFormat="1" ht="18.75" customHeight="1">
      <c r="A35" s="156">
        <f ca="1">IF(ROWS($1:24)&gt;COUNT(Dong2),"",OFFSET(TH!C$1,SMALL(Dong2,ROWS($1:24)),))</f>
        <v>41585</v>
      </c>
      <c r="B35" s="156" t="str">
        <f ca="1">IF(ROWS($1:24)&gt;COUNT(Dong2),"",OFFSET(TH!D$1,SMALL(Dong2,ROWS($1:24)),))</f>
        <v>GBC</v>
      </c>
      <c r="C35" s="156">
        <f ca="1">IF(ROWS($1:24)&gt;COUNT(Dong2),"",OFFSET(TH!E$1,SMALL(Dong2,ROWS($1:24)),))</f>
        <v>41585</v>
      </c>
      <c r="D35" s="235" t="str">
        <f ca="1">IF(ROWS($1:24)&gt;COUNT(Dong2),"",OFFSET(TH!F$1,SMALL(Dong2,ROWS($1:24)),))</f>
        <v>Thu tiền hàng</v>
      </c>
      <c r="E35" s="156" t="str">
        <f ca="1">IF(ROWS($1:24)&gt;COUNT(Dong2),"",IF(OFFSET(TH!M$1,SMALL(Dong2,ROWS($1:24)),)=$I$6,OFFSET(TH!L$1,SMALL(Dong2,ROWS($1:24)),),OFFSET(TH!M$1,SMALL(Dong2,ROWS($1:24)),)))</f>
        <v>131</v>
      </c>
      <c r="F35" s="476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18562500</v>
      </c>
      <c r="G35" s="476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607">
        <f t="shared" ca="1" si="0"/>
        <v>33850627</v>
      </c>
      <c r="I35" s="473"/>
      <c r="L35" s="140"/>
    </row>
    <row r="36" spans="1:12" s="145" customFormat="1" ht="18.75" customHeight="1">
      <c r="A36" s="156">
        <f ca="1">IF(ROWS($1:25)&gt;COUNT(Dong2),"",OFFSET(TH!C$1,SMALL(Dong2,ROWS($1:25)),))</f>
        <v>41585</v>
      </c>
      <c r="B36" s="156" t="str">
        <f ca="1">IF(ROWS($1:25)&gt;COUNT(Dong2),"",OFFSET(TH!D$1,SMALL(Dong2,ROWS($1:25)),))</f>
        <v>GBC</v>
      </c>
      <c r="C36" s="156">
        <f ca="1">IF(ROWS($1:25)&gt;COUNT(Dong2),"",OFFSET(TH!E$1,SMALL(Dong2,ROWS($1:25)),))</f>
        <v>41585</v>
      </c>
      <c r="D36" s="235" t="str">
        <f ca="1">IF(ROWS($1:25)&gt;COUNT(Dong2),"",OFFSET(TH!F$1,SMALL(Dong2,ROWS($1:25)),))</f>
        <v>Thu tiền hàng</v>
      </c>
      <c r="E36" s="156" t="str">
        <f ca="1">IF(ROWS($1:25)&gt;COUNT(Dong2),"",IF(OFFSET(TH!M$1,SMALL(Dong2,ROWS($1:25)),)=$I$6,OFFSET(TH!L$1,SMALL(Dong2,ROWS($1:25)),),OFFSET(TH!M$1,SMALL(Dong2,ROWS($1:25)),)))</f>
        <v>131</v>
      </c>
      <c r="F36" s="476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15537500</v>
      </c>
      <c r="G36" s="476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607">
        <f t="shared" ca="1" si="0"/>
        <v>49388127</v>
      </c>
      <c r="I36" s="473"/>
      <c r="L36" s="140"/>
    </row>
    <row r="37" spans="1:12" s="145" customFormat="1" ht="18.75" customHeight="1">
      <c r="A37" s="156">
        <f ca="1">IF(ROWS($1:26)&gt;COUNT(Dong2),"",OFFSET(TH!C$1,SMALL(Dong2,ROWS($1:26)),))</f>
        <v>41586</v>
      </c>
      <c r="B37" s="156" t="str">
        <f ca="1">IF(ROWS($1:26)&gt;COUNT(Dong2),"",OFFSET(TH!D$1,SMALL(Dong2,ROWS($1:26)),))</f>
        <v>GBC</v>
      </c>
      <c r="C37" s="156">
        <f ca="1">IF(ROWS($1:26)&gt;COUNT(Dong2),"",OFFSET(TH!E$1,SMALL(Dong2,ROWS($1:26)),))</f>
        <v>41586</v>
      </c>
      <c r="D37" s="235" t="str">
        <f ca="1">IF(ROWS($1:26)&gt;COUNT(Dong2),"",OFFSET(TH!F$1,SMALL(Dong2,ROWS($1:26)),))</f>
        <v>Thu tiền hàng</v>
      </c>
      <c r="E37" s="156" t="str">
        <f ca="1">IF(ROWS($1:26)&gt;COUNT(Dong2),"",IF(OFFSET(TH!M$1,SMALL(Dong2,ROWS($1:26)),)=$I$6,OFFSET(TH!L$1,SMALL(Dong2,ROWS($1:26)),),OFFSET(TH!M$1,SMALL(Dong2,ROWS($1:26)),)))</f>
        <v>131</v>
      </c>
      <c r="F37" s="476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9105558</v>
      </c>
      <c r="G37" s="476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607">
        <f t="shared" ca="1" si="0"/>
        <v>58493685</v>
      </c>
      <c r="I37" s="473"/>
      <c r="L37" s="140"/>
    </row>
    <row r="38" spans="1:12" s="145" customFormat="1" ht="18.75" customHeight="1">
      <c r="A38" s="156">
        <f ca="1">IF(ROWS($1:27)&gt;COUNT(Dong2),"",OFFSET(TH!C$1,SMALL(Dong2,ROWS($1:27)),))</f>
        <v>41586</v>
      </c>
      <c r="B38" s="156" t="str">
        <f ca="1">IF(ROWS($1:27)&gt;COUNT(Dong2),"",OFFSET(TH!D$1,SMALL(Dong2,ROWS($1:27)),))</f>
        <v>T08</v>
      </c>
      <c r="C38" s="156">
        <f ca="1">IF(ROWS($1:27)&gt;COUNT(Dong2),"",OFFSET(TH!E$1,SMALL(Dong2,ROWS($1:27)),))</f>
        <v>41586</v>
      </c>
      <c r="D38" s="235" t="str">
        <f ca="1">IF(ROWS($1:27)&gt;COUNT(Dong2),"",OFFSET(TH!F$1,SMALL(Dong2,ROWS($1:27)),))</f>
        <v>Chi sec nhập quỹ tiền mặt</v>
      </c>
      <c r="E38" s="156" t="str">
        <f ca="1">IF(ROWS($1:27)&gt;COUNT(Dong2),"",IF(OFFSET(TH!M$1,SMALL(Dong2,ROWS($1:27)),)=$I$6,OFFSET(TH!L$1,SMALL(Dong2,ROWS($1:27)),),OFFSET(TH!M$1,SMALL(Dong2,ROWS($1:27)),)))</f>
        <v>1111</v>
      </c>
      <c r="F38" s="476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76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58400000</v>
      </c>
      <c r="H38" s="607">
        <f t="shared" ca="1" si="0"/>
        <v>93685</v>
      </c>
      <c r="I38" s="473"/>
      <c r="L38" s="140"/>
    </row>
    <row r="39" spans="1:12" s="145" customFormat="1" ht="18.75" customHeight="1">
      <c r="A39" s="156">
        <f ca="1">IF(ROWS($1:28)&gt;COUNT(Dong2),"",OFFSET(TH!C$1,SMALL(Dong2,ROWS($1:28)),))</f>
        <v>41592</v>
      </c>
      <c r="B39" s="156" t="str">
        <f ca="1">IF(ROWS($1:28)&gt;COUNT(Dong2),"",OFFSET(TH!D$1,SMALL(Dong2,ROWS($1:28)),))</f>
        <v>GBC</v>
      </c>
      <c r="C39" s="156">
        <f ca="1">IF(ROWS($1:28)&gt;COUNT(Dong2),"",OFFSET(TH!E$1,SMALL(Dong2,ROWS($1:28)),))</f>
        <v>41592</v>
      </c>
      <c r="D39" s="235" t="str">
        <f ca="1">IF(ROWS($1:28)&gt;COUNT(Dong2),"",OFFSET(TH!F$1,SMALL(Dong2,ROWS($1:28)),))</f>
        <v>Thu tiền hàng</v>
      </c>
      <c r="E39" s="156" t="str">
        <f ca="1">IF(ROWS($1:28)&gt;COUNT(Dong2),"",IF(OFFSET(TH!M$1,SMALL(Dong2,ROWS($1:28)),)=$I$6,OFFSET(TH!L$1,SMALL(Dong2,ROWS($1:28)),),OFFSET(TH!M$1,SMALL(Dong2,ROWS($1:28)),)))</f>
        <v>131</v>
      </c>
      <c r="F39" s="476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14204124</v>
      </c>
      <c r="G39" s="476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607">
        <f t="shared" ca="1" si="0"/>
        <v>14297809</v>
      </c>
      <c r="I39" s="473"/>
      <c r="L39" s="140"/>
    </row>
    <row r="40" spans="1:12" s="145" customFormat="1" ht="18.75" customHeight="1">
      <c r="A40" s="156">
        <f ca="1">IF(ROWS($1:29)&gt;COUNT(Dong2),"",OFFSET(TH!C$1,SMALL(Dong2,ROWS($1:29)),))</f>
        <v>41598</v>
      </c>
      <c r="B40" s="156" t="str">
        <f ca="1">IF(ROWS($1:29)&gt;COUNT(Dong2),"",OFFSET(TH!D$1,SMALL(Dong2,ROWS($1:29)),))</f>
        <v>T09</v>
      </c>
      <c r="C40" s="156">
        <f ca="1">IF(ROWS($1:29)&gt;COUNT(Dong2),"",OFFSET(TH!E$1,SMALL(Dong2,ROWS($1:29)),))</f>
        <v>41598</v>
      </c>
      <c r="D40" s="235" t="str">
        <f ca="1">IF(ROWS($1:29)&gt;COUNT(Dong2),"",OFFSET(TH!F$1,SMALL(Dong2,ROWS($1:29)),))</f>
        <v>Chi sec nhập quỹ tiền mặt</v>
      </c>
      <c r="E40" s="156" t="str">
        <f ca="1">IF(ROWS($1:29)&gt;COUNT(Dong2),"",IF(OFFSET(TH!M$1,SMALL(Dong2,ROWS($1:29)),)=$I$6,OFFSET(TH!L$1,SMALL(Dong2,ROWS($1:29)),),OFFSET(TH!M$1,SMALL(Dong2,ROWS($1:29)),)))</f>
        <v>1111</v>
      </c>
      <c r="F40" s="476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76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14200000</v>
      </c>
      <c r="H40" s="607">
        <f t="shared" ca="1" si="0"/>
        <v>97809</v>
      </c>
      <c r="I40" s="473"/>
    </row>
    <row r="41" spans="1:12" s="145" customFormat="1" ht="18.75" customHeight="1">
      <c r="A41" s="156">
        <f ca="1">IF(ROWS($1:30)&gt;COUNT(Dong2),"",OFFSET(TH!C$1,SMALL(Dong2,ROWS($1:30)),))</f>
        <v>41603</v>
      </c>
      <c r="B41" s="156" t="str">
        <f ca="1">IF(ROWS($1:30)&gt;COUNT(Dong2),"",OFFSET(TH!D$1,SMALL(Dong2,ROWS($1:30)),))</f>
        <v>GBC</v>
      </c>
      <c r="C41" s="156">
        <f ca="1">IF(ROWS($1:30)&gt;COUNT(Dong2),"",OFFSET(TH!E$1,SMALL(Dong2,ROWS($1:30)),))</f>
        <v>41603</v>
      </c>
      <c r="D41" s="235" t="str">
        <f ca="1">IF(ROWS($1:30)&gt;COUNT(Dong2),"",OFFSET(TH!F$1,SMALL(Dong2,ROWS($1:30)),))</f>
        <v>Lãi tiền gửi</v>
      </c>
      <c r="E41" s="156" t="str">
        <f ca="1">IF(ROWS($1:30)&gt;COUNT(Dong2),"",IF(OFFSET(TH!M$1,SMALL(Dong2,ROWS($1:30)),)=$I$6,OFFSET(TH!L$1,SMALL(Dong2,ROWS($1:30)),),OFFSET(TH!M$1,SMALL(Dong2,ROWS($1:30)),)))</f>
        <v>515</v>
      </c>
      <c r="F41" s="476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10898</v>
      </c>
      <c r="G41" s="476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0</v>
      </c>
      <c r="H41" s="607">
        <f t="shared" ref="H41:H43" ca="1" si="1">IF(A41&lt;&gt;"",H40+F41-G41,0)</f>
        <v>108707</v>
      </c>
      <c r="I41" s="473"/>
    </row>
    <row r="42" spans="1:12" s="145" customFormat="1" ht="18.75" customHeight="1">
      <c r="A42" s="156">
        <f ca="1">IF(ROWS($1:31)&gt;COUNT(Dong2),"",OFFSET(TH!C$1,SMALL(Dong2,ROWS($1:31)),))</f>
        <v>41604</v>
      </c>
      <c r="B42" s="156" t="str">
        <f ca="1">IF(ROWS($1:31)&gt;COUNT(Dong2),"",OFFSET(TH!D$1,SMALL(Dong2,ROWS($1:31)),))</f>
        <v>GBC</v>
      </c>
      <c r="C42" s="156">
        <f ca="1">IF(ROWS($1:31)&gt;COUNT(Dong2),"",OFFSET(TH!E$1,SMALL(Dong2,ROWS($1:31)),))</f>
        <v>41604</v>
      </c>
      <c r="D42" s="235" t="str">
        <f ca="1">IF(ROWS($1:31)&gt;COUNT(Dong2),"",OFFSET(TH!F$1,SMALL(Dong2,ROWS($1:31)),))</f>
        <v>Thu tiền hàng</v>
      </c>
      <c r="E42" s="156" t="str">
        <f ca="1">IF(ROWS($1:31)&gt;COUNT(Dong2),"",IF(OFFSET(TH!M$1,SMALL(Dong2,ROWS($1:31)),)=$I$6,OFFSET(TH!L$1,SMALL(Dong2,ROWS($1:31)),),OFFSET(TH!M$1,SMALL(Dong2,ROWS($1:31)),)))</f>
        <v>131</v>
      </c>
      <c r="F42" s="476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11109780</v>
      </c>
      <c r="G42" s="476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607">
        <f t="shared" ca="1" si="1"/>
        <v>11218487</v>
      </c>
      <c r="I42" s="473"/>
    </row>
    <row r="43" spans="1:12" s="145" customFormat="1" ht="18.75" customHeight="1">
      <c r="A43" s="156">
        <f ca="1">IF(ROWS($1:32)&gt;COUNT(Dong2),"",OFFSET(TH!C$1,SMALL(Dong2,ROWS($1:32)),))</f>
        <v>41606</v>
      </c>
      <c r="B43" s="156" t="str">
        <f ca="1">IF(ROWS($1:32)&gt;COUNT(Dong2),"",OFFSET(TH!D$1,SMALL(Dong2,ROWS($1:32)),))</f>
        <v>GBC</v>
      </c>
      <c r="C43" s="156">
        <f ca="1">IF(ROWS($1:32)&gt;COUNT(Dong2),"",OFFSET(TH!E$1,SMALL(Dong2,ROWS($1:32)),))</f>
        <v>41606</v>
      </c>
      <c r="D43" s="235" t="str">
        <f ca="1">IF(ROWS($1:32)&gt;COUNT(Dong2),"",OFFSET(TH!F$1,SMALL(Dong2,ROWS($1:32)),))</f>
        <v>Thu tiền hàng</v>
      </c>
      <c r="E43" s="156" t="str">
        <f ca="1">IF(ROWS($1:32)&gt;COUNT(Dong2),"",IF(OFFSET(TH!M$1,SMALL(Dong2,ROWS($1:32)),)=$I$6,OFFSET(TH!L$1,SMALL(Dong2,ROWS($1:32)),),OFFSET(TH!M$1,SMALL(Dong2,ROWS($1:32)),)))</f>
        <v>131</v>
      </c>
      <c r="F43" s="476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27871470</v>
      </c>
      <c r="G43" s="476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607">
        <f t="shared" ca="1" si="1"/>
        <v>39089957</v>
      </c>
      <c r="I43" s="473"/>
    </row>
    <row r="44" spans="1:12" s="145" customFormat="1" ht="18.75" customHeight="1">
      <c r="A44" s="156">
        <f ca="1">IF(ROWS($1:33)&gt;COUNT(Dong2),"",OFFSET(TH!C$1,SMALL(Dong2,ROWS($1:33)),))</f>
        <v>41607</v>
      </c>
      <c r="B44" s="156" t="str">
        <f ca="1">IF(ROWS($1:33)&gt;COUNT(Dong2),"",OFFSET(TH!D$1,SMALL(Dong2,ROWS($1:33)),))</f>
        <v>T10</v>
      </c>
      <c r="C44" s="156">
        <f ca="1">IF(ROWS($1:33)&gt;COUNT(Dong2),"",OFFSET(TH!E$1,SMALL(Dong2,ROWS($1:33)),))</f>
        <v>41607</v>
      </c>
      <c r="D44" s="235" t="str">
        <f ca="1">IF(ROWS($1:33)&gt;COUNT(Dong2),"",OFFSET(TH!F$1,SMALL(Dong2,ROWS($1:33)),))</f>
        <v>Chi sec nhập quỹ tiền mặt</v>
      </c>
      <c r="E44" s="156" t="str">
        <f ca="1">IF(ROWS($1:33)&gt;COUNT(Dong2),"",IF(OFFSET(TH!M$1,SMALL(Dong2,ROWS($1:33)),)=$I$6,OFFSET(TH!L$1,SMALL(Dong2,ROWS($1:33)),),OFFSET(TH!M$1,SMALL(Dong2,ROWS($1:33)),)))</f>
        <v>1111</v>
      </c>
      <c r="F44" s="476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76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39000000</v>
      </c>
      <c r="H44" s="607">
        <f t="shared" ref="H44" ca="1" si="2">IF(A44&lt;&gt;"",H43+F44-G44,0)</f>
        <v>89957</v>
      </c>
      <c r="I44" s="473"/>
    </row>
    <row r="45" spans="1:12" s="145" customFormat="1" ht="18.75" customHeight="1">
      <c r="A45" s="156">
        <f ca="1">IF(ROWS($1:34)&gt;COUNT(Dong2),"",OFFSET(TH!C$1,SMALL(Dong2,ROWS($1:34)),))</f>
        <v>41613</v>
      </c>
      <c r="B45" s="156" t="str">
        <f ca="1">IF(ROWS($1:34)&gt;COUNT(Dong2),"",OFFSET(TH!D$1,SMALL(Dong2,ROWS($1:34)),))</f>
        <v>GBC</v>
      </c>
      <c r="C45" s="156">
        <f ca="1">IF(ROWS($1:34)&gt;COUNT(Dong2),"",OFFSET(TH!E$1,SMALL(Dong2,ROWS($1:34)),))</f>
        <v>41613</v>
      </c>
      <c r="D45" s="235" t="str">
        <f ca="1">IF(ROWS($1:34)&gt;COUNT(Dong2),"",OFFSET(TH!F$1,SMALL(Dong2,ROWS($1:34)),))</f>
        <v>Thu tiền hàng</v>
      </c>
      <c r="E45" s="156" t="str">
        <f ca="1">IF(ROWS($1:34)&gt;COUNT(Dong2),"",IF(OFFSET(TH!M$1,SMALL(Dong2,ROWS($1:34)),)=$I$6,OFFSET(TH!L$1,SMALL(Dong2,ROWS($1:34)),),OFFSET(TH!M$1,SMALL(Dong2,ROWS($1:34)),)))</f>
        <v>131</v>
      </c>
      <c r="F45" s="476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6157635</v>
      </c>
      <c r="G45" s="476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0</v>
      </c>
      <c r="H45" s="607">
        <f t="shared" ref="H45:H54" ca="1" si="3">IF(A45&lt;&gt;"",H44+F45-G45,0)</f>
        <v>6247592</v>
      </c>
      <c r="I45" s="473"/>
    </row>
    <row r="46" spans="1:12" s="145" customFormat="1" ht="18.75" customHeight="1">
      <c r="A46" s="156">
        <f ca="1">IF(ROWS($1:35)&gt;COUNT(Dong2),"",OFFSET(TH!C$1,SMALL(Dong2,ROWS($1:35)),))</f>
        <v>41613</v>
      </c>
      <c r="B46" s="156" t="str">
        <f ca="1">IF(ROWS($1:35)&gt;COUNT(Dong2),"",OFFSET(TH!D$1,SMALL(Dong2,ROWS($1:35)),))</f>
        <v>GBC</v>
      </c>
      <c r="C46" s="156">
        <f ca="1">IF(ROWS($1:35)&gt;COUNT(Dong2),"",OFFSET(TH!E$1,SMALL(Dong2,ROWS($1:35)),))</f>
        <v>41613</v>
      </c>
      <c r="D46" s="235" t="str">
        <f ca="1">IF(ROWS($1:35)&gt;COUNT(Dong2),"",OFFSET(TH!F$1,SMALL(Dong2,ROWS($1:35)),))</f>
        <v>Thu tiền hàng</v>
      </c>
      <c r="E46" s="156" t="str">
        <f ca="1">IF(ROWS($1:35)&gt;COUNT(Dong2),"",IF(OFFSET(TH!M$1,SMALL(Dong2,ROWS($1:35)),)=$I$6,OFFSET(TH!L$1,SMALL(Dong2,ROWS($1:35)),),OFFSET(TH!M$1,SMALL(Dong2,ROWS($1:35)),)))</f>
        <v>131</v>
      </c>
      <c r="F46" s="476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21014400</v>
      </c>
      <c r="G46" s="476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0</v>
      </c>
      <c r="H46" s="607">
        <f t="shared" ca="1" si="3"/>
        <v>27261992</v>
      </c>
      <c r="I46" s="473"/>
    </row>
    <row r="47" spans="1:12" s="145" customFormat="1" ht="18.75" customHeight="1">
      <c r="A47" s="156">
        <f ca="1">IF(ROWS($1:36)&gt;COUNT(Dong2),"",OFFSET(TH!C$1,SMALL(Dong2,ROWS($1:36)),))</f>
        <v>41614</v>
      </c>
      <c r="B47" s="156" t="str">
        <f ca="1">IF(ROWS($1:36)&gt;COUNT(Dong2),"",OFFSET(TH!D$1,SMALL(Dong2,ROWS($1:36)),))</f>
        <v>GBC</v>
      </c>
      <c r="C47" s="156">
        <f ca="1">IF(ROWS($1:36)&gt;COUNT(Dong2),"",OFFSET(TH!E$1,SMALL(Dong2,ROWS($1:36)),))</f>
        <v>41614</v>
      </c>
      <c r="D47" s="235" t="str">
        <f ca="1">IF(ROWS($1:36)&gt;COUNT(Dong2),"",OFFSET(TH!F$1,SMALL(Dong2,ROWS($1:36)),))</f>
        <v>Thu tiền hàng</v>
      </c>
      <c r="E47" s="156" t="str">
        <f ca="1">IF(ROWS($1:36)&gt;COUNT(Dong2),"",IF(OFFSET(TH!M$1,SMALL(Dong2,ROWS($1:36)),)=$I$6,OFFSET(TH!L$1,SMALL(Dong2,ROWS($1:36)),),OFFSET(TH!M$1,SMALL(Dong2,ROWS($1:36)),)))</f>
        <v>131</v>
      </c>
      <c r="F47" s="476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23651870</v>
      </c>
      <c r="G47" s="476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0</v>
      </c>
      <c r="H47" s="607">
        <f t="shared" ca="1" si="3"/>
        <v>50913862</v>
      </c>
      <c r="I47" s="473"/>
    </row>
    <row r="48" spans="1:12" s="145" customFormat="1" ht="18.75" customHeight="1">
      <c r="A48" s="156">
        <f ca="1">IF(ROWS($1:37)&gt;COUNT(Dong2),"",OFFSET(TH!C$1,SMALL(Dong2,ROWS($1:37)),))</f>
        <v>41617</v>
      </c>
      <c r="B48" s="156" t="str">
        <f ca="1">IF(ROWS($1:37)&gt;COUNT(Dong2),"",OFFSET(TH!D$1,SMALL(Dong2,ROWS($1:37)),))</f>
        <v>GBC</v>
      </c>
      <c r="C48" s="156">
        <f ca="1">IF(ROWS($1:37)&gt;COUNT(Dong2),"",OFFSET(TH!E$1,SMALL(Dong2,ROWS($1:37)),))</f>
        <v>41617</v>
      </c>
      <c r="D48" s="235" t="str">
        <f ca="1">IF(ROWS($1:37)&gt;COUNT(Dong2),"",OFFSET(TH!F$1,SMALL(Dong2,ROWS($1:37)),))</f>
        <v>Thu tiền hàng</v>
      </c>
      <c r="E48" s="156" t="str">
        <f ca="1">IF(ROWS($1:37)&gt;COUNT(Dong2),"",IF(OFFSET(TH!M$1,SMALL(Dong2,ROWS($1:37)),)=$I$6,OFFSET(TH!L$1,SMALL(Dong2,ROWS($1:37)),),OFFSET(TH!M$1,SMALL(Dong2,ROWS($1:37)),)))</f>
        <v>131</v>
      </c>
      <c r="F48" s="476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15030851</v>
      </c>
      <c r="G48" s="476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0</v>
      </c>
      <c r="H48" s="607">
        <f t="shared" ca="1" si="3"/>
        <v>65944713</v>
      </c>
      <c r="I48" s="473"/>
    </row>
    <row r="49" spans="1:9" s="145" customFormat="1" ht="18.75" customHeight="1">
      <c r="A49" s="156">
        <f ca="1">IF(ROWS($1:38)&gt;COUNT(Dong2),"",OFFSET(TH!C$1,SMALL(Dong2,ROWS($1:38)),))</f>
        <v>41618</v>
      </c>
      <c r="B49" s="156" t="str">
        <f ca="1">IF(ROWS($1:38)&gt;COUNT(Dong2),"",OFFSET(TH!D$1,SMALL(Dong2,ROWS($1:38)),))</f>
        <v>GBN</v>
      </c>
      <c r="C49" s="156">
        <f ca="1">IF(ROWS($1:38)&gt;COUNT(Dong2),"",OFFSET(TH!E$1,SMALL(Dong2,ROWS($1:38)),))</f>
        <v>41618</v>
      </c>
      <c r="D49" s="235" t="str">
        <f ca="1">IF(ROWS($1:38)&gt;COUNT(Dong2),"",OFFSET(TH!F$1,SMALL(Dong2,ROWS($1:38)),))</f>
        <v>Phí bán 3 cuốn sec</v>
      </c>
      <c r="E49" s="156" t="str">
        <f ca="1">IF(ROWS($1:38)&gt;COUNT(Dong2),"",IF(OFFSET(TH!M$1,SMALL(Dong2,ROWS($1:38)),)=$I$6,OFFSET(TH!L$1,SMALL(Dong2,ROWS($1:38)),),OFFSET(TH!M$1,SMALL(Dong2,ROWS($1:38)),)))</f>
        <v>642</v>
      </c>
      <c r="F49" s="476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76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45000</v>
      </c>
      <c r="H49" s="607">
        <f t="shared" ca="1" si="3"/>
        <v>65899713</v>
      </c>
      <c r="I49" s="473"/>
    </row>
    <row r="50" spans="1:9" s="145" customFormat="1" ht="18.75" customHeight="1">
      <c r="A50" s="156">
        <f ca="1">IF(ROWS($1:39)&gt;COUNT(Dong2),"",OFFSET(TH!C$1,SMALL(Dong2,ROWS($1:39)),))</f>
        <v>41618</v>
      </c>
      <c r="B50" s="156" t="str">
        <f ca="1">IF(ROWS($1:39)&gt;COUNT(Dong2),"",OFFSET(TH!D$1,SMALL(Dong2,ROWS($1:39)),))</f>
        <v>T11</v>
      </c>
      <c r="C50" s="156">
        <f ca="1">IF(ROWS($1:39)&gt;COUNT(Dong2),"",OFFSET(TH!E$1,SMALL(Dong2,ROWS($1:39)),))</f>
        <v>41618</v>
      </c>
      <c r="D50" s="235" t="str">
        <f ca="1">IF(ROWS($1:39)&gt;COUNT(Dong2),"",OFFSET(TH!F$1,SMALL(Dong2,ROWS($1:39)),))</f>
        <v>Chi sec nhập quỹ tiền mặt</v>
      </c>
      <c r="E50" s="156" t="str">
        <f ca="1">IF(ROWS($1:39)&gt;COUNT(Dong2),"",IF(OFFSET(TH!M$1,SMALL(Dong2,ROWS($1:39)),)=$I$6,OFFSET(TH!L$1,SMALL(Dong2,ROWS($1:39)),),OFFSET(TH!M$1,SMALL(Dong2,ROWS($1:39)),)))</f>
        <v>1111</v>
      </c>
      <c r="F50" s="476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76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65800000</v>
      </c>
      <c r="H50" s="607">
        <f t="shared" ca="1" si="3"/>
        <v>99713</v>
      </c>
      <c r="I50" s="473"/>
    </row>
    <row r="51" spans="1:9" s="145" customFormat="1" ht="18.75" customHeight="1">
      <c r="A51" s="156">
        <f ca="1">IF(ROWS($1:40)&gt;COUNT(Dong2),"",OFFSET(TH!C$1,SMALL(Dong2,ROWS($1:40)),))</f>
        <v>41620</v>
      </c>
      <c r="B51" s="156" t="str">
        <f ca="1">IF(ROWS($1:40)&gt;COUNT(Dong2),"",OFFSET(TH!D$1,SMALL(Dong2,ROWS($1:40)),))</f>
        <v>GBC</v>
      </c>
      <c r="C51" s="156">
        <f ca="1">IF(ROWS($1:40)&gt;COUNT(Dong2),"",OFFSET(TH!E$1,SMALL(Dong2,ROWS($1:40)),))</f>
        <v>41620</v>
      </c>
      <c r="D51" s="235" t="str">
        <f ca="1">IF(ROWS($1:40)&gt;COUNT(Dong2),"",OFFSET(TH!F$1,SMALL(Dong2,ROWS($1:40)),))</f>
        <v>Thu tiền hàng</v>
      </c>
      <c r="E51" s="156" t="str">
        <f ca="1">IF(ROWS($1:40)&gt;COUNT(Dong2),"",IF(OFFSET(TH!M$1,SMALL(Dong2,ROWS($1:40)),)=$I$6,OFFSET(TH!L$1,SMALL(Dong2,ROWS($1:40)),),OFFSET(TH!M$1,SMALL(Dong2,ROWS($1:40)),)))</f>
        <v>131</v>
      </c>
      <c r="F51" s="476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13659140</v>
      </c>
      <c r="G51" s="476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0</v>
      </c>
      <c r="H51" s="607">
        <f t="shared" ca="1" si="3"/>
        <v>13758853</v>
      </c>
      <c r="I51" s="473"/>
    </row>
    <row r="52" spans="1:9" s="145" customFormat="1" ht="18.75" customHeight="1">
      <c r="A52" s="156">
        <f ca="1">IF(ROWS($1:41)&gt;COUNT(Dong2),"",OFFSET(TH!C$1,SMALL(Dong2,ROWS($1:41)),))</f>
        <v>41624</v>
      </c>
      <c r="B52" s="156" t="str">
        <f ca="1">IF(ROWS($1:41)&gt;COUNT(Dong2),"",OFFSET(TH!D$1,SMALL(Dong2,ROWS($1:41)),))</f>
        <v>GBC</v>
      </c>
      <c r="C52" s="156">
        <f ca="1">IF(ROWS($1:41)&gt;COUNT(Dong2),"",OFFSET(TH!E$1,SMALL(Dong2,ROWS($1:41)),))</f>
        <v>41624</v>
      </c>
      <c r="D52" s="235" t="str">
        <f ca="1">IF(ROWS($1:41)&gt;COUNT(Dong2),"",OFFSET(TH!F$1,SMALL(Dong2,ROWS($1:41)),))</f>
        <v>Thu tiền hàng</v>
      </c>
      <c r="E52" s="156" t="str">
        <f ca="1">IF(ROWS($1:41)&gt;COUNT(Dong2),"",IF(OFFSET(TH!M$1,SMALL(Dong2,ROWS($1:41)),)=$I$6,OFFSET(TH!L$1,SMALL(Dong2,ROWS($1:41)),),OFFSET(TH!M$1,SMALL(Dong2,ROWS($1:41)),)))</f>
        <v>131</v>
      </c>
      <c r="F52" s="476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13413400</v>
      </c>
      <c r="G52" s="476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607">
        <f t="shared" ca="1" si="3"/>
        <v>27172253</v>
      </c>
      <c r="I52" s="473"/>
    </row>
    <row r="53" spans="1:9" s="145" customFormat="1" ht="18.75" customHeight="1">
      <c r="A53" s="156">
        <f ca="1">IF(ROWS($1:42)&gt;COUNT(Dong2),"",OFFSET(TH!C$1,SMALL(Dong2,ROWS($1:42)),))</f>
        <v>41625</v>
      </c>
      <c r="B53" s="156" t="str">
        <f ca="1">IF(ROWS($1:42)&gt;COUNT(Dong2),"",OFFSET(TH!D$1,SMALL(Dong2,ROWS($1:42)),))</f>
        <v>GBC</v>
      </c>
      <c r="C53" s="156">
        <f ca="1">IF(ROWS($1:42)&gt;COUNT(Dong2),"",OFFSET(TH!E$1,SMALL(Dong2,ROWS($1:42)),))</f>
        <v>41625</v>
      </c>
      <c r="D53" s="235" t="str">
        <f ca="1">IF(ROWS($1:42)&gt;COUNT(Dong2),"",OFFSET(TH!F$1,SMALL(Dong2,ROWS($1:42)),))</f>
        <v>Thu tiền hàng</v>
      </c>
      <c r="E53" s="156" t="str">
        <f ca="1">IF(ROWS($1:42)&gt;COUNT(Dong2),"",IF(OFFSET(TH!M$1,SMALL(Dong2,ROWS($1:42)),)=$I$6,OFFSET(TH!L$1,SMALL(Dong2,ROWS($1:42)),),OFFSET(TH!M$1,SMALL(Dong2,ROWS($1:42)),)))</f>
        <v>131</v>
      </c>
      <c r="F53" s="476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15019180</v>
      </c>
      <c r="G53" s="476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607">
        <f t="shared" ca="1" si="3"/>
        <v>42191433</v>
      </c>
      <c r="I53" s="473"/>
    </row>
    <row r="54" spans="1:9" s="145" customFormat="1" ht="18.75" customHeight="1">
      <c r="A54" s="156">
        <f ca="1">IF(ROWS($1:43)&gt;COUNT(Dong2),"",OFFSET(TH!C$1,SMALL(Dong2,ROWS($1:43)),))</f>
        <v>41625</v>
      </c>
      <c r="B54" s="156" t="str">
        <f ca="1">IF(ROWS($1:43)&gt;COUNT(Dong2),"",OFFSET(TH!D$1,SMALL(Dong2,ROWS($1:43)),))</f>
        <v>T12</v>
      </c>
      <c r="C54" s="156">
        <f ca="1">IF(ROWS($1:43)&gt;COUNT(Dong2),"",OFFSET(TH!E$1,SMALL(Dong2,ROWS($1:43)),))</f>
        <v>41625</v>
      </c>
      <c r="D54" s="235" t="str">
        <f ca="1">IF(ROWS($1:43)&gt;COUNT(Dong2),"",OFFSET(TH!F$1,SMALL(Dong2,ROWS($1:43)),))</f>
        <v>Chi sec nhập quỹ tiền mặt</v>
      </c>
      <c r="E54" s="156" t="str">
        <f ca="1">IF(ROWS($1:43)&gt;COUNT(Dong2),"",IF(OFFSET(TH!M$1,SMALL(Dong2,ROWS($1:43)),)=$I$6,OFFSET(TH!L$1,SMALL(Dong2,ROWS($1:43)),),OFFSET(TH!M$1,SMALL(Dong2,ROWS($1:43)),)))</f>
        <v>1111</v>
      </c>
      <c r="F54" s="476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76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42000000</v>
      </c>
      <c r="H54" s="607">
        <f t="shared" ca="1" si="3"/>
        <v>191433</v>
      </c>
      <c r="I54" s="473"/>
    </row>
    <row r="55" spans="1:9" s="145" customFormat="1" ht="18.75" customHeight="1">
      <c r="A55" s="156">
        <f ca="1">IF(ROWS($1:44)&gt;COUNT(Dong2),"",OFFSET(TH!C$1,SMALL(Dong2,ROWS($1:44)),))</f>
        <v>41632</v>
      </c>
      <c r="B55" s="156" t="str">
        <f ca="1">IF(ROWS($1:44)&gt;COUNT(Dong2),"",OFFSET(TH!D$1,SMALL(Dong2,ROWS($1:44)),))</f>
        <v>GBC</v>
      </c>
      <c r="C55" s="156">
        <f ca="1">IF(ROWS($1:44)&gt;COUNT(Dong2),"",OFFSET(TH!E$1,SMALL(Dong2,ROWS($1:44)),))</f>
        <v>41632</v>
      </c>
      <c r="D55" s="235" t="str">
        <f ca="1">IF(ROWS($1:44)&gt;COUNT(Dong2),"",OFFSET(TH!F$1,SMALL(Dong2,ROWS($1:44)),))</f>
        <v>Thu tiền hàng</v>
      </c>
      <c r="E55" s="156" t="str">
        <f ca="1">IF(ROWS($1:44)&gt;COUNT(Dong2),"",IF(OFFSET(TH!M$1,SMALL(Dong2,ROWS($1:44)),)=$I$6,OFFSET(TH!L$1,SMALL(Dong2,ROWS($1:44)),),OFFSET(TH!M$1,SMALL(Dong2,ROWS($1:44)),)))</f>
        <v>131</v>
      </c>
      <c r="F55" s="476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23385120</v>
      </c>
      <c r="G55" s="476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0</v>
      </c>
      <c r="H55" s="607">
        <f t="shared" ref="H55:H68" ca="1" si="4">IF(A55&lt;&gt;"",H54+F55-G55,0)</f>
        <v>23576553</v>
      </c>
      <c r="I55" s="473"/>
    </row>
    <row r="56" spans="1:9" s="145" customFormat="1" ht="18.75" customHeight="1">
      <c r="A56" s="156">
        <f ca="1">IF(ROWS($1:45)&gt;COUNT(Dong2),"",OFFSET(TH!C$1,SMALL(Dong2,ROWS($1:45)),))</f>
        <v>41633</v>
      </c>
      <c r="B56" s="156" t="str">
        <f ca="1">IF(ROWS($1:45)&gt;COUNT(Dong2),"",OFFSET(TH!D$1,SMALL(Dong2,ROWS($1:45)),))</f>
        <v>GBC</v>
      </c>
      <c r="C56" s="156">
        <f ca="1">IF(ROWS($1:45)&gt;COUNT(Dong2),"",OFFSET(TH!E$1,SMALL(Dong2,ROWS($1:45)),))</f>
        <v>41633</v>
      </c>
      <c r="D56" s="235" t="str">
        <f ca="1">IF(ROWS($1:45)&gt;COUNT(Dong2),"",OFFSET(TH!F$1,SMALL(Dong2,ROWS($1:45)),))</f>
        <v>Lãi tiền gửi</v>
      </c>
      <c r="E56" s="156" t="str">
        <f ca="1">IF(ROWS($1:45)&gt;COUNT(Dong2),"",IF(OFFSET(TH!M$1,SMALL(Dong2,ROWS($1:45)),)=$I$6,OFFSET(TH!L$1,SMALL(Dong2,ROWS($1:45)),),OFFSET(TH!M$1,SMALL(Dong2,ROWS($1:45)),)))</f>
        <v>515</v>
      </c>
      <c r="F56" s="476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14562</v>
      </c>
      <c r="G56" s="476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07">
        <f t="shared" ca="1" si="4"/>
        <v>23591115</v>
      </c>
      <c r="I56" s="473"/>
    </row>
    <row r="57" spans="1:9" s="145" customFormat="1" ht="18.75" customHeight="1">
      <c r="A57" s="156">
        <f ca="1">IF(ROWS($1:46)&gt;COUNT(Dong2),"",OFFSET(TH!C$1,SMALL(Dong2,ROWS($1:46)),))</f>
        <v>41635</v>
      </c>
      <c r="B57" s="156" t="str">
        <f ca="1">IF(ROWS($1:46)&gt;COUNT(Dong2),"",OFFSET(TH!D$1,SMALL(Dong2,ROWS($1:46)),))</f>
        <v>GBN</v>
      </c>
      <c r="C57" s="156">
        <f ca="1">IF(ROWS($1:46)&gt;COUNT(Dong2),"",OFFSET(TH!E$1,SMALL(Dong2,ROWS($1:46)),))</f>
        <v>41635</v>
      </c>
      <c r="D57" s="235" t="str">
        <f ca="1">IF(ROWS($1:46)&gt;COUNT(Dong2),"",OFFSET(TH!F$1,SMALL(Dong2,ROWS($1:46)),))</f>
        <v>Thu tiền hàng</v>
      </c>
      <c r="E57" s="156" t="str">
        <f ca="1">IF(ROWS($1:46)&gt;COUNT(Dong2),"",IF(OFFSET(TH!M$1,SMALL(Dong2,ROWS($1:46)),)=$I$6,OFFSET(TH!L$1,SMALL(Dong2,ROWS($1:46)),),OFFSET(TH!M$1,SMALL(Dong2,ROWS($1:46)),)))</f>
        <v>131</v>
      </c>
      <c r="F57" s="476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9421720</v>
      </c>
      <c r="G57" s="476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07">
        <f t="shared" ca="1" si="4"/>
        <v>33012835</v>
      </c>
      <c r="I57" s="473"/>
    </row>
    <row r="58" spans="1:9" s="145" customFormat="1" ht="18.75" customHeight="1">
      <c r="A58" s="156">
        <f ca="1">IF(ROWS($1:47)&gt;COUNT(Dong2),"",OFFSET(TH!C$1,SMALL(Dong2,ROWS($1:47)),))</f>
        <v>41639</v>
      </c>
      <c r="B58" s="156" t="str">
        <f ca="1">IF(ROWS($1:47)&gt;COUNT(Dong2),"",OFFSET(TH!D$1,SMALL(Dong2,ROWS($1:47)),))</f>
        <v>T13</v>
      </c>
      <c r="C58" s="156">
        <f ca="1">IF(ROWS($1:47)&gt;COUNT(Dong2),"",OFFSET(TH!E$1,SMALL(Dong2,ROWS($1:47)),))</f>
        <v>41639</v>
      </c>
      <c r="D58" s="235" t="str">
        <f ca="1">IF(ROWS($1:47)&gt;COUNT(Dong2),"",OFFSET(TH!F$1,SMALL(Dong2,ROWS($1:47)),))</f>
        <v>Chi sec nhập quỹ tiền mặt</v>
      </c>
      <c r="E58" s="156" t="str">
        <f ca="1">IF(ROWS($1:47)&gt;COUNT(Dong2),"",IF(OFFSET(TH!M$1,SMALL(Dong2,ROWS($1:47)),)=$I$6,OFFSET(TH!L$1,SMALL(Dong2,ROWS($1:47)),),OFFSET(TH!M$1,SMALL(Dong2,ROWS($1:47)),)))</f>
        <v>1111</v>
      </c>
      <c r="F58" s="476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76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32900000</v>
      </c>
      <c r="H58" s="607">
        <f t="shared" ca="1" si="4"/>
        <v>112835</v>
      </c>
      <c r="I58" s="473"/>
    </row>
    <row r="59" spans="1:9" s="145" customFormat="1" ht="18.75" customHeight="1">
      <c r="A59" s="156" t="str">
        <f ca="1">IF(ROWS($1:48)&gt;COUNT(Dong2),"",OFFSET(TH!C$1,SMALL(Dong2,ROWS($1:48)),))</f>
        <v/>
      </c>
      <c r="B59" s="156" t="str">
        <f ca="1">IF(ROWS($1:48)&gt;COUNT(Dong2),"",OFFSET(TH!D$1,SMALL(Dong2,ROWS($1:48)),))</f>
        <v/>
      </c>
      <c r="C59" s="156" t="str">
        <f ca="1">IF(ROWS($1:48)&gt;COUNT(Dong2),"",OFFSET(TH!E$1,SMALL(Dong2,ROWS($1:48)),))</f>
        <v/>
      </c>
      <c r="D59" s="235" t="str">
        <f ca="1">IF(ROWS($1:48)&gt;COUNT(Dong2),"",OFFSET(TH!F$1,SMALL(Dong2,ROWS($1:48)),))</f>
        <v/>
      </c>
      <c r="E59" s="156" t="str">
        <f ca="1">IF(ROWS($1:48)&gt;COUNT(Dong2),"",IF(OFFSET(TH!M$1,SMALL(Dong2,ROWS($1:48)),)=$I$6,OFFSET(TH!L$1,SMALL(Dong2,ROWS($1:48)),),OFFSET(TH!M$1,SMALL(Dong2,ROWS($1:48)),)))</f>
        <v/>
      </c>
      <c r="F59" s="476" t="str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/>
      </c>
      <c r="G59" s="476" t="str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/>
      </c>
      <c r="H59" s="607">
        <f t="shared" ca="1" si="4"/>
        <v>0</v>
      </c>
      <c r="I59" s="473"/>
    </row>
    <row r="60" spans="1:9" s="145" customFormat="1" ht="18.75" customHeight="1">
      <c r="A60" s="156" t="str">
        <f ca="1">IF(ROWS($1:49)&gt;COUNT(Dong2),"",OFFSET(TH!C$1,SMALL(Dong2,ROWS($1:49)),))</f>
        <v/>
      </c>
      <c r="B60" s="156" t="str">
        <f ca="1">IF(ROWS($1:49)&gt;COUNT(Dong2),"",OFFSET(TH!D$1,SMALL(Dong2,ROWS($1:49)),))</f>
        <v/>
      </c>
      <c r="C60" s="156" t="str">
        <f ca="1">IF(ROWS($1:49)&gt;COUNT(Dong2),"",OFFSET(TH!E$1,SMALL(Dong2,ROWS($1:49)),))</f>
        <v/>
      </c>
      <c r="D60" s="235" t="str">
        <f ca="1">IF(ROWS($1:49)&gt;COUNT(Dong2),"",OFFSET(TH!F$1,SMALL(Dong2,ROWS($1:49)),))</f>
        <v/>
      </c>
      <c r="E60" s="156" t="str">
        <f ca="1">IF(ROWS($1:49)&gt;COUNT(Dong2),"",IF(OFFSET(TH!M$1,SMALL(Dong2,ROWS($1:49)),)=$I$6,OFFSET(TH!L$1,SMALL(Dong2,ROWS($1:49)),),OFFSET(TH!M$1,SMALL(Dong2,ROWS($1:49)),)))</f>
        <v/>
      </c>
      <c r="F60" s="476" t="str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/>
      </c>
      <c r="G60" s="476" t="str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/>
      </c>
      <c r="H60" s="607">
        <f t="shared" ca="1" si="4"/>
        <v>0</v>
      </c>
      <c r="I60" s="473"/>
    </row>
    <row r="61" spans="1:9" s="145" customFormat="1" ht="18.75" customHeight="1">
      <c r="A61" s="156" t="str">
        <f ca="1">IF(ROWS($1:50)&gt;COUNT(Dong2),"",OFFSET(TH!C$1,SMALL(Dong2,ROWS($1:50)),))</f>
        <v/>
      </c>
      <c r="B61" s="156" t="str">
        <f ca="1">IF(ROWS($1:50)&gt;COUNT(Dong2),"",OFFSET(TH!D$1,SMALL(Dong2,ROWS($1:50)),))</f>
        <v/>
      </c>
      <c r="C61" s="156" t="str">
        <f ca="1">IF(ROWS($1:50)&gt;COUNT(Dong2),"",OFFSET(TH!E$1,SMALL(Dong2,ROWS($1:50)),))</f>
        <v/>
      </c>
      <c r="D61" s="235" t="str">
        <f ca="1">IF(ROWS($1:50)&gt;COUNT(Dong2),"",OFFSET(TH!F$1,SMALL(Dong2,ROWS($1:50)),))</f>
        <v/>
      </c>
      <c r="E61" s="156" t="str">
        <f ca="1">IF(ROWS($1:50)&gt;COUNT(Dong2),"",IF(OFFSET(TH!M$1,SMALL(Dong2,ROWS($1:50)),)=$I$6,OFFSET(TH!L$1,SMALL(Dong2,ROWS($1:50)),),OFFSET(TH!M$1,SMALL(Dong2,ROWS($1:50)),)))</f>
        <v/>
      </c>
      <c r="F61" s="476" t="str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/>
      </c>
      <c r="G61" s="476" t="str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/>
      </c>
      <c r="H61" s="607">
        <f t="shared" ca="1" si="4"/>
        <v>0</v>
      </c>
      <c r="I61" s="473"/>
    </row>
    <row r="62" spans="1:9" s="145" customFormat="1" ht="18.75" customHeight="1">
      <c r="A62" s="156" t="str">
        <f ca="1">IF(ROWS($1:51)&gt;COUNT(Dong2),"",OFFSET(TH!C$1,SMALL(Dong2,ROWS($1:51)),))</f>
        <v/>
      </c>
      <c r="B62" s="156" t="str">
        <f ca="1">IF(ROWS($1:51)&gt;COUNT(Dong2),"",OFFSET(TH!D$1,SMALL(Dong2,ROWS($1:51)),))</f>
        <v/>
      </c>
      <c r="C62" s="156" t="str">
        <f ca="1">IF(ROWS($1:51)&gt;COUNT(Dong2),"",OFFSET(TH!E$1,SMALL(Dong2,ROWS($1:51)),))</f>
        <v/>
      </c>
      <c r="D62" s="235" t="str">
        <f ca="1">IF(ROWS($1:51)&gt;COUNT(Dong2),"",OFFSET(TH!F$1,SMALL(Dong2,ROWS($1:51)),))</f>
        <v/>
      </c>
      <c r="E62" s="156" t="str">
        <f ca="1">IF(ROWS($1:51)&gt;COUNT(Dong2),"",IF(OFFSET(TH!M$1,SMALL(Dong2,ROWS($1:51)),)=$I$6,OFFSET(TH!L$1,SMALL(Dong2,ROWS($1:51)),),OFFSET(TH!M$1,SMALL(Dong2,ROWS($1:51)),)))</f>
        <v/>
      </c>
      <c r="F62" s="476" t="str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/>
      </c>
      <c r="G62" s="476" t="str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/>
      </c>
      <c r="H62" s="607">
        <f t="shared" ca="1" si="4"/>
        <v>0</v>
      </c>
      <c r="I62" s="473"/>
    </row>
    <row r="63" spans="1:9" s="145" customFormat="1" ht="18.75" customHeight="1">
      <c r="A63" s="156" t="str">
        <f ca="1">IF(ROWS($1:52)&gt;COUNT(Dong2),"",OFFSET(TH!C$1,SMALL(Dong2,ROWS($1:52)),))</f>
        <v/>
      </c>
      <c r="B63" s="156" t="str">
        <f ca="1">IF(ROWS($1:52)&gt;COUNT(Dong2),"",OFFSET(TH!D$1,SMALL(Dong2,ROWS($1:52)),))</f>
        <v/>
      </c>
      <c r="C63" s="156" t="str">
        <f ca="1">IF(ROWS($1:52)&gt;COUNT(Dong2),"",OFFSET(TH!E$1,SMALL(Dong2,ROWS($1:52)),))</f>
        <v/>
      </c>
      <c r="D63" s="235" t="str">
        <f ca="1">IF(ROWS($1:52)&gt;COUNT(Dong2),"",OFFSET(TH!F$1,SMALL(Dong2,ROWS($1:52)),))</f>
        <v/>
      </c>
      <c r="E63" s="156" t="str">
        <f ca="1">IF(ROWS($1:52)&gt;COUNT(Dong2),"",IF(OFFSET(TH!M$1,SMALL(Dong2,ROWS($1:52)),)=$I$6,OFFSET(TH!L$1,SMALL(Dong2,ROWS($1:52)),),OFFSET(TH!M$1,SMALL(Dong2,ROWS($1:52)),)))</f>
        <v/>
      </c>
      <c r="F63" s="476" t="str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/>
      </c>
      <c r="G63" s="476" t="str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/>
      </c>
      <c r="H63" s="607">
        <f t="shared" ca="1" si="4"/>
        <v>0</v>
      </c>
      <c r="I63" s="473"/>
    </row>
    <row r="64" spans="1:9" s="145" customFormat="1" ht="18.75" customHeight="1">
      <c r="A64" s="156" t="str">
        <f ca="1">IF(ROWS($1:53)&gt;COUNT(Dong2),"",OFFSET(TH!C$1,SMALL(Dong2,ROWS($1:53)),))</f>
        <v/>
      </c>
      <c r="B64" s="156" t="str">
        <f ca="1">IF(ROWS($1:53)&gt;COUNT(Dong2),"",OFFSET(TH!D$1,SMALL(Dong2,ROWS($1:53)),))</f>
        <v/>
      </c>
      <c r="C64" s="156" t="str">
        <f ca="1">IF(ROWS($1:53)&gt;COUNT(Dong2),"",OFFSET(TH!E$1,SMALL(Dong2,ROWS($1:53)),))</f>
        <v/>
      </c>
      <c r="D64" s="235" t="str">
        <f ca="1">IF(ROWS($1:53)&gt;COUNT(Dong2),"",OFFSET(TH!F$1,SMALL(Dong2,ROWS($1:53)),))</f>
        <v/>
      </c>
      <c r="E64" s="156" t="str">
        <f ca="1">IF(ROWS($1:53)&gt;COUNT(Dong2),"",IF(OFFSET(TH!M$1,SMALL(Dong2,ROWS($1:53)),)=$I$6,OFFSET(TH!L$1,SMALL(Dong2,ROWS($1:53)),),OFFSET(TH!M$1,SMALL(Dong2,ROWS($1:53)),)))</f>
        <v/>
      </c>
      <c r="F64" s="476" t="str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/>
      </c>
      <c r="G64" s="476" t="str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/>
      </c>
      <c r="H64" s="607">
        <f t="shared" ca="1" si="4"/>
        <v>0</v>
      </c>
      <c r="I64" s="473"/>
    </row>
    <row r="65" spans="1:20" s="145" customFormat="1" ht="18.75" customHeight="1">
      <c r="A65" s="156" t="str">
        <f ca="1">IF(ROWS($1:54)&gt;COUNT(Dong2),"",OFFSET(TH!C$1,SMALL(Dong2,ROWS($1:54)),))</f>
        <v/>
      </c>
      <c r="B65" s="156" t="str">
        <f ca="1">IF(ROWS($1:54)&gt;COUNT(Dong2),"",OFFSET(TH!D$1,SMALL(Dong2,ROWS($1:54)),))</f>
        <v/>
      </c>
      <c r="C65" s="156" t="str">
        <f ca="1">IF(ROWS($1:54)&gt;COUNT(Dong2),"",OFFSET(TH!E$1,SMALL(Dong2,ROWS($1:54)),))</f>
        <v/>
      </c>
      <c r="D65" s="235" t="str">
        <f ca="1">IF(ROWS($1:54)&gt;COUNT(Dong2),"",OFFSET(TH!F$1,SMALL(Dong2,ROWS($1:54)),))</f>
        <v/>
      </c>
      <c r="E65" s="156" t="str">
        <f ca="1">IF(ROWS($1:54)&gt;COUNT(Dong2),"",IF(OFFSET(TH!M$1,SMALL(Dong2,ROWS($1:54)),)=$I$6,OFFSET(TH!L$1,SMALL(Dong2,ROWS($1:54)),),OFFSET(TH!M$1,SMALL(Dong2,ROWS($1:54)),)))</f>
        <v/>
      </c>
      <c r="F65" s="476" t="str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/>
      </c>
      <c r="G65" s="476" t="str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/>
      </c>
      <c r="H65" s="607">
        <f t="shared" ca="1" si="4"/>
        <v>0</v>
      </c>
      <c r="I65" s="473"/>
    </row>
    <row r="66" spans="1:20" s="145" customFormat="1" ht="18.75" customHeight="1">
      <c r="A66" s="156" t="str">
        <f ca="1">IF(ROWS($1:55)&gt;COUNT(Dong2),"",OFFSET(TH!C$1,SMALL(Dong2,ROWS($1:55)),))</f>
        <v/>
      </c>
      <c r="B66" s="156" t="str">
        <f ca="1">IF(ROWS($1:55)&gt;COUNT(Dong2),"",OFFSET(TH!D$1,SMALL(Dong2,ROWS($1:55)),))</f>
        <v/>
      </c>
      <c r="C66" s="156" t="str">
        <f ca="1">IF(ROWS($1:55)&gt;COUNT(Dong2),"",OFFSET(TH!E$1,SMALL(Dong2,ROWS($1:55)),))</f>
        <v/>
      </c>
      <c r="D66" s="235" t="str">
        <f ca="1">IF(ROWS($1:55)&gt;COUNT(Dong2),"",OFFSET(TH!F$1,SMALL(Dong2,ROWS($1:55)),))</f>
        <v/>
      </c>
      <c r="E66" s="156" t="str">
        <f ca="1">IF(ROWS($1:55)&gt;COUNT(Dong2),"",IF(OFFSET(TH!M$1,SMALL(Dong2,ROWS($1:55)),)=$I$6,OFFSET(TH!L$1,SMALL(Dong2,ROWS($1:55)),),OFFSET(TH!M$1,SMALL(Dong2,ROWS($1:55)),)))</f>
        <v/>
      </c>
      <c r="F66" s="476" t="str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/>
      </c>
      <c r="G66" s="476" t="str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/>
      </c>
      <c r="H66" s="607">
        <f t="shared" ca="1" si="4"/>
        <v>0</v>
      </c>
      <c r="I66" s="473"/>
    </row>
    <row r="67" spans="1:20" s="145" customFormat="1" ht="18.75" customHeight="1">
      <c r="A67" s="156" t="str">
        <f ca="1">IF(ROWS($1:56)&gt;COUNT(Dong2),"",OFFSET(TH!C$1,SMALL(Dong2,ROWS($1:56)),))</f>
        <v/>
      </c>
      <c r="B67" s="156" t="str">
        <f ca="1">IF(ROWS($1:56)&gt;COUNT(Dong2),"",OFFSET(TH!D$1,SMALL(Dong2,ROWS($1:56)),))</f>
        <v/>
      </c>
      <c r="C67" s="156" t="str">
        <f ca="1">IF(ROWS($1:56)&gt;COUNT(Dong2),"",OFFSET(TH!E$1,SMALL(Dong2,ROWS($1:56)),))</f>
        <v/>
      </c>
      <c r="D67" s="235" t="str">
        <f ca="1">IF(ROWS($1:56)&gt;COUNT(Dong2),"",OFFSET(TH!F$1,SMALL(Dong2,ROWS($1:56)),))</f>
        <v/>
      </c>
      <c r="E67" s="156" t="str">
        <f ca="1">IF(ROWS($1:56)&gt;COUNT(Dong2),"",IF(OFFSET(TH!M$1,SMALL(Dong2,ROWS($1:56)),)=$I$6,OFFSET(TH!L$1,SMALL(Dong2,ROWS($1:56)),),OFFSET(TH!M$1,SMALL(Dong2,ROWS($1:56)),)))</f>
        <v/>
      </c>
      <c r="F67" s="476" t="str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/>
      </c>
      <c r="G67" s="476" t="str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/>
      </c>
      <c r="H67" s="607">
        <f t="shared" ca="1" si="4"/>
        <v>0</v>
      </c>
      <c r="I67" s="473"/>
    </row>
    <row r="68" spans="1:20" s="145" customFormat="1" ht="18.75" customHeight="1">
      <c r="A68" s="156" t="str">
        <f ca="1">IF(ROWS($1:57)&gt;COUNT(Dong2),"",OFFSET(TH!C$1,SMALL(Dong2,ROWS($1:57)),))</f>
        <v/>
      </c>
      <c r="B68" s="156" t="str">
        <f ca="1">IF(ROWS($1:57)&gt;COUNT(Dong2),"",OFFSET(TH!D$1,SMALL(Dong2,ROWS($1:57)),))</f>
        <v/>
      </c>
      <c r="C68" s="156" t="str">
        <f ca="1">IF(ROWS($1:57)&gt;COUNT(Dong2),"",OFFSET(TH!E$1,SMALL(Dong2,ROWS($1:57)),))</f>
        <v/>
      </c>
      <c r="D68" s="235" t="str">
        <f ca="1">IF(ROWS($1:57)&gt;COUNT(Dong2),"",OFFSET(TH!F$1,SMALL(Dong2,ROWS($1:57)),))</f>
        <v/>
      </c>
      <c r="E68" s="156" t="str">
        <f ca="1">IF(ROWS($1:57)&gt;COUNT(Dong2),"",IF(OFFSET(TH!M$1,SMALL(Dong2,ROWS($1:57)),)=$I$6,OFFSET(TH!L$1,SMALL(Dong2,ROWS($1:57)),),OFFSET(TH!M$1,SMALL(Dong2,ROWS($1:57)),)))</f>
        <v/>
      </c>
      <c r="F68" s="476" t="str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/>
      </c>
      <c r="G68" s="476" t="str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/>
      </c>
      <c r="H68" s="607">
        <f t="shared" ca="1" si="4"/>
        <v>0</v>
      </c>
      <c r="I68" s="473"/>
    </row>
    <row r="69" spans="1:20" s="145" customFormat="1" ht="18.75" customHeight="1">
      <c r="A69" s="156"/>
      <c r="B69" s="156"/>
      <c r="C69" s="156"/>
      <c r="D69" s="235"/>
      <c r="E69" s="156"/>
      <c r="F69" s="476"/>
      <c r="G69" s="476"/>
      <c r="H69" s="607"/>
      <c r="I69" s="473"/>
      <c r="Q69" s="155"/>
      <c r="R69" s="155"/>
      <c r="S69" s="155"/>
      <c r="T69" s="155"/>
    </row>
    <row r="70" spans="1:20" s="155" customFormat="1" ht="18.75" customHeight="1">
      <c r="A70" s="157"/>
      <c r="B70" s="158"/>
      <c r="C70" s="157"/>
      <c r="D70" s="154" t="s">
        <v>133</v>
      </c>
      <c r="E70" s="159"/>
      <c r="F70" s="475">
        <f ca="1">SUM(F12:F69)</f>
        <v>457023891</v>
      </c>
      <c r="G70" s="475">
        <f ca="1">SUM(G12:G69)</f>
        <v>471845000</v>
      </c>
      <c r="H70" s="475">
        <f ca="1">H11+F70-G70</f>
        <v>112835</v>
      </c>
      <c r="I70" s="474"/>
    </row>
    <row r="71" spans="1:20" s="155" customFormat="1" ht="18.75" customHeight="1">
      <c r="A71" s="157"/>
      <c r="B71" s="158"/>
      <c r="C71" s="157"/>
      <c r="D71" s="154" t="s">
        <v>10</v>
      </c>
      <c r="E71" s="159"/>
      <c r="F71" s="160"/>
      <c r="G71" s="160"/>
      <c r="H71" s="475">
        <f ca="1">H70</f>
        <v>112835</v>
      </c>
      <c r="I71" s="159"/>
    </row>
    <row r="72" spans="1:20" s="155" customFormat="1" ht="22.5" customHeight="1">
      <c r="A72" s="252" t="s">
        <v>155</v>
      </c>
      <c r="B72" s="161"/>
      <c r="F72" s="162"/>
      <c r="H72" s="600"/>
      <c r="I72" s="163"/>
    </row>
    <row r="73" spans="1:20" s="155" customFormat="1" ht="12.75">
      <c r="A73" s="180" t="str">
        <f ca="1">"- Ngày mở sổ: "&amp;DAY($A$12)&amp;"/"&amp;MONTH($A$12)&amp;"/ " &amp;YEAR($A$12)</f>
        <v>- Ngày mở sổ: 5/10/ 2013</v>
      </c>
      <c r="B73" s="164"/>
      <c r="F73" s="162"/>
      <c r="H73" s="600"/>
      <c r="I73" s="163"/>
    </row>
    <row r="74" spans="1:20" s="155" customFormat="1" ht="12.75">
      <c r="A74" s="165"/>
      <c r="B74" s="166"/>
      <c r="C74" s="167"/>
      <c r="F74" s="162"/>
      <c r="G74" s="190" t="str">
        <f ca="1">"Ngày "&amp;IF(OR($K$9=4,$K$9=6,$K$9=9,$K$9=11),"30",IF($K$9=2,"28","31"))&amp;"  tháng  "&amp;$O$8&amp;"  năm   "&amp;YEAR($A$12)</f>
        <v>Ngày 31  tháng  12  năm   2013</v>
      </c>
      <c r="H74" s="600"/>
    </row>
    <row r="75" spans="1:20" s="155" customFormat="1" ht="17.25" customHeight="1">
      <c r="B75" s="168" t="s">
        <v>11</v>
      </c>
      <c r="D75" s="168" t="s">
        <v>12</v>
      </c>
      <c r="F75" s="169"/>
      <c r="G75" s="217" t="s">
        <v>109</v>
      </c>
      <c r="H75" s="601"/>
      <c r="I75" s="236"/>
      <c r="J75" s="170"/>
      <c r="K75" s="165"/>
      <c r="L75" s="165"/>
    </row>
    <row r="76" spans="1:20" s="155" customFormat="1">
      <c r="B76" s="218" t="s">
        <v>13</v>
      </c>
      <c r="D76" s="171" t="s">
        <v>13</v>
      </c>
      <c r="F76" s="172"/>
      <c r="G76" s="219" t="s">
        <v>136</v>
      </c>
      <c r="H76" s="600"/>
      <c r="K76" s="173"/>
      <c r="L76" s="173"/>
      <c r="Q76" s="174"/>
      <c r="R76" s="174"/>
      <c r="S76" s="174"/>
      <c r="T76" s="174"/>
    </row>
  </sheetData>
  <autoFilter ref="A10:K73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49"/>
  <sheetViews>
    <sheetView showZeros="0" topLeftCell="A4" workbookViewId="0">
      <pane ySplit="2" topLeftCell="A24" activePane="bottomLeft" state="frozen"/>
      <selection activeCell="A4" sqref="A4"/>
      <selection pane="bottomLeft" activeCell="C22" sqref="C22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75" t="str">
        <f>TH!$A$1</f>
        <v>Đơn vị: CÔNG TY TNHH SX TM KIM DUNG PHÁT</v>
      </c>
    </row>
    <row r="2" spans="1:9">
      <c r="A2" s="876" t="str">
        <f>TH!$A$2</f>
        <v>Địa chỉ: 1A227/1 Ấp 1, Phạm Văn Hai, Bình Chánh, TPHCM</v>
      </c>
    </row>
    <row r="3" spans="1:9" ht="27" customHeight="1">
      <c r="A3" s="974" t="s">
        <v>350</v>
      </c>
      <c r="B3" s="974"/>
      <c r="C3" s="974"/>
      <c r="D3" s="974"/>
      <c r="E3" s="974"/>
      <c r="F3" s="974"/>
      <c r="G3" s="974"/>
      <c r="H3" s="974"/>
    </row>
    <row r="4" spans="1:9" s="10" customFormat="1" ht="14.25" customHeight="1">
      <c r="A4" s="975" t="s">
        <v>35</v>
      </c>
      <c r="B4" s="977" t="s">
        <v>36</v>
      </c>
      <c r="C4" s="979" t="s">
        <v>37</v>
      </c>
      <c r="D4" s="980"/>
      <c r="E4" s="979" t="s">
        <v>38</v>
      </c>
      <c r="F4" s="980"/>
      <c r="G4" s="979" t="s">
        <v>41</v>
      </c>
      <c r="H4" s="980"/>
    </row>
    <row r="5" spans="1:9" s="10" customFormat="1" ht="14.25" customHeight="1">
      <c r="A5" s="976"/>
      <c r="B5" s="978"/>
      <c r="C5" s="613" t="s">
        <v>42</v>
      </c>
      <c r="D5" s="613" t="s">
        <v>43</v>
      </c>
      <c r="E5" s="613" t="s">
        <v>42</v>
      </c>
      <c r="F5" s="613" t="s">
        <v>43</v>
      </c>
      <c r="G5" s="613" t="s">
        <v>42</v>
      </c>
      <c r="H5" s="613" t="s">
        <v>43</v>
      </c>
    </row>
    <row r="6" spans="1:9" s="10" customFormat="1" ht="16.5" customHeight="1">
      <c r="A6" s="6">
        <f t="shared" ref="A6:A41" si="0">IF(B6&lt;&gt;"",ROW()-5,"")</f>
        <v>1</v>
      </c>
      <c r="B6" s="7" t="s">
        <v>824</v>
      </c>
      <c r="C6" s="8"/>
      <c r="D6" s="8"/>
      <c r="E6" s="8">
        <f t="array" ref="E6">SUM(IF("131"&amp;B6=KHN&amp;KH,TH))</f>
        <v>39050000</v>
      </c>
      <c r="F6" s="8">
        <f t="array" ref="F6">SUM(IF("131"&amp;B6=KHC&amp;KH,TH))</f>
        <v>0</v>
      </c>
      <c r="G6" s="55">
        <f t="shared" ref="G6:G41" si="1">ROUND(MAX(C6+E6-D6-F6,0),2)</f>
        <v>39050000</v>
      </c>
      <c r="H6" s="55">
        <f t="shared" ref="H6:H41" si="2">ROUND(MAX(D6+F6-C6-E6,0),2)</f>
        <v>0</v>
      </c>
    </row>
    <row r="7" spans="1:9" s="10" customFormat="1" ht="16.5" customHeight="1">
      <c r="A7" s="6">
        <f t="shared" si="0"/>
        <v>2</v>
      </c>
      <c r="B7" s="7" t="s">
        <v>550</v>
      </c>
      <c r="C7" s="8"/>
      <c r="D7" s="8"/>
      <c r="E7" s="8">
        <f t="array" ref="E7">SUM(IF("131"&amp;B7=KHN&amp;KH,TH))</f>
        <v>76530520</v>
      </c>
      <c r="F7" s="8">
        <f t="array" ref="F7">SUM(IF("131"&amp;B7=KHC&amp;KH,TH))</f>
        <v>76530520</v>
      </c>
      <c r="G7" s="55">
        <f t="shared" si="1"/>
        <v>0</v>
      </c>
      <c r="H7" s="55">
        <f t="shared" si="2"/>
        <v>0</v>
      </c>
      <c r="I7" s="10" t="str">
        <f>IF(ISNA(VLOOKUP(B7,[4]!DS_131,1,0)),"","x")</f>
        <v/>
      </c>
    </row>
    <row r="8" spans="1:9" s="10" customFormat="1" ht="16.5" customHeight="1">
      <c r="A8" s="6">
        <f t="shared" si="0"/>
        <v>3</v>
      </c>
      <c r="B8" s="7" t="s">
        <v>794</v>
      </c>
      <c r="C8" s="8"/>
      <c r="D8" s="8"/>
      <c r="E8" s="8">
        <f t="array" ref="E8">SUM(IF("131"&amp;B8=KHN&amp;KH,TH))</f>
        <v>6600000</v>
      </c>
      <c r="F8" s="8">
        <f t="array" ref="F8">SUM(IF("131"&amp;B8=KHC&amp;KH,TH))</f>
        <v>0</v>
      </c>
      <c r="G8" s="55">
        <f t="shared" si="1"/>
        <v>6600000</v>
      </c>
      <c r="H8" s="55">
        <f t="shared" si="2"/>
        <v>0</v>
      </c>
    </row>
    <row r="9" spans="1:9" s="10" customFormat="1" ht="16.5" customHeight="1">
      <c r="A9" s="6">
        <f t="shared" si="0"/>
        <v>4</v>
      </c>
      <c r="B9" s="7" t="s">
        <v>790</v>
      </c>
      <c r="C9" s="8"/>
      <c r="D9" s="8"/>
      <c r="E9" s="8">
        <f t="array" ref="E9">SUM(IF("131"&amp;B9=KHN&amp;KH,TH))</f>
        <v>72232303</v>
      </c>
      <c r="F9" s="8">
        <f t="array" ref="F9">SUM(IF("131"&amp;B9=KHC&amp;KH,TH))</f>
        <v>0</v>
      </c>
      <c r="G9" s="55">
        <f t="shared" si="1"/>
        <v>72232303</v>
      </c>
      <c r="H9" s="55">
        <f t="shared" si="2"/>
        <v>0</v>
      </c>
    </row>
    <row r="10" spans="1:9" s="10" customFormat="1" ht="16.5" customHeight="1">
      <c r="A10" s="6">
        <f t="shared" si="0"/>
        <v>5</v>
      </c>
      <c r="B10" s="193" t="s">
        <v>1008</v>
      </c>
      <c r="C10" s="8"/>
      <c r="D10" s="8"/>
      <c r="E10" s="8">
        <f t="array" ref="E10">SUM(IF("131"&amp;B10=KHN&amp;KH,TH))</f>
        <v>21870200</v>
      </c>
      <c r="F10" s="8">
        <f t="array" ref="F10">SUM(IF("131"&amp;B10=KHC&amp;KH,TH))</f>
        <v>0</v>
      </c>
      <c r="G10" s="55">
        <f t="shared" si="1"/>
        <v>21870200</v>
      </c>
      <c r="H10" s="55">
        <f t="shared" si="2"/>
        <v>0</v>
      </c>
    </row>
    <row r="11" spans="1:9" s="10" customFormat="1" ht="16.5" customHeight="1">
      <c r="A11" s="6">
        <f t="shared" si="0"/>
        <v>6</v>
      </c>
      <c r="B11" s="7" t="s">
        <v>510</v>
      </c>
      <c r="C11" s="8"/>
      <c r="D11" s="8"/>
      <c r="E11" s="8">
        <f t="array" ref="E11">SUM(IF("131"&amp;B11=KHN&amp;KH,TH))</f>
        <v>22528000</v>
      </c>
      <c r="F11" s="8">
        <f t="array" ref="F11">SUM(IF("131"&amp;B11=KHC&amp;KH,TH))</f>
        <v>17000000</v>
      </c>
      <c r="G11" s="804">
        <f t="shared" si="1"/>
        <v>5528000</v>
      </c>
      <c r="H11" s="804">
        <f t="shared" si="2"/>
        <v>0</v>
      </c>
      <c r="I11" s="10" t="str">
        <f>IF(ISNA(VLOOKUP(B11,[4]!DS_131,1,0)),"","x")</f>
        <v/>
      </c>
    </row>
    <row r="12" spans="1:9" s="10" customFormat="1" ht="16.5" customHeight="1">
      <c r="A12" s="6">
        <f t="shared" si="0"/>
        <v>7</v>
      </c>
      <c r="B12" s="7" t="s">
        <v>540</v>
      </c>
      <c r="C12" s="8"/>
      <c r="D12" s="8"/>
      <c r="E12" s="8">
        <f t="array" ref="E12">SUM(IF("131"&amp;B12=KHN&amp;KH,TH))</f>
        <v>56084028</v>
      </c>
      <c r="F12" s="8">
        <f t="array" ref="F12">SUM(IF("131"&amp;B12=KHC&amp;KH,TH))</f>
        <v>48265228</v>
      </c>
      <c r="G12" s="804">
        <f t="shared" si="1"/>
        <v>7818800</v>
      </c>
      <c r="H12" s="804">
        <f t="shared" si="2"/>
        <v>0</v>
      </c>
      <c r="I12" s="10" t="str">
        <f>IF(ISNA(VLOOKUP(B12,[4]!DS_131,1,0)),"","x")</f>
        <v>x</v>
      </c>
    </row>
    <row r="13" spans="1:9" s="10" customFormat="1" ht="16.5" customHeight="1">
      <c r="A13" s="6">
        <f t="shared" si="0"/>
        <v>8</v>
      </c>
      <c r="B13" s="7" t="s">
        <v>433</v>
      </c>
      <c r="C13" s="8">
        <v>15292860</v>
      </c>
      <c r="D13" s="8"/>
      <c r="E13" s="8">
        <f t="array" ref="E13">SUM(IF("131"&amp;B13=KHN&amp;KH,TH))</f>
        <v>255093080</v>
      </c>
      <c r="F13" s="8">
        <f t="array" ref="F13">SUM(IF("131"&amp;B13=KHC&amp;KH,TH))</f>
        <v>270385940</v>
      </c>
      <c r="G13" s="804">
        <f t="shared" si="1"/>
        <v>0</v>
      </c>
      <c r="H13" s="804">
        <f t="shared" si="2"/>
        <v>0</v>
      </c>
      <c r="I13" s="10" t="str">
        <f>IF(ISNA(VLOOKUP(B13,[4]!DS_131,1,0)),"","x")</f>
        <v/>
      </c>
    </row>
    <row r="14" spans="1:9" s="10" customFormat="1" ht="16.5" customHeight="1">
      <c r="A14" s="6">
        <f t="shared" si="0"/>
        <v>9</v>
      </c>
      <c r="B14" s="7" t="s">
        <v>522</v>
      </c>
      <c r="C14" s="8"/>
      <c r="D14" s="8"/>
      <c r="E14" s="8">
        <f t="array" ref="E14">SUM(IF("131"&amp;B14=KHN&amp;KH,TH))</f>
        <v>45340790</v>
      </c>
      <c r="F14" s="8">
        <f t="array" ref="F14">SUM(IF("131"&amp;B14=KHC&amp;KH,TH))</f>
        <v>37813270</v>
      </c>
      <c r="G14" s="804">
        <f t="shared" si="1"/>
        <v>7527520</v>
      </c>
      <c r="H14" s="804">
        <f t="shared" si="2"/>
        <v>0</v>
      </c>
      <c r="I14" s="10" t="str">
        <f>IF(ISNA(VLOOKUP(B14,[4]!DS_131,1,0)),"","x")</f>
        <v/>
      </c>
    </row>
    <row r="15" spans="1:9" s="10" customFormat="1" ht="16.5" customHeight="1">
      <c r="A15" s="6">
        <f t="shared" si="0"/>
        <v>10</v>
      </c>
      <c r="B15" s="7" t="s">
        <v>432</v>
      </c>
      <c r="C15" s="8"/>
      <c r="D15" s="8"/>
      <c r="E15" s="8">
        <f t="array" ref="E15">SUM(IF("131"&amp;B15=KHN&amp;KH,TH))</f>
        <v>3068120</v>
      </c>
      <c r="F15" s="8">
        <f t="array" ref="F15">SUM(IF("131"&amp;B15=KHC&amp;KH,TH))</f>
        <v>3068120</v>
      </c>
      <c r="G15" s="804">
        <f t="shared" si="1"/>
        <v>0</v>
      </c>
      <c r="H15" s="804">
        <f t="shared" si="2"/>
        <v>0</v>
      </c>
      <c r="I15" s="10" t="str">
        <f>IF(ISNA(VLOOKUP(B15,[4]!DS_131,1,0)),"","x")</f>
        <v/>
      </c>
    </row>
    <row r="16" spans="1:9" s="10" customFormat="1" ht="16.5" customHeight="1">
      <c r="A16" s="6">
        <f t="shared" si="0"/>
        <v>11</v>
      </c>
      <c r="B16" s="7" t="s">
        <v>829</v>
      </c>
      <c r="C16" s="8"/>
      <c r="D16" s="8"/>
      <c r="E16" s="8">
        <f t="array" ref="E16">SUM(IF("131"&amp;B16=KHN&amp;KH,TH))</f>
        <v>5578111</v>
      </c>
      <c r="F16" s="8">
        <f t="array" ref="F16">SUM(IF("131"&amp;B16=KHC&amp;KH,TH))</f>
        <v>0</v>
      </c>
      <c r="G16" s="804">
        <f t="shared" si="1"/>
        <v>5578111</v>
      </c>
      <c r="H16" s="804">
        <f t="shared" si="2"/>
        <v>0</v>
      </c>
    </row>
    <row r="17" spans="1:9" s="10" customFormat="1" ht="16.5" customHeight="1">
      <c r="A17" s="6">
        <f t="shared" si="0"/>
        <v>12</v>
      </c>
      <c r="B17" s="7" t="s">
        <v>544</v>
      </c>
      <c r="C17" s="8"/>
      <c r="D17" s="8"/>
      <c r="E17" s="8">
        <f t="array" ref="E17">SUM(IF("131"&amp;B17=KHN&amp;KH,TH))</f>
        <v>42830183</v>
      </c>
      <c r="F17" s="8">
        <f t="array" ref="F17">SUM(IF("131"&amp;B17=KHC&amp;KH,TH))</f>
        <v>42830183</v>
      </c>
      <c r="G17" s="804">
        <f t="shared" si="1"/>
        <v>0</v>
      </c>
      <c r="H17" s="804">
        <f t="shared" si="2"/>
        <v>0</v>
      </c>
      <c r="I17" s="10" t="str">
        <f>IF(ISNA(VLOOKUP(B17,[4]!DS_131,1,0)),"","x")</f>
        <v>x</v>
      </c>
    </row>
    <row r="18" spans="1:9" s="10" customFormat="1" ht="16.5" customHeight="1">
      <c r="A18" s="6">
        <f t="shared" si="0"/>
        <v>13</v>
      </c>
      <c r="B18" s="7" t="s">
        <v>501</v>
      </c>
      <c r="C18" s="8">
        <v>7003156</v>
      </c>
      <c r="D18" s="8"/>
      <c r="E18" s="8">
        <f t="array" ref="E18">SUM(IF("131"&amp;B18=KHN&amp;KH,TH))</f>
        <v>81921400</v>
      </c>
      <c r="F18" s="8">
        <f t="array" ref="F18">SUM(IF("131"&amp;B18=KHC&amp;KH,TH))</f>
        <v>94953980</v>
      </c>
      <c r="G18" s="804">
        <f t="shared" si="1"/>
        <v>0</v>
      </c>
      <c r="H18" s="804">
        <f t="shared" si="2"/>
        <v>6029424</v>
      </c>
      <c r="I18" s="10" t="str">
        <f>IF(ISNA(VLOOKUP(B18,[4]!DS_131,1,0)),"","x")</f>
        <v>x</v>
      </c>
    </row>
    <row r="19" spans="1:9" s="10" customFormat="1" ht="16.5" customHeight="1">
      <c r="A19" s="6">
        <f t="shared" si="0"/>
        <v>14</v>
      </c>
      <c r="B19" s="7" t="s">
        <v>543</v>
      </c>
      <c r="C19" s="8"/>
      <c r="D19" s="8"/>
      <c r="E19" s="8">
        <f t="array" ref="E19">SUM(IF("131"&amp;B19=KHN&amp;KH,TH))</f>
        <v>92105178</v>
      </c>
      <c r="F19" s="8">
        <f t="array" ref="F19">SUM(IF("131"&amp;B19=KHC&amp;KH,TH))</f>
        <v>40007693</v>
      </c>
      <c r="G19" s="804">
        <f t="shared" si="1"/>
        <v>52097485</v>
      </c>
      <c r="H19" s="804">
        <f t="shared" si="2"/>
        <v>0</v>
      </c>
      <c r="I19" s="10" t="str">
        <f>IF(ISNA(VLOOKUP(B19,[4]!DS_131,1,0)),"","x")</f>
        <v>x</v>
      </c>
    </row>
    <row r="20" spans="1:9" s="10" customFormat="1" ht="16.5" customHeight="1">
      <c r="A20" s="6">
        <f t="shared" si="0"/>
        <v>15</v>
      </c>
      <c r="B20" s="193" t="s">
        <v>1025</v>
      </c>
      <c r="C20" s="8"/>
      <c r="D20" s="8"/>
      <c r="E20" s="8">
        <f t="array" ref="E20">SUM(IF("131"&amp;B20=KHN&amp;KH,TH))</f>
        <v>3135000</v>
      </c>
      <c r="F20" s="8">
        <f t="array" ref="F20">SUM(IF("131"&amp;B20=KHC&amp;KH,TH))</f>
        <v>0</v>
      </c>
      <c r="G20" s="804">
        <f t="shared" si="1"/>
        <v>3135000</v>
      </c>
      <c r="H20" s="804">
        <f t="shared" si="2"/>
        <v>0</v>
      </c>
    </row>
    <row r="21" spans="1:9" s="10" customFormat="1" ht="16.5" customHeight="1">
      <c r="A21" s="6">
        <f t="shared" si="0"/>
        <v>16</v>
      </c>
      <c r="B21" s="7" t="s">
        <v>539</v>
      </c>
      <c r="C21" s="8"/>
      <c r="D21" s="8"/>
      <c r="E21" s="8">
        <f t="array" ref="E21">SUM(IF("131"&amp;B21=KHN&amp;KH,TH))</f>
        <v>296054891</v>
      </c>
      <c r="F21" s="8">
        <f t="array" ref="F21">SUM(IF("131"&amp;B21=KHC&amp;KH,TH))</f>
        <v>243582416</v>
      </c>
      <c r="G21" s="804">
        <f t="shared" si="1"/>
        <v>52472475</v>
      </c>
      <c r="H21" s="804">
        <f t="shared" si="2"/>
        <v>0</v>
      </c>
      <c r="I21" s="10" t="str">
        <f>IF(ISNA(VLOOKUP(B21,[4]!DS_131,1,0)),"","x")</f>
        <v>x</v>
      </c>
    </row>
    <row r="22" spans="1:9" s="10" customFormat="1" ht="16.5" customHeight="1">
      <c r="A22" s="6">
        <f t="shared" si="0"/>
        <v>17</v>
      </c>
      <c r="B22" s="7" t="s">
        <v>879</v>
      </c>
      <c r="C22" s="8"/>
      <c r="D22" s="8"/>
      <c r="E22" s="8">
        <f t="array" ref="E22">SUM(IF("131"&amp;B22=KHN&amp;KH,TH))</f>
        <v>43741500</v>
      </c>
      <c r="F22" s="8">
        <f t="array" ref="F22">SUM(IF("131"&amp;B22=KHC&amp;KH,TH))</f>
        <v>0</v>
      </c>
      <c r="G22" s="804">
        <f t="shared" si="1"/>
        <v>43741500</v>
      </c>
      <c r="H22" s="804">
        <f t="shared" si="2"/>
        <v>0</v>
      </c>
    </row>
    <row r="23" spans="1:9" s="10" customFormat="1" ht="16.5" customHeight="1">
      <c r="A23" s="6">
        <f t="shared" si="0"/>
        <v>18</v>
      </c>
      <c r="B23" s="7" t="s">
        <v>952</v>
      </c>
      <c r="C23" s="8"/>
      <c r="D23" s="8"/>
      <c r="E23" s="8">
        <f t="array" ref="E23">SUM(IF("131"&amp;B23=KHN&amp;KH,TH))</f>
        <v>8880190</v>
      </c>
      <c r="F23" s="8">
        <f t="array" ref="F23">SUM(IF("131"&amp;B23=KHC&amp;KH,TH))</f>
        <v>0</v>
      </c>
      <c r="G23" s="804">
        <f t="shared" si="1"/>
        <v>8880190</v>
      </c>
      <c r="H23" s="804">
        <f t="shared" si="2"/>
        <v>0</v>
      </c>
    </row>
    <row r="24" spans="1:9" s="10" customFormat="1" ht="16.5" customHeight="1">
      <c r="A24" s="6">
        <f t="shared" si="0"/>
        <v>19</v>
      </c>
      <c r="B24" s="7" t="s">
        <v>746</v>
      </c>
      <c r="C24" s="8"/>
      <c r="D24" s="8"/>
      <c r="E24" s="8">
        <f t="array" ref="E24">SUM(IF("131"&amp;B24=KHN&amp;KH,TH))</f>
        <v>35740980</v>
      </c>
      <c r="F24" s="8">
        <f t="array" ref="F24">SUM(IF("131"&amp;B24=KHC&amp;KH,TH))</f>
        <v>0</v>
      </c>
      <c r="G24" s="804">
        <f t="shared" si="1"/>
        <v>35740980</v>
      </c>
      <c r="H24" s="804">
        <f t="shared" si="2"/>
        <v>0</v>
      </c>
    </row>
    <row r="25" spans="1:9" s="10" customFormat="1" ht="16.5" customHeight="1">
      <c r="A25" s="6">
        <f t="shared" si="0"/>
        <v>20</v>
      </c>
      <c r="B25" s="813" t="s">
        <v>536</v>
      </c>
      <c r="C25" s="8"/>
      <c r="D25" s="8"/>
      <c r="E25" s="8">
        <f t="array" ref="E25">SUM(IF("131"&amp;B25=KHN&amp;KH,TH))</f>
        <v>69195170</v>
      </c>
      <c r="F25" s="8">
        <f t="array" ref="F25">SUM(IF("131"&amp;B25=KHC&amp;KH,TH))</f>
        <v>69195170</v>
      </c>
      <c r="G25" s="804">
        <f t="shared" si="1"/>
        <v>0</v>
      </c>
      <c r="H25" s="804">
        <f t="shared" si="2"/>
        <v>0</v>
      </c>
      <c r="I25" s="10" t="str">
        <f>IF(ISNA(VLOOKUP(B25,[4]!DS_131,1,0)),"","x")</f>
        <v/>
      </c>
    </row>
    <row r="26" spans="1:9" s="10" customFormat="1" ht="16.5" customHeight="1">
      <c r="A26" s="6">
        <f t="shared" si="0"/>
        <v>21</v>
      </c>
      <c r="B26" s="193" t="s">
        <v>807</v>
      </c>
      <c r="C26" s="8"/>
      <c r="D26" s="8"/>
      <c r="E26" s="8">
        <f t="array" ref="E26">SUM(IF("131"&amp;B26=KHN&amp;KH,TH))</f>
        <v>13079220</v>
      </c>
      <c r="F26" s="8">
        <f t="array" ref="F26">SUM(IF("131"&amp;B26=KHC&amp;KH,TH))</f>
        <v>0</v>
      </c>
      <c r="G26" s="804">
        <f t="shared" si="1"/>
        <v>13079220</v>
      </c>
      <c r="H26" s="804">
        <f t="shared" si="2"/>
        <v>0</v>
      </c>
    </row>
    <row r="27" spans="1:9" s="10" customFormat="1" ht="16.5" customHeight="1">
      <c r="A27" s="6">
        <f t="shared" si="0"/>
        <v>22</v>
      </c>
      <c r="B27" s="7" t="s">
        <v>505</v>
      </c>
      <c r="C27" s="8"/>
      <c r="D27" s="8"/>
      <c r="E27" s="8">
        <f t="array" ref="E27">SUM(IF("131"&amp;B27=KHN&amp;KH,TH))</f>
        <v>76802330</v>
      </c>
      <c r="F27" s="8">
        <f t="array" ref="F27">SUM(IF("131"&amp;B27=KHC&amp;KH,TH))</f>
        <v>70624532</v>
      </c>
      <c r="G27" s="804">
        <f t="shared" si="1"/>
        <v>6177798</v>
      </c>
      <c r="H27" s="804">
        <f t="shared" si="2"/>
        <v>0</v>
      </c>
      <c r="I27" s="10" t="str">
        <f>IF(ISNA(VLOOKUP(B27,[4]!DS_131,1,0)),"","x")</f>
        <v>x</v>
      </c>
    </row>
    <row r="28" spans="1:9" s="10" customFormat="1" ht="16.5" customHeight="1">
      <c r="A28" s="6">
        <f t="shared" si="0"/>
        <v>23</v>
      </c>
      <c r="B28" s="7" t="s">
        <v>849</v>
      </c>
      <c r="C28" s="8"/>
      <c r="D28" s="8"/>
      <c r="E28" s="8">
        <f t="array" ref="E28">SUM(IF("131"&amp;B28=KHN&amp;KH,TH))</f>
        <v>13459600</v>
      </c>
      <c r="F28" s="8">
        <f t="array" ref="F28">SUM(IF("131"&amp;B28=KHC&amp;KH,TH))</f>
        <v>0</v>
      </c>
      <c r="G28" s="804">
        <f t="shared" si="1"/>
        <v>13459600</v>
      </c>
      <c r="H28" s="804">
        <f t="shared" si="2"/>
        <v>0</v>
      </c>
    </row>
    <row r="29" spans="1:9" s="10" customFormat="1" ht="16.5" customHeight="1">
      <c r="A29" s="6">
        <f t="shared" si="0"/>
        <v>24</v>
      </c>
      <c r="B29" s="7" t="s">
        <v>907</v>
      </c>
      <c r="C29" s="8"/>
      <c r="D29" s="8"/>
      <c r="E29" s="8">
        <f t="array" ref="E29">SUM(IF("131"&amp;B29=KHN&amp;KH,TH))</f>
        <v>6700320</v>
      </c>
      <c r="F29" s="8">
        <f t="array" ref="F29">SUM(IF("131"&amp;B29=KHC&amp;KH,TH))</f>
        <v>0</v>
      </c>
      <c r="G29" s="804">
        <f t="shared" si="1"/>
        <v>6700320</v>
      </c>
      <c r="H29" s="804">
        <f t="shared" si="2"/>
        <v>0</v>
      </c>
    </row>
    <row r="30" spans="1:9" s="10" customFormat="1" ht="16.5" customHeight="1">
      <c r="A30" s="6">
        <f t="shared" si="0"/>
        <v>25</v>
      </c>
      <c r="B30" s="7" t="s">
        <v>793</v>
      </c>
      <c r="C30" s="8"/>
      <c r="D30" s="8"/>
      <c r="E30" s="8">
        <f t="array" ref="E30">SUM(IF("131"&amp;B30=KHN&amp;KH,TH))</f>
        <v>5280000</v>
      </c>
      <c r="F30" s="8">
        <f t="array" ref="F30">SUM(IF("131"&amp;B30=KHC&amp;KH,TH))</f>
        <v>0</v>
      </c>
      <c r="G30" s="804">
        <f t="shared" si="1"/>
        <v>5280000</v>
      </c>
      <c r="H30" s="804">
        <f t="shared" si="2"/>
        <v>0</v>
      </c>
    </row>
    <row r="31" spans="1:9" s="10" customFormat="1" ht="16.5" customHeight="1">
      <c r="A31" s="6">
        <f t="shared" si="0"/>
        <v>26</v>
      </c>
      <c r="B31" s="7" t="s">
        <v>503</v>
      </c>
      <c r="C31" s="8"/>
      <c r="D31" s="8"/>
      <c r="E31" s="8">
        <f t="array" ref="E31">SUM(IF("131"&amp;B31=KHN&amp;KH,TH))</f>
        <v>79363570</v>
      </c>
      <c r="F31" s="8">
        <f t="array" ref="F31">SUM(IF("131"&amp;B31=KHC&amp;KH,TH))</f>
        <v>79363570</v>
      </c>
      <c r="G31" s="804">
        <f t="shared" si="1"/>
        <v>0</v>
      </c>
      <c r="H31" s="804">
        <f t="shared" si="2"/>
        <v>0</v>
      </c>
      <c r="I31" s="10" t="str">
        <f>IF(ISNA(VLOOKUP(B31,[4]!DS_131,1,0)),"","x")</f>
        <v>x</v>
      </c>
    </row>
    <row r="32" spans="1:9" s="10" customFormat="1" ht="16.5" customHeight="1">
      <c r="A32" s="6">
        <f t="shared" si="0"/>
        <v>27</v>
      </c>
      <c r="B32" s="193" t="s">
        <v>1112</v>
      </c>
      <c r="C32" s="8"/>
      <c r="D32" s="8"/>
      <c r="E32" s="8">
        <f t="array" ref="E32">SUM(IF("131"&amp;B32=KHN&amp;KH,TH))</f>
        <v>24774926</v>
      </c>
      <c r="F32" s="8">
        <f t="array" ref="F32">SUM(IF("131"&amp;B32=KHC&amp;KH,TH))</f>
        <v>0</v>
      </c>
      <c r="G32" s="804">
        <f t="shared" si="1"/>
        <v>24774926</v>
      </c>
      <c r="H32" s="804">
        <f t="shared" si="2"/>
        <v>0</v>
      </c>
    </row>
    <row r="33" spans="1:9" s="10" customFormat="1" ht="16.5" customHeight="1">
      <c r="A33" s="6">
        <f t="shared" si="0"/>
        <v>28</v>
      </c>
      <c r="B33" s="193" t="s">
        <v>743</v>
      </c>
      <c r="C33" s="8"/>
      <c r="D33" s="8"/>
      <c r="E33" s="8">
        <f t="array" ref="E33">SUM(IF("131"&amp;B33=KHN&amp;KH,TH))</f>
        <v>196640158</v>
      </c>
      <c r="F33" s="8">
        <f t="array" ref="F33">SUM(IF("131"&amp;B33=KHC&amp;KH,TH))</f>
        <v>0</v>
      </c>
      <c r="G33" s="804">
        <f t="shared" si="1"/>
        <v>196640158</v>
      </c>
      <c r="H33" s="804">
        <f t="shared" si="2"/>
        <v>0</v>
      </c>
    </row>
    <row r="34" spans="1:9" s="10" customFormat="1" ht="16.5" customHeight="1">
      <c r="A34" s="6">
        <f t="shared" si="0"/>
        <v>29</v>
      </c>
      <c r="B34" s="7" t="s">
        <v>1113</v>
      </c>
      <c r="C34" s="8"/>
      <c r="D34" s="8"/>
      <c r="E34" s="8">
        <f t="array" ref="E34">SUM(IF("131"&amp;B34=KHN&amp;KH,TH))</f>
        <v>54701680</v>
      </c>
      <c r="F34" s="8">
        <f t="array" ref="F34">SUM(IF("131"&amp;B34=KHC&amp;KH,TH))</f>
        <v>0</v>
      </c>
      <c r="G34" s="804">
        <f t="shared" si="1"/>
        <v>54701680</v>
      </c>
      <c r="H34" s="804">
        <f t="shared" si="2"/>
        <v>0</v>
      </c>
    </row>
    <row r="35" spans="1:9" s="10" customFormat="1" ht="16.5" customHeight="1">
      <c r="A35" s="6">
        <f t="shared" si="0"/>
        <v>30</v>
      </c>
      <c r="B35" s="7" t="s">
        <v>532</v>
      </c>
      <c r="C35" s="8"/>
      <c r="D35" s="8"/>
      <c r="E35" s="8">
        <f t="array" ref="E35">SUM(IF("131"&amp;B35=KHN&amp;KH,TH))</f>
        <v>35499469</v>
      </c>
      <c r="F35" s="8">
        <f t="array" ref="F35">SUM(IF("131"&amp;B35=KHC&amp;KH,TH))</f>
        <v>20754363</v>
      </c>
      <c r="G35" s="804">
        <f t="shared" si="1"/>
        <v>14745106</v>
      </c>
      <c r="H35" s="804">
        <f t="shared" si="2"/>
        <v>0</v>
      </c>
      <c r="I35" s="10" t="str">
        <f>IF(ISNA(VLOOKUP(B35,[4]!DS_131,1,0)),"","x")</f>
        <v/>
      </c>
    </row>
    <row r="36" spans="1:9" s="10" customFormat="1" ht="16.5" customHeight="1">
      <c r="A36" s="6">
        <f t="shared" si="0"/>
        <v>31</v>
      </c>
      <c r="B36" s="7" t="s">
        <v>1111</v>
      </c>
      <c r="C36" s="8"/>
      <c r="D36" s="8"/>
      <c r="E36" s="8">
        <f t="array" ref="E36">SUM(IF("131"&amp;B36=KHN&amp;KH,TH))</f>
        <v>18576657</v>
      </c>
      <c r="F36" s="8">
        <f t="array" ref="F36">SUM(IF("131"&amp;B36=KHC&amp;KH,TH))</f>
        <v>0</v>
      </c>
      <c r="G36" s="804">
        <f t="shared" si="1"/>
        <v>18576657</v>
      </c>
      <c r="H36" s="804">
        <f t="shared" si="2"/>
        <v>0</v>
      </c>
    </row>
    <row r="37" spans="1:9" s="10" customFormat="1" ht="16.5" customHeight="1">
      <c r="A37" s="6">
        <f t="shared" si="0"/>
        <v>32</v>
      </c>
      <c r="B37" s="210" t="s">
        <v>916</v>
      </c>
      <c r="C37" s="8"/>
      <c r="D37" s="8"/>
      <c r="E37" s="8">
        <f t="array" ref="E37">SUM(IF("131"&amp;B37=KHN&amp;KH,TH))</f>
        <v>26543990</v>
      </c>
      <c r="F37" s="8">
        <f t="array" ref="F37">SUM(IF("131"&amp;B37=KHC&amp;KH,TH))</f>
        <v>0</v>
      </c>
      <c r="G37" s="804">
        <f t="shared" si="1"/>
        <v>26543990</v>
      </c>
      <c r="H37" s="804">
        <f t="shared" si="2"/>
        <v>0</v>
      </c>
    </row>
    <row r="38" spans="1:9" s="10" customFormat="1" ht="16.5" customHeight="1">
      <c r="A38" s="6">
        <f t="shared" si="0"/>
        <v>33</v>
      </c>
      <c r="B38" s="7" t="s">
        <v>582</v>
      </c>
      <c r="C38" s="8"/>
      <c r="D38" s="8"/>
      <c r="E38" s="8">
        <f t="array" ref="E38">SUM(IF("131"&amp;B38=KHN&amp;KH,TH))</f>
        <v>120903255</v>
      </c>
      <c r="F38" s="8">
        <f t="array" ref="F38">SUM(IF("131"&amp;B38=KHC&amp;KH,TH))</f>
        <v>23385120</v>
      </c>
      <c r="G38" s="804">
        <f t="shared" si="1"/>
        <v>97518135</v>
      </c>
      <c r="H38" s="804">
        <f t="shared" si="2"/>
        <v>0</v>
      </c>
      <c r="I38" s="10" t="str">
        <f>IF(ISNA(VLOOKUP(B38,[4]!DS_131,1,0)),"","x")</f>
        <v/>
      </c>
    </row>
    <row r="39" spans="1:9" s="10" customFormat="1" ht="16.5" customHeight="1">
      <c r="A39" s="6">
        <f t="shared" si="0"/>
        <v>34</v>
      </c>
      <c r="B39" s="193" t="s">
        <v>773</v>
      </c>
      <c r="C39" s="8"/>
      <c r="D39" s="8"/>
      <c r="E39" s="8">
        <f t="array" ref="E39">SUM(IF("131"&amp;B39=KHN&amp;KH,TH))</f>
        <v>4194300</v>
      </c>
      <c r="F39" s="8">
        <f t="array" ref="F39">SUM(IF("131"&amp;B39=KHC&amp;KH,TH))</f>
        <v>0</v>
      </c>
      <c r="G39" s="804">
        <f t="shared" si="1"/>
        <v>4194300</v>
      </c>
      <c r="H39" s="804">
        <f t="shared" si="2"/>
        <v>0</v>
      </c>
    </row>
    <row r="40" spans="1:9" s="10" customFormat="1" ht="16.5" customHeight="1">
      <c r="A40" s="6">
        <f t="shared" si="0"/>
        <v>35</v>
      </c>
      <c r="B40" s="193" t="s">
        <v>777</v>
      </c>
      <c r="C40" s="8"/>
      <c r="D40" s="8"/>
      <c r="E40" s="8">
        <f t="array" ref="E40">SUM(IF("131"&amp;B40=KHN&amp;KH,TH))</f>
        <v>6600000</v>
      </c>
      <c r="F40" s="8">
        <f t="array" ref="F40">SUM(IF("131"&amp;B40=KHC&amp;KH,TH))</f>
        <v>0</v>
      </c>
      <c r="G40" s="804">
        <f t="shared" si="1"/>
        <v>6600000</v>
      </c>
      <c r="H40" s="804">
        <f t="shared" si="2"/>
        <v>0</v>
      </c>
    </row>
    <row r="41" spans="1:9" s="10" customFormat="1" ht="16.5" customHeight="1">
      <c r="A41" s="6">
        <f t="shared" si="0"/>
        <v>36</v>
      </c>
      <c r="B41" s="193" t="s">
        <v>729</v>
      </c>
      <c r="C41" s="8"/>
      <c r="D41" s="8"/>
      <c r="E41" s="8">
        <f t="array" ref="E41">SUM(IF("131"&amp;B41=KHN&amp;KH,TH))</f>
        <v>7402302</v>
      </c>
      <c r="F41" s="8">
        <f t="array" ref="F41">SUM(IF("131"&amp;B41=KHC&amp;KH,TH))</f>
        <v>0</v>
      </c>
      <c r="G41" s="804">
        <f t="shared" si="1"/>
        <v>7402302</v>
      </c>
      <c r="H41" s="804">
        <f t="shared" si="2"/>
        <v>0</v>
      </c>
    </row>
    <row r="42" spans="1:9" s="10" customFormat="1" ht="16.5" customHeight="1">
      <c r="A42" s="6" t="str">
        <f t="shared" ref="A42" si="3">IF(B42&lt;&gt;"",ROW()-3,"")</f>
        <v/>
      </c>
      <c r="B42" s="44"/>
      <c r="C42" s="8"/>
      <c r="D42" s="8"/>
      <c r="E42" s="8"/>
      <c r="F42" s="8"/>
      <c r="G42" s="55"/>
      <c r="H42" s="55"/>
      <c r="I42" s="10" t="str">
        <f>IF(ISNA(VLOOKUP(B42,[4]!DS_131,1,0)),"","x")</f>
        <v/>
      </c>
    </row>
    <row r="43" spans="1:9" s="14" customFormat="1" ht="14.25" customHeight="1">
      <c r="A43" s="11"/>
      <c r="B43" s="12" t="s">
        <v>39</v>
      </c>
      <c r="C43" s="13">
        <f t="shared" ref="C43:H43" si="4">SUM(C6:C42)</f>
        <v>22296016</v>
      </c>
      <c r="D43" s="13">
        <f t="shared" si="4"/>
        <v>0</v>
      </c>
      <c r="E43" s="13">
        <f t="shared" si="4"/>
        <v>1968101421</v>
      </c>
      <c r="F43" s="13">
        <f t="shared" si="4"/>
        <v>1137760105</v>
      </c>
      <c r="G43" s="13">
        <f t="shared" si="4"/>
        <v>858666756</v>
      </c>
      <c r="H43" s="13">
        <f t="shared" si="4"/>
        <v>6029424</v>
      </c>
    </row>
    <row r="44" spans="1:9">
      <c r="E44" s="15">
        <f>CDPS!E14</f>
        <v>1968101421</v>
      </c>
      <c r="F44" s="15">
        <f>CDPS!F14</f>
        <v>1137760105</v>
      </c>
    </row>
    <row r="45" spans="1:9">
      <c r="E45" s="15">
        <f>E43-E44</f>
        <v>0</v>
      </c>
      <c r="F45" s="15">
        <f>F43-F44</f>
        <v>0</v>
      </c>
    </row>
    <row r="47" spans="1:9">
      <c r="E47" s="15"/>
      <c r="F47" s="973" t="s">
        <v>494</v>
      </c>
      <c r="G47" s="973"/>
      <c r="H47" s="973"/>
    </row>
    <row r="48" spans="1:9">
      <c r="F48" s="973" t="s">
        <v>109</v>
      </c>
      <c r="G48" s="973"/>
      <c r="H48" s="973"/>
    </row>
    <row r="49" spans="5:8">
      <c r="E49" s="183"/>
      <c r="F49" s="973" t="s">
        <v>136</v>
      </c>
      <c r="G49" s="973"/>
      <c r="H49" s="973"/>
    </row>
  </sheetData>
  <sortState ref="A6:I73">
    <sortCondition ref="B6:B73"/>
  </sortState>
  <mergeCells count="9">
    <mergeCell ref="F47:H47"/>
    <mergeCell ref="F48:H48"/>
    <mergeCell ref="F49:H49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5" customFormat="1" ht="14.25" customHeight="1">
      <c r="A1" s="619" t="str">
        <f>TH!A1</f>
        <v>Đơn vị: CÔNG TY TNHH SX TM KIM DUNG PHÁT</v>
      </c>
      <c r="B1" s="610"/>
      <c r="C1" s="610"/>
      <c r="G1" s="2"/>
      <c r="H1" s="983" t="s">
        <v>46</v>
      </c>
      <c r="I1" s="983"/>
      <c r="J1" s="983"/>
    </row>
    <row r="2" spans="1:10" s="465" customFormat="1" ht="14.25" customHeight="1">
      <c r="A2" s="618" t="str">
        <f>TH!A2</f>
        <v>Địa chỉ: 1A227/1 Ấp 1, Phạm Văn Hai, Bình Chánh, TPHCM</v>
      </c>
      <c r="B2" s="610"/>
      <c r="C2" s="610"/>
      <c r="G2" s="17"/>
      <c r="H2" s="984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984"/>
      <c r="J2" s="984"/>
    </row>
    <row r="3" spans="1:10" s="465" customFormat="1" ht="14.25" customHeight="1">
      <c r="A3" s="612"/>
      <c r="B3" s="610"/>
      <c r="C3" s="610"/>
      <c r="G3" s="17"/>
      <c r="H3" s="984"/>
      <c r="I3" s="984"/>
      <c r="J3" s="984"/>
    </row>
    <row r="4" spans="1:10" s="5" customFormat="1" ht="28.5" customHeight="1">
      <c r="A4" s="985" t="s">
        <v>26</v>
      </c>
      <c r="B4" s="985"/>
      <c r="C4" s="985"/>
      <c r="D4" s="985"/>
      <c r="E4" s="985"/>
      <c r="F4" s="985"/>
      <c r="G4" s="985"/>
      <c r="H4" s="985"/>
      <c r="I4" s="985"/>
      <c r="J4" s="985"/>
    </row>
    <row r="5" spans="1:10" s="18" customFormat="1" ht="14.25" customHeight="1">
      <c r="E5" s="608" t="s">
        <v>27</v>
      </c>
    </row>
    <row r="6" spans="1:10" s="18" customFormat="1" ht="14.25" customHeight="1">
      <c r="E6" s="608" t="s">
        <v>353</v>
      </c>
    </row>
    <row r="7" spans="1:10" s="18" customFormat="1" ht="14.25" customHeight="1">
      <c r="D7" s="20" t="s">
        <v>45</v>
      </c>
      <c r="E7" s="986" t="s">
        <v>431</v>
      </c>
      <c r="F7" s="986"/>
      <c r="G7" s="986"/>
      <c r="H7" s="986"/>
    </row>
    <row r="8" spans="1:10" s="18" customFormat="1" ht="14.25" customHeight="1">
      <c r="E8" s="608" t="s">
        <v>29</v>
      </c>
    </row>
    <row r="9" spans="1:10" s="18" customFormat="1" ht="6.75" customHeight="1">
      <c r="B9" s="608"/>
      <c r="C9" s="987"/>
      <c r="D9" s="987"/>
      <c r="E9" s="987"/>
      <c r="F9" s="987"/>
      <c r="G9" s="987"/>
      <c r="H9" s="987"/>
      <c r="I9" s="987"/>
      <c r="J9" s="987"/>
    </row>
    <row r="10" spans="1:10" s="18" customFormat="1" ht="14.25" customHeight="1">
      <c r="A10" s="951" t="s">
        <v>20</v>
      </c>
      <c r="B10" s="988" t="s">
        <v>1</v>
      </c>
      <c r="C10" s="988"/>
      <c r="D10" s="951" t="s">
        <v>0</v>
      </c>
      <c r="E10" s="951" t="s">
        <v>14</v>
      </c>
      <c r="F10" s="951" t="s">
        <v>30</v>
      </c>
      <c r="G10" s="981" t="s">
        <v>21</v>
      </c>
      <c r="H10" s="982"/>
      <c r="I10" s="981" t="s">
        <v>31</v>
      </c>
      <c r="J10" s="982"/>
    </row>
    <row r="11" spans="1:10" s="18" customFormat="1" ht="24.75" customHeight="1">
      <c r="A11" s="951"/>
      <c r="B11" s="30" t="s">
        <v>15</v>
      </c>
      <c r="C11" s="30" t="s">
        <v>32</v>
      </c>
      <c r="D11" s="951"/>
      <c r="E11" s="951"/>
      <c r="F11" s="951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14" t="s">
        <v>2</v>
      </c>
      <c r="B12" s="615" t="s">
        <v>3</v>
      </c>
      <c r="C12" s="614" t="s">
        <v>4</v>
      </c>
      <c r="D12" s="614" t="s">
        <v>5</v>
      </c>
      <c r="E12" s="614" t="s">
        <v>6</v>
      </c>
      <c r="F12" s="614">
        <v>1</v>
      </c>
      <c r="G12" s="614">
        <v>2</v>
      </c>
      <c r="H12" s="614">
        <v>3</v>
      </c>
      <c r="I12" s="614">
        <v>4</v>
      </c>
      <c r="J12" s="614">
        <v>5</v>
      </c>
    </row>
    <row r="13" spans="1:10" s="18" customFormat="1" ht="18" customHeight="1">
      <c r="A13" s="614"/>
      <c r="B13" s="614"/>
      <c r="C13" s="614"/>
      <c r="D13" s="23" t="s">
        <v>7</v>
      </c>
      <c r="E13" s="614"/>
      <c r="F13" s="24"/>
      <c r="G13" s="24"/>
      <c r="H13" s="24"/>
      <c r="I13" s="47" t="e">
        <f>VLOOKUP($E$7,'131'!$B$6:$H$42,2,0)</f>
        <v>#N/A</v>
      </c>
      <c r="J13" s="47" t="e">
        <f>VLOOKUP($E$7,'131'!$B$6:$H$42,3,0)</f>
        <v>#N/A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26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26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26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26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26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26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26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26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26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26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26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26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26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26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6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6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6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614"/>
      <c r="C32" s="26"/>
      <c r="D32" s="23" t="s">
        <v>33</v>
      </c>
      <c r="E32" s="614" t="s">
        <v>19</v>
      </c>
      <c r="F32" s="614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14"/>
      <c r="C33" s="614"/>
      <c r="D33" s="23" t="s">
        <v>10</v>
      </c>
      <c r="E33" s="614" t="s">
        <v>19</v>
      </c>
      <c r="F33" s="614" t="s">
        <v>19</v>
      </c>
      <c r="G33" s="27" t="s">
        <v>19</v>
      </c>
      <c r="H33" s="27" t="s">
        <v>19</v>
      </c>
      <c r="I33" s="27" t="e">
        <f ca="1">MAX(I13+G32-H32-J13,0)</f>
        <v>#N/A</v>
      </c>
      <c r="J33" s="27" t="e">
        <f ca="1">MAX(J13+H32-G32-I13,0)</f>
        <v>#N/A</v>
      </c>
    </row>
    <row r="34" spans="1:11" s="18" customFormat="1" ht="6" customHeight="1">
      <c r="B34" s="608"/>
      <c r="C34" s="608"/>
      <c r="E34" s="608"/>
    </row>
    <row r="35" spans="1:11" s="18" customFormat="1" ht="14.25" customHeight="1">
      <c r="A35" s="28" t="s">
        <v>152</v>
      </c>
      <c r="B35" s="608"/>
      <c r="C35" s="608"/>
      <c r="E35" s="608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608"/>
      <c r="C36" s="608"/>
      <c r="E36" s="608"/>
      <c r="K36" s="28" t="s">
        <v>34</v>
      </c>
    </row>
    <row r="37" spans="1:11" s="18" customFormat="1" ht="14.25" customHeight="1">
      <c r="B37" s="608"/>
      <c r="C37" s="608"/>
      <c r="E37" s="939" t="e">
        <f ca="1">"Ngày 31 tháng  12  năm  "&amp;YEAR($A$14)</f>
        <v>#VALUE!</v>
      </c>
      <c r="F37" s="939"/>
      <c r="G37" s="939"/>
      <c r="H37" s="939"/>
      <c r="I37" s="939"/>
      <c r="J37" s="939"/>
    </row>
    <row r="38" spans="1:11" s="18" customFormat="1" ht="14.25" customHeight="1">
      <c r="C38" s="608" t="s">
        <v>11</v>
      </c>
      <c r="E38" s="939" t="s">
        <v>12</v>
      </c>
      <c r="F38" s="939"/>
      <c r="G38" s="939"/>
      <c r="H38" s="939"/>
      <c r="I38" s="939"/>
      <c r="J38" s="939"/>
    </row>
    <row r="39" spans="1:11" s="18" customFormat="1" ht="14.25" customHeight="1">
      <c r="C39" s="608" t="s">
        <v>13</v>
      </c>
      <c r="E39" s="939" t="s">
        <v>13</v>
      </c>
      <c r="F39" s="939"/>
      <c r="G39" s="939"/>
      <c r="H39" s="939"/>
      <c r="I39" s="939"/>
      <c r="J39" s="939"/>
    </row>
    <row r="40" spans="1:11" s="29" customFormat="1"/>
    <row r="46" spans="1:11" ht="15">
      <c r="C46" s="609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3"/>
  <sheetViews>
    <sheetView showZeros="0" workbookViewId="0">
      <pane ySplit="5" topLeftCell="A6" activePane="bottomLeft" state="frozen"/>
      <selection pane="bottomLeft" activeCell="B7" sqref="B7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75" t="str">
        <f>TH!$A$1</f>
        <v>Đơn vị: CÔNG TY TNHH SX TM KIM DUNG PHÁT</v>
      </c>
    </row>
    <row r="2" spans="1:9">
      <c r="A2" s="876" t="str">
        <f>TH!$A$2</f>
        <v>Địa chỉ: 1A227/1 Ấp 1, Phạm Văn Hai, Bình Chánh, TPHCM</v>
      </c>
    </row>
    <row r="3" spans="1:9" ht="27" customHeight="1">
      <c r="A3" s="974" t="s">
        <v>102</v>
      </c>
      <c r="B3" s="974"/>
      <c r="C3" s="974"/>
      <c r="D3" s="974"/>
      <c r="E3" s="974"/>
      <c r="F3" s="974"/>
      <c r="G3" s="974"/>
      <c r="H3" s="974"/>
    </row>
    <row r="4" spans="1:9" s="10" customFormat="1" ht="14.25" customHeight="1">
      <c r="A4" s="975" t="s">
        <v>35</v>
      </c>
      <c r="B4" s="977" t="s">
        <v>36</v>
      </c>
      <c r="C4" s="979" t="s">
        <v>37</v>
      </c>
      <c r="D4" s="980"/>
      <c r="E4" s="979" t="s">
        <v>38</v>
      </c>
      <c r="F4" s="980"/>
      <c r="G4" s="979" t="s">
        <v>41</v>
      </c>
      <c r="H4" s="980"/>
    </row>
    <row r="5" spans="1:9" s="10" customFormat="1" ht="14.25" customHeight="1">
      <c r="A5" s="976"/>
      <c r="B5" s="978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7" t="s">
        <v>376</v>
      </c>
      <c r="C6" s="8"/>
      <c r="D6" s="8"/>
      <c r="E6" s="8">
        <f t="array" ref="E6">SUM(IF("331"&amp;B6=KHN&amp;KH,TH))</f>
        <v>5649600</v>
      </c>
      <c r="F6" s="8">
        <f t="array" ref="F6">SUM(IF("331"&amp;B6=KHC&amp;KH,TH))</f>
        <v>5649600</v>
      </c>
      <c r="G6" s="55">
        <f t="shared" ref="G6:G11" si="0">ROUND(MAX(C6+E6-D6-F6,0),2)</f>
        <v>0</v>
      </c>
      <c r="H6" s="55">
        <f t="shared" ref="H6:H11" si="1">ROUND(MAX(D6+F6-C6-E6,0),2)</f>
        <v>0</v>
      </c>
      <c r="I6" s="10" t="str">
        <f>IF(ISNA(VLOOKUP(B6,[4]!DSKH,1,0)),"","x")</f>
        <v>x</v>
      </c>
    </row>
    <row r="7" spans="1:9" s="10" customFormat="1" ht="16.5" customHeight="1">
      <c r="A7" s="6">
        <f t="shared" ref="A7" si="2">IF(B7&lt;&gt;"",ROW()-5,"")</f>
        <v>2</v>
      </c>
      <c r="B7" s="7" t="s">
        <v>580</v>
      </c>
      <c r="C7" s="8"/>
      <c r="D7" s="8"/>
      <c r="E7" s="8">
        <f t="array" ref="E7">SUM(IF("331"&amp;B7=KHN&amp;KH,TH))</f>
        <v>1925000</v>
      </c>
      <c r="F7" s="8">
        <f t="array" ref="F7">SUM(IF("331"&amp;B7=KHC&amp;KH,TH))</f>
        <v>1925000</v>
      </c>
      <c r="G7" s="804">
        <f t="shared" ref="G7" si="3">ROUND(MAX(C7+E7-D7-F7,0),2)</f>
        <v>0</v>
      </c>
      <c r="H7" s="804">
        <f t="shared" ref="H7" si="4">ROUND(MAX(D7+F7-C7-E7,0),2)</f>
        <v>0</v>
      </c>
      <c r="I7" s="10" t="str">
        <f>IF(ISNA(VLOOKUP(B7,[4]!DSKH,1,0)),"","x")</f>
        <v/>
      </c>
    </row>
    <row r="8" spans="1:9" s="10" customFormat="1" ht="16.5" customHeight="1">
      <c r="A8" s="6">
        <f t="shared" ref="A8:A15" si="5">IF(B8&lt;&gt;"",ROW()-5,"")</f>
        <v>3</v>
      </c>
      <c r="B8" s="7" t="s">
        <v>500</v>
      </c>
      <c r="C8" s="8"/>
      <c r="D8" s="8"/>
      <c r="E8" s="8">
        <f t="array" ref="E8">SUM(IF("331"&amp;B8=KHN&amp;KH,TH))</f>
        <v>1375000</v>
      </c>
      <c r="F8" s="8">
        <f t="array" ref="F8">SUM(IF("331"&amp;B8=KHC&amp;KH,TH))</f>
        <v>1375000</v>
      </c>
      <c r="G8" s="55">
        <f t="shared" si="0"/>
        <v>0</v>
      </c>
      <c r="H8" s="55">
        <f t="shared" si="1"/>
        <v>0</v>
      </c>
      <c r="I8" s="10" t="str">
        <f>IF(ISNA(VLOOKUP(B8,[4]!DSKH,1,0)),"","x")</f>
        <v/>
      </c>
    </row>
    <row r="9" spans="1:9" s="10" customFormat="1" ht="16.5" customHeight="1">
      <c r="A9" s="6">
        <f t="shared" si="5"/>
        <v>4</v>
      </c>
      <c r="B9" s="193" t="s">
        <v>1114</v>
      </c>
      <c r="C9" s="8"/>
      <c r="D9" s="8">
        <v>94643308</v>
      </c>
      <c r="E9" s="8">
        <f t="array" ref="E9">SUM(IF("331"&amp;B9=KHN&amp;KH,TH))</f>
        <v>94643308</v>
      </c>
      <c r="F9" s="8">
        <f t="array" ref="F9">SUM(IF("331"&amp;B9=KHC&amp;KH,TH))</f>
        <v>0</v>
      </c>
      <c r="G9" s="804">
        <f t="shared" ref="G9" si="6">ROUND(MAX(C9+E9-D9-F9,0),2)</f>
        <v>0</v>
      </c>
      <c r="H9" s="804">
        <f t="shared" ref="H9" si="7">ROUND(MAX(D9+F9-C9-E9,0),2)</f>
        <v>0</v>
      </c>
    </row>
    <row r="10" spans="1:9" s="10" customFormat="1" ht="16.5" customHeight="1">
      <c r="A10" s="6">
        <f t="shared" si="5"/>
        <v>5</v>
      </c>
      <c r="B10" s="193" t="s">
        <v>587</v>
      </c>
      <c r="C10" s="8"/>
      <c r="D10" s="8">
        <v>135994582</v>
      </c>
      <c r="E10" s="8">
        <f t="array" ref="E10">SUM(IF("331"&amp;B10=KHN&amp;KH,TH))</f>
        <v>349572812</v>
      </c>
      <c r="F10" s="8">
        <f t="array" ref="F10">SUM(IF("331"&amp;B10=KHC&amp;KH,TH))</f>
        <v>213578230</v>
      </c>
      <c r="G10" s="55">
        <f t="shared" si="0"/>
        <v>0</v>
      </c>
      <c r="H10" s="55">
        <f t="shared" si="1"/>
        <v>0</v>
      </c>
      <c r="I10" s="10" t="str">
        <f>IF(ISNA(VLOOKUP(B10,[4]!DSKH,1,0)),"","x")</f>
        <v/>
      </c>
    </row>
    <row r="11" spans="1:9" s="10" customFormat="1" ht="16.5" customHeight="1">
      <c r="A11" s="6">
        <f t="shared" si="5"/>
        <v>6</v>
      </c>
      <c r="B11" s="193" t="s">
        <v>645</v>
      </c>
      <c r="C11" s="8"/>
      <c r="D11" s="8"/>
      <c r="E11" s="8">
        <f t="array" ref="E11">SUM(IF("331"&amp;B11=KHN&amp;KH,TH))</f>
        <v>140300380</v>
      </c>
      <c r="F11" s="8">
        <f t="array" ref="F11">SUM(IF("331"&amp;B11=KHC&amp;KH,TH))</f>
        <v>140300380</v>
      </c>
      <c r="G11" s="55">
        <f t="shared" si="0"/>
        <v>0</v>
      </c>
      <c r="H11" s="55">
        <f t="shared" si="1"/>
        <v>0</v>
      </c>
      <c r="I11" s="10" t="str">
        <f>IF(ISNA(VLOOKUP(B11,[4]!DSKH,1,0)),"","x")</f>
        <v/>
      </c>
    </row>
    <row r="12" spans="1:9" s="10" customFormat="1" ht="16.5" customHeight="1">
      <c r="A12" s="6">
        <f t="shared" si="5"/>
        <v>7</v>
      </c>
      <c r="B12" s="193" t="s">
        <v>678</v>
      </c>
      <c r="C12" s="8"/>
      <c r="D12" s="8"/>
      <c r="E12" s="8">
        <f t="array" ref="E12">SUM(IF("331"&amp;B12=KHN&amp;KH,TH))</f>
        <v>63853515</v>
      </c>
      <c r="F12" s="8">
        <f t="array" ref="F12">SUM(IF("331"&amp;B12=KHC&amp;KH,TH))</f>
        <v>63853515</v>
      </c>
      <c r="G12" s="55">
        <f t="shared" ref="G12:G14" si="8">ROUND(MAX(C12+E12-D12-F12,0),2)</f>
        <v>0</v>
      </c>
      <c r="H12" s="55">
        <f t="shared" ref="H12:H14" si="9">ROUND(MAX(D12+F12-C12-E12,0),2)</f>
        <v>0</v>
      </c>
      <c r="I12" s="10" t="str">
        <f>IF(ISNA(VLOOKUP(B12,[4]!DSKH,1,0)),"","x")</f>
        <v/>
      </c>
    </row>
    <row r="13" spans="1:9" s="10" customFormat="1" ht="16.5" customHeight="1">
      <c r="A13" s="6">
        <f t="shared" si="5"/>
        <v>8</v>
      </c>
      <c r="B13" s="193" t="s">
        <v>689</v>
      </c>
      <c r="C13" s="8"/>
      <c r="D13" s="8"/>
      <c r="E13" s="8">
        <f t="array" ref="E13">SUM(IF("331"&amp;B13=KHN&amp;KH,TH))</f>
        <v>109505000</v>
      </c>
      <c r="F13" s="8">
        <f t="array" ref="F13">SUM(IF("331"&amp;B13=KHC&amp;KH,TH))</f>
        <v>109505000</v>
      </c>
      <c r="G13" s="55">
        <f t="shared" si="8"/>
        <v>0</v>
      </c>
      <c r="H13" s="55">
        <f t="shared" si="9"/>
        <v>0</v>
      </c>
      <c r="I13" s="10" t="str">
        <f>IF(ISNA(VLOOKUP(B13,[4]!DSKH,1,0)),"","x")</f>
        <v/>
      </c>
    </row>
    <row r="14" spans="1:9" s="10" customFormat="1" ht="16.5" customHeight="1">
      <c r="A14" s="6">
        <f t="shared" si="5"/>
        <v>9</v>
      </c>
      <c r="B14" s="193" t="s">
        <v>698</v>
      </c>
      <c r="C14" s="8"/>
      <c r="D14" s="8"/>
      <c r="E14" s="8">
        <f t="array" ref="E14">SUM(IF("331"&amp;B14=KHN&amp;KH,TH))</f>
        <v>134882711</v>
      </c>
      <c r="F14" s="8">
        <f t="array" ref="F14">SUM(IF("331"&amp;B14=KHC&amp;KH,TH))</f>
        <v>134882711</v>
      </c>
      <c r="G14" s="55">
        <f t="shared" si="8"/>
        <v>0</v>
      </c>
      <c r="H14" s="55">
        <f t="shared" si="9"/>
        <v>0</v>
      </c>
      <c r="I14" s="10" t="str">
        <f>IF(ISNA(VLOOKUP(B14,[4]!DSKH,1,0)),"","x")</f>
        <v/>
      </c>
    </row>
    <row r="15" spans="1:9" s="10" customFormat="1" ht="16.5" customHeight="1">
      <c r="A15" s="6">
        <f t="shared" si="5"/>
        <v>10</v>
      </c>
      <c r="B15" s="193" t="s">
        <v>707</v>
      </c>
      <c r="C15" s="8"/>
      <c r="D15" s="8"/>
      <c r="E15" s="8">
        <f t="array" ref="E15">SUM(IF("331"&amp;B15=KHN&amp;KH,TH))</f>
        <v>55000000</v>
      </c>
      <c r="F15" s="8">
        <f t="array" ref="F15">SUM(IF("331"&amp;B15=KHC&amp;KH,TH))</f>
        <v>55000000</v>
      </c>
      <c r="G15" s="55">
        <f t="shared" ref="G15" si="10">ROUND(MAX(C15+E15-D15-F15,0),2)</f>
        <v>0</v>
      </c>
      <c r="H15" s="55">
        <f t="shared" ref="H15" si="11">ROUND(MAX(D15+F15-C15-E15,0),2)</f>
        <v>0</v>
      </c>
      <c r="I15" s="10" t="str">
        <f>IF(ISNA(VLOOKUP(B15,[4]!DSKH,1,0)),"","x")</f>
        <v/>
      </c>
    </row>
    <row r="16" spans="1:9" s="10" customFormat="1" ht="16.5" customHeight="1">
      <c r="A16" s="6" t="str">
        <f>IF(B16&lt;&gt;"",ROW()-3,"")</f>
        <v/>
      </c>
      <c r="B16" s="44"/>
      <c r="C16" s="8"/>
      <c r="D16" s="8"/>
      <c r="E16" s="481"/>
      <c r="F16" s="481"/>
      <c r="G16" s="482"/>
      <c r="H16" s="482"/>
      <c r="I16" s="10" t="str">
        <f>IF(ISNA(VLOOKUP(B16,[4]!DSKH,1,0)),"","x")</f>
        <v/>
      </c>
    </row>
    <row r="17" spans="1:8" s="14" customFormat="1" ht="14.25" customHeight="1">
      <c r="A17" s="11"/>
      <c r="B17" s="12" t="s">
        <v>39</v>
      </c>
      <c r="C17" s="13">
        <f t="shared" ref="C17:H17" si="12">SUM(C6:C16)</f>
        <v>0</v>
      </c>
      <c r="D17" s="13">
        <f t="shared" si="12"/>
        <v>230637890</v>
      </c>
      <c r="E17" s="13">
        <f t="shared" si="12"/>
        <v>956707326</v>
      </c>
      <c r="F17" s="13">
        <f t="shared" si="12"/>
        <v>726069436</v>
      </c>
      <c r="G17" s="13">
        <f t="shared" si="12"/>
        <v>0</v>
      </c>
      <c r="H17" s="13">
        <f t="shared" si="12"/>
        <v>0</v>
      </c>
    </row>
    <row r="18" spans="1:8">
      <c r="E18" s="15">
        <f>CDPS!E28</f>
        <v>956707326</v>
      </c>
      <c r="F18" s="15">
        <f>CDPS!F28</f>
        <v>726069436</v>
      </c>
    </row>
    <row r="19" spans="1:8">
      <c r="E19" s="15">
        <f>E17-E18</f>
        <v>0</v>
      </c>
      <c r="F19" s="15">
        <f>F17-F18</f>
        <v>0</v>
      </c>
    </row>
    <row r="21" spans="1:8">
      <c r="E21" s="15"/>
      <c r="F21" s="973" t="s">
        <v>494</v>
      </c>
      <c r="G21" s="973"/>
      <c r="H21" s="973"/>
    </row>
    <row r="22" spans="1:8">
      <c r="F22" s="973" t="s">
        <v>109</v>
      </c>
      <c r="G22" s="973"/>
      <c r="H22" s="973"/>
    </row>
    <row r="23" spans="1:8">
      <c r="E23" s="183"/>
      <c r="F23" s="973" t="s">
        <v>136</v>
      </c>
      <c r="G23" s="973"/>
      <c r="H23" s="973"/>
    </row>
  </sheetData>
  <mergeCells count="9">
    <mergeCell ref="F21:H21"/>
    <mergeCell ref="F22:H22"/>
    <mergeCell ref="F23:H23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116"/>
  <sheetViews>
    <sheetView topLeftCell="A6" workbookViewId="0">
      <pane ySplit="8" topLeftCell="A14" activePane="bottomLeft" state="frozen"/>
      <selection activeCell="A6" sqref="A6"/>
      <selection pane="bottomLeft" activeCell="H19" sqref="H19:H21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19" t="str">
        <f>TH!A1</f>
        <v>Đơn vị: CÔNG TY TNHH SX TM KIM DUNG PHÁT</v>
      </c>
      <c r="B1" s="16"/>
      <c r="C1" s="16"/>
      <c r="G1" s="2"/>
      <c r="H1" s="983" t="s">
        <v>46</v>
      </c>
      <c r="I1" s="983"/>
      <c r="J1" s="983"/>
    </row>
    <row r="2" spans="1:10" s="3" customFormat="1" ht="14.25" customHeight="1">
      <c r="A2" s="618" t="str">
        <f>TH!A2</f>
        <v>Địa chỉ: 1A227/1 Ấp 1, Phạm Văn Hai, Bình Chánh, TPHCM</v>
      </c>
      <c r="B2" s="16"/>
      <c r="C2" s="16"/>
      <c r="G2" s="17"/>
      <c r="H2" s="984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984"/>
      <c r="J2" s="984"/>
    </row>
    <row r="3" spans="1:10" s="3" customFormat="1" ht="14.25" customHeight="1">
      <c r="A3" s="4"/>
      <c r="B3" s="16"/>
      <c r="C3" s="16"/>
      <c r="G3" s="17"/>
      <c r="H3" s="984"/>
      <c r="I3" s="984"/>
      <c r="J3" s="984"/>
    </row>
    <row r="4" spans="1:10" s="5" customFormat="1" ht="28.5" customHeight="1">
      <c r="A4" s="985" t="s">
        <v>26</v>
      </c>
      <c r="B4" s="985"/>
      <c r="C4" s="985"/>
      <c r="D4" s="985"/>
      <c r="E4" s="985"/>
      <c r="F4" s="985"/>
      <c r="G4" s="985"/>
      <c r="H4" s="985"/>
      <c r="I4" s="985"/>
      <c r="J4" s="985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986" t="s">
        <v>587</v>
      </c>
      <c r="F7" s="986"/>
      <c r="G7" s="986"/>
      <c r="H7" s="986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87"/>
      <c r="D9" s="987"/>
      <c r="E9" s="987"/>
      <c r="F9" s="987"/>
      <c r="G9" s="987"/>
      <c r="H9" s="987"/>
      <c r="I9" s="987"/>
      <c r="J9" s="987"/>
    </row>
    <row r="10" spans="1:10" s="18" customFormat="1" ht="14.25" customHeight="1">
      <c r="A10" s="951" t="s">
        <v>20</v>
      </c>
      <c r="B10" s="988" t="s">
        <v>1</v>
      </c>
      <c r="C10" s="988"/>
      <c r="D10" s="951" t="s">
        <v>0</v>
      </c>
      <c r="E10" s="951" t="s">
        <v>14</v>
      </c>
      <c r="F10" s="951" t="s">
        <v>30</v>
      </c>
      <c r="G10" s="981" t="s">
        <v>21</v>
      </c>
      <c r="H10" s="982"/>
      <c r="I10" s="981" t="s">
        <v>31</v>
      </c>
      <c r="J10" s="982"/>
    </row>
    <row r="11" spans="1:10" s="18" customFormat="1" ht="24.75" customHeight="1">
      <c r="A11" s="951"/>
      <c r="B11" s="30" t="s">
        <v>15</v>
      </c>
      <c r="C11" s="30" t="s">
        <v>32</v>
      </c>
      <c r="D11" s="951"/>
      <c r="E11" s="951"/>
      <c r="F11" s="951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VLOOKUP($E$7,'331'!$B$6:$H$16,2,0)</f>
        <v>0</v>
      </c>
      <c r="J13" s="47">
        <f>VLOOKUP($E$7,'331'!$B$6:$H$16,3,0)</f>
        <v>135994582</v>
      </c>
    </row>
    <row r="14" spans="1:10" s="18" customFormat="1" ht="18" customHeight="1">
      <c r="A14" s="9">
        <f ca="1">IF(ROWS($1:1)&gt;COUNT(Dong),"",OFFSET(TH!C$1,SMALL(Dong,ROWS($1:1)),))</f>
        <v>41311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41311</v>
      </c>
      <c r="D14" s="226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50000000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0</v>
      </c>
      <c r="J14" s="25">
        <f ca="1">IF(D14&lt;&gt;"",MAX(J13+H14-I13-G14,0),0)</f>
        <v>85994582</v>
      </c>
    </row>
    <row r="15" spans="1:10" s="18" customFormat="1" ht="18" customHeight="1">
      <c r="A15" s="9">
        <f ca="1">IF(ROWS($1:2)&gt;COUNT(Dong),"",OFFSET(TH!C$1,SMALL(Dong,ROWS($1:2)),))</f>
        <v>41334</v>
      </c>
      <c r="B15" s="9" t="str">
        <f ca="1">IF(ROWS($1:2)&gt;COUNT(Dong),"",OFFSET(TH!D$1,SMALL(Dong,ROWS($1:2)),))</f>
        <v>GBN</v>
      </c>
      <c r="C15" s="9">
        <f ca="1">IF(ROWS($1:2)&gt;COUNT(Dong),"",OFFSET(TH!E$1,SMALL(Dong,ROWS($1:2)),))</f>
        <v>41334</v>
      </c>
      <c r="D15" s="226" t="str">
        <f ca="1">IF(ROWS($1:2)&gt;COUNT(Dong),"",OFFSET(TH!F$1,SMALL(Dong,ROWS($1:2)),))</f>
        <v>Thanh toán tiền hàng</v>
      </c>
      <c r="E15" s="46" t="str">
        <f ca="1">IF(ROWS($1:2)&gt;COUNT(Dong),"",IF(OFFSET(TH!L$1,SMALL(Dong,ROWS($1:2)),)="331",OFFSET(TH!M$1,SMALL(Dong,ROWS($1:2)),),OFFSET(TH!L$1,SMALL(Dong,ROWS($1:2)),)))</f>
        <v>1121</v>
      </c>
      <c r="F15" s="46"/>
      <c r="G15" s="58">
        <f ca="1">IF(ROWS($1:2)&gt;COUNT(Dong),"",IF(OFFSET(TH!L$1,SMALL(Dong,ROWS($1:2)),)="331",OFFSET(TH!K$1,SMALL(Dong,ROWS($1:2)),),0))</f>
        <v>10000000</v>
      </c>
      <c r="H15" s="58">
        <f ca="1">IF(ROWS($1:2)&gt;COUNT(Dong),"",IF(OFFSET(TH!M$1,SMALL(Dong,ROWS($1:2)),)="331",OFFSET(TH!K$1,SMALL(Dong,ROWS($1:2)),),0))</f>
        <v>0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75994582</v>
      </c>
    </row>
    <row r="16" spans="1:10" s="18" customFormat="1" ht="18" customHeight="1">
      <c r="A16" s="9">
        <f ca="1">IF(ROWS($1:3)&gt;COUNT(Dong),"",OFFSET(TH!C$1,SMALL(Dong,ROWS($1:3)),))</f>
        <v>41391</v>
      </c>
      <c r="B16" s="9" t="str">
        <f ca="1">IF(ROWS($1:3)&gt;COUNT(Dong),"",OFFSET(TH!D$1,SMALL(Dong,ROWS($1:3)),))</f>
        <v>GBN</v>
      </c>
      <c r="C16" s="9">
        <f ca="1">IF(ROWS($1:3)&gt;COUNT(Dong),"",OFFSET(TH!E$1,SMALL(Dong,ROWS($1:3)),))</f>
        <v>41391</v>
      </c>
      <c r="D16" s="226" t="str">
        <f ca="1">IF(ROWS($1:3)&gt;COUNT(Dong),"",OFFSET(TH!F$1,SMALL(Dong,ROWS($1:3)),))</f>
        <v>Thanh toán tiền hàng</v>
      </c>
      <c r="E16" s="46" t="str">
        <f ca="1">IF(ROWS($1:3)&gt;COUNT(Dong),"",IF(OFFSET(TH!L$1,SMALL(Dong,ROWS($1:3)),)="331",OFFSET(TH!M$1,SMALL(Dong,ROWS($1:3)),),OFFSET(TH!L$1,SMALL(Dong,ROWS($1:3)),)))</f>
        <v>1121</v>
      </c>
      <c r="F16" s="46"/>
      <c r="G16" s="58">
        <f ca="1">IF(ROWS($1:3)&gt;COUNT(Dong),"",IF(OFFSET(TH!L$1,SMALL(Dong,ROWS($1:3)),)="331",OFFSET(TH!K$1,SMALL(Dong,ROWS($1:3)),),0))</f>
        <v>20000000</v>
      </c>
      <c r="H16" s="58">
        <f ca="1">IF(ROWS($1:3)&gt;COUNT(Dong),"",IF(OFFSET(TH!M$1,SMALL(Dong,ROWS($1:3)),)="331",OFFSET(TH!K$1,SMALL(Dong,ROWS($1:3)),),0))</f>
        <v>0</v>
      </c>
      <c r="I16" s="25">
        <f t="shared" ca="1" si="0"/>
        <v>0</v>
      </c>
      <c r="J16" s="25">
        <f t="shared" ca="1" si="1"/>
        <v>55994582</v>
      </c>
    </row>
    <row r="17" spans="1:10" s="18" customFormat="1" ht="18" customHeight="1">
      <c r="A17" s="9">
        <f ca="1">IF(ROWS($1:4)&gt;COUNT(Dong),"",OFFSET(TH!C$1,SMALL(Dong,ROWS($1:4)),))</f>
        <v>41447</v>
      </c>
      <c r="B17" s="9" t="str">
        <f ca="1">IF(ROWS($1:4)&gt;COUNT(Dong),"",OFFSET(TH!D$1,SMALL(Dong,ROWS($1:4)),))</f>
        <v>GBN</v>
      </c>
      <c r="C17" s="9">
        <f ca="1">IF(ROWS($1:4)&gt;COUNT(Dong),"",OFFSET(TH!E$1,SMALL(Dong,ROWS($1:4)),))</f>
        <v>41447</v>
      </c>
      <c r="D17" s="226" t="str">
        <f ca="1">IF(ROWS($1:4)&gt;COUNT(Dong),"",OFFSET(TH!F$1,SMALL(Dong,ROWS($1:4)),))</f>
        <v>Thanh toán tiền hàng</v>
      </c>
      <c r="E17" s="46" t="str">
        <f ca="1">IF(ROWS($1:4)&gt;COUNT(Dong),"",IF(OFFSET(TH!L$1,SMALL(Dong,ROWS($1:4)),)="331",OFFSET(TH!M$1,SMALL(Dong,ROWS($1:4)),),OFFSET(TH!L$1,SMALL(Dong,ROWS($1:4)),)))</f>
        <v>1121</v>
      </c>
      <c r="F17" s="46"/>
      <c r="G17" s="58">
        <f ca="1">IF(ROWS($1:4)&gt;COUNT(Dong),"",IF(OFFSET(TH!L$1,SMALL(Dong,ROWS($1:4)),)="331",OFFSET(TH!K$1,SMALL(Dong,ROWS($1:4)),),0))</f>
        <v>20000000</v>
      </c>
      <c r="H17" s="58">
        <f ca="1">IF(ROWS($1:4)&gt;COUNT(Dong),"",IF(OFFSET(TH!M$1,SMALL(Dong,ROWS($1:4)),)="331",OFFSET(TH!K$1,SMALL(Dong,ROWS($1:4)),),0))</f>
        <v>0</v>
      </c>
      <c r="I17" s="25">
        <f t="shared" ca="1" si="0"/>
        <v>0</v>
      </c>
      <c r="J17" s="25">
        <f t="shared" ca="1" si="1"/>
        <v>35994582</v>
      </c>
    </row>
    <row r="18" spans="1:10" s="18" customFormat="1" ht="18" customHeight="1">
      <c r="A18" s="9">
        <f ca="1">IF(ROWS($1:5)&gt;COUNT(Dong),"",OFFSET(TH!C$1,SMALL(Dong,ROWS($1:5)),))</f>
        <v>41451</v>
      </c>
      <c r="B18" s="9" t="str">
        <f ca="1">IF(ROWS($1:5)&gt;COUNT(Dong),"",OFFSET(TH!D$1,SMALL(Dong,ROWS($1:5)),))</f>
        <v>GBN</v>
      </c>
      <c r="C18" s="9">
        <f ca="1">IF(ROWS($1:5)&gt;COUNT(Dong),"",OFFSET(TH!E$1,SMALL(Dong,ROWS($1:5)),))</f>
        <v>41451</v>
      </c>
      <c r="D18" s="226" t="str">
        <f ca="1">IF(ROWS($1:5)&gt;COUNT(Dong),"",OFFSET(TH!F$1,SMALL(Dong,ROWS($1:5)),))</f>
        <v>Thanh toán tiền hàng</v>
      </c>
      <c r="E18" s="46" t="str">
        <f ca="1">IF(ROWS($1:5)&gt;COUNT(Dong),"",IF(OFFSET(TH!L$1,SMALL(Dong,ROWS($1:5)),)="331",OFFSET(TH!M$1,SMALL(Dong,ROWS($1:5)),),OFFSET(TH!L$1,SMALL(Dong,ROWS($1:5)),)))</f>
        <v>1121</v>
      </c>
      <c r="F18" s="46"/>
      <c r="G18" s="58">
        <f ca="1">IF(ROWS($1:5)&gt;COUNT(Dong),"",IF(OFFSET(TH!L$1,SMALL(Dong,ROWS($1:5)),)="331",OFFSET(TH!K$1,SMALL(Dong,ROWS($1:5)),),0))</f>
        <v>20000000</v>
      </c>
      <c r="H18" s="58">
        <f ca="1">IF(ROWS($1:5)&gt;COUNT(Dong),"",IF(OFFSET(TH!M$1,SMALL(Dong,ROWS($1:5)),)="331",OFFSET(TH!K$1,SMALL(Dong,ROWS($1:5)),),0))</f>
        <v>0</v>
      </c>
      <c r="I18" s="25">
        <f t="shared" ca="1" si="0"/>
        <v>0</v>
      </c>
      <c r="J18" s="25">
        <f t="shared" ca="1" si="1"/>
        <v>15994582</v>
      </c>
    </row>
    <row r="19" spans="1:10" s="18" customFormat="1" ht="18" customHeight="1">
      <c r="A19" s="9">
        <f ca="1">IF(ROWS($1:6)&gt;COUNT(Dong),"",OFFSET(TH!C$1,SMALL(Dong,ROWS($1:6)),))</f>
        <v>41485</v>
      </c>
      <c r="B19" s="9" t="str">
        <f ca="1">IF(ROWS($1:6)&gt;COUNT(Dong),"",OFFSET(TH!D$1,SMALL(Dong,ROWS($1:6)),))</f>
        <v>GBN</v>
      </c>
      <c r="C19" s="9">
        <f ca="1">IF(ROWS($1:6)&gt;COUNT(Dong),"",OFFSET(TH!E$1,SMALL(Dong,ROWS($1:6)),))</f>
        <v>41485</v>
      </c>
      <c r="D19" s="226" t="str">
        <f ca="1">IF(ROWS($1:6)&gt;COUNT(Dong),"",OFFSET(TH!F$1,SMALL(Dong,ROWS($1:6)),))</f>
        <v>Thanh toán tiền hàng</v>
      </c>
      <c r="E19" s="46" t="str">
        <f ca="1">IF(ROWS($1:6)&gt;COUNT(Dong),"",IF(OFFSET(TH!L$1,SMALL(Dong,ROWS($1:6)),)="331",OFFSET(TH!M$1,SMALL(Dong,ROWS($1:6)),),OFFSET(TH!L$1,SMALL(Dong,ROWS($1:6)),)))</f>
        <v>1121</v>
      </c>
      <c r="F19" s="46"/>
      <c r="G19" s="58">
        <f ca="1">IF(ROWS($1:6)&gt;COUNT(Dong),"",IF(OFFSET(TH!L$1,SMALL(Dong,ROWS($1:6)),)="331",OFFSET(TH!K$1,SMALL(Dong,ROWS($1:6)),),0))</f>
        <v>20000000</v>
      </c>
      <c r="H19" s="58">
        <f ca="1">IF(ROWS($1:6)&gt;COUNT(Dong),"",IF(OFFSET(TH!M$1,SMALL(Dong,ROWS($1:6)),)="331",OFFSET(TH!K$1,SMALL(Dong,ROWS($1:6)),),0))</f>
        <v>0</v>
      </c>
      <c r="I19" s="25">
        <f t="shared" ca="1" si="0"/>
        <v>4005418</v>
      </c>
      <c r="J19" s="25">
        <f t="shared" ca="1" si="1"/>
        <v>0</v>
      </c>
    </row>
    <row r="20" spans="1:10" s="18" customFormat="1" ht="18" customHeight="1">
      <c r="A20" s="9">
        <f ca="1">IF(ROWS($1:7)&gt;COUNT(Dong),"",OFFSET(TH!C$1,SMALL(Dong,ROWS($1:7)),))</f>
        <v>41276</v>
      </c>
      <c r="B20" s="9" t="str">
        <f ca="1">IF(ROWS($1:7)&gt;COUNT(Dong),"",OFFSET(TH!D$1,SMALL(Dong,ROWS($1:7)),))</f>
        <v>NL/N01</v>
      </c>
      <c r="C20" s="9">
        <f ca="1">IF(ROWS($1:7)&gt;COUNT(Dong),"",OFFSET(TH!E$1,SMALL(Dong,ROWS($1:7)),))</f>
        <v>41276</v>
      </c>
      <c r="D20" s="226" t="str">
        <f ca="1">IF(ROWS($1:7)&gt;COUNT(Dong),"",OFFSET(TH!F$1,SMALL(Dong,ROWS($1:7)),))</f>
        <v>Giấy tấm 2 vàng + 3 xeo (2060x1050)</v>
      </c>
      <c r="E20" s="46" t="str">
        <f ca="1">IF(ROWS($1:7)&gt;COUNT(Dong),"",IF(OFFSET(TH!L$1,SMALL(Dong,ROWS($1:7)),)="331",OFFSET(TH!M$1,SMALL(Dong,ROWS($1:7)),),OFFSET(TH!L$1,SMALL(Dong,ROWS($1:7)),)))</f>
        <v>1521</v>
      </c>
      <c r="F20" s="46"/>
      <c r="G20" s="58">
        <f ca="1">IF(ROWS($1:7)&gt;COUNT(Dong),"",IF(OFFSET(TH!L$1,SMALL(Dong,ROWS($1:7)),)="331",OFFSET(TH!K$1,SMALL(Dong,ROWS($1:7)),),0))</f>
        <v>0</v>
      </c>
      <c r="H20" s="58">
        <f ca="1">IF(ROWS($1:7)&gt;COUNT(Dong),"",IF(OFFSET(TH!M$1,SMALL(Dong,ROWS($1:7)),)="331",OFFSET(TH!K$1,SMALL(Dong,ROWS($1:7)),),0))</f>
        <v>4215295</v>
      </c>
      <c r="I20" s="25">
        <f t="shared" ca="1" si="0"/>
        <v>0</v>
      </c>
      <c r="J20" s="25">
        <f t="shared" ca="1" si="1"/>
        <v>209877</v>
      </c>
    </row>
    <row r="21" spans="1:10" s="18" customFormat="1" ht="18" customHeight="1">
      <c r="A21" s="9">
        <f ca="1">IF(ROWS($1:8)&gt;COUNT(Dong),"",OFFSET(TH!C$1,SMALL(Dong,ROWS($1:8)),))</f>
        <v>41276</v>
      </c>
      <c r="B21" s="9" t="str">
        <f ca="1">IF(ROWS($1:8)&gt;COUNT(Dong),"",OFFSET(TH!D$1,SMALL(Dong,ROWS($1:8)),))</f>
        <v>NL/N01</v>
      </c>
      <c r="C21" s="9">
        <f ca="1">IF(ROWS($1:8)&gt;COUNT(Dong),"",OFFSET(TH!E$1,SMALL(Dong,ROWS($1:8)),))</f>
        <v>41276</v>
      </c>
      <c r="D21" s="226" t="str">
        <f ca="1">IF(ROWS($1:8)&gt;COUNT(Dong),"",OFFSET(TH!F$1,SMALL(Dong,ROWS($1:8)),))</f>
        <v>Giấy tấm 2 vàng + 3 xeo (1730x1050)</v>
      </c>
      <c r="E21" s="46" t="str">
        <f ca="1">IF(ROWS($1:8)&gt;COUNT(Dong),"",IF(OFFSET(TH!L$1,SMALL(Dong,ROWS($1:8)),)="331",OFFSET(TH!M$1,SMALL(Dong,ROWS($1:8)),),OFFSET(TH!L$1,SMALL(Dong,ROWS($1:8)),)))</f>
        <v>1521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3505038</v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3714915</v>
      </c>
    </row>
    <row r="22" spans="1:10" s="18" customFormat="1" ht="18" customHeight="1">
      <c r="A22" s="9">
        <f ca="1">IF(ROWS($1:9)&gt;COUNT(Dong),"",OFFSET(TH!C$1,SMALL(Dong,ROWS($1:9)),))</f>
        <v>41276</v>
      </c>
      <c r="B22" s="9" t="str">
        <f ca="1">IF(ROWS($1:9)&gt;COUNT(Dong),"",OFFSET(TH!D$1,SMALL(Dong,ROWS($1:9)),))</f>
        <v>NL/N01</v>
      </c>
      <c r="C22" s="9">
        <f ca="1">IF(ROWS($1:9)&gt;COUNT(Dong),"",OFFSET(TH!E$1,SMALL(Dong,ROWS($1:9)),))</f>
        <v>41276</v>
      </c>
      <c r="D22" s="226" t="str">
        <f ca="1">IF(ROWS($1:9)&gt;COUNT(Dong),"",OFFSET(TH!F$1,SMALL(Dong,ROWS($1:9)),))</f>
        <v>Giấy tấm 1 vàng + 4 xeo (1580x1150)</v>
      </c>
      <c r="E22" s="46" t="str">
        <f ca="1">IF(ROWS($1:9)&gt;COUNT(Dong),"",IF(OFFSET(TH!L$1,SMALL(Dong,ROWS($1:9)),)="331",OFFSET(TH!M$1,SMALL(Dong,ROWS($1:9)),),OFFSET(TH!L$1,SMALL(Dong,ROWS($1:9)),)))</f>
        <v>1521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4322760</v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8037675</v>
      </c>
    </row>
    <row r="23" spans="1:10" s="18" customFormat="1" ht="18" customHeight="1">
      <c r="A23" s="9">
        <f ca="1">IF(ROWS($1:10)&gt;COUNT(Dong),"",OFFSET(TH!C$1,SMALL(Dong,ROWS($1:10)),))</f>
        <v>41276</v>
      </c>
      <c r="B23" s="9" t="str">
        <f ca="1">IF(ROWS($1:10)&gt;COUNT(Dong),"",OFFSET(TH!D$1,SMALL(Dong,ROWS($1:10)),))</f>
        <v>NL/N01</v>
      </c>
      <c r="C23" s="9">
        <f ca="1">IF(ROWS($1:10)&gt;COUNT(Dong),"",OFFSET(TH!E$1,SMALL(Dong,ROWS($1:10)),))</f>
        <v>41276</v>
      </c>
      <c r="D23" s="226" t="str">
        <f ca="1">IF(ROWS($1:10)&gt;COUNT(Dong),"",OFFSET(TH!F$1,SMALL(Dong,ROWS($1:10)),))</f>
        <v>VAT Giấy tấm</v>
      </c>
      <c r="E23" s="46" t="str">
        <f ca="1">IF(ROWS($1:10)&gt;COUNT(Dong),"",IF(OFFSET(TH!L$1,SMALL(Dong,ROWS($1:10)),)="331",OFFSET(TH!M$1,SMALL(Dong,ROWS($1:10)),),OFFSET(TH!L$1,SMALL(Dong,ROWS($1:10)),)))</f>
        <v>1331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1204310</v>
      </c>
      <c r="I23" s="25">
        <f t="shared" ca="1" si="4"/>
        <v>0</v>
      </c>
      <c r="J23" s="25">
        <f t="shared" ca="1" si="5"/>
        <v>9241985</v>
      </c>
    </row>
    <row r="24" spans="1:10" s="18" customFormat="1" ht="18" customHeight="1">
      <c r="A24" s="9">
        <f ca="1">IF(ROWS($1:11)&gt;COUNT(Dong),"",OFFSET(TH!C$1,SMALL(Dong,ROWS($1:11)),))</f>
        <v>41276</v>
      </c>
      <c r="B24" s="9" t="str">
        <f ca="1">IF(ROWS($1:11)&gt;COUNT(Dong),"",OFFSET(TH!D$1,SMALL(Dong,ROWS($1:11)),))</f>
        <v>NL/N01</v>
      </c>
      <c r="C24" s="9">
        <f ca="1">IF(ROWS($1:11)&gt;COUNT(Dong),"",OFFSET(TH!E$1,SMALL(Dong,ROWS($1:11)),))</f>
        <v>41276</v>
      </c>
      <c r="D24" s="226" t="str">
        <f ca="1">IF(ROWS($1:11)&gt;COUNT(Dong),"",OFFSET(TH!F$1,SMALL(Dong,ROWS($1:11)),))</f>
        <v>Thanh toán tiền hàng</v>
      </c>
      <c r="E24" s="46" t="str">
        <f ca="1">IF(ROWS($1:11)&gt;COUNT(Dong),"",IF(OFFSET(TH!L$1,SMALL(Dong,ROWS($1:11)),)="331",OFFSET(TH!M$1,SMALL(Dong,ROWS($1:11)),),OFFSET(TH!L$1,SMALL(Dong,ROWS($1:11)),)))</f>
        <v>1111</v>
      </c>
      <c r="F24" s="46"/>
      <c r="G24" s="58">
        <f ca="1">IF(ROWS($1:11)&gt;COUNT(Dong),"",IF(OFFSET(TH!L$1,SMALL(Dong,ROWS($1:11)),)="331",OFFSET(TH!K$1,SMALL(Dong,ROWS($1:11)),),0))</f>
        <v>13247403</v>
      </c>
      <c r="H24" s="58">
        <f ca="1">IF(ROWS($1:11)&gt;COUNT(Dong),"",IF(OFFSET(TH!M$1,SMALL(Dong,ROWS($1:11)),)="331",OFFSET(TH!K$1,SMALL(Dong,ROWS($1:11)),),0))</f>
        <v>0</v>
      </c>
      <c r="I24" s="25">
        <f t="shared" ca="1" si="4"/>
        <v>4005418</v>
      </c>
      <c r="J24" s="25">
        <f t="shared" ca="1" si="5"/>
        <v>0</v>
      </c>
    </row>
    <row r="25" spans="1:10" s="18" customFormat="1" ht="18" customHeight="1">
      <c r="A25" s="9">
        <f ca="1">IF(ROWS($1:12)&gt;COUNT(Dong),"",OFFSET(TH!C$1,SMALL(Dong,ROWS($1:12)),))</f>
        <v>41277</v>
      </c>
      <c r="B25" s="9" t="str">
        <f ca="1">IF(ROWS($1:12)&gt;COUNT(Dong),"",OFFSET(TH!D$1,SMALL(Dong,ROWS($1:12)),))</f>
        <v>NL/N02</v>
      </c>
      <c r="C25" s="9">
        <f ca="1">IF(ROWS($1:12)&gt;COUNT(Dong),"",OFFSET(TH!E$1,SMALL(Dong,ROWS($1:12)),))</f>
        <v>41277</v>
      </c>
      <c r="D25" s="226" t="str">
        <f ca="1">IF(ROWS($1:12)&gt;COUNT(Dong),"",OFFSET(TH!F$1,SMALL(Dong,ROWS($1:12)),))</f>
        <v>Giấy tấm 2 vàng + 3 xeo (1810x1145)</v>
      </c>
      <c r="E25" s="46" t="str">
        <f ca="1">IF(ROWS($1:12)&gt;COUNT(Dong),"",IF(OFFSET(TH!L$1,SMALL(Dong,ROWS($1:12)),)="331",OFFSET(TH!M$1,SMALL(Dong,ROWS($1:12)),),OFFSET(TH!L$1,SMALL(Dong,ROWS($1:12)),)))</f>
        <v>1521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5133168</v>
      </c>
      <c r="I25" s="25">
        <f t="shared" ca="1" si="4"/>
        <v>0</v>
      </c>
      <c r="J25" s="25">
        <f t="shared" ca="1" si="5"/>
        <v>1127750</v>
      </c>
    </row>
    <row r="26" spans="1:10" s="18" customFormat="1" ht="18" customHeight="1">
      <c r="A26" s="9">
        <f ca="1">IF(ROWS($1:13)&gt;COUNT(Dong),"",OFFSET(TH!C$1,SMALL(Dong,ROWS($1:13)),))</f>
        <v>41277</v>
      </c>
      <c r="B26" s="9" t="str">
        <f ca="1">IF(ROWS($1:13)&gt;COUNT(Dong),"",OFFSET(TH!D$1,SMALL(Dong,ROWS($1:13)),))</f>
        <v>NL/N02</v>
      </c>
      <c r="C26" s="9">
        <f ca="1">IF(ROWS($1:13)&gt;COUNT(Dong),"",OFFSET(TH!E$1,SMALL(Dong,ROWS($1:13)),))</f>
        <v>41277</v>
      </c>
      <c r="D26" s="226" t="str">
        <f ca="1">IF(ROWS($1:13)&gt;COUNT(Dong),"",OFFSET(TH!F$1,SMALL(Dong,ROWS($1:13)),))</f>
        <v>Giấy tấm 1 trắng + 3 xeo + 1 vàng (1760x1600)</v>
      </c>
      <c r="E26" s="46" t="str">
        <f ca="1">IF(ROWS($1:13)&gt;COUNT(Dong),"",IF(OFFSET(TH!L$1,SMALL(Dong,ROWS($1:13)),)="331",OFFSET(TH!M$1,SMALL(Dong,ROWS($1:13)),),OFFSET(TH!L$1,SMALL(Dong,ROWS($1:13)),)))</f>
        <v>1521</v>
      </c>
      <c r="F26" s="46"/>
      <c r="G26" s="58">
        <f ca="1">IF(ROWS($1:13)&gt;COUNT(Dong),"",IF(OFFSET(TH!L$1,SMALL(Dong,ROWS($1:13)),)="331",OFFSET(TH!K$1,SMALL(Dong,ROWS($1:13)),),0))</f>
        <v>0</v>
      </c>
      <c r="H26" s="58">
        <f ca="1">IF(ROWS($1:13)&gt;COUNT(Dong),"",IF(OFFSET(TH!M$1,SMALL(Dong,ROWS($1:13)),)="331",OFFSET(TH!K$1,SMALL(Dong,ROWS($1:13)),),0))</f>
        <v>14931840</v>
      </c>
      <c r="I26" s="25">
        <f t="shared" ca="1" si="4"/>
        <v>0</v>
      </c>
      <c r="J26" s="25">
        <f t="shared" ca="1" si="5"/>
        <v>16059590</v>
      </c>
    </row>
    <row r="27" spans="1:10" s="18" customFormat="1" ht="18" customHeight="1">
      <c r="A27" s="9">
        <f ca="1">IF(ROWS($1:14)&gt;COUNT(Dong),"",OFFSET(TH!C$1,SMALL(Dong,ROWS($1:14)),))</f>
        <v>41277</v>
      </c>
      <c r="B27" s="9" t="str">
        <f ca="1">IF(ROWS($1:14)&gt;COUNT(Dong),"",OFFSET(TH!D$1,SMALL(Dong,ROWS($1:14)),))</f>
        <v>NL/N02</v>
      </c>
      <c r="C27" s="9">
        <f ca="1">IF(ROWS($1:14)&gt;COUNT(Dong),"",OFFSET(TH!E$1,SMALL(Dong,ROWS($1:14)),))</f>
        <v>41277</v>
      </c>
      <c r="D27" s="226" t="str">
        <f ca="1">IF(ROWS($1:14)&gt;COUNT(Dong),"",OFFSET(TH!F$1,SMALL(Dong,ROWS($1:14)),))</f>
        <v>VAT Giấy tấm</v>
      </c>
      <c r="E27" s="46" t="str">
        <f ca="1">IF(ROWS($1:14)&gt;COUNT(Dong),"",IF(OFFSET(TH!L$1,SMALL(Dong,ROWS($1:14)),)="331",OFFSET(TH!M$1,SMALL(Dong,ROWS($1:14)),),OFFSET(TH!L$1,SMALL(Dong,ROWS($1:14)),)))</f>
        <v>1331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2006501</v>
      </c>
      <c r="I27" s="25">
        <f t="shared" ca="1" si="4"/>
        <v>0</v>
      </c>
      <c r="J27" s="25">
        <f t="shared" ca="1" si="5"/>
        <v>18066091</v>
      </c>
    </row>
    <row r="28" spans="1:10" s="18" customFormat="1" ht="18" customHeight="1">
      <c r="A28" s="9">
        <f ca="1">IF(ROWS($1:15)&gt;COUNT(Dong),"",OFFSET(TH!C$1,SMALL(Dong,ROWS($1:15)),))</f>
        <v>41278</v>
      </c>
      <c r="B28" s="9" t="str">
        <f ca="1">IF(ROWS($1:15)&gt;COUNT(Dong),"",OFFSET(TH!D$1,SMALL(Dong,ROWS($1:15)),))</f>
        <v>NL/N03</v>
      </c>
      <c r="C28" s="9">
        <f ca="1">IF(ROWS($1:15)&gt;COUNT(Dong),"",OFFSET(TH!E$1,SMALL(Dong,ROWS($1:15)),))</f>
        <v>41278</v>
      </c>
      <c r="D28" s="226" t="str">
        <f ca="1">IF(ROWS($1:15)&gt;COUNT(Dong),"",OFFSET(TH!F$1,SMALL(Dong,ROWS($1:15)),))</f>
        <v>Giấy tấm 1 vàng + 2 xeo (1350x1000)</v>
      </c>
      <c r="E28" s="46" t="str">
        <f ca="1">IF(ROWS($1:15)&gt;COUNT(Dong),"",IF(OFFSET(TH!L$1,SMALL(Dong,ROWS($1:15)),)="331",OFFSET(TH!M$1,SMALL(Dong,ROWS($1:15)),),OFFSET(TH!L$1,SMALL(Dong,ROWS($1:15)),)))</f>
        <v>1521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4623670</v>
      </c>
      <c r="I28" s="25">
        <f t="shared" ca="1" si="4"/>
        <v>0</v>
      </c>
      <c r="J28" s="25">
        <f t="shared" ca="1" si="5"/>
        <v>22689761</v>
      </c>
    </row>
    <row r="29" spans="1:10" s="18" customFormat="1" ht="18" customHeight="1">
      <c r="A29" s="9">
        <f ca="1">IF(ROWS($1:16)&gt;COUNT(Dong),"",OFFSET(TH!C$1,SMALL(Dong,ROWS($1:16)),))</f>
        <v>41278</v>
      </c>
      <c r="B29" s="9" t="str">
        <f ca="1">IF(ROWS($1:16)&gt;COUNT(Dong),"",OFFSET(TH!D$1,SMALL(Dong,ROWS($1:16)),))</f>
        <v>NL/N03</v>
      </c>
      <c r="C29" s="9">
        <f ca="1">IF(ROWS($1:16)&gt;COUNT(Dong),"",OFFSET(TH!E$1,SMALL(Dong,ROWS($1:16)),))</f>
        <v>41278</v>
      </c>
      <c r="D29" s="226" t="str">
        <f ca="1">IF(ROWS($1:16)&gt;COUNT(Dong),"",OFFSET(TH!F$1,SMALL(Dong,ROWS($1:16)),))</f>
        <v>VAT Giấy tấm</v>
      </c>
      <c r="E29" s="46" t="str">
        <f ca="1">IF(ROWS($1:16)&gt;COUNT(Dong),"",IF(OFFSET(TH!L$1,SMALL(Dong,ROWS($1:16)),)="331",OFFSET(TH!M$1,SMALL(Dong,ROWS($1:16)),),OFFSET(TH!L$1,SMALL(Dong,ROWS($1:16)),)))</f>
        <v>1331</v>
      </c>
      <c r="F29" s="46"/>
      <c r="G29" s="58">
        <f ca="1">IF(ROWS($1:16)&gt;COUNT(Dong),"",IF(OFFSET(TH!L$1,SMALL(Dong,ROWS($1:16)),)="331",OFFSET(TH!K$1,SMALL(Dong,ROWS($1:16)),),0))</f>
        <v>0</v>
      </c>
      <c r="H29" s="58">
        <f ca="1">IF(ROWS($1:16)&gt;COUNT(Dong),"",IF(OFFSET(TH!M$1,SMALL(Dong,ROWS($1:16)),)="331",OFFSET(TH!K$1,SMALL(Dong,ROWS($1:16)),),0))</f>
        <v>462367</v>
      </c>
      <c r="I29" s="25">
        <f t="shared" ca="1" si="4"/>
        <v>0</v>
      </c>
      <c r="J29" s="25">
        <f t="shared" ca="1" si="5"/>
        <v>23152128</v>
      </c>
    </row>
    <row r="30" spans="1:10" s="18" customFormat="1" ht="18" customHeight="1">
      <c r="A30" s="9">
        <f ca="1">IF(ROWS($1:17)&gt;COUNT(Dong),"",OFFSET(TH!C$1,SMALL(Dong,ROWS($1:17)),))</f>
        <v>41278</v>
      </c>
      <c r="B30" s="9" t="str">
        <f ca="1">IF(ROWS($1:17)&gt;COUNT(Dong),"",OFFSET(TH!D$1,SMALL(Dong,ROWS($1:17)),))</f>
        <v>NL/N03</v>
      </c>
      <c r="C30" s="9">
        <f ca="1">IF(ROWS($1:17)&gt;COUNT(Dong),"",OFFSET(TH!E$1,SMALL(Dong,ROWS($1:17)),))</f>
        <v>41278</v>
      </c>
      <c r="D30" s="226" t="str">
        <f ca="1">IF(ROWS($1:17)&gt;COUNT(Dong),"",OFFSET(TH!F$1,SMALL(Dong,ROWS($1:17)),))</f>
        <v>Thanh toán tiền hàng</v>
      </c>
      <c r="E30" s="46" t="str">
        <f ca="1">IF(ROWS($1:17)&gt;COUNT(Dong),"",IF(OFFSET(TH!L$1,SMALL(Dong,ROWS($1:17)),)="331",OFFSET(TH!M$1,SMALL(Dong,ROWS($1:17)),),OFFSET(TH!L$1,SMALL(Dong,ROWS($1:17)),)))</f>
        <v>1111</v>
      </c>
      <c r="F30" s="46"/>
      <c r="G30" s="58">
        <f ca="1">IF(ROWS($1:17)&gt;COUNT(Dong),"",IF(OFFSET(TH!L$1,SMALL(Dong,ROWS($1:17)),)="331",OFFSET(TH!K$1,SMALL(Dong,ROWS($1:17)),),0))</f>
        <v>5086037</v>
      </c>
      <c r="H30" s="58">
        <f ca="1">IF(ROWS($1:17)&gt;COUNT(Dong),"",IF(OFFSET(TH!M$1,SMALL(Dong,ROWS($1:17)),)="331",OFFSET(TH!K$1,SMALL(Dong,ROWS($1:17)),),0))</f>
        <v>0</v>
      </c>
      <c r="I30" s="25">
        <f t="shared" ca="1" si="4"/>
        <v>0</v>
      </c>
      <c r="J30" s="25">
        <f t="shared" ca="1" si="5"/>
        <v>18066091</v>
      </c>
    </row>
    <row r="31" spans="1:10" s="18" customFormat="1" ht="18" customHeight="1">
      <c r="A31" s="9">
        <f ca="1">IF(ROWS($1:18)&gt;COUNT(Dong),"",OFFSET(TH!C$1,SMALL(Dong,ROWS($1:18)),))</f>
        <v>41282</v>
      </c>
      <c r="B31" s="9" t="str">
        <f ca="1">IF(ROWS($1:18)&gt;COUNT(Dong),"",OFFSET(TH!D$1,SMALL(Dong,ROWS($1:18)),))</f>
        <v>NL/N04</v>
      </c>
      <c r="C31" s="9">
        <f ca="1">IF(ROWS($1:18)&gt;COUNT(Dong),"",OFFSET(TH!E$1,SMALL(Dong,ROWS($1:18)),))</f>
        <v>41282</v>
      </c>
      <c r="D31" s="226" t="str">
        <f ca="1">IF(ROWS($1:18)&gt;COUNT(Dong),"",OFFSET(TH!F$1,SMALL(Dong,ROWS($1:18)),))</f>
        <v>Giấy tấm 2 vàng + 1 xeo (2020x950)</v>
      </c>
      <c r="E31" s="46" t="str">
        <f ca="1">IF(ROWS($1:18)&gt;COUNT(Dong),"",IF(OFFSET(TH!L$1,SMALL(Dong,ROWS($1:18)),)="331",OFFSET(TH!M$1,SMALL(Dong,ROWS($1:18)),),OFFSET(TH!L$1,SMALL(Dong,ROWS($1:18)),)))</f>
        <v>1521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1648625</v>
      </c>
      <c r="I31" s="25">
        <f t="shared" ca="1" si="4"/>
        <v>0</v>
      </c>
      <c r="J31" s="25">
        <f t="shared" ca="1" si="5"/>
        <v>19714716</v>
      </c>
    </row>
    <row r="32" spans="1:10" s="18" customFormat="1" ht="18" customHeight="1">
      <c r="A32" s="9">
        <f ca="1">IF(ROWS($1:19)&gt;COUNT(Dong),"",OFFSET(TH!C$1,SMALL(Dong,ROWS($1:19)),))</f>
        <v>41282</v>
      </c>
      <c r="B32" s="9" t="str">
        <f ca="1">IF(ROWS($1:19)&gt;COUNT(Dong),"",OFFSET(TH!D$1,SMALL(Dong,ROWS($1:19)),))</f>
        <v>NL/N04</v>
      </c>
      <c r="C32" s="9">
        <f ca="1">IF(ROWS($1:19)&gt;COUNT(Dong),"",OFFSET(TH!E$1,SMALL(Dong,ROWS($1:19)),))</f>
        <v>41282</v>
      </c>
      <c r="D32" s="226" t="str">
        <f ca="1">IF(ROWS($1:19)&gt;COUNT(Dong),"",OFFSET(TH!F$1,SMALL(Dong,ROWS($1:19)),))</f>
        <v>Giấy tấm 2 vàng + 3 xeo (2370x1050)</v>
      </c>
      <c r="E32" s="46" t="str">
        <f ca="1">IF(ROWS($1:19)&gt;COUNT(Dong),"",IF(OFFSET(TH!L$1,SMALL(Dong,ROWS($1:19)),)="331",OFFSET(TH!M$1,SMALL(Dong,ROWS($1:19)),),OFFSET(TH!L$1,SMALL(Dong,ROWS($1:19)),)))</f>
        <v>1521</v>
      </c>
      <c r="F32" s="46"/>
      <c r="G32" s="58">
        <f ca="1">IF(ROWS($1:19)&gt;COUNT(Dong),"",IF(OFFSET(TH!L$1,SMALL(Dong,ROWS($1:19)),)="331",OFFSET(TH!K$1,SMALL(Dong,ROWS($1:19)),),0))</f>
        <v>0</v>
      </c>
      <c r="H32" s="58">
        <f ca="1">IF(ROWS($1:19)&gt;COUNT(Dong),"",IF(OFFSET(TH!M$1,SMALL(Dong,ROWS($1:19)),)="331",OFFSET(TH!K$1,SMALL(Dong,ROWS($1:19)),),0))</f>
        <v>2389000</v>
      </c>
      <c r="I32" s="25">
        <f t="shared" ca="1" si="4"/>
        <v>0</v>
      </c>
      <c r="J32" s="25">
        <f t="shared" ca="1" si="5"/>
        <v>22103716</v>
      </c>
    </row>
    <row r="33" spans="1:10" s="18" customFormat="1" ht="18" customHeight="1">
      <c r="A33" s="9">
        <f ca="1">IF(ROWS($1:20)&gt;COUNT(Dong),"",OFFSET(TH!C$1,SMALL(Dong,ROWS($1:20)),))</f>
        <v>41282</v>
      </c>
      <c r="B33" s="9" t="str">
        <f ca="1">IF(ROWS($1:20)&gt;COUNT(Dong),"",OFFSET(TH!D$1,SMALL(Dong,ROWS($1:20)),))</f>
        <v>NL/N04</v>
      </c>
      <c r="C33" s="9">
        <f ca="1">IF(ROWS($1:20)&gt;COUNT(Dong),"",OFFSET(TH!E$1,SMALL(Dong,ROWS($1:20)),))</f>
        <v>41282</v>
      </c>
      <c r="D33" s="226" t="str">
        <f ca="1">IF(ROWS($1:20)&gt;COUNT(Dong),"",OFFSET(TH!F$1,SMALL(Dong,ROWS($1:20)),))</f>
        <v>Giấy tấm 2 vàng + 3 xeo (2540x1050)</v>
      </c>
      <c r="E33" s="46" t="str">
        <f ca="1">IF(ROWS($1:20)&gt;COUNT(Dong),"",IF(OFFSET(TH!L$1,SMALL(Dong,ROWS($1:20)),)="331",OFFSET(TH!M$1,SMALL(Dong,ROWS($1:20)),),OFFSET(TH!L$1,SMALL(Dong,ROWS($1:20)),)))</f>
        <v>1521</v>
      </c>
      <c r="F33" s="46"/>
      <c r="G33" s="58">
        <f ca="1">IF(ROWS($1:20)&gt;COUNT(Dong),"",IF(OFFSET(TH!L$1,SMALL(Dong,ROWS($1:20)),)="331",OFFSET(TH!K$1,SMALL(Dong,ROWS($1:20)),),0))</f>
        <v>0</v>
      </c>
      <c r="H33" s="58">
        <f ca="1">IF(ROWS($1:20)&gt;COUNT(Dong),"",IF(OFFSET(TH!M$1,SMALL(Dong,ROWS($1:20)),)="331",OFFSET(TH!K$1,SMALL(Dong,ROWS($1:20)),),0))</f>
        <v>2560300</v>
      </c>
      <c r="I33" s="25">
        <f t="shared" ca="1" si="4"/>
        <v>0</v>
      </c>
      <c r="J33" s="25">
        <f t="shared" ca="1" si="5"/>
        <v>24664016</v>
      </c>
    </row>
    <row r="34" spans="1:10" s="18" customFormat="1" ht="18" customHeight="1">
      <c r="A34" s="9">
        <f ca="1">IF(ROWS($1:21)&gt;COUNT(Dong),"",OFFSET(TH!C$1,SMALL(Dong,ROWS($1:21)),))</f>
        <v>41282</v>
      </c>
      <c r="B34" s="9" t="str">
        <f ca="1">IF(ROWS($1:21)&gt;COUNT(Dong),"",OFFSET(TH!D$1,SMALL(Dong,ROWS($1:21)),))</f>
        <v>NL/N04</v>
      </c>
      <c r="C34" s="9">
        <f ca="1">IF(ROWS($1:21)&gt;COUNT(Dong),"",OFFSET(TH!E$1,SMALL(Dong,ROWS($1:21)),))</f>
        <v>41282</v>
      </c>
      <c r="D34" s="226" t="str">
        <f ca="1">IF(ROWS($1:21)&gt;COUNT(Dong),"",OFFSET(TH!F$1,SMALL(Dong,ROWS($1:21)),))</f>
        <v>Giấy tấm 1 vàng + 2 xeo (1940x1450)</v>
      </c>
      <c r="E34" s="46" t="str">
        <f ca="1">IF(ROWS($1:21)&gt;COUNT(Dong),"",IF(OFFSET(TH!L$1,SMALL(Dong,ROWS($1:21)),)="331",OFFSET(TH!M$1,SMALL(Dong,ROWS($1:21)),),OFFSET(TH!L$1,SMALL(Dong,ROWS($1:21)),)))</f>
        <v>1521</v>
      </c>
      <c r="F34" s="46"/>
      <c r="G34" s="58">
        <f ca="1">IF(ROWS($1:21)&gt;COUNT(Dong),"",IF(OFFSET(TH!L$1,SMALL(Dong,ROWS($1:21)),)="331",OFFSET(TH!K$1,SMALL(Dong,ROWS($1:21)),),0))</f>
        <v>0</v>
      </c>
      <c r="H34" s="58">
        <f ca="1">IF(ROWS($1:21)&gt;COUNT(Dong),"",IF(OFFSET(TH!M$1,SMALL(Dong,ROWS($1:21)),)="331",OFFSET(TH!K$1,SMALL(Dong,ROWS($1:21)),),0))</f>
        <v>4324168</v>
      </c>
      <c r="I34" s="25">
        <f t="shared" ca="1" si="4"/>
        <v>0</v>
      </c>
      <c r="J34" s="25">
        <f t="shared" ca="1" si="5"/>
        <v>28988184</v>
      </c>
    </row>
    <row r="35" spans="1:10" s="18" customFormat="1" ht="18" customHeight="1">
      <c r="A35" s="9">
        <f ca="1">IF(ROWS($1:22)&gt;COUNT(Dong),"",OFFSET(TH!C$1,SMALL(Dong,ROWS($1:22)),))</f>
        <v>41282</v>
      </c>
      <c r="B35" s="9" t="str">
        <f ca="1">IF(ROWS($1:22)&gt;COUNT(Dong),"",OFFSET(TH!D$1,SMALL(Dong,ROWS($1:22)),))</f>
        <v>NL/N04</v>
      </c>
      <c r="C35" s="9">
        <f ca="1">IF(ROWS($1:22)&gt;COUNT(Dong),"",OFFSET(TH!E$1,SMALL(Dong,ROWS($1:22)),))</f>
        <v>41282</v>
      </c>
      <c r="D35" s="226" t="str">
        <f ca="1">IF(ROWS($1:22)&gt;COUNT(Dong),"",OFFSET(TH!F$1,SMALL(Dong,ROWS($1:22)),))</f>
        <v>Giấy tấm 2 vàng + 3 xeo (1980x1050)</v>
      </c>
      <c r="E35" s="46" t="str">
        <f ca="1">IF(ROWS($1:22)&gt;COUNT(Dong),"",IF(OFFSET(TH!L$1,SMALL(Dong,ROWS($1:22)),)="331",OFFSET(TH!M$1,SMALL(Dong,ROWS($1:22)),),OFFSET(TH!L$1,SMALL(Dong,ROWS($1:22)),)))</f>
        <v>1521</v>
      </c>
      <c r="F35" s="46"/>
      <c r="G35" s="58">
        <f ca="1">IF(ROWS($1:22)&gt;COUNT(Dong),"",IF(OFFSET(TH!L$1,SMALL(Dong,ROWS($1:22)),)="331",OFFSET(TH!K$1,SMALL(Dong,ROWS($1:22)),),0))</f>
        <v>0</v>
      </c>
      <c r="H35" s="58">
        <f ca="1">IF(ROWS($1:22)&gt;COUNT(Dong),"",IF(OFFSET(TH!M$1,SMALL(Dong,ROWS($1:22)),)="331",OFFSET(TH!K$1,SMALL(Dong,ROWS($1:22)),),0))</f>
        <v>4111348</v>
      </c>
      <c r="I35" s="25">
        <f t="shared" ca="1" si="4"/>
        <v>0</v>
      </c>
      <c r="J35" s="25">
        <f t="shared" ca="1" si="5"/>
        <v>33099532</v>
      </c>
    </row>
    <row r="36" spans="1:10" s="18" customFormat="1" ht="18" customHeight="1">
      <c r="A36" s="9">
        <f ca="1">IF(ROWS($1:23)&gt;COUNT(Dong),"",OFFSET(TH!C$1,SMALL(Dong,ROWS($1:23)),))</f>
        <v>41282</v>
      </c>
      <c r="B36" s="9" t="str">
        <f ca="1">IF(ROWS($1:23)&gt;COUNT(Dong),"",OFFSET(TH!D$1,SMALL(Dong,ROWS($1:23)),))</f>
        <v>NL/N04</v>
      </c>
      <c r="C36" s="9">
        <f ca="1">IF(ROWS($1:23)&gt;COUNT(Dong),"",OFFSET(TH!E$1,SMALL(Dong,ROWS($1:23)),))</f>
        <v>41282</v>
      </c>
      <c r="D36" s="226" t="str">
        <f ca="1">IF(ROWS($1:23)&gt;COUNT(Dong),"",OFFSET(TH!F$1,SMALL(Dong,ROWS($1:23)),))</f>
        <v>VAT Giấy tấm</v>
      </c>
      <c r="E36" s="46" t="str">
        <f ca="1">IF(ROWS($1:23)&gt;COUNT(Dong),"",IF(OFFSET(TH!L$1,SMALL(Dong,ROWS($1:23)),)="331",OFFSET(TH!M$1,SMALL(Dong,ROWS($1:23)),),OFFSET(TH!L$1,SMALL(Dong,ROWS($1:23)),)))</f>
        <v>1331</v>
      </c>
      <c r="F36" s="46"/>
      <c r="G36" s="58">
        <f ca="1">IF(ROWS($1:23)&gt;COUNT(Dong),"",IF(OFFSET(TH!L$1,SMALL(Dong,ROWS($1:23)),)="331",OFFSET(TH!K$1,SMALL(Dong,ROWS($1:23)),),0))</f>
        <v>0</v>
      </c>
      <c r="H36" s="58">
        <f ca="1">IF(ROWS($1:23)&gt;COUNT(Dong),"",IF(OFFSET(TH!M$1,SMALL(Dong,ROWS($1:23)),)="331",OFFSET(TH!K$1,SMALL(Dong,ROWS($1:23)),),0))</f>
        <v>1503344</v>
      </c>
      <c r="I36" s="25">
        <f t="shared" ca="1" si="4"/>
        <v>0</v>
      </c>
      <c r="J36" s="25">
        <f t="shared" ca="1" si="5"/>
        <v>34602876</v>
      </c>
    </row>
    <row r="37" spans="1:10" s="18" customFormat="1" ht="18" customHeight="1">
      <c r="A37" s="9">
        <f ca="1">IF(ROWS($1:24)&gt;COUNT(Dong),"",OFFSET(TH!C$1,SMALL(Dong,ROWS($1:24)),))</f>
        <v>41282</v>
      </c>
      <c r="B37" s="9" t="str">
        <f ca="1">IF(ROWS($1:24)&gt;COUNT(Dong),"",OFFSET(TH!D$1,SMALL(Dong,ROWS($1:24)),))</f>
        <v>NL/N04</v>
      </c>
      <c r="C37" s="9">
        <f ca="1">IF(ROWS($1:24)&gt;COUNT(Dong),"",OFFSET(TH!E$1,SMALL(Dong,ROWS($1:24)),))</f>
        <v>41282</v>
      </c>
      <c r="D37" s="226" t="str">
        <f ca="1">IF(ROWS($1:24)&gt;COUNT(Dong),"",OFFSET(TH!F$1,SMALL(Dong,ROWS($1:24)),))</f>
        <v>Thanh toán tiền hàng</v>
      </c>
      <c r="E37" s="46" t="str">
        <f ca="1">IF(ROWS($1:24)&gt;COUNT(Dong),"",IF(OFFSET(TH!L$1,SMALL(Dong,ROWS($1:24)),)="331",OFFSET(TH!M$1,SMALL(Dong,ROWS($1:24)),),OFFSET(TH!L$1,SMALL(Dong,ROWS($1:24)),)))</f>
        <v>1111</v>
      </c>
      <c r="F37" s="46"/>
      <c r="G37" s="58">
        <f ca="1">IF(ROWS($1:24)&gt;COUNT(Dong),"",IF(OFFSET(TH!L$1,SMALL(Dong,ROWS($1:24)),)="331",OFFSET(TH!K$1,SMALL(Dong,ROWS($1:24)),),0))</f>
        <v>16536785</v>
      </c>
      <c r="H37" s="58">
        <f ca="1">IF(ROWS($1:24)&gt;COUNT(Dong),"",IF(OFFSET(TH!M$1,SMALL(Dong,ROWS($1:24)),)="331",OFFSET(TH!K$1,SMALL(Dong,ROWS($1:24)),),0))</f>
        <v>0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18066091</v>
      </c>
    </row>
    <row r="38" spans="1:10" s="18" customFormat="1" ht="18" customHeight="1">
      <c r="A38" s="9">
        <f ca="1">IF(ROWS($1:25)&gt;COUNT(Dong),"",OFFSET(TH!C$1,SMALL(Dong,ROWS($1:25)),))</f>
        <v>41282</v>
      </c>
      <c r="B38" s="9" t="str">
        <f ca="1">IF(ROWS($1:25)&gt;COUNT(Dong),"",OFFSET(TH!D$1,SMALL(Dong,ROWS($1:25)),))</f>
        <v>NL/N05</v>
      </c>
      <c r="C38" s="9">
        <f ca="1">IF(ROWS($1:25)&gt;COUNT(Dong),"",OFFSET(TH!E$1,SMALL(Dong,ROWS($1:25)),))</f>
        <v>41282</v>
      </c>
      <c r="D38" s="226" t="str">
        <f ca="1">IF(ROWS($1:25)&gt;COUNT(Dong),"",OFFSET(TH!F$1,SMALL(Dong,ROWS($1:25)),))</f>
        <v>Giấy tấm 2 vàng + 3 xeo (1900x1200)</v>
      </c>
      <c r="E38" s="46" t="str">
        <f ca="1">IF(ROWS($1:25)&gt;COUNT(Dong),"",IF(OFFSET(TH!L$1,SMALL(Dong,ROWS($1:25)),)="331",OFFSET(TH!M$1,SMALL(Dong,ROWS($1:25)),),OFFSET(TH!L$1,SMALL(Dong,ROWS($1:25)),)))</f>
        <v>1521</v>
      </c>
      <c r="F38" s="46"/>
      <c r="G38" s="58">
        <f ca="1">IF(ROWS($1:25)&gt;COUNT(Dong),"",IF(OFFSET(TH!L$1,SMALL(Dong,ROWS($1:25)),)="331",OFFSET(TH!K$1,SMALL(Dong,ROWS($1:25)),),0))</f>
        <v>0</v>
      </c>
      <c r="H38" s="58">
        <f ca="1">IF(ROWS($1:25)&gt;COUNT(Dong),"",IF(OFFSET(TH!M$1,SMALL(Dong,ROWS($1:25)),)="331",OFFSET(TH!K$1,SMALL(Dong,ROWS($1:25)),),0))</f>
        <v>6566400</v>
      </c>
      <c r="I38" s="25">
        <f t="shared" ca="1" si="6"/>
        <v>0</v>
      </c>
      <c r="J38" s="25">
        <f t="shared" ca="1" si="7"/>
        <v>24632491</v>
      </c>
    </row>
    <row r="39" spans="1:10" s="18" customFormat="1" ht="18" customHeight="1">
      <c r="A39" s="9">
        <f ca="1">IF(ROWS($1:26)&gt;COUNT(Dong),"",OFFSET(TH!C$1,SMALL(Dong,ROWS($1:26)),))</f>
        <v>41282</v>
      </c>
      <c r="B39" s="9" t="str">
        <f ca="1">IF(ROWS($1:26)&gt;COUNT(Dong),"",OFFSET(TH!D$1,SMALL(Dong,ROWS($1:26)),))</f>
        <v>NL/N05</v>
      </c>
      <c r="C39" s="9">
        <f ca="1">IF(ROWS($1:26)&gt;COUNT(Dong),"",OFFSET(TH!E$1,SMALL(Dong,ROWS($1:26)),))</f>
        <v>41282</v>
      </c>
      <c r="D39" s="226" t="str">
        <f ca="1">IF(ROWS($1:26)&gt;COUNT(Dong),"",OFFSET(TH!F$1,SMALL(Dong,ROWS($1:26)),))</f>
        <v>Giấy tấm 2 vàng + 3 xeo (1320x1050)</v>
      </c>
      <c r="E39" s="46" t="str">
        <f ca="1">IF(ROWS($1:26)&gt;COUNT(Dong),"",IF(OFFSET(TH!L$1,SMALL(Dong,ROWS($1:26)),)="331",OFFSET(TH!M$1,SMALL(Dong,ROWS($1:26)),),OFFSET(TH!L$1,SMALL(Dong,ROWS($1:26)),)))</f>
        <v>1521</v>
      </c>
      <c r="F39" s="46"/>
      <c r="G39" s="58">
        <f ca="1">IF(ROWS($1:26)&gt;COUNT(Dong),"",IF(OFFSET(TH!L$1,SMALL(Dong,ROWS($1:26)),)="331",OFFSET(TH!K$1,SMALL(Dong,ROWS($1:26)),),0))</f>
        <v>0</v>
      </c>
      <c r="H39" s="58">
        <f ca="1">IF(ROWS($1:26)&gt;COUNT(Dong),"",IF(OFFSET(TH!M$1,SMALL(Dong,ROWS($1:26)),)="331",OFFSET(TH!K$1,SMALL(Dong,ROWS($1:26)),),0))</f>
        <v>1197540</v>
      </c>
      <c r="I39" s="25">
        <f t="shared" ca="1" si="6"/>
        <v>0</v>
      </c>
      <c r="J39" s="25">
        <f t="shared" ca="1" si="7"/>
        <v>25830031</v>
      </c>
    </row>
    <row r="40" spans="1:10" s="18" customFormat="1" ht="18" customHeight="1">
      <c r="A40" s="9">
        <f ca="1">IF(ROWS($1:27)&gt;COUNT(Dong),"",OFFSET(TH!C$1,SMALL(Dong,ROWS($1:27)),))</f>
        <v>41282</v>
      </c>
      <c r="B40" s="9" t="str">
        <f ca="1">IF(ROWS($1:27)&gt;COUNT(Dong),"",OFFSET(TH!D$1,SMALL(Dong,ROWS($1:27)),))</f>
        <v>NL/N05</v>
      </c>
      <c r="C40" s="9">
        <f ca="1">IF(ROWS($1:27)&gt;COUNT(Dong),"",OFFSET(TH!E$1,SMALL(Dong,ROWS($1:27)),))</f>
        <v>41282</v>
      </c>
      <c r="D40" s="226" t="str">
        <f ca="1">IF(ROWS($1:27)&gt;COUNT(Dong),"",OFFSET(TH!F$1,SMALL(Dong,ROWS($1:27)),))</f>
        <v>Giấy tấm 1 YBB + 1 xeo150 + 1 vàng (1700x1550)</v>
      </c>
      <c r="E40" s="46" t="str">
        <f ca="1">IF(ROWS($1:27)&gt;COUNT(Dong),"",IF(OFFSET(TH!L$1,SMALL(Dong,ROWS($1:27)),)="331",OFFSET(TH!M$1,SMALL(Dong,ROWS($1:27)),),OFFSET(TH!L$1,SMALL(Dong,ROWS($1:27)),)))</f>
        <v>1521</v>
      </c>
      <c r="F40" s="46"/>
      <c r="G40" s="58">
        <f ca="1">IF(ROWS($1:27)&gt;COUNT(Dong),"",IF(OFFSET(TH!L$1,SMALL(Dong,ROWS($1:27)),)="331",OFFSET(TH!K$1,SMALL(Dong,ROWS($1:27)),),0))</f>
        <v>0</v>
      </c>
      <c r="H40" s="58">
        <f ca="1">IF(ROWS($1:27)&gt;COUNT(Dong),"",IF(OFFSET(TH!M$1,SMALL(Dong,ROWS($1:27)),)="331",OFFSET(TH!K$1,SMALL(Dong,ROWS($1:27)),),0))</f>
        <v>6905808</v>
      </c>
      <c r="I40" s="25">
        <f t="shared" ca="1" si="6"/>
        <v>0</v>
      </c>
      <c r="J40" s="25">
        <f t="shared" ca="1" si="7"/>
        <v>32735839</v>
      </c>
    </row>
    <row r="41" spans="1:10" s="18" customFormat="1" ht="18" customHeight="1">
      <c r="A41" s="9">
        <f ca="1">IF(ROWS($1:28)&gt;COUNT(Dong),"",OFFSET(TH!C$1,SMALL(Dong,ROWS($1:28)),))</f>
        <v>41282</v>
      </c>
      <c r="B41" s="9" t="str">
        <f ca="1">IF(ROWS($1:28)&gt;COUNT(Dong),"",OFFSET(TH!D$1,SMALL(Dong,ROWS($1:28)),))</f>
        <v>NL/N05</v>
      </c>
      <c r="C41" s="9">
        <f ca="1">IF(ROWS($1:28)&gt;COUNT(Dong),"",OFFSET(TH!E$1,SMALL(Dong,ROWS($1:28)),))</f>
        <v>41282</v>
      </c>
      <c r="D41" s="226" t="str">
        <f ca="1">IF(ROWS($1:28)&gt;COUNT(Dong),"",OFFSET(TH!F$1,SMALL(Dong,ROWS($1:28)),))</f>
        <v>VAT Giấy tấm</v>
      </c>
      <c r="E41" s="46" t="str">
        <f ca="1">IF(ROWS($1:28)&gt;COUNT(Dong),"",IF(OFFSET(TH!L$1,SMALL(Dong,ROWS($1:28)),)="331",OFFSET(TH!M$1,SMALL(Dong,ROWS($1:28)),),OFFSET(TH!L$1,SMALL(Dong,ROWS($1:28)),)))</f>
        <v>1331</v>
      </c>
      <c r="F41" s="46"/>
      <c r="G41" s="58">
        <f ca="1">IF(ROWS($1:28)&gt;COUNT(Dong),"",IF(OFFSET(TH!L$1,SMALL(Dong,ROWS($1:28)),)="331",OFFSET(TH!K$1,SMALL(Dong,ROWS($1:28)),),0))</f>
        <v>0</v>
      </c>
      <c r="H41" s="58">
        <f ca="1">IF(ROWS($1:28)&gt;COUNT(Dong),"",IF(OFFSET(TH!M$1,SMALL(Dong,ROWS($1:28)),)="331",OFFSET(TH!K$1,SMALL(Dong,ROWS($1:28)),),0))</f>
        <v>1466975</v>
      </c>
      <c r="I41" s="25">
        <f t="shared" ca="1" si="6"/>
        <v>0</v>
      </c>
      <c r="J41" s="25">
        <f t="shared" ca="1" si="7"/>
        <v>34202814</v>
      </c>
    </row>
    <row r="42" spans="1:10" s="18" customFormat="1" ht="18" customHeight="1">
      <c r="A42" s="9">
        <f ca="1">IF(ROWS($1:29)&gt;COUNT(Dong),"",OFFSET(TH!C$1,SMALL(Dong,ROWS($1:29)),))</f>
        <v>41282</v>
      </c>
      <c r="B42" s="9" t="str">
        <f ca="1">IF(ROWS($1:29)&gt;COUNT(Dong),"",OFFSET(TH!D$1,SMALL(Dong,ROWS($1:29)),))</f>
        <v>NL/N05</v>
      </c>
      <c r="C42" s="9">
        <f ca="1">IF(ROWS($1:29)&gt;COUNT(Dong),"",OFFSET(TH!E$1,SMALL(Dong,ROWS($1:29)),))</f>
        <v>41282</v>
      </c>
      <c r="D42" s="226" t="str">
        <f ca="1">IF(ROWS($1:29)&gt;COUNT(Dong),"",OFFSET(TH!F$1,SMALL(Dong,ROWS($1:29)),))</f>
        <v>Thanh toán tiền hàng</v>
      </c>
      <c r="E42" s="46" t="str">
        <f ca="1">IF(ROWS($1:29)&gt;COUNT(Dong),"",IF(OFFSET(TH!L$1,SMALL(Dong,ROWS($1:29)),)="331",OFFSET(TH!M$1,SMALL(Dong,ROWS($1:29)),),OFFSET(TH!L$1,SMALL(Dong,ROWS($1:29)),)))</f>
        <v>1111</v>
      </c>
      <c r="F42" s="46"/>
      <c r="G42" s="58">
        <f ca="1">IF(ROWS($1:29)&gt;COUNT(Dong),"",IF(OFFSET(TH!L$1,SMALL(Dong,ROWS($1:29)),)="331",OFFSET(TH!K$1,SMALL(Dong,ROWS($1:29)),),0))</f>
        <v>16136723</v>
      </c>
      <c r="H42" s="58">
        <f ca="1">IF(ROWS($1:29)&gt;COUNT(Dong),"",IF(OFFSET(TH!M$1,SMALL(Dong,ROWS($1:29)),)="331",OFFSET(TH!K$1,SMALL(Dong,ROWS($1:29)),),0))</f>
        <v>0</v>
      </c>
      <c r="I42" s="25">
        <f t="shared" ca="1" si="6"/>
        <v>0</v>
      </c>
      <c r="J42" s="25">
        <f t="shared" ca="1" si="7"/>
        <v>18066091</v>
      </c>
    </row>
    <row r="43" spans="1:10" s="18" customFormat="1" ht="18" customHeight="1">
      <c r="A43" s="9">
        <f ca="1">IF(ROWS($1:30)&gt;COUNT(Dong),"",OFFSET(TH!C$1,SMALL(Dong,ROWS($1:30)),))</f>
        <v>41283</v>
      </c>
      <c r="B43" s="9" t="str">
        <f ca="1">IF(ROWS($1:30)&gt;COUNT(Dong),"",OFFSET(TH!D$1,SMALL(Dong,ROWS($1:30)),))</f>
        <v>NL/N06</v>
      </c>
      <c r="C43" s="9">
        <f ca="1">IF(ROWS($1:30)&gt;COUNT(Dong),"",OFFSET(TH!E$1,SMALL(Dong,ROWS($1:30)),))</f>
        <v>41283</v>
      </c>
      <c r="D43" s="226" t="str">
        <f ca="1">IF(ROWS($1:30)&gt;COUNT(Dong),"",OFFSET(TH!F$1,SMALL(Dong,ROWS($1:30)),))</f>
        <v>Giấy tấm 2 vàng + 3 xeo (1320x1050)</v>
      </c>
      <c r="E43" s="46" t="str">
        <f ca="1">IF(ROWS($1:30)&gt;COUNT(Dong),"",IF(OFFSET(TH!L$1,SMALL(Dong,ROWS($1:30)),)="331",OFFSET(TH!M$1,SMALL(Dong,ROWS($1:30)),),OFFSET(TH!L$1,SMALL(Dong,ROWS($1:30)),)))</f>
        <v>1521</v>
      </c>
      <c r="F43" s="46"/>
      <c r="G43" s="58">
        <f ca="1">IF(ROWS($1:30)&gt;COUNT(Dong),"",IF(OFFSET(TH!L$1,SMALL(Dong,ROWS($1:30)),)="331",OFFSET(TH!K$1,SMALL(Dong,ROWS($1:30)),),0))</f>
        <v>0</v>
      </c>
      <c r="H43" s="58">
        <f ca="1">IF(ROWS($1:30)&gt;COUNT(Dong),"",IF(OFFSET(TH!M$1,SMALL(Dong,ROWS($1:30)),)="331",OFFSET(TH!K$1,SMALL(Dong,ROWS($1:30)),),0))</f>
        <v>2022512</v>
      </c>
      <c r="I43" s="25">
        <f t="shared" ca="1" si="6"/>
        <v>0</v>
      </c>
      <c r="J43" s="25">
        <f t="shared" ca="1" si="7"/>
        <v>20088603</v>
      </c>
    </row>
    <row r="44" spans="1:10" s="18" customFormat="1" ht="18" customHeight="1">
      <c r="A44" s="9">
        <f ca="1">IF(ROWS($1:31)&gt;COUNT(Dong),"",OFFSET(TH!C$1,SMALL(Dong,ROWS($1:31)),))</f>
        <v>41283</v>
      </c>
      <c r="B44" s="9" t="str">
        <f ca="1">IF(ROWS($1:31)&gt;COUNT(Dong),"",OFFSET(TH!D$1,SMALL(Dong,ROWS($1:31)),))</f>
        <v>NL/N06</v>
      </c>
      <c r="C44" s="9">
        <f ca="1">IF(ROWS($1:31)&gt;COUNT(Dong),"",OFFSET(TH!E$1,SMALL(Dong,ROWS($1:31)),))</f>
        <v>41283</v>
      </c>
      <c r="D44" s="226" t="str">
        <f ca="1">IF(ROWS($1:31)&gt;COUNT(Dong),"",OFFSET(TH!F$1,SMALL(Dong,ROWS($1:31)),))</f>
        <v>Giấy tấm 2 vàng + 3 xeo (1900x1200)</v>
      </c>
      <c r="E44" s="46" t="str">
        <f ca="1">IF(ROWS($1:31)&gt;COUNT(Dong),"",IF(OFFSET(TH!L$1,SMALL(Dong,ROWS($1:31)),)="331",OFFSET(TH!M$1,SMALL(Dong,ROWS($1:31)),),OFFSET(TH!L$1,SMALL(Dong,ROWS($1:31)),)))</f>
        <v>1521</v>
      </c>
      <c r="F44" s="46"/>
      <c r="G44" s="58">
        <f ca="1">IF(ROWS($1:31)&gt;COUNT(Dong),"",IF(OFFSET(TH!L$1,SMALL(Dong,ROWS($1:31)),)="331",OFFSET(TH!K$1,SMALL(Dong,ROWS($1:31)),),0))</f>
        <v>0</v>
      </c>
      <c r="H44" s="58">
        <f ca="1">IF(ROWS($1:31)&gt;COUNT(Dong),"",IF(OFFSET(TH!M$1,SMALL(Dong,ROWS($1:31)),)="331",OFFSET(TH!K$1,SMALL(Dong,ROWS($1:31)),),0))</f>
        <v>4640256</v>
      </c>
      <c r="I44" s="25">
        <f t="shared" ca="1" si="6"/>
        <v>0</v>
      </c>
      <c r="J44" s="25">
        <f t="shared" ca="1" si="7"/>
        <v>24728859</v>
      </c>
    </row>
    <row r="45" spans="1:10" s="18" customFormat="1" ht="18" customHeight="1">
      <c r="A45" s="9">
        <f ca="1">IF(ROWS($1:32)&gt;COUNT(Dong),"",OFFSET(TH!C$1,SMALL(Dong,ROWS($1:32)),))</f>
        <v>41283</v>
      </c>
      <c r="B45" s="9" t="str">
        <f ca="1">IF(ROWS($1:32)&gt;COUNT(Dong),"",OFFSET(TH!D$1,SMALL(Dong,ROWS($1:32)),))</f>
        <v>NL/N06</v>
      </c>
      <c r="C45" s="9">
        <f ca="1">IF(ROWS($1:32)&gt;COUNT(Dong),"",OFFSET(TH!E$1,SMALL(Dong,ROWS($1:32)),))</f>
        <v>41283</v>
      </c>
      <c r="D45" s="226" t="str">
        <f ca="1">IF(ROWS($1:32)&gt;COUNT(Dong),"",OFFSET(TH!F$1,SMALL(Dong,ROWS($1:32)),))</f>
        <v>Giấy tấm 2 giả thái + 3 xeo (2040x950)</v>
      </c>
      <c r="E45" s="46" t="str">
        <f ca="1">IF(ROWS($1:32)&gt;COUNT(Dong),"",IF(OFFSET(TH!L$1,SMALL(Dong,ROWS($1:32)),)="331",OFFSET(TH!M$1,SMALL(Dong,ROWS($1:32)),),OFFSET(TH!L$1,SMALL(Dong,ROWS($1:32)),)))</f>
        <v>1521</v>
      </c>
      <c r="F45" s="46"/>
      <c r="G45" s="58">
        <f ca="1">IF(ROWS($1:32)&gt;COUNT(Dong),"",IF(OFFSET(TH!L$1,SMALL(Dong,ROWS($1:32)),)="331",OFFSET(TH!K$1,SMALL(Dong,ROWS($1:32)),),0))</f>
        <v>0</v>
      </c>
      <c r="H45" s="58">
        <f ca="1">IF(ROWS($1:32)&gt;COUNT(Dong),"",IF(OFFSET(TH!M$1,SMALL(Dong,ROWS($1:32)),)="331",OFFSET(TH!K$1,SMALL(Dong,ROWS($1:32)),),0))</f>
        <v>2548885</v>
      </c>
      <c r="I45" s="25">
        <f t="shared" ca="1" si="6"/>
        <v>0</v>
      </c>
      <c r="J45" s="25">
        <f t="shared" ca="1" si="7"/>
        <v>27277744</v>
      </c>
    </row>
    <row r="46" spans="1:10" s="18" customFormat="1" ht="18" customHeight="1">
      <c r="A46" s="9">
        <f ca="1">IF(ROWS($1:33)&gt;COUNT(Dong),"",OFFSET(TH!C$1,SMALL(Dong,ROWS($1:33)),))</f>
        <v>41283</v>
      </c>
      <c r="B46" s="9" t="str">
        <f ca="1">IF(ROWS($1:33)&gt;COUNT(Dong),"",OFFSET(TH!D$1,SMALL(Dong,ROWS($1:33)),))</f>
        <v>NL/N06</v>
      </c>
      <c r="C46" s="9">
        <f ca="1">IF(ROWS($1:33)&gt;COUNT(Dong),"",OFFSET(TH!E$1,SMALL(Dong,ROWS($1:33)),))</f>
        <v>41283</v>
      </c>
      <c r="D46" s="226" t="str">
        <f ca="1">IF(ROWS($1:33)&gt;COUNT(Dong),"",OFFSET(TH!F$1,SMALL(Dong,ROWS($1:33)),))</f>
        <v>VAT Giấy tấm</v>
      </c>
      <c r="E46" s="46" t="str">
        <f ca="1">IF(ROWS($1:33)&gt;COUNT(Dong),"",IF(OFFSET(TH!L$1,SMALL(Dong,ROWS($1:33)),)="331",OFFSET(TH!M$1,SMALL(Dong,ROWS($1:33)),),OFFSET(TH!L$1,SMALL(Dong,ROWS($1:33)),)))</f>
        <v>1331</v>
      </c>
      <c r="F46" s="46"/>
      <c r="G46" s="58">
        <f ca="1">IF(ROWS($1:33)&gt;COUNT(Dong),"",IF(OFFSET(TH!L$1,SMALL(Dong,ROWS($1:33)),)="331",OFFSET(TH!K$1,SMALL(Dong,ROWS($1:33)),),0))</f>
        <v>0</v>
      </c>
      <c r="H46" s="58">
        <f ca="1">IF(ROWS($1:33)&gt;COUNT(Dong),"",IF(OFFSET(TH!M$1,SMALL(Dong,ROWS($1:33)),)="331",OFFSET(TH!K$1,SMALL(Dong,ROWS($1:33)),),0))</f>
        <v>921166</v>
      </c>
      <c r="I46" s="25">
        <f t="shared" ca="1" si="6"/>
        <v>0</v>
      </c>
      <c r="J46" s="25">
        <f t="shared" ca="1" si="7"/>
        <v>28198910</v>
      </c>
    </row>
    <row r="47" spans="1:10" s="18" customFormat="1" ht="18" customHeight="1">
      <c r="A47" s="9">
        <f ca="1">IF(ROWS($1:34)&gt;COUNT(Dong),"",OFFSET(TH!C$1,SMALL(Dong,ROWS($1:34)),))</f>
        <v>41283</v>
      </c>
      <c r="B47" s="9" t="str">
        <f ca="1">IF(ROWS($1:34)&gt;COUNT(Dong),"",OFFSET(TH!D$1,SMALL(Dong,ROWS($1:34)),))</f>
        <v>NL/N06</v>
      </c>
      <c r="C47" s="9">
        <f ca="1">IF(ROWS($1:34)&gt;COUNT(Dong),"",OFFSET(TH!E$1,SMALL(Dong,ROWS($1:34)),))</f>
        <v>41283</v>
      </c>
      <c r="D47" s="226" t="str">
        <f ca="1">IF(ROWS($1:34)&gt;COUNT(Dong),"",OFFSET(TH!F$1,SMALL(Dong,ROWS($1:34)),))</f>
        <v>Thanh toán tiền hàng</v>
      </c>
      <c r="E47" s="46" t="str">
        <f ca="1">IF(ROWS($1:34)&gt;COUNT(Dong),"",IF(OFFSET(TH!L$1,SMALL(Dong,ROWS($1:34)),)="331",OFFSET(TH!M$1,SMALL(Dong,ROWS($1:34)),),OFFSET(TH!L$1,SMALL(Dong,ROWS($1:34)),)))</f>
        <v>1111</v>
      </c>
      <c r="F47" s="46"/>
      <c r="G47" s="58">
        <f ca="1">IF(ROWS($1:34)&gt;COUNT(Dong),"",IF(OFFSET(TH!L$1,SMALL(Dong,ROWS($1:34)),)="331",OFFSET(TH!K$1,SMALL(Dong,ROWS($1:34)),),0))</f>
        <v>10132819</v>
      </c>
      <c r="H47" s="58">
        <f ca="1">IF(ROWS($1:34)&gt;COUNT(Dong),"",IF(OFFSET(TH!M$1,SMALL(Dong,ROWS($1:34)),)="331",OFFSET(TH!K$1,SMALL(Dong,ROWS($1:34)),),0))</f>
        <v>0</v>
      </c>
      <c r="I47" s="25">
        <f t="shared" ca="1" si="6"/>
        <v>0</v>
      </c>
      <c r="J47" s="25">
        <f t="shared" ca="1" si="7"/>
        <v>18066091</v>
      </c>
    </row>
    <row r="48" spans="1:10" s="18" customFormat="1" ht="18" customHeight="1">
      <c r="A48" s="9">
        <f ca="1">IF(ROWS($1:35)&gt;COUNT(Dong),"",OFFSET(TH!C$1,SMALL(Dong,ROWS($1:35)),))</f>
        <v>41285</v>
      </c>
      <c r="B48" s="9" t="str">
        <f ca="1">IF(ROWS($1:35)&gt;COUNT(Dong),"",OFFSET(TH!D$1,SMALL(Dong,ROWS($1:35)),))</f>
        <v>NL/N07</v>
      </c>
      <c r="C48" s="9">
        <f ca="1">IF(ROWS($1:35)&gt;COUNT(Dong),"",OFFSET(TH!E$1,SMALL(Dong,ROWS($1:35)),))</f>
        <v>41285</v>
      </c>
      <c r="D48" s="226" t="str">
        <f ca="1">IF(ROWS($1:35)&gt;COUNT(Dong),"",OFFSET(TH!F$1,SMALL(Dong,ROWS($1:35)),))</f>
        <v>Giấy tấm 2 vàng + 3 xeo (2460x1650)</v>
      </c>
      <c r="E48" s="46" t="str">
        <f ca="1">IF(ROWS($1:35)&gt;COUNT(Dong),"",IF(OFFSET(TH!L$1,SMALL(Dong,ROWS($1:35)),)="331",OFFSET(TH!M$1,SMALL(Dong,ROWS($1:35)),),OFFSET(TH!L$1,SMALL(Dong,ROWS($1:35)),)))</f>
        <v>1521</v>
      </c>
      <c r="F48" s="46"/>
      <c r="G48" s="58">
        <f ca="1">IF(ROWS($1:35)&gt;COUNT(Dong),"",IF(OFFSET(TH!L$1,SMALL(Dong,ROWS($1:35)),)="331",OFFSET(TH!K$1,SMALL(Dong,ROWS($1:35)),),0))</f>
        <v>0</v>
      </c>
      <c r="H48" s="58">
        <f ca="1">IF(ROWS($1:35)&gt;COUNT(Dong),"",IF(OFFSET(TH!M$1,SMALL(Dong,ROWS($1:35)),)="331",OFFSET(TH!K$1,SMALL(Dong,ROWS($1:35)),),0))</f>
        <v>5455240</v>
      </c>
      <c r="I48" s="25">
        <f t="shared" ca="1" si="6"/>
        <v>0</v>
      </c>
      <c r="J48" s="25">
        <f t="shared" ca="1" si="7"/>
        <v>23521331</v>
      </c>
    </row>
    <row r="49" spans="1:10" s="18" customFormat="1" ht="18" customHeight="1">
      <c r="A49" s="9">
        <f ca="1">IF(ROWS($1:36)&gt;COUNT(Dong),"",OFFSET(TH!C$1,SMALL(Dong,ROWS($1:36)),))</f>
        <v>41285</v>
      </c>
      <c r="B49" s="9" t="str">
        <f ca="1">IF(ROWS($1:36)&gt;COUNT(Dong),"",OFFSET(TH!D$1,SMALL(Dong,ROWS($1:36)),))</f>
        <v>NL/N07</v>
      </c>
      <c r="C49" s="9">
        <f ca="1">IF(ROWS($1:36)&gt;COUNT(Dong),"",OFFSET(TH!E$1,SMALL(Dong,ROWS($1:36)),))</f>
        <v>41285</v>
      </c>
      <c r="D49" s="226" t="str">
        <f ca="1">IF(ROWS($1:36)&gt;COUNT(Dong),"",OFFSET(TH!F$1,SMALL(Dong,ROWS($1:36)),))</f>
        <v>Giấy tấm 1 trắng + 3 xeo + 1 vàng (1760x1600)</v>
      </c>
      <c r="E49" s="46" t="str">
        <f ca="1">IF(ROWS($1:36)&gt;COUNT(Dong),"",IF(OFFSET(TH!L$1,SMALL(Dong,ROWS($1:36)),)="331",OFFSET(TH!M$1,SMALL(Dong,ROWS($1:36)),),OFFSET(TH!L$1,SMALL(Dong,ROWS($1:36)),)))</f>
        <v>1521</v>
      </c>
      <c r="F49" s="46"/>
      <c r="G49" s="58">
        <f ca="1">IF(ROWS($1:36)&gt;COUNT(Dong),"",IF(OFFSET(TH!L$1,SMALL(Dong,ROWS($1:36)),)="331",OFFSET(TH!K$1,SMALL(Dong,ROWS($1:36)),),0))</f>
        <v>0</v>
      </c>
      <c r="H49" s="58">
        <f ca="1">IF(ROWS($1:36)&gt;COUNT(Dong),"",IF(OFFSET(TH!M$1,SMALL(Dong,ROWS($1:36)),)="331",OFFSET(TH!K$1,SMALL(Dong,ROWS($1:36)),),0))</f>
        <v>4937856</v>
      </c>
      <c r="I49" s="25">
        <f t="shared" ca="1" si="6"/>
        <v>0</v>
      </c>
      <c r="J49" s="25">
        <f t="shared" ca="1" si="7"/>
        <v>28459187</v>
      </c>
    </row>
    <row r="50" spans="1:10" s="18" customFormat="1" ht="18" customHeight="1">
      <c r="A50" s="9">
        <f ca="1">IF(ROWS($1:37)&gt;COUNT(Dong),"",OFFSET(TH!C$1,SMALL(Dong,ROWS($1:37)),))</f>
        <v>41285</v>
      </c>
      <c r="B50" s="9" t="str">
        <f ca="1">IF(ROWS($1:37)&gt;COUNT(Dong),"",OFFSET(TH!D$1,SMALL(Dong,ROWS($1:37)),))</f>
        <v>NL/N07</v>
      </c>
      <c r="C50" s="9">
        <f ca="1">IF(ROWS($1:37)&gt;COUNT(Dong),"",OFFSET(TH!E$1,SMALL(Dong,ROWS($1:37)),))</f>
        <v>41285</v>
      </c>
      <c r="D50" s="226" t="str">
        <f ca="1">IF(ROWS($1:37)&gt;COUNT(Dong),"",OFFSET(TH!F$1,SMALL(Dong,ROWS($1:37)),))</f>
        <v>VAT Giấy tấm</v>
      </c>
      <c r="E50" s="46" t="str">
        <f ca="1">IF(ROWS($1:37)&gt;COUNT(Dong),"",IF(OFFSET(TH!L$1,SMALL(Dong,ROWS($1:37)),)="331",OFFSET(TH!M$1,SMALL(Dong,ROWS($1:37)),),OFFSET(TH!L$1,SMALL(Dong,ROWS($1:37)),)))</f>
        <v>1331</v>
      </c>
      <c r="F50" s="46"/>
      <c r="G50" s="58">
        <f ca="1">IF(ROWS($1:37)&gt;COUNT(Dong),"",IF(OFFSET(TH!L$1,SMALL(Dong,ROWS($1:37)),)="331",OFFSET(TH!K$1,SMALL(Dong,ROWS($1:37)),),0))</f>
        <v>0</v>
      </c>
      <c r="H50" s="58">
        <f ca="1">IF(ROWS($1:37)&gt;COUNT(Dong),"",IF(OFFSET(TH!M$1,SMALL(Dong,ROWS($1:37)),)="331",OFFSET(TH!K$1,SMALL(Dong,ROWS($1:37)),),0))</f>
        <v>1039310</v>
      </c>
      <c r="I50" s="25">
        <f t="shared" ref="I50:I100" ca="1" si="8">IF(D50&lt;&gt;"",MAX(I49+G50-H50-J49,0),0)</f>
        <v>0</v>
      </c>
      <c r="J50" s="25">
        <f t="shared" ref="J50:J100" ca="1" si="9">IF(D50&lt;&gt;"",MAX(J49+H50-I49-G50,0),0)</f>
        <v>29498497</v>
      </c>
    </row>
    <row r="51" spans="1:10" s="18" customFormat="1" ht="18" customHeight="1">
      <c r="A51" s="9">
        <f ca="1">IF(ROWS($1:38)&gt;COUNT(Dong),"",OFFSET(TH!C$1,SMALL(Dong,ROWS($1:38)),))</f>
        <v>41285</v>
      </c>
      <c r="B51" s="9" t="str">
        <f ca="1">IF(ROWS($1:38)&gt;COUNT(Dong),"",OFFSET(TH!D$1,SMALL(Dong,ROWS($1:38)),))</f>
        <v>NL/N07</v>
      </c>
      <c r="C51" s="9">
        <f ca="1">IF(ROWS($1:38)&gt;COUNT(Dong),"",OFFSET(TH!E$1,SMALL(Dong,ROWS($1:38)),))</f>
        <v>41285</v>
      </c>
      <c r="D51" s="226" t="str">
        <f ca="1">IF(ROWS($1:38)&gt;COUNT(Dong),"",OFFSET(TH!F$1,SMALL(Dong,ROWS($1:38)),))</f>
        <v>Thanh toán tiền hàng</v>
      </c>
      <c r="E51" s="46" t="str">
        <f ca="1">IF(ROWS($1:38)&gt;COUNT(Dong),"",IF(OFFSET(TH!L$1,SMALL(Dong,ROWS($1:38)),)="331",OFFSET(TH!M$1,SMALL(Dong,ROWS($1:38)),),OFFSET(TH!L$1,SMALL(Dong,ROWS($1:38)),)))</f>
        <v>1111</v>
      </c>
      <c r="F51" s="46"/>
      <c r="G51" s="58">
        <f ca="1">IF(ROWS($1:38)&gt;COUNT(Dong),"",IF(OFFSET(TH!L$1,SMALL(Dong,ROWS($1:38)),)="331",OFFSET(TH!K$1,SMALL(Dong,ROWS($1:38)),),0))</f>
        <v>11432406</v>
      </c>
      <c r="H51" s="58">
        <f ca="1">IF(ROWS($1:38)&gt;COUNT(Dong),"",IF(OFFSET(TH!M$1,SMALL(Dong,ROWS($1:38)),)="331",OFFSET(TH!K$1,SMALL(Dong,ROWS($1:38)),),0))</f>
        <v>0</v>
      </c>
      <c r="I51" s="25">
        <f t="shared" ca="1" si="8"/>
        <v>0</v>
      </c>
      <c r="J51" s="25">
        <f t="shared" ca="1" si="9"/>
        <v>18066091</v>
      </c>
    </row>
    <row r="52" spans="1:10" s="18" customFormat="1" ht="18" customHeight="1">
      <c r="A52" s="9">
        <f ca="1">IF(ROWS($1:39)&gt;COUNT(Dong),"",OFFSET(TH!C$1,SMALL(Dong,ROWS($1:39)),))</f>
        <v>41286</v>
      </c>
      <c r="B52" s="9" t="str">
        <f ca="1">IF(ROWS($1:39)&gt;COUNT(Dong),"",OFFSET(TH!D$1,SMALL(Dong,ROWS($1:39)),))</f>
        <v>NL/N08</v>
      </c>
      <c r="C52" s="9">
        <f ca="1">IF(ROWS($1:39)&gt;COUNT(Dong),"",OFFSET(TH!E$1,SMALL(Dong,ROWS($1:39)),))</f>
        <v>41286</v>
      </c>
      <c r="D52" s="226" t="str">
        <f ca="1">IF(ROWS($1:39)&gt;COUNT(Dong),"",OFFSET(TH!F$1,SMALL(Dong,ROWS($1:39)),))</f>
        <v>Giấy tấm 1 vàng + 4 xeo (1560x1350)</v>
      </c>
      <c r="E52" s="46" t="str">
        <f ca="1">IF(ROWS($1:39)&gt;COUNT(Dong),"",IF(OFFSET(TH!L$1,SMALL(Dong,ROWS($1:39)),)="331",OFFSET(TH!M$1,SMALL(Dong,ROWS($1:39)),),OFFSET(TH!L$1,SMALL(Dong,ROWS($1:39)),)))</f>
        <v>1521</v>
      </c>
      <c r="F52" s="46"/>
      <c r="G52" s="58">
        <f ca="1">IF(ROWS($1:39)&gt;COUNT(Dong),"",IF(OFFSET(TH!L$1,SMALL(Dong,ROWS($1:39)),)="331",OFFSET(TH!K$1,SMALL(Dong,ROWS($1:39)),),0))</f>
        <v>0</v>
      </c>
      <c r="H52" s="58">
        <f ca="1">IF(ROWS($1:39)&gt;COUNT(Dong),"",IF(OFFSET(TH!M$1,SMALL(Dong,ROWS($1:39)),)="331",OFFSET(TH!K$1,SMALL(Dong,ROWS($1:39)),),0))</f>
        <v>5299250</v>
      </c>
      <c r="I52" s="25">
        <f t="shared" ca="1" si="8"/>
        <v>0</v>
      </c>
      <c r="J52" s="25">
        <f t="shared" ca="1" si="9"/>
        <v>23365341</v>
      </c>
    </row>
    <row r="53" spans="1:10" s="18" customFormat="1" ht="18" customHeight="1">
      <c r="A53" s="9">
        <f ca="1">IF(ROWS($1:40)&gt;COUNT(Dong),"",OFFSET(TH!C$1,SMALL(Dong,ROWS($1:40)),))</f>
        <v>41286</v>
      </c>
      <c r="B53" s="9" t="str">
        <f ca="1">IF(ROWS($1:40)&gt;COUNT(Dong),"",OFFSET(TH!D$1,SMALL(Dong,ROWS($1:40)),))</f>
        <v>NL/N08</v>
      </c>
      <c r="C53" s="9">
        <f ca="1">IF(ROWS($1:40)&gt;COUNT(Dong),"",OFFSET(TH!E$1,SMALL(Dong,ROWS($1:40)),))</f>
        <v>41286</v>
      </c>
      <c r="D53" s="226" t="str">
        <f ca="1">IF(ROWS($1:40)&gt;COUNT(Dong),"",OFFSET(TH!F$1,SMALL(Dong,ROWS($1:40)),))</f>
        <v>Giấy tấm 1 vàng + 4 xeo (1540x1240)</v>
      </c>
      <c r="E53" s="46" t="str">
        <f ca="1">IF(ROWS($1:40)&gt;COUNT(Dong),"",IF(OFFSET(TH!L$1,SMALL(Dong,ROWS($1:40)),)="331",OFFSET(TH!M$1,SMALL(Dong,ROWS($1:40)),),OFFSET(TH!L$1,SMALL(Dong,ROWS($1:40)),)))</f>
        <v>1521</v>
      </c>
      <c r="F53" s="46"/>
      <c r="G53" s="58">
        <f ca="1">IF(ROWS($1:40)&gt;COUNT(Dong),"",IF(OFFSET(TH!L$1,SMALL(Dong,ROWS($1:40)),)="331",OFFSET(TH!K$1,SMALL(Dong,ROWS($1:40)),),0))</f>
        <v>0</v>
      </c>
      <c r="H53" s="58">
        <f ca="1">IF(ROWS($1:40)&gt;COUNT(Dong),"",IF(OFFSET(TH!M$1,SMALL(Dong,ROWS($1:40)),)="331",OFFSET(TH!K$1,SMALL(Dong,ROWS($1:40)),),0))</f>
        <v>4525507</v>
      </c>
      <c r="I53" s="25">
        <f t="shared" ca="1" si="8"/>
        <v>0</v>
      </c>
      <c r="J53" s="25">
        <f t="shared" ca="1" si="9"/>
        <v>27890848</v>
      </c>
    </row>
    <row r="54" spans="1:10" s="18" customFormat="1" ht="18" customHeight="1">
      <c r="A54" s="9">
        <f ca="1">IF(ROWS($1:41)&gt;COUNT(Dong),"",OFFSET(TH!C$1,SMALL(Dong,ROWS($1:41)),))</f>
        <v>41286</v>
      </c>
      <c r="B54" s="9" t="str">
        <f ca="1">IF(ROWS($1:41)&gt;COUNT(Dong),"",OFFSET(TH!D$1,SMALL(Dong,ROWS($1:41)),))</f>
        <v>NL/N08</v>
      </c>
      <c r="C54" s="9">
        <f ca="1">IF(ROWS($1:41)&gt;COUNT(Dong),"",OFFSET(TH!E$1,SMALL(Dong,ROWS($1:41)),))</f>
        <v>41286</v>
      </c>
      <c r="D54" s="226" t="str">
        <f ca="1">IF(ROWS($1:41)&gt;COUNT(Dong),"",OFFSET(TH!F$1,SMALL(Dong,ROWS($1:41)),))</f>
        <v>Giấy tấm 1 YBB + 1 xeo + 1 vàng (1220x950)</v>
      </c>
      <c r="E54" s="46" t="str">
        <f ca="1">IF(ROWS($1:41)&gt;COUNT(Dong),"",IF(OFFSET(TH!L$1,SMALL(Dong,ROWS($1:41)),)="331",OFFSET(TH!M$1,SMALL(Dong,ROWS($1:41)),),OFFSET(TH!L$1,SMALL(Dong,ROWS($1:41)),)))</f>
        <v>1521</v>
      </c>
      <c r="F54" s="46"/>
      <c r="G54" s="58">
        <f ca="1">IF(ROWS($1:41)&gt;COUNT(Dong),"",IF(OFFSET(TH!L$1,SMALL(Dong,ROWS($1:41)),)="331",OFFSET(TH!K$1,SMALL(Dong,ROWS($1:41)),),0))</f>
        <v>0</v>
      </c>
      <c r="H54" s="58">
        <f ca="1">IF(ROWS($1:41)&gt;COUNT(Dong),"",IF(OFFSET(TH!M$1,SMALL(Dong,ROWS($1:41)),)="331",OFFSET(TH!K$1,SMALL(Dong,ROWS($1:41)),),0))</f>
        <v>2555222</v>
      </c>
      <c r="I54" s="25">
        <f t="shared" ca="1" si="8"/>
        <v>0</v>
      </c>
      <c r="J54" s="25">
        <f t="shared" ca="1" si="9"/>
        <v>30446070</v>
      </c>
    </row>
    <row r="55" spans="1:10" s="18" customFormat="1" ht="18" customHeight="1">
      <c r="A55" s="9">
        <f ca="1">IF(ROWS($1:42)&gt;COUNT(Dong),"",OFFSET(TH!C$1,SMALL(Dong,ROWS($1:42)),))</f>
        <v>41286</v>
      </c>
      <c r="B55" s="9" t="str">
        <f ca="1">IF(ROWS($1:42)&gt;COUNT(Dong),"",OFFSET(TH!D$1,SMALL(Dong,ROWS($1:42)),))</f>
        <v>NL/N08</v>
      </c>
      <c r="C55" s="9">
        <f ca="1">IF(ROWS($1:42)&gt;COUNT(Dong),"",OFFSET(TH!E$1,SMALL(Dong,ROWS($1:42)),))</f>
        <v>41286</v>
      </c>
      <c r="D55" s="226" t="str">
        <f ca="1">IF(ROWS($1:42)&gt;COUNT(Dong),"",OFFSET(TH!F$1,SMALL(Dong,ROWS($1:42)),))</f>
        <v>VAT Giấy tấm</v>
      </c>
      <c r="E55" s="46" t="str">
        <f ca="1">IF(ROWS($1:42)&gt;COUNT(Dong),"",IF(OFFSET(TH!L$1,SMALL(Dong,ROWS($1:42)),)="331",OFFSET(TH!M$1,SMALL(Dong,ROWS($1:42)),),OFFSET(TH!L$1,SMALL(Dong,ROWS($1:42)),)))</f>
        <v>1331</v>
      </c>
      <c r="F55" s="46"/>
      <c r="G55" s="58">
        <f ca="1">IF(ROWS($1:42)&gt;COUNT(Dong),"",IF(OFFSET(TH!L$1,SMALL(Dong,ROWS($1:42)),)="331",OFFSET(TH!K$1,SMALL(Dong,ROWS($1:42)),),0))</f>
        <v>0</v>
      </c>
      <c r="H55" s="58">
        <f ca="1">IF(ROWS($1:42)&gt;COUNT(Dong),"",IF(OFFSET(TH!M$1,SMALL(Dong,ROWS($1:42)),)="331",OFFSET(TH!K$1,SMALL(Dong,ROWS($1:42)),),0))</f>
        <v>1237998</v>
      </c>
      <c r="I55" s="25">
        <f t="shared" ca="1" si="8"/>
        <v>0</v>
      </c>
      <c r="J55" s="25">
        <f t="shared" ca="1" si="9"/>
        <v>31684068</v>
      </c>
    </row>
    <row r="56" spans="1:10" s="18" customFormat="1" ht="18" customHeight="1">
      <c r="A56" s="9">
        <f ca="1">IF(ROWS($1:43)&gt;COUNT(Dong),"",OFFSET(TH!C$1,SMALL(Dong,ROWS($1:43)),))</f>
        <v>41286</v>
      </c>
      <c r="B56" s="9" t="str">
        <f ca="1">IF(ROWS($1:43)&gt;COUNT(Dong),"",OFFSET(TH!D$1,SMALL(Dong,ROWS($1:43)),))</f>
        <v>NL/N08</v>
      </c>
      <c r="C56" s="9">
        <f ca="1">IF(ROWS($1:43)&gt;COUNT(Dong),"",OFFSET(TH!E$1,SMALL(Dong,ROWS($1:43)),))</f>
        <v>41286</v>
      </c>
      <c r="D56" s="226" t="str">
        <f ca="1">IF(ROWS($1:43)&gt;COUNT(Dong),"",OFFSET(TH!F$1,SMALL(Dong,ROWS($1:43)),))</f>
        <v>Thanh toán tiền hàng</v>
      </c>
      <c r="E56" s="46" t="str">
        <f ca="1">IF(ROWS($1:43)&gt;COUNT(Dong),"",IF(OFFSET(TH!L$1,SMALL(Dong,ROWS($1:43)),)="331",OFFSET(TH!M$1,SMALL(Dong,ROWS($1:43)),),OFFSET(TH!L$1,SMALL(Dong,ROWS($1:43)),)))</f>
        <v>1111</v>
      </c>
      <c r="F56" s="46"/>
      <c r="G56" s="58">
        <f ca="1">IF(ROWS($1:43)&gt;COUNT(Dong),"",IF(OFFSET(TH!L$1,SMALL(Dong,ROWS($1:43)),)="331",OFFSET(TH!K$1,SMALL(Dong,ROWS($1:43)),),0))</f>
        <v>13617977</v>
      </c>
      <c r="H56" s="58">
        <f ca="1">IF(ROWS($1:43)&gt;COUNT(Dong),"",IF(OFFSET(TH!M$1,SMALL(Dong,ROWS($1:43)),)="331",OFFSET(TH!K$1,SMALL(Dong,ROWS($1:43)),),0))</f>
        <v>0</v>
      </c>
      <c r="I56" s="25">
        <f t="shared" ca="1" si="8"/>
        <v>0</v>
      </c>
      <c r="J56" s="25">
        <f t="shared" ca="1" si="9"/>
        <v>18066091</v>
      </c>
    </row>
    <row r="57" spans="1:10" s="18" customFormat="1" ht="18" customHeight="1">
      <c r="A57" s="9">
        <f ca="1">IF(ROWS($1:44)&gt;COUNT(Dong),"",OFFSET(TH!C$1,SMALL(Dong,ROWS($1:44)),))</f>
        <v>41290</v>
      </c>
      <c r="B57" s="9" t="str">
        <f ca="1">IF(ROWS($1:44)&gt;COUNT(Dong),"",OFFSET(TH!D$1,SMALL(Dong,ROWS($1:44)),))</f>
        <v>NL/N09</v>
      </c>
      <c r="C57" s="9">
        <f ca="1">IF(ROWS($1:44)&gt;COUNT(Dong),"",OFFSET(TH!E$1,SMALL(Dong,ROWS($1:44)),))</f>
        <v>41290</v>
      </c>
      <c r="D57" s="226" t="str">
        <f ca="1">IF(ROWS($1:44)&gt;COUNT(Dong),"",OFFSET(TH!F$1,SMALL(Dong,ROWS($1:44)),))</f>
        <v>Giấy tấm 1 trắng + 2 xeo (840x1150)</v>
      </c>
      <c r="E57" s="46" t="str">
        <f ca="1">IF(ROWS($1:44)&gt;COUNT(Dong),"",IF(OFFSET(TH!L$1,SMALL(Dong,ROWS($1:44)),)="331",OFFSET(TH!M$1,SMALL(Dong,ROWS($1:44)),),OFFSET(TH!L$1,SMALL(Dong,ROWS($1:44)),)))</f>
        <v>1521</v>
      </c>
      <c r="F57" s="46"/>
      <c r="G57" s="58">
        <f ca="1">IF(ROWS($1:44)&gt;COUNT(Dong),"",IF(OFFSET(TH!L$1,SMALL(Dong,ROWS($1:44)),)="331",OFFSET(TH!K$1,SMALL(Dong,ROWS($1:44)),),0))</f>
        <v>0</v>
      </c>
      <c r="H57" s="58">
        <f ca="1">IF(ROWS($1:44)&gt;COUNT(Dong),"",IF(OFFSET(TH!M$1,SMALL(Dong,ROWS($1:44)),)="331",OFFSET(TH!K$1,SMALL(Dong,ROWS($1:44)),),0))</f>
        <v>945620</v>
      </c>
      <c r="I57" s="25">
        <f t="shared" ca="1" si="8"/>
        <v>0</v>
      </c>
      <c r="J57" s="25">
        <f t="shared" ca="1" si="9"/>
        <v>19011711</v>
      </c>
    </row>
    <row r="58" spans="1:10" s="18" customFormat="1" ht="18" customHeight="1">
      <c r="A58" s="9">
        <f ca="1">IF(ROWS($1:45)&gt;COUNT(Dong),"",OFFSET(TH!C$1,SMALL(Dong,ROWS($1:45)),))</f>
        <v>41290</v>
      </c>
      <c r="B58" s="9" t="str">
        <f ca="1">IF(ROWS($1:45)&gt;COUNT(Dong),"",OFFSET(TH!D$1,SMALL(Dong,ROWS($1:45)),))</f>
        <v>NL/N09</v>
      </c>
      <c r="C58" s="9">
        <f ca="1">IF(ROWS($1:45)&gt;COUNT(Dong),"",OFFSET(TH!E$1,SMALL(Dong,ROWS($1:45)),))</f>
        <v>41290</v>
      </c>
      <c r="D58" s="226" t="str">
        <f ca="1">IF(ROWS($1:45)&gt;COUNT(Dong),"",OFFSET(TH!F$1,SMALL(Dong,ROWS($1:45)),))</f>
        <v>Giấy tấm 2 vàng + 3 xeo (1080x1050)</v>
      </c>
      <c r="E58" s="46" t="str">
        <f ca="1">IF(ROWS($1:45)&gt;COUNT(Dong),"",IF(OFFSET(TH!L$1,SMALL(Dong,ROWS($1:45)),)="331",OFFSET(TH!M$1,SMALL(Dong,ROWS($1:45)),),OFFSET(TH!L$1,SMALL(Dong,ROWS($1:45)),)))</f>
        <v>1521</v>
      </c>
      <c r="F58" s="46"/>
      <c r="G58" s="58">
        <f ca="1">IF(ROWS($1:45)&gt;COUNT(Dong),"",IF(OFFSET(TH!L$1,SMALL(Dong,ROWS($1:45)),)="331",OFFSET(TH!K$1,SMALL(Dong,ROWS($1:45)),),0))</f>
        <v>0</v>
      </c>
      <c r="H58" s="58">
        <f ca="1">IF(ROWS($1:45)&gt;COUNT(Dong),"",IF(OFFSET(TH!M$1,SMALL(Dong,ROWS($1:45)),)="331",OFFSET(TH!K$1,SMALL(Dong,ROWS($1:45)),),0))</f>
        <v>1153916</v>
      </c>
      <c r="I58" s="25">
        <f t="shared" ca="1" si="8"/>
        <v>0</v>
      </c>
      <c r="J58" s="25">
        <f t="shared" ca="1" si="9"/>
        <v>20165627</v>
      </c>
    </row>
    <row r="59" spans="1:10" s="18" customFormat="1" ht="18" customHeight="1">
      <c r="A59" s="9">
        <f ca="1">IF(ROWS($1:46)&gt;COUNT(Dong),"",OFFSET(TH!C$1,SMALL(Dong,ROWS($1:46)),))</f>
        <v>41290</v>
      </c>
      <c r="B59" s="9" t="str">
        <f ca="1">IF(ROWS($1:46)&gt;COUNT(Dong),"",OFFSET(TH!D$1,SMALL(Dong,ROWS($1:46)),))</f>
        <v>NL/N09</v>
      </c>
      <c r="C59" s="9">
        <f ca="1">IF(ROWS($1:46)&gt;COUNT(Dong),"",OFFSET(TH!E$1,SMALL(Dong,ROWS($1:46)),))</f>
        <v>41290</v>
      </c>
      <c r="D59" s="226" t="str">
        <f ca="1">IF(ROWS($1:46)&gt;COUNT(Dong),"",OFFSET(TH!F$1,SMALL(Dong,ROWS($1:46)),))</f>
        <v>Giấy tấm 1 vàng + 2 xeo (1480x1000)</v>
      </c>
      <c r="E59" s="46" t="str">
        <f ca="1">IF(ROWS($1:46)&gt;COUNT(Dong),"",IF(OFFSET(TH!L$1,SMALL(Dong,ROWS($1:46)),)="331",OFFSET(TH!M$1,SMALL(Dong,ROWS($1:46)),),OFFSET(TH!L$1,SMALL(Dong,ROWS($1:46)),)))</f>
        <v>1521</v>
      </c>
      <c r="F59" s="46"/>
      <c r="G59" s="58">
        <f ca="1">IF(ROWS($1:46)&gt;COUNT(Dong),"",IF(OFFSET(TH!L$1,SMALL(Dong,ROWS($1:46)),)="331",OFFSET(TH!K$1,SMALL(Dong,ROWS($1:46)),),0))</f>
        <v>0</v>
      </c>
      <c r="H59" s="58">
        <f ca="1">IF(ROWS($1:46)&gt;COUNT(Dong),"",IF(OFFSET(TH!M$1,SMALL(Dong,ROWS($1:46)),)="331",OFFSET(TH!K$1,SMALL(Dong,ROWS($1:46)),),0))</f>
        <v>941724</v>
      </c>
      <c r="I59" s="25">
        <f t="shared" ca="1" si="8"/>
        <v>0</v>
      </c>
      <c r="J59" s="25">
        <f t="shared" ca="1" si="9"/>
        <v>21107351</v>
      </c>
    </row>
    <row r="60" spans="1:10" s="18" customFormat="1" ht="18" customHeight="1">
      <c r="A60" s="9">
        <f ca="1">IF(ROWS($1:47)&gt;COUNT(Dong),"",OFFSET(TH!C$1,SMALL(Dong,ROWS($1:47)),))</f>
        <v>41290</v>
      </c>
      <c r="B60" s="9" t="str">
        <f ca="1">IF(ROWS($1:47)&gt;COUNT(Dong),"",OFFSET(TH!D$1,SMALL(Dong,ROWS($1:47)),))</f>
        <v>NL/N09</v>
      </c>
      <c r="C60" s="9">
        <f ca="1">IF(ROWS($1:47)&gt;COUNT(Dong),"",OFFSET(TH!E$1,SMALL(Dong,ROWS($1:47)),))</f>
        <v>41290</v>
      </c>
      <c r="D60" s="226" t="str">
        <f ca="1">IF(ROWS($1:47)&gt;COUNT(Dong),"",OFFSET(TH!F$1,SMALL(Dong,ROWS($1:47)),))</f>
        <v>Giấy tấm 2 vàng + 3 xeo (1450x900)</v>
      </c>
      <c r="E60" s="46" t="str">
        <f ca="1">IF(ROWS($1:47)&gt;COUNT(Dong),"",IF(OFFSET(TH!L$1,SMALL(Dong,ROWS($1:47)),)="331",OFFSET(TH!M$1,SMALL(Dong,ROWS($1:47)),),OFFSET(TH!L$1,SMALL(Dong,ROWS($1:47)),)))</f>
        <v>1521</v>
      </c>
      <c r="F60" s="46"/>
      <c r="G60" s="58">
        <f ca="1">IF(ROWS($1:47)&gt;COUNT(Dong),"",IF(OFFSET(TH!L$1,SMALL(Dong,ROWS($1:47)),)="331",OFFSET(TH!K$1,SMALL(Dong,ROWS($1:47)),),0))</f>
        <v>0</v>
      </c>
      <c r="H60" s="58">
        <f ca="1">IF(ROWS($1:47)&gt;COUNT(Dong),"",IF(OFFSET(TH!M$1,SMALL(Dong,ROWS($1:47)),)="331",OFFSET(TH!K$1,SMALL(Dong,ROWS($1:47)),),0))</f>
        <v>1327968</v>
      </c>
      <c r="I60" s="25">
        <f t="shared" ca="1" si="8"/>
        <v>0</v>
      </c>
      <c r="J60" s="25">
        <f t="shared" ca="1" si="9"/>
        <v>22435319</v>
      </c>
    </row>
    <row r="61" spans="1:10" s="18" customFormat="1" ht="18" customHeight="1">
      <c r="A61" s="9">
        <f ca="1">IF(ROWS($1:48)&gt;COUNT(Dong),"",OFFSET(TH!C$1,SMALL(Dong,ROWS($1:48)),))</f>
        <v>41290</v>
      </c>
      <c r="B61" s="9" t="str">
        <f ca="1">IF(ROWS($1:48)&gt;COUNT(Dong),"",OFFSET(TH!D$1,SMALL(Dong,ROWS($1:48)),))</f>
        <v>NL/N09</v>
      </c>
      <c r="C61" s="9">
        <f ca="1">IF(ROWS($1:48)&gt;COUNT(Dong),"",OFFSET(TH!E$1,SMALL(Dong,ROWS($1:48)),))</f>
        <v>41290</v>
      </c>
      <c r="D61" s="226" t="str">
        <f ca="1">IF(ROWS($1:48)&gt;COUNT(Dong),"",OFFSET(TH!F$1,SMALL(Dong,ROWS($1:48)),))</f>
        <v>Giấy tấm 2 vàng + 3 xeo (1390x900)</v>
      </c>
      <c r="E61" s="46" t="str">
        <f ca="1">IF(ROWS($1:48)&gt;COUNT(Dong),"",IF(OFFSET(TH!L$1,SMALL(Dong,ROWS($1:48)),)="331",OFFSET(TH!M$1,SMALL(Dong,ROWS($1:48)),),OFFSET(TH!L$1,SMALL(Dong,ROWS($1:48)),)))</f>
        <v>1521</v>
      </c>
      <c r="F61" s="46"/>
      <c r="G61" s="58">
        <f ca="1">IF(ROWS($1:48)&gt;COUNT(Dong),"",IF(OFFSET(TH!L$1,SMALL(Dong,ROWS($1:48)),)="331",OFFSET(TH!K$1,SMALL(Dong,ROWS($1:48)),),0))</f>
        <v>0</v>
      </c>
      <c r="H61" s="58">
        <f ca="1">IF(ROWS($1:48)&gt;COUNT(Dong),"",IF(OFFSET(TH!M$1,SMALL(Dong,ROWS($1:48)),)="331",OFFSET(TH!K$1,SMALL(Dong,ROWS($1:48)),),0))</f>
        <v>1789490</v>
      </c>
      <c r="I61" s="25">
        <f t="shared" ca="1" si="8"/>
        <v>0</v>
      </c>
      <c r="J61" s="25">
        <f t="shared" ca="1" si="9"/>
        <v>24224809</v>
      </c>
    </row>
    <row r="62" spans="1:10" s="18" customFormat="1" ht="18" customHeight="1">
      <c r="A62" s="9">
        <f ca="1">IF(ROWS($1:49)&gt;COUNT(Dong),"",OFFSET(TH!C$1,SMALL(Dong,ROWS($1:49)),))</f>
        <v>41290</v>
      </c>
      <c r="B62" s="9" t="str">
        <f ca="1">IF(ROWS($1:49)&gt;COUNT(Dong),"",OFFSET(TH!D$1,SMALL(Dong,ROWS($1:49)),))</f>
        <v>NL/N09</v>
      </c>
      <c r="C62" s="9">
        <f ca="1">IF(ROWS($1:49)&gt;COUNT(Dong),"",OFFSET(TH!E$1,SMALL(Dong,ROWS($1:49)),))</f>
        <v>41290</v>
      </c>
      <c r="D62" s="226" t="str">
        <f ca="1">IF(ROWS($1:49)&gt;COUNT(Dong),"",OFFSET(TH!F$1,SMALL(Dong,ROWS($1:49)),))</f>
        <v>Giấy tấm 2 vàng + 3 xeo (2280x1050)</v>
      </c>
      <c r="E62" s="46" t="str">
        <f ca="1">IF(ROWS($1:49)&gt;COUNT(Dong),"",IF(OFFSET(TH!L$1,SMALL(Dong,ROWS($1:49)),)="331",OFFSET(TH!M$1,SMALL(Dong,ROWS($1:49)),),OFFSET(TH!L$1,SMALL(Dong,ROWS($1:49)),)))</f>
        <v>1521</v>
      </c>
      <c r="F62" s="46"/>
      <c r="G62" s="58">
        <f ca="1">IF(ROWS($1:49)&gt;COUNT(Dong),"",IF(OFFSET(TH!L$1,SMALL(Dong,ROWS($1:49)),)="331",OFFSET(TH!K$1,SMALL(Dong,ROWS($1:49)),),0))</f>
        <v>0</v>
      </c>
      <c r="H62" s="58">
        <f ca="1">IF(ROWS($1:49)&gt;COUNT(Dong),"",IF(OFFSET(TH!M$1,SMALL(Dong,ROWS($1:49)),)="331",OFFSET(TH!K$1,SMALL(Dong,ROWS($1:49)),),0))</f>
        <v>2321182</v>
      </c>
      <c r="I62" s="25">
        <f t="shared" ca="1" si="8"/>
        <v>0</v>
      </c>
      <c r="J62" s="25">
        <f t="shared" ca="1" si="9"/>
        <v>26545991</v>
      </c>
    </row>
    <row r="63" spans="1:10" s="18" customFormat="1" ht="18" customHeight="1">
      <c r="A63" s="9">
        <f ca="1">IF(ROWS($1:50)&gt;COUNT(Dong),"",OFFSET(TH!C$1,SMALL(Dong,ROWS($1:50)),))</f>
        <v>41290</v>
      </c>
      <c r="B63" s="9" t="str">
        <f ca="1">IF(ROWS($1:50)&gt;COUNT(Dong),"",OFFSET(TH!D$1,SMALL(Dong,ROWS($1:50)),))</f>
        <v>NL/N09</v>
      </c>
      <c r="C63" s="9">
        <f ca="1">IF(ROWS($1:50)&gt;COUNT(Dong),"",OFFSET(TH!E$1,SMALL(Dong,ROWS($1:50)),))</f>
        <v>41290</v>
      </c>
      <c r="D63" s="226" t="str">
        <f ca="1">IF(ROWS($1:50)&gt;COUNT(Dong),"",OFFSET(TH!F$1,SMALL(Dong,ROWS($1:50)),))</f>
        <v>Giấy tấm 2 vàng + 3 xeo (2210x1050)</v>
      </c>
      <c r="E63" s="46" t="str">
        <f ca="1">IF(ROWS($1:50)&gt;COUNT(Dong),"",IF(OFFSET(TH!L$1,SMALL(Dong,ROWS($1:50)),)="331",OFFSET(TH!M$1,SMALL(Dong,ROWS($1:50)),),OFFSET(TH!L$1,SMALL(Dong,ROWS($1:50)),)))</f>
        <v>1521</v>
      </c>
      <c r="F63" s="46"/>
      <c r="G63" s="58">
        <f ca="1">IF(ROWS($1:50)&gt;COUNT(Dong),"",IF(OFFSET(TH!L$1,SMALL(Dong,ROWS($1:50)),)="331",OFFSET(TH!K$1,SMALL(Dong,ROWS($1:50)),),0))</f>
        <v>0</v>
      </c>
      <c r="H63" s="58">
        <f ca="1">IF(ROWS($1:50)&gt;COUNT(Dong),"",IF(OFFSET(TH!M$1,SMALL(Dong,ROWS($1:50)),)="331",OFFSET(TH!K$1,SMALL(Dong,ROWS($1:50)),),0))</f>
        <v>4522231</v>
      </c>
      <c r="I63" s="25">
        <f t="shared" ca="1" si="8"/>
        <v>0</v>
      </c>
      <c r="J63" s="25">
        <f t="shared" ca="1" si="9"/>
        <v>31068222</v>
      </c>
    </row>
    <row r="64" spans="1:10" s="18" customFormat="1" ht="18" customHeight="1">
      <c r="A64" s="9">
        <f ca="1">IF(ROWS($1:51)&gt;COUNT(Dong),"",OFFSET(TH!C$1,SMALL(Dong,ROWS($1:51)),))</f>
        <v>41290</v>
      </c>
      <c r="B64" s="9" t="str">
        <f ca="1">IF(ROWS($1:51)&gt;COUNT(Dong),"",OFFSET(TH!D$1,SMALL(Dong,ROWS($1:51)),))</f>
        <v>NL/N09</v>
      </c>
      <c r="C64" s="9">
        <f ca="1">IF(ROWS($1:51)&gt;COUNT(Dong),"",OFFSET(TH!E$1,SMALL(Dong,ROWS($1:51)),))</f>
        <v>41290</v>
      </c>
      <c r="D64" s="226" t="str">
        <f ca="1">IF(ROWS($1:51)&gt;COUNT(Dong),"",OFFSET(TH!F$1,SMALL(Dong,ROWS($1:51)),))</f>
        <v>VAT Giấy tấm</v>
      </c>
      <c r="E64" s="46" t="str">
        <f ca="1">IF(ROWS($1:51)&gt;COUNT(Dong),"",IF(OFFSET(TH!L$1,SMALL(Dong,ROWS($1:51)),)="331",OFFSET(TH!M$1,SMALL(Dong,ROWS($1:51)),),OFFSET(TH!L$1,SMALL(Dong,ROWS($1:51)),)))</f>
        <v>1331</v>
      </c>
      <c r="F64" s="46"/>
      <c r="G64" s="58">
        <f ca="1">IF(ROWS($1:51)&gt;COUNT(Dong),"",IF(OFFSET(TH!L$1,SMALL(Dong,ROWS($1:51)),)="331",OFFSET(TH!K$1,SMALL(Dong,ROWS($1:51)),),0))</f>
        <v>0</v>
      </c>
      <c r="H64" s="58">
        <f ca="1">IF(ROWS($1:51)&gt;COUNT(Dong),"",IF(OFFSET(TH!M$1,SMALL(Dong,ROWS($1:51)),)="331",OFFSET(TH!K$1,SMALL(Dong,ROWS($1:51)),),0))</f>
        <v>1300213</v>
      </c>
      <c r="I64" s="25">
        <f t="shared" ca="1" si="8"/>
        <v>0</v>
      </c>
      <c r="J64" s="25">
        <f t="shared" ca="1" si="9"/>
        <v>32368435</v>
      </c>
    </row>
    <row r="65" spans="1:10" s="18" customFormat="1" ht="18" customHeight="1">
      <c r="A65" s="9">
        <f ca="1">IF(ROWS($1:52)&gt;COUNT(Dong),"",OFFSET(TH!C$1,SMALL(Dong,ROWS($1:52)),))</f>
        <v>41290</v>
      </c>
      <c r="B65" s="9" t="str">
        <f ca="1">IF(ROWS($1:52)&gt;COUNT(Dong),"",OFFSET(TH!D$1,SMALL(Dong,ROWS($1:52)),))</f>
        <v>NL/N09</v>
      </c>
      <c r="C65" s="9">
        <f ca="1">IF(ROWS($1:52)&gt;COUNT(Dong),"",OFFSET(TH!E$1,SMALL(Dong,ROWS($1:52)),))</f>
        <v>41290</v>
      </c>
      <c r="D65" s="226" t="str">
        <f ca="1">IF(ROWS($1:52)&gt;COUNT(Dong),"",OFFSET(TH!F$1,SMALL(Dong,ROWS($1:52)),))</f>
        <v>Thanh toán tiền hàng</v>
      </c>
      <c r="E65" s="46" t="str">
        <f ca="1">IF(ROWS($1:52)&gt;COUNT(Dong),"",IF(OFFSET(TH!L$1,SMALL(Dong,ROWS($1:52)),)="331",OFFSET(TH!M$1,SMALL(Dong,ROWS($1:52)),),OFFSET(TH!L$1,SMALL(Dong,ROWS($1:52)),)))</f>
        <v>1111</v>
      </c>
      <c r="F65" s="46"/>
      <c r="G65" s="58">
        <f ca="1">IF(ROWS($1:52)&gt;COUNT(Dong),"",IF(OFFSET(TH!L$1,SMALL(Dong,ROWS($1:52)),)="331",OFFSET(TH!K$1,SMALL(Dong,ROWS($1:52)),),0))</f>
        <v>14302344</v>
      </c>
      <c r="H65" s="58">
        <f ca="1">IF(ROWS($1:52)&gt;COUNT(Dong),"",IF(OFFSET(TH!M$1,SMALL(Dong,ROWS($1:52)),)="331",OFFSET(TH!K$1,SMALL(Dong,ROWS($1:52)),),0))</f>
        <v>0</v>
      </c>
      <c r="I65" s="25">
        <f t="shared" ca="1" si="8"/>
        <v>0</v>
      </c>
      <c r="J65" s="25">
        <f t="shared" ca="1" si="9"/>
        <v>18066091</v>
      </c>
    </row>
    <row r="66" spans="1:10" s="18" customFormat="1" ht="18" customHeight="1">
      <c r="A66" s="9">
        <f ca="1">IF(ROWS($1:53)&gt;COUNT(Dong),"",OFFSET(TH!C$1,SMALL(Dong,ROWS($1:53)),))</f>
        <v>41291</v>
      </c>
      <c r="B66" s="9" t="str">
        <f ca="1">IF(ROWS($1:53)&gt;COUNT(Dong),"",OFFSET(TH!D$1,SMALL(Dong,ROWS($1:53)),))</f>
        <v>NL/N10</v>
      </c>
      <c r="C66" s="9">
        <f ca="1">IF(ROWS($1:53)&gt;COUNT(Dong),"",OFFSET(TH!E$1,SMALL(Dong,ROWS($1:53)),))</f>
        <v>41291</v>
      </c>
      <c r="D66" s="226" t="str">
        <f ca="1">IF(ROWS($1:53)&gt;COUNT(Dong),"",OFFSET(TH!F$1,SMALL(Dong,ROWS($1:53)),))</f>
        <v>Giấy tấm 2 vàng + 3 xeo (2400x950)</v>
      </c>
      <c r="E66" s="46" t="str">
        <f ca="1">IF(ROWS($1:53)&gt;COUNT(Dong),"",IF(OFFSET(TH!L$1,SMALL(Dong,ROWS($1:53)),)="331",OFFSET(TH!M$1,SMALL(Dong,ROWS($1:53)),),OFFSET(TH!L$1,SMALL(Dong,ROWS($1:53)),)))</f>
        <v>1521</v>
      </c>
      <c r="F66" s="46"/>
      <c r="G66" s="58">
        <f ca="1">IF(ROWS($1:53)&gt;COUNT(Dong),"",IF(OFFSET(TH!L$1,SMALL(Dong,ROWS($1:53)),)="331",OFFSET(TH!K$1,SMALL(Dong,ROWS($1:53)),),0))</f>
        <v>0</v>
      </c>
      <c r="H66" s="58">
        <f ca="1">IF(ROWS($1:53)&gt;COUNT(Dong),"",IF(OFFSET(TH!M$1,SMALL(Dong,ROWS($1:53)),)="331",OFFSET(TH!K$1,SMALL(Dong,ROWS($1:53)),),0))</f>
        <v>2495232</v>
      </c>
      <c r="I66" s="25">
        <f t="shared" ca="1" si="8"/>
        <v>0</v>
      </c>
      <c r="J66" s="25">
        <f t="shared" ca="1" si="9"/>
        <v>20561323</v>
      </c>
    </row>
    <row r="67" spans="1:10" s="18" customFormat="1" ht="18" customHeight="1">
      <c r="A67" s="9">
        <f ca="1">IF(ROWS($1:54)&gt;COUNT(Dong),"",OFFSET(TH!C$1,SMALL(Dong,ROWS($1:54)),))</f>
        <v>41291</v>
      </c>
      <c r="B67" s="9" t="str">
        <f ca="1">IF(ROWS($1:54)&gt;COUNT(Dong),"",OFFSET(TH!D$1,SMALL(Dong,ROWS($1:54)),))</f>
        <v>NL/N10</v>
      </c>
      <c r="C67" s="9">
        <f ca="1">IF(ROWS($1:54)&gt;COUNT(Dong),"",OFFSET(TH!E$1,SMALL(Dong,ROWS($1:54)),))</f>
        <v>41291</v>
      </c>
      <c r="D67" s="226" t="str">
        <f ca="1">IF(ROWS($1:54)&gt;COUNT(Dong),"",OFFSET(TH!F$1,SMALL(Dong,ROWS($1:54)),))</f>
        <v>Giấy tấm 1 YBB + 3 xeo + 1 vàng (1350x1400)</v>
      </c>
      <c r="E67" s="46" t="str">
        <f ca="1">IF(ROWS($1:54)&gt;COUNT(Dong),"",IF(OFFSET(TH!L$1,SMALL(Dong,ROWS($1:54)),)="331",OFFSET(TH!M$1,SMALL(Dong,ROWS($1:54)),),OFFSET(TH!L$1,SMALL(Dong,ROWS($1:54)),)))</f>
        <v>1521</v>
      </c>
      <c r="F67" s="46"/>
      <c r="G67" s="58">
        <f ca="1">IF(ROWS($1:54)&gt;COUNT(Dong),"",IF(OFFSET(TH!L$1,SMALL(Dong,ROWS($1:54)),)="331",OFFSET(TH!K$1,SMALL(Dong,ROWS($1:54)),),0))</f>
        <v>0</v>
      </c>
      <c r="H67" s="58">
        <f ca="1">IF(ROWS($1:54)&gt;COUNT(Dong),"",IF(OFFSET(TH!M$1,SMALL(Dong,ROWS($1:54)),)="331",OFFSET(TH!K$1,SMALL(Dong,ROWS($1:54)),),0))</f>
        <v>2643614</v>
      </c>
      <c r="I67" s="25">
        <f t="shared" ca="1" si="8"/>
        <v>0</v>
      </c>
      <c r="J67" s="25">
        <f t="shared" ca="1" si="9"/>
        <v>23204937</v>
      </c>
    </row>
    <row r="68" spans="1:10" s="18" customFormat="1" ht="18" customHeight="1">
      <c r="A68" s="9">
        <f ca="1">IF(ROWS($1:55)&gt;COUNT(Dong),"",OFFSET(TH!C$1,SMALL(Dong,ROWS($1:55)),))</f>
        <v>41291</v>
      </c>
      <c r="B68" s="9" t="str">
        <f ca="1">IF(ROWS($1:55)&gt;COUNT(Dong),"",OFFSET(TH!D$1,SMALL(Dong,ROWS($1:55)),))</f>
        <v>NL/N10</v>
      </c>
      <c r="C68" s="9">
        <f ca="1">IF(ROWS($1:55)&gt;COUNT(Dong),"",OFFSET(TH!E$1,SMALL(Dong,ROWS($1:55)),))</f>
        <v>41291</v>
      </c>
      <c r="D68" s="226" t="str">
        <f ca="1">IF(ROWS($1:55)&gt;COUNT(Dong),"",OFFSET(TH!F$1,SMALL(Dong,ROWS($1:55)),))</f>
        <v>Giấy tấm 1 YBB + 3 xeo + 1 vàng (1220x950)</v>
      </c>
      <c r="E68" s="46" t="str">
        <f ca="1">IF(ROWS($1:55)&gt;COUNT(Dong),"",IF(OFFSET(TH!L$1,SMALL(Dong,ROWS($1:55)),)="331",OFFSET(TH!M$1,SMALL(Dong,ROWS($1:55)),),OFFSET(TH!L$1,SMALL(Dong,ROWS($1:55)),)))</f>
        <v>1521</v>
      </c>
      <c r="F68" s="46"/>
      <c r="G68" s="58">
        <f ca="1">IF(ROWS($1:55)&gt;COUNT(Dong),"",IF(OFFSET(TH!L$1,SMALL(Dong,ROWS($1:55)),)="331",OFFSET(TH!K$1,SMALL(Dong,ROWS($1:55)),),0))</f>
        <v>0</v>
      </c>
      <c r="H68" s="58">
        <f ca="1">IF(ROWS($1:55)&gt;COUNT(Dong),"",IF(OFFSET(TH!M$1,SMALL(Dong,ROWS($1:55)),)="331",OFFSET(TH!K$1,SMALL(Dong,ROWS($1:55)),),0))</f>
        <v>5673752</v>
      </c>
      <c r="I68" s="25">
        <f t="shared" ca="1" si="8"/>
        <v>0</v>
      </c>
      <c r="J68" s="25">
        <f t="shared" ca="1" si="9"/>
        <v>28878689</v>
      </c>
    </row>
    <row r="69" spans="1:10" s="18" customFormat="1" ht="18" customHeight="1">
      <c r="A69" s="9">
        <f ca="1">IF(ROWS($1:56)&gt;COUNT(Dong),"",OFFSET(TH!C$1,SMALL(Dong,ROWS($1:56)),))</f>
        <v>41291</v>
      </c>
      <c r="B69" s="9" t="str">
        <f ca="1">IF(ROWS($1:56)&gt;COUNT(Dong),"",OFFSET(TH!D$1,SMALL(Dong,ROWS($1:56)),))</f>
        <v>NL/N10</v>
      </c>
      <c r="C69" s="9">
        <f ca="1">IF(ROWS($1:56)&gt;COUNT(Dong),"",OFFSET(TH!E$1,SMALL(Dong,ROWS($1:56)),))</f>
        <v>41291</v>
      </c>
      <c r="D69" s="226" t="str">
        <f ca="1">IF(ROWS($1:56)&gt;COUNT(Dong),"",OFFSET(TH!F$1,SMALL(Dong,ROWS($1:56)),))</f>
        <v>Giấy tấm 2 vàng + 3 xeo (1320x1240)</v>
      </c>
      <c r="E69" s="46" t="str">
        <f ca="1">IF(ROWS($1:56)&gt;COUNT(Dong),"",IF(OFFSET(TH!L$1,SMALL(Dong,ROWS($1:56)),)="331",OFFSET(TH!M$1,SMALL(Dong,ROWS($1:56)),),OFFSET(TH!L$1,SMALL(Dong,ROWS($1:56)),)))</f>
        <v>1521</v>
      </c>
      <c r="F69" s="46"/>
      <c r="G69" s="58">
        <f ca="1">IF(ROWS($1:56)&gt;COUNT(Dong),"",IF(OFFSET(TH!L$1,SMALL(Dong,ROWS($1:56)),)="331",OFFSET(TH!K$1,SMALL(Dong,ROWS($1:56)),),0))</f>
        <v>0</v>
      </c>
      <c r="H69" s="58">
        <f ca="1">IF(ROWS($1:56)&gt;COUNT(Dong),"",IF(OFFSET(TH!M$1,SMALL(Dong,ROWS($1:56)),)="331",OFFSET(TH!K$1,SMALL(Dong,ROWS($1:56)),),0))</f>
        <v>785650</v>
      </c>
      <c r="I69" s="25">
        <f t="shared" ca="1" si="8"/>
        <v>0</v>
      </c>
      <c r="J69" s="25">
        <f t="shared" ca="1" si="9"/>
        <v>29664339</v>
      </c>
    </row>
    <row r="70" spans="1:10" s="18" customFormat="1" ht="18" customHeight="1">
      <c r="A70" s="9">
        <f ca="1">IF(ROWS($1:57)&gt;COUNT(Dong),"",OFFSET(TH!C$1,SMALL(Dong,ROWS($1:57)),))</f>
        <v>41291</v>
      </c>
      <c r="B70" s="9" t="str">
        <f ca="1">IF(ROWS($1:57)&gt;COUNT(Dong),"",OFFSET(TH!D$1,SMALL(Dong,ROWS($1:57)),))</f>
        <v>NL/N10</v>
      </c>
      <c r="C70" s="9">
        <f ca="1">IF(ROWS($1:57)&gt;COUNT(Dong),"",OFFSET(TH!E$1,SMALL(Dong,ROWS($1:57)),))</f>
        <v>41291</v>
      </c>
      <c r="D70" s="226" t="str">
        <f ca="1">IF(ROWS($1:57)&gt;COUNT(Dong),"",OFFSET(TH!F$1,SMALL(Dong,ROWS($1:57)),))</f>
        <v>VAT Giấy tấm</v>
      </c>
      <c r="E70" s="46" t="str">
        <f ca="1">IF(ROWS($1:57)&gt;COUNT(Dong),"",IF(OFFSET(TH!L$1,SMALL(Dong,ROWS($1:57)),)="331",OFFSET(TH!M$1,SMALL(Dong,ROWS($1:57)),),OFFSET(TH!L$1,SMALL(Dong,ROWS($1:57)),)))</f>
        <v>1331</v>
      </c>
      <c r="F70" s="46"/>
      <c r="G70" s="58">
        <f ca="1">IF(ROWS($1:57)&gt;COUNT(Dong),"",IF(OFFSET(TH!L$1,SMALL(Dong,ROWS($1:57)),)="331",OFFSET(TH!K$1,SMALL(Dong,ROWS($1:57)),),0))</f>
        <v>0</v>
      </c>
      <c r="H70" s="58">
        <f ca="1">IF(ROWS($1:57)&gt;COUNT(Dong),"",IF(OFFSET(TH!M$1,SMALL(Dong,ROWS($1:57)),)="331",OFFSET(TH!K$1,SMALL(Dong,ROWS($1:57)),),0))</f>
        <v>1159824</v>
      </c>
      <c r="I70" s="25">
        <f t="shared" ca="1" si="8"/>
        <v>0</v>
      </c>
      <c r="J70" s="25">
        <f t="shared" ca="1" si="9"/>
        <v>30824163</v>
      </c>
    </row>
    <row r="71" spans="1:10" s="18" customFormat="1" ht="18" customHeight="1">
      <c r="A71" s="9">
        <f ca="1">IF(ROWS($1:58)&gt;COUNT(Dong),"",OFFSET(TH!C$1,SMALL(Dong,ROWS($1:58)),))</f>
        <v>41291</v>
      </c>
      <c r="B71" s="9" t="str">
        <f ca="1">IF(ROWS($1:58)&gt;COUNT(Dong),"",OFFSET(TH!D$1,SMALL(Dong,ROWS($1:58)),))</f>
        <v>NL/N10</v>
      </c>
      <c r="C71" s="9">
        <f ca="1">IF(ROWS($1:58)&gt;COUNT(Dong),"",OFFSET(TH!E$1,SMALL(Dong,ROWS($1:58)),))</f>
        <v>41291</v>
      </c>
      <c r="D71" s="226" t="str">
        <f ca="1">IF(ROWS($1:58)&gt;COUNT(Dong),"",OFFSET(TH!F$1,SMALL(Dong,ROWS($1:58)),))</f>
        <v>Thanh toán tiền hàng</v>
      </c>
      <c r="E71" s="46" t="str">
        <f ca="1">IF(ROWS($1:58)&gt;COUNT(Dong),"",IF(OFFSET(TH!L$1,SMALL(Dong,ROWS($1:58)),)="331",OFFSET(TH!M$1,SMALL(Dong,ROWS($1:58)),),OFFSET(TH!L$1,SMALL(Dong,ROWS($1:58)),)))</f>
        <v>1111</v>
      </c>
      <c r="F71" s="46"/>
      <c r="G71" s="58">
        <f ca="1">IF(ROWS($1:58)&gt;COUNT(Dong),"",IF(OFFSET(TH!L$1,SMALL(Dong,ROWS($1:58)),)="331",OFFSET(TH!K$1,SMALL(Dong,ROWS($1:58)),),0))</f>
        <v>12758072</v>
      </c>
      <c r="H71" s="58">
        <f ca="1">IF(ROWS($1:58)&gt;COUNT(Dong),"",IF(OFFSET(TH!M$1,SMALL(Dong,ROWS($1:58)),)="331",OFFSET(TH!K$1,SMALL(Dong,ROWS($1:58)),),0))</f>
        <v>0</v>
      </c>
      <c r="I71" s="25">
        <f t="shared" ca="1" si="8"/>
        <v>0</v>
      </c>
      <c r="J71" s="25">
        <f t="shared" ca="1" si="9"/>
        <v>18066091</v>
      </c>
    </row>
    <row r="72" spans="1:10" s="18" customFormat="1" ht="18" customHeight="1">
      <c r="A72" s="9">
        <f ca="1">IF(ROWS($1:59)&gt;COUNT(Dong),"",OFFSET(TH!C$1,SMALL(Dong,ROWS($1:59)),))</f>
        <v>41292</v>
      </c>
      <c r="B72" s="9" t="str">
        <f ca="1">IF(ROWS($1:59)&gt;COUNT(Dong),"",OFFSET(TH!D$1,SMALL(Dong,ROWS($1:59)),))</f>
        <v>NL/N11</v>
      </c>
      <c r="C72" s="9">
        <f ca="1">IF(ROWS($1:59)&gt;COUNT(Dong),"",OFFSET(TH!E$1,SMALL(Dong,ROWS($1:59)),))</f>
        <v>41292</v>
      </c>
      <c r="D72" s="226" t="str">
        <f ca="1">IF(ROWS($1:59)&gt;COUNT(Dong),"",OFFSET(TH!F$1,SMALL(Dong,ROWS($1:59)),))</f>
        <v>Giấy tấm 1 trắng + 3 xeo + 1 vàng (1770x1050)</v>
      </c>
      <c r="E72" s="46" t="str">
        <f ca="1">IF(ROWS($1:59)&gt;COUNT(Dong),"",IF(OFFSET(TH!L$1,SMALL(Dong,ROWS($1:59)),)="331",OFFSET(TH!M$1,SMALL(Dong,ROWS($1:59)),),OFFSET(TH!L$1,SMALL(Dong,ROWS($1:59)),)))</f>
        <v>1521</v>
      </c>
      <c r="F72" s="46"/>
      <c r="G72" s="58">
        <f ca="1">IF(ROWS($1:59)&gt;COUNT(Dong),"",IF(OFFSET(TH!L$1,SMALL(Dong,ROWS($1:59)),)="331",OFFSET(TH!K$1,SMALL(Dong,ROWS($1:59)),),0))</f>
        <v>0</v>
      </c>
      <c r="H72" s="58">
        <f ca="1">IF(ROWS($1:59)&gt;COUNT(Dong),"",IF(OFFSET(TH!M$1,SMALL(Dong,ROWS($1:59)),)="331",OFFSET(TH!K$1,SMALL(Dong,ROWS($1:59)),),0))</f>
        <v>4898014</v>
      </c>
      <c r="I72" s="25">
        <f t="shared" ca="1" si="8"/>
        <v>0</v>
      </c>
      <c r="J72" s="25">
        <f t="shared" ca="1" si="9"/>
        <v>22964105</v>
      </c>
    </row>
    <row r="73" spans="1:10" s="18" customFormat="1" ht="18" customHeight="1">
      <c r="A73" s="9">
        <f ca="1">IF(ROWS($1:60)&gt;COUNT(Dong),"",OFFSET(TH!C$1,SMALL(Dong,ROWS($1:60)),))</f>
        <v>41292</v>
      </c>
      <c r="B73" s="9" t="str">
        <f ca="1">IF(ROWS($1:60)&gt;COUNT(Dong),"",OFFSET(TH!D$1,SMALL(Dong,ROWS($1:60)),))</f>
        <v>NL/N11</v>
      </c>
      <c r="C73" s="9">
        <f ca="1">IF(ROWS($1:60)&gt;COUNT(Dong),"",OFFSET(TH!E$1,SMALL(Dong,ROWS($1:60)),))</f>
        <v>41292</v>
      </c>
      <c r="D73" s="226" t="str">
        <f ca="1">IF(ROWS($1:60)&gt;COUNT(Dong),"",OFFSET(TH!F$1,SMALL(Dong,ROWS($1:60)),))</f>
        <v>Giấy tấm 1 trắng + 3 xeo + 1 vàng (1880x1585)</v>
      </c>
      <c r="E73" s="46" t="str">
        <f ca="1">IF(ROWS($1:60)&gt;COUNT(Dong),"",IF(OFFSET(TH!L$1,SMALL(Dong,ROWS($1:60)),)="331",OFFSET(TH!M$1,SMALL(Dong,ROWS($1:60)),),OFFSET(TH!L$1,SMALL(Dong,ROWS($1:60)),)))</f>
        <v>1521</v>
      </c>
      <c r="F73" s="46"/>
      <c r="G73" s="58">
        <f ca="1">IF(ROWS($1:60)&gt;COUNT(Dong),"",IF(OFFSET(TH!L$1,SMALL(Dong,ROWS($1:60)),)="331",OFFSET(TH!K$1,SMALL(Dong,ROWS($1:60)),),0))</f>
        <v>0</v>
      </c>
      <c r="H73" s="58">
        <f ca="1">IF(ROWS($1:60)&gt;COUNT(Dong),"",IF(OFFSET(TH!M$1,SMALL(Dong,ROWS($1:60)),)="331",OFFSET(TH!K$1,SMALL(Dong,ROWS($1:60)),),0))</f>
        <v>7822000</v>
      </c>
      <c r="I73" s="25">
        <f t="shared" ca="1" si="8"/>
        <v>0</v>
      </c>
      <c r="J73" s="25">
        <f t="shared" ca="1" si="9"/>
        <v>30786105</v>
      </c>
    </row>
    <row r="74" spans="1:10" s="18" customFormat="1" ht="18" customHeight="1">
      <c r="A74" s="9">
        <f ca="1">IF(ROWS($1:61)&gt;COUNT(Dong),"",OFFSET(TH!C$1,SMALL(Dong,ROWS($1:61)),))</f>
        <v>41292</v>
      </c>
      <c r="B74" s="9" t="str">
        <f ca="1">IF(ROWS($1:61)&gt;COUNT(Dong),"",OFFSET(TH!D$1,SMALL(Dong,ROWS($1:61)),))</f>
        <v>NL/N11</v>
      </c>
      <c r="C74" s="9">
        <f ca="1">IF(ROWS($1:61)&gt;COUNT(Dong),"",OFFSET(TH!E$1,SMALL(Dong,ROWS($1:61)),))</f>
        <v>41292</v>
      </c>
      <c r="D74" s="226" t="str">
        <f ca="1">IF(ROWS($1:61)&gt;COUNT(Dong),"",OFFSET(TH!F$1,SMALL(Dong,ROWS($1:61)),))</f>
        <v>VAT Giấy tấm</v>
      </c>
      <c r="E74" s="46" t="str">
        <f ca="1">IF(ROWS($1:61)&gt;COUNT(Dong),"",IF(OFFSET(TH!L$1,SMALL(Dong,ROWS($1:61)),)="331",OFFSET(TH!M$1,SMALL(Dong,ROWS($1:61)),),OFFSET(TH!L$1,SMALL(Dong,ROWS($1:61)),)))</f>
        <v>1331</v>
      </c>
      <c r="F74" s="46"/>
      <c r="G74" s="58">
        <f ca="1">IF(ROWS($1:61)&gt;COUNT(Dong),"",IF(OFFSET(TH!L$1,SMALL(Dong,ROWS($1:61)),)="331",OFFSET(TH!K$1,SMALL(Dong,ROWS($1:61)),),0))</f>
        <v>0</v>
      </c>
      <c r="H74" s="58">
        <f ca="1">IF(ROWS($1:61)&gt;COUNT(Dong),"",IF(OFFSET(TH!M$1,SMALL(Dong,ROWS($1:61)),)="331",OFFSET(TH!K$1,SMALL(Dong,ROWS($1:61)),),0))</f>
        <v>1272001</v>
      </c>
      <c r="I74" s="25">
        <f t="shared" ca="1" si="8"/>
        <v>0</v>
      </c>
      <c r="J74" s="25">
        <f t="shared" ca="1" si="9"/>
        <v>32058106</v>
      </c>
    </row>
    <row r="75" spans="1:10" s="18" customFormat="1" ht="18" customHeight="1">
      <c r="A75" s="9">
        <f ca="1">IF(ROWS($1:62)&gt;COUNT(Dong),"",OFFSET(TH!C$1,SMALL(Dong,ROWS($1:62)),))</f>
        <v>41292</v>
      </c>
      <c r="B75" s="9" t="str">
        <f ca="1">IF(ROWS($1:62)&gt;COUNT(Dong),"",OFFSET(TH!D$1,SMALL(Dong,ROWS($1:62)),))</f>
        <v>NL/N11</v>
      </c>
      <c r="C75" s="9">
        <f ca="1">IF(ROWS($1:62)&gt;COUNT(Dong),"",OFFSET(TH!E$1,SMALL(Dong,ROWS($1:62)),))</f>
        <v>41292</v>
      </c>
      <c r="D75" s="226" t="str">
        <f ca="1">IF(ROWS($1:62)&gt;COUNT(Dong),"",OFFSET(TH!F$1,SMALL(Dong,ROWS($1:62)),))</f>
        <v>Thanh toán tiền hàng</v>
      </c>
      <c r="E75" s="46" t="str">
        <f ca="1">IF(ROWS($1:62)&gt;COUNT(Dong),"",IF(OFFSET(TH!L$1,SMALL(Dong,ROWS($1:62)),)="331",OFFSET(TH!M$1,SMALL(Dong,ROWS($1:62)),),OFFSET(TH!L$1,SMALL(Dong,ROWS($1:62)),)))</f>
        <v>1111</v>
      </c>
      <c r="F75" s="46"/>
      <c r="G75" s="58">
        <f ca="1">IF(ROWS($1:62)&gt;COUNT(Dong),"",IF(OFFSET(TH!L$1,SMALL(Dong,ROWS($1:62)),)="331",OFFSET(TH!K$1,SMALL(Dong,ROWS($1:62)),),0))</f>
        <v>13992015</v>
      </c>
      <c r="H75" s="58">
        <f ca="1">IF(ROWS($1:62)&gt;COUNT(Dong),"",IF(OFFSET(TH!M$1,SMALL(Dong,ROWS($1:62)),)="331",OFFSET(TH!K$1,SMALL(Dong,ROWS($1:62)),),0))</f>
        <v>0</v>
      </c>
      <c r="I75" s="25">
        <f t="shared" ca="1" si="8"/>
        <v>0</v>
      </c>
      <c r="J75" s="25">
        <f t="shared" ca="1" si="9"/>
        <v>18066091</v>
      </c>
    </row>
    <row r="76" spans="1:10" s="18" customFormat="1" ht="18" customHeight="1">
      <c r="A76" s="9">
        <f ca="1">IF(ROWS($1:63)&gt;COUNT(Dong),"",OFFSET(TH!C$1,SMALL(Dong,ROWS($1:63)),))</f>
        <v>41295</v>
      </c>
      <c r="B76" s="9" t="str">
        <f ca="1">IF(ROWS($1:63)&gt;COUNT(Dong),"",OFFSET(TH!D$1,SMALL(Dong,ROWS($1:63)),))</f>
        <v>NL/N12</v>
      </c>
      <c r="C76" s="9">
        <f ca="1">IF(ROWS($1:63)&gt;COUNT(Dong),"",OFFSET(TH!E$1,SMALL(Dong,ROWS($1:63)),))</f>
        <v>41295</v>
      </c>
      <c r="D76" s="226" t="str">
        <f ca="1">IF(ROWS($1:63)&gt;COUNT(Dong),"",OFFSET(TH!F$1,SMALL(Dong,ROWS($1:63)),))</f>
        <v>Giấy tấm 1 vàng + 2 xeo (1210x1100)</v>
      </c>
      <c r="E76" s="46" t="str">
        <f ca="1">IF(ROWS($1:63)&gt;COUNT(Dong),"",IF(OFFSET(TH!L$1,SMALL(Dong,ROWS($1:63)),)="331",OFFSET(TH!M$1,SMALL(Dong,ROWS($1:63)),),OFFSET(TH!L$1,SMALL(Dong,ROWS($1:63)),)))</f>
        <v>1521</v>
      </c>
      <c r="F76" s="46"/>
      <c r="G76" s="58">
        <f ca="1">IF(ROWS($1:63)&gt;COUNT(Dong),"",IF(OFFSET(TH!L$1,SMALL(Dong,ROWS($1:63)),)="331",OFFSET(TH!K$1,SMALL(Dong,ROWS($1:63)),),0))</f>
        <v>0</v>
      </c>
      <c r="H76" s="58">
        <f ca="1">IF(ROWS($1:63)&gt;COUNT(Dong),"",IF(OFFSET(TH!M$1,SMALL(Dong,ROWS($1:63)),)="331",OFFSET(TH!K$1,SMALL(Dong,ROWS($1:63)),),0))</f>
        <v>5743725</v>
      </c>
      <c r="I76" s="25">
        <f t="shared" ca="1" si="8"/>
        <v>0</v>
      </c>
      <c r="J76" s="25">
        <f t="shared" ca="1" si="9"/>
        <v>23809816</v>
      </c>
    </row>
    <row r="77" spans="1:10" s="18" customFormat="1" ht="18" customHeight="1">
      <c r="A77" s="9">
        <f ca="1">IF(ROWS($1:64)&gt;COUNT(Dong),"",OFFSET(TH!C$1,SMALL(Dong,ROWS($1:64)),))</f>
        <v>41295</v>
      </c>
      <c r="B77" s="9" t="str">
        <f ca="1">IF(ROWS($1:64)&gt;COUNT(Dong),"",OFFSET(TH!D$1,SMALL(Dong,ROWS($1:64)),))</f>
        <v>NL/N12</v>
      </c>
      <c r="C77" s="9">
        <f ca="1">IF(ROWS($1:64)&gt;COUNT(Dong),"",OFFSET(TH!E$1,SMALL(Dong,ROWS($1:64)),))</f>
        <v>41295</v>
      </c>
      <c r="D77" s="226" t="str">
        <f ca="1">IF(ROWS($1:64)&gt;COUNT(Dong),"",OFFSET(TH!F$1,SMALL(Dong,ROWS($1:64)),))</f>
        <v>Giấy tấm 2 vàng + 3 xeo (1400x1100)</v>
      </c>
      <c r="E77" s="46" t="str">
        <f ca="1">IF(ROWS($1:64)&gt;COUNT(Dong),"",IF(OFFSET(TH!L$1,SMALL(Dong,ROWS($1:64)),)="331",OFFSET(TH!M$1,SMALL(Dong,ROWS($1:64)),),OFFSET(TH!L$1,SMALL(Dong,ROWS($1:64)),)))</f>
        <v>1521</v>
      </c>
      <c r="F77" s="46"/>
      <c r="G77" s="58">
        <f ca="1">IF(ROWS($1:64)&gt;COUNT(Dong),"",IF(OFFSET(TH!L$1,SMALL(Dong,ROWS($1:64)),)="331",OFFSET(TH!K$1,SMALL(Dong,ROWS($1:64)),),0))</f>
        <v>0</v>
      </c>
      <c r="H77" s="58">
        <f ca="1">IF(ROWS($1:64)&gt;COUNT(Dong),"",IF(OFFSET(TH!M$1,SMALL(Dong,ROWS($1:64)),)="331",OFFSET(TH!K$1,SMALL(Dong,ROWS($1:64)),),0))</f>
        <v>3562944</v>
      </c>
      <c r="I77" s="25">
        <f t="shared" ca="1" si="8"/>
        <v>0</v>
      </c>
      <c r="J77" s="25">
        <f t="shared" ca="1" si="9"/>
        <v>27372760</v>
      </c>
    </row>
    <row r="78" spans="1:10" s="18" customFormat="1" ht="18" customHeight="1">
      <c r="A78" s="9">
        <f ca="1">IF(ROWS($1:65)&gt;COUNT(Dong),"",OFFSET(TH!C$1,SMALL(Dong,ROWS($1:65)),))</f>
        <v>41295</v>
      </c>
      <c r="B78" s="9" t="str">
        <f ca="1">IF(ROWS($1:65)&gt;COUNT(Dong),"",OFFSET(TH!D$1,SMALL(Dong,ROWS($1:65)),))</f>
        <v>NL/N12</v>
      </c>
      <c r="C78" s="9">
        <f ca="1">IF(ROWS($1:65)&gt;COUNT(Dong),"",OFFSET(TH!E$1,SMALL(Dong,ROWS($1:65)),))</f>
        <v>41295</v>
      </c>
      <c r="D78" s="226" t="str">
        <f ca="1">IF(ROWS($1:65)&gt;COUNT(Dong),"",OFFSET(TH!F$1,SMALL(Dong,ROWS($1:65)),))</f>
        <v>VAT Giấy tấm</v>
      </c>
      <c r="E78" s="46" t="str">
        <f ca="1">IF(ROWS($1:65)&gt;COUNT(Dong),"",IF(OFFSET(TH!L$1,SMALL(Dong,ROWS($1:65)),)="331",OFFSET(TH!M$1,SMALL(Dong,ROWS($1:65)),),OFFSET(TH!L$1,SMALL(Dong,ROWS($1:65)),)))</f>
        <v>1331</v>
      </c>
      <c r="F78" s="46"/>
      <c r="G78" s="58">
        <f ca="1">IF(ROWS($1:65)&gt;COUNT(Dong),"",IF(OFFSET(TH!L$1,SMALL(Dong,ROWS($1:65)),)="331",OFFSET(TH!K$1,SMALL(Dong,ROWS($1:65)),),0))</f>
        <v>0</v>
      </c>
      <c r="H78" s="58">
        <f ca="1">IF(ROWS($1:65)&gt;COUNT(Dong),"",IF(OFFSET(TH!M$1,SMALL(Dong,ROWS($1:65)),)="331",OFFSET(TH!K$1,SMALL(Dong,ROWS($1:65)),),0))</f>
        <v>930667</v>
      </c>
      <c r="I78" s="25">
        <f t="shared" ca="1" si="8"/>
        <v>0</v>
      </c>
      <c r="J78" s="25">
        <f t="shared" ca="1" si="9"/>
        <v>28303427</v>
      </c>
    </row>
    <row r="79" spans="1:10" s="18" customFormat="1" ht="18" customHeight="1">
      <c r="A79" s="9">
        <f ca="1">IF(ROWS($1:66)&gt;COUNT(Dong),"",OFFSET(TH!C$1,SMALL(Dong,ROWS($1:66)),))</f>
        <v>41295</v>
      </c>
      <c r="B79" s="9" t="str">
        <f ca="1">IF(ROWS($1:66)&gt;COUNT(Dong),"",OFFSET(TH!D$1,SMALL(Dong,ROWS($1:66)),))</f>
        <v>NL/N12</v>
      </c>
      <c r="C79" s="9">
        <f ca="1">IF(ROWS($1:66)&gt;COUNT(Dong),"",OFFSET(TH!E$1,SMALL(Dong,ROWS($1:66)),))</f>
        <v>41295</v>
      </c>
      <c r="D79" s="226" t="str">
        <f ca="1">IF(ROWS($1:66)&gt;COUNT(Dong),"",OFFSET(TH!F$1,SMALL(Dong,ROWS($1:66)),))</f>
        <v>Thanh toán tiền hàng</v>
      </c>
      <c r="E79" s="46" t="str">
        <f ca="1">IF(ROWS($1:66)&gt;COUNT(Dong),"",IF(OFFSET(TH!L$1,SMALL(Dong,ROWS($1:66)),)="331",OFFSET(TH!M$1,SMALL(Dong,ROWS($1:66)),),OFFSET(TH!L$1,SMALL(Dong,ROWS($1:66)),)))</f>
        <v>1111</v>
      </c>
      <c r="F79" s="46"/>
      <c r="G79" s="58">
        <f ca="1">IF(ROWS($1:66)&gt;COUNT(Dong),"",IF(OFFSET(TH!L$1,SMALL(Dong,ROWS($1:66)),)="331",OFFSET(TH!K$1,SMALL(Dong,ROWS($1:66)),),0))</f>
        <v>10237336</v>
      </c>
      <c r="H79" s="58">
        <f ca="1">IF(ROWS($1:66)&gt;COUNT(Dong),"",IF(OFFSET(TH!M$1,SMALL(Dong,ROWS($1:66)),)="331",OFFSET(TH!K$1,SMALL(Dong,ROWS($1:66)),),0))</f>
        <v>0</v>
      </c>
      <c r="I79" s="25">
        <f t="shared" ca="1" si="8"/>
        <v>0</v>
      </c>
      <c r="J79" s="25">
        <f t="shared" ca="1" si="9"/>
        <v>18066091</v>
      </c>
    </row>
    <row r="80" spans="1:10" s="18" customFormat="1" ht="18" customHeight="1">
      <c r="A80" s="9">
        <f ca="1">IF(ROWS($1:67)&gt;COUNT(Dong),"",OFFSET(TH!C$1,SMALL(Dong,ROWS($1:67)),))</f>
        <v>41298</v>
      </c>
      <c r="B80" s="9" t="str">
        <f ca="1">IF(ROWS($1:67)&gt;COUNT(Dong),"",OFFSET(TH!D$1,SMALL(Dong,ROWS($1:67)),))</f>
        <v>NL/N13</v>
      </c>
      <c r="C80" s="9">
        <f ca="1">IF(ROWS($1:67)&gt;COUNT(Dong),"",OFFSET(TH!E$1,SMALL(Dong,ROWS($1:67)),))</f>
        <v>41298</v>
      </c>
      <c r="D80" s="226" t="str">
        <f ca="1">IF(ROWS($1:67)&gt;COUNT(Dong),"",OFFSET(TH!F$1,SMALL(Dong,ROWS($1:67)),))</f>
        <v>Giấy tấm 1 vàng + 4 xeo (1560x1350)</v>
      </c>
      <c r="E80" s="46" t="str">
        <f ca="1">IF(ROWS($1:67)&gt;COUNT(Dong),"",IF(OFFSET(TH!L$1,SMALL(Dong,ROWS($1:67)),)="331",OFFSET(TH!M$1,SMALL(Dong,ROWS($1:67)),),OFFSET(TH!L$1,SMALL(Dong,ROWS($1:67)),)))</f>
        <v>1521</v>
      </c>
      <c r="F80" s="46"/>
      <c r="G80" s="58">
        <f ca="1">IF(ROWS($1:67)&gt;COUNT(Dong),"",IF(OFFSET(TH!L$1,SMALL(Dong,ROWS($1:67)),)="331",OFFSET(TH!K$1,SMALL(Dong,ROWS($1:67)),),0))</f>
        <v>0</v>
      </c>
      <c r="H80" s="58">
        <f ca="1">IF(ROWS($1:67)&gt;COUNT(Dong),"",IF(OFFSET(TH!M$1,SMALL(Dong,ROWS($1:67)),)="331",OFFSET(TH!K$1,SMALL(Dong,ROWS($1:67)),),0))</f>
        <v>3834730</v>
      </c>
      <c r="I80" s="25">
        <f t="shared" ca="1" si="8"/>
        <v>0</v>
      </c>
      <c r="J80" s="25">
        <f t="shared" ca="1" si="9"/>
        <v>21900821</v>
      </c>
    </row>
    <row r="81" spans="1:10" s="18" customFormat="1" ht="18" customHeight="1">
      <c r="A81" s="9">
        <f ca="1">IF(ROWS($1:68)&gt;COUNT(Dong),"",OFFSET(TH!C$1,SMALL(Dong,ROWS($1:68)),))</f>
        <v>41298</v>
      </c>
      <c r="B81" s="9" t="str">
        <f ca="1">IF(ROWS($1:68)&gt;COUNT(Dong),"",OFFSET(TH!D$1,SMALL(Dong,ROWS($1:68)),))</f>
        <v>NL/N13</v>
      </c>
      <c r="C81" s="9">
        <f ca="1">IF(ROWS($1:68)&gt;COUNT(Dong),"",OFFSET(TH!E$1,SMALL(Dong,ROWS($1:68)),))</f>
        <v>41298</v>
      </c>
      <c r="D81" s="226" t="str">
        <f ca="1">IF(ROWS($1:68)&gt;COUNT(Dong),"",OFFSET(TH!F$1,SMALL(Dong,ROWS($1:68)),))</f>
        <v>Giấy tấm 1 vàng + 2 xeo (1350x1000)</v>
      </c>
      <c r="E81" s="46" t="str">
        <f ca="1">IF(ROWS($1:68)&gt;COUNT(Dong),"",IF(OFFSET(TH!L$1,SMALL(Dong,ROWS($1:68)),)="331",OFFSET(TH!M$1,SMALL(Dong,ROWS($1:68)),),OFFSET(TH!L$1,SMALL(Dong,ROWS($1:68)),)))</f>
        <v>1521</v>
      </c>
      <c r="F81" s="46"/>
      <c r="G81" s="58">
        <f ca="1">IF(ROWS($1:68)&gt;COUNT(Dong),"",IF(OFFSET(TH!L$1,SMALL(Dong,ROWS($1:68)),)="331",OFFSET(TH!K$1,SMALL(Dong,ROWS($1:68)),),0))</f>
        <v>0</v>
      </c>
      <c r="H81" s="58">
        <f ca="1">IF(ROWS($1:68)&gt;COUNT(Dong),"",IF(OFFSET(TH!M$1,SMALL(Dong,ROWS($1:68)),)="331",OFFSET(TH!K$1,SMALL(Dong,ROWS($1:68)),),0))</f>
        <v>4252500</v>
      </c>
      <c r="I81" s="25">
        <f t="shared" ca="1" si="8"/>
        <v>0</v>
      </c>
      <c r="J81" s="25">
        <f t="shared" ca="1" si="9"/>
        <v>26153321</v>
      </c>
    </row>
    <row r="82" spans="1:10" s="18" customFormat="1" ht="18" customHeight="1">
      <c r="A82" s="9">
        <f ca="1">IF(ROWS($1:69)&gt;COUNT(Dong),"",OFFSET(TH!C$1,SMALL(Dong,ROWS($1:69)),))</f>
        <v>41298</v>
      </c>
      <c r="B82" s="9" t="str">
        <f ca="1">IF(ROWS($1:69)&gt;COUNT(Dong),"",OFFSET(TH!D$1,SMALL(Dong,ROWS($1:69)),))</f>
        <v>NL/N13</v>
      </c>
      <c r="C82" s="9">
        <f ca="1">IF(ROWS($1:69)&gt;COUNT(Dong),"",OFFSET(TH!E$1,SMALL(Dong,ROWS($1:69)),))</f>
        <v>41298</v>
      </c>
      <c r="D82" s="226" t="str">
        <f ca="1">IF(ROWS($1:69)&gt;COUNT(Dong),"",OFFSET(TH!F$1,SMALL(Dong,ROWS($1:69)),))</f>
        <v>VAT Giấy tấm</v>
      </c>
      <c r="E82" s="46" t="str">
        <f ca="1">IF(ROWS($1:69)&gt;COUNT(Dong),"",IF(OFFSET(TH!L$1,SMALL(Dong,ROWS($1:69)),)="331",OFFSET(TH!M$1,SMALL(Dong,ROWS($1:69)),),OFFSET(TH!L$1,SMALL(Dong,ROWS($1:69)),)))</f>
        <v>1331</v>
      </c>
      <c r="F82" s="46"/>
      <c r="G82" s="58">
        <f ca="1">IF(ROWS($1:69)&gt;COUNT(Dong),"",IF(OFFSET(TH!L$1,SMALL(Dong,ROWS($1:69)),)="331",OFFSET(TH!K$1,SMALL(Dong,ROWS($1:69)),),0))</f>
        <v>0</v>
      </c>
      <c r="H82" s="58">
        <f ca="1">IF(ROWS($1:69)&gt;COUNT(Dong),"",IF(OFFSET(TH!M$1,SMALL(Dong,ROWS($1:69)),)="331",OFFSET(TH!K$1,SMALL(Dong,ROWS($1:69)),),0))</f>
        <v>808723</v>
      </c>
      <c r="I82" s="25">
        <f t="shared" ca="1" si="8"/>
        <v>0</v>
      </c>
      <c r="J82" s="25">
        <f t="shared" ca="1" si="9"/>
        <v>26962044</v>
      </c>
    </row>
    <row r="83" spans="1:10" s="18" customFormat="1" ht="18" customHeight="1">
      <c r="A83" s="9">
        <f ca="1">IF(ROWS($1:70)&gt;COUNT(Dong),"",OFFSET(TH!C$1,SMALL(Dong,ROWS($1:70)),))</f>
        <v>41298</v>
      </c>
      <c r="B83" s="9" t="str">
        <f ca="1">IF(ROWS($1:70)&gt;COUNT(Dong),"",OFFSET(TH!D$1,SMALL(Dong,ROWS($1:70)),))</f>
        <v>NL/N13</v>
      </c>
      <c r="C83" s="9">
        <f ca="1">IF(ROWS($1:70)&gt;COUNT(Dong),"",OFFSET(TH!E$1,SMALL(Dong,ROWS($1:70)),))</f>
        <v>41298</v>
      </c>
      <c r="D83" s="226" t="str">
        <f ca="1">IF(ROWS($1:70)&gt;COUNT(Dong),"",OFFSET(TH!F$1,SMALL(Dong,ROWS($1:70)),))</f>
        <v>Thanh toán tiền hàng</v>
      </c>
      <c r="E83" s="46" t="str">
        <f ca="1">IF(ROWS($1:70)&gt;COUNT(Dong),"",IF(OFFSET(TH!L$1,SMALL(Dong,ROWS($1:70)),)="331",OFFSET(TH!M$1,SMALL(Dong,ROWS($1:70)),),OFFSET(TH!L$1,SMALL(Dong,ROWS($1:70)),)))</f>
        <v>1111</v>
      </c>
      <c r="F83" s="46"/>
      <c r="G83" s="58">
        <f ca="1">IF(ROWS($1:70)&gt;COUNT(Dong),"",IF(OFFSET(TH!L$1,SMALL(Dong,ROWS($1:70)),)="331",OFFSET(TH!K$1,SMALL(Dong,ROWS($1:70)),),0))</f>
        <v>8895953</v>
      </c>
      <c r="H83" s="58">
        <f ca="1">IF(ROWS($1:70)&gt;COUNT(Dong),"",IF(OFFSET(TH!M$1,SMALL(Dong,ROWS($1:70)),)="331",OFFSET(TH!K$1,SMALL(Dong,ROWS($1:70)),),0))</f>
        <v>0</v>
      </c>
      <c r="I83" s="25">
        <f t="shared" ca="1" si="8"/>
        <v>0</v>
      </c>
      <c r="J83" s="25">
        <f t="shared" ca="1" si="9"/>
        <v>18066091</v>
      </c>
    </row>
    <row r="84" spans="1:10" s="18" customFormat="1" ht="18" customHeight="1">
      <c r="A84" s="9">
        <f ca="1">IF(ROWS($1:71)&gt;COUNT(Dong),"",OFFSET(TH!C$1,SMALL(Dong,ROWS($1:71)),))</f>
        <v>41302</v>
      </c>
      <c r="B84" s="9" t="str">
        <f ca="1">IF(ROWS($1:71)&gt;COUNT(Dong),"",OFFSET(TH!D$1,SMALL(Dong,ROWS($1:71)),))</f>
        <v>NL/N14</v>
      </c>
      <c r="C84" s="9">
        <f ca="1">IF(ROWS($1:71)&gt;COUNT(Dong),"",OFFSET(TH!E$1,SMALL(Dong,ROWS($1:71)),))</f>
        <v>41302</v>
      </c>
      <c r="D84" s="226" t="str">
        <f ca="1">IF(ROWS($1:71)&gt;COUNT(Dong),"",OFFSET(TH!F$1,SMALL(Dong,ROWS($1:71)),))</f>
        <v>Giấy tấm 1 vàng + 4 xeo (1555x950)</v>
      </c>
      <c r="E84" s="46" t="str">
        <f ca="1">IF(ROWS($1:71)&gt;COUNT(Dong),"",IF(OFFSET(TH!L$1,SMALL(Dong,ROWS($1:71)),)="331",OFFSET(TH!M$1,SMALL(Dong,ROWS($1:71)),),OFFSET(TH!L$1,SMALL(Dong,ROWS($1:71)),)))</f>
        <v>1521</v>
      </c>
      <c r="F84" s="46"/>
      <c r="G84" s="58">
        <f ca="1">IF(ROWS($1:71)&gt;COUNT(Dong),"",IF(OFFSET(TH!L$1,SMALL(Dong,ROWS($1:71)),)="331",OFFSET(TH!K$1,SMALL(Dong,ROWS($1:71)),),0))</f>
        <v>0</v>
      </c>
      <c r="H84" s="58">
        <f ca="1">IF(ROWS($1:71)&gt;COUNT(Dong),"",IF(OFFSET(TH!M$1,SMALL(Dong,ROWS($1:71)),)="331",OFFSET(TH!K$1,SMALL(Dong,ROWS($1:71)),),0))</f>
        <v>2716917</v>
      </c>
      <c r="I84" s="25">
        <f t="shared" ca="1" si="8"/>
        <v>0</v>
      </c>
      <c r="J84" s="25">
        <f t="shared" ca="1" si="9"/>
        <v>20783008</v>
      </c>
    </row>
    <row r="85" spans="1:10" s="18" customFormat="1" ht="18" customHeight="1">
      <c r="A85" s="9">
        <f ca="1">IF(ROWS($1:72)&gt;COUNT(Dong),"",OFFSET(TH!C$1,SMALL(Dong,ROWS($1:72)),))</f>
        <v>41302</v>
      </c>
      <c r="B85" s="9" t="str">
        <f ca="1">IF(ROWS($1:72)&gt;COUNT(Dong),"",OFFSET(TH!D$1,SMALL(Dong,ROWS($1:72)),))</f>
        <v>NL/N14</v>
      </c>
      <c r="C85" s="9">
        <f ca="1">IF(ROWS($1:72)&gt;COUNT(Dong),"",OFFSET(TH!E$1,SMALL(Dong,ROWS($1:72)),))</f>
        <v>41302</v>
      </c>
      <c r="D85" s="226" t="str">
        <f ca="1">IF(ROWS($1:72)&gt;COUNT(Dong),"",OFFSET(TH!F$1,SMALL(Dong,ROWS($1:72)),))</f>
        <v>Giấy tấm 2 vàng + 3 xeo (1220x950)</v>
      </c>
      <c r="E85" s="46" t="str">
        <f ca="1">IF(ROWS($1:72)&gt;COUNT(Dong),"",IF(OFFSET(TH!L$1,SMALL(Dong,ROWS($1:72)),)="331",OFFSET(TH!M$1,SMALL(Dong,ROWS($1:72)),),OFFSET(TH!L$1,SMALL(Dong,ROWS($1:72)),)))</f>
        <v>1521</v>
      </c>
      <c r="F85" s="46"/>
      <c r="G85" s="58">
        <f ca="1">IF(ROWS($1:72)&gt;COUNT(Dong),"",IF(OFFSET(TH!L$1,SMALL(Dong,ROWS($1:72)),)="331",OFFSET(TH!K$1,SMALL(Dong,ROWS($1:72)),),0))</f>
        <v>0</v>
      </c>
      <c r="H85" s="58">
        <f ca="1">IF(ROWS($1:72)&gt;COUNT(Dong),"",IF(OFFSET(TH!M$1,SMALL(Dong,ROWS($1:72)),)="331",OFFSET(TH!K$1,SMALL(Dong,ROWS($1:72)),),0))</f>
        <v>2136192</v>
      </c>
      <c r="I85" s="25">
        <f t="shared" ca="1" si="8"/>
        <v>0</v>
      </c>
      <c r="J85" s="25">
        <f t="shared" ca="1" si="9"/>
        <v>22919200</v>
      </c>
    </row>
    <row r="86" spans="1:10" s="18" customFormat="1" ht="18" customHeight="1">
      <c r="A86" s="9">
        <f ca="1">IF(ROWS($1:73)&gt;COUNT(Dong),"",OFFSET(TH!C$1,SMALL(Dong,ROWS($1:73)),))</f>
        <v>41302</v>
      </c>
      <c r="B86" s="9" t="str">
        <f ca="1">IF(ROWS($1:73)&gt;COUNT(Dong),"",OFFSET(TH!D$1,SMALL(Dong,ROWS($1:73)),))</f>
        <v>NL/N14</v>
      </c>
      <c r="C86" s="9">
        <f ca="1">IF(ROWS($1:73)&gt;COUNT(Dong),"",OFFSET(TH!E$1,SMALL(Dong,ROWS($1:73)),))</f>
        <v>41302</v>
      </c>
      <c r="D86" s="226" t="str">
        <f ca="1">IF(ROWS($1:73)&gt;COUNT(Dong),"",OFFSET(TH!F$1,SMALL(Dong,ROWS($1:73)),))</f>
        <v>Giấy tấm 2 vàng + 3 xeo (1400x1100)</v>
      </c>
      <c r="E86" s="46" t="str">
        <f ca="1">IF(ROWS($1:73)&gt;COUNT(Dong),"",IF(OFFSET(TH!L$1,SMALL(Dong,ROWS($1:73)),)="331",OFFSET(TH!M$1,SMALL(Dong,ROWS($1:73)),),OFFSET(TH!L$1,SMALL(Dong,ROWS($1:73)),)))</f>
        <v>1521</v>
      </c>
      <c r="F86" s="46"/>
      <c r="G86" s="58">
        <f ca="1">IF(ROWS($1:73)&gt;COUNT(Dong),"",IF(OFFSET(TH!L$1,SMALL(Dong,ROWS($1:73)),)="331",OFFSET(TH!K$1,SMALL(Dong,ROWS($1:73)),),0))</f>
        <v>0</v>
      </c>
      <c r="H86" s="58">
        <f ca="1">IF(ROWS($1:73)&gt;COUNT(Dong),"",IF(OFFSET(TH!M$1,SMALL(Dong,ROWS($1:73)),)="331",OFFSET(TH!K$1,SMALL(Dong,ROWS($1:73)),),0))</f>
        <v>5588352</v>
      </c>
      <c r="I86" s="25">
        <f t="shared" ca="1" si="8"/>
        <v>0</v>
      </c>
      <c r="J86" s="25">
        <f t="shared" ca="1" si="9"/>
        <v>28507552</v>
      </c>
    </row>
    <row r="87" spans="1:10" s="18" customFormat="1" ht="18" customHeight="1">
      <c r="A87" s="9">
        <f ca="1">IF(ROWS($1:74)&gt;COUNT(Dong),"",OFFSET(TH!C$1,SMALL(Dong,ROWS($1:74)),))</f>
        <v>41302</v>
      </c>
      <c r="B87" s="9" t="str">
        <f ca="1">IF(ROWS($1:74)&gt;COUNT(Dong),"",OFFSET(TH!D$1,SMALL(Dong,ROWS($1:74)),))</f>
        <v>NL/N14</v>
      </c>
      <c r="C87" s="9">
        <f ca="1">IF(ROWS($1:74)&gt;COUNT(Dong),"",OFFSET(TH!E$1,SMALL(Dong,ROWS($1:74)),))</f>
        <v>41302</v>
      </c>
      <c r="D87" s="226" t="str">
        <f ca="1">IF(ROWS($1:74)&gt;COUNT(Dong),"",OFFSET(TH!F$1,SMALL(Dong,ROWS($1:74)),))</f>
        <v>Giấy tấm 1 vàng + 2 xeo (1340x1595)</v>
      </c>
      <c r="E87" s="46" t="str">
        <f ca="1">IF(ROWS($1:74)&gt;COUNT(Dong),"",IF(OFFSET(TH!L$1,SMALL(Dong,ROWS($1:74)),)="331",OFFSET(TH!M$1,SMALL(Dong,ROWS($1:74)),),OFFSET(TH!L$1,SMALL(Dong,ROWS($1:74)),)))</f>
        <v>1521</v>
      </c>
      <c r="F87" s="46"/>
      <c r="G87" s="58">
        <f ca="1">IF(ROWS($1:74)&gt;COUNT(Dong),"",IF(OFFSET(TH!L$1,SMALL(Dong,ROWS($1:74)),)="331",OFFSET(TH!K$1,SMALL(Dong,ROWS($1:74)),),0))</f>
        <v>0</v>
      </c>
      <c r="H87" s="58">
        <f ca="1">IF(ROWS($1:74)&gt;COUNT(Dong),"",IF(OFFSET(TH!M$1,SMALL(Dong,ROWS($1:74)),)="331",OFFSET(TH!K$1,SMALL(Dong,ROWS($1:74)),),0))</f>
        <v>6799825</v>
      </c>
      <c r="I87" s="25">
        <f t="shared" ca="1" si="8"/>
        <v>0</v>
      </c>
      <c r="J87" s="25">
        <f t="shared" ca="1" si="9"/>
        <v>35307377</v>
      </c>
    </row>
    <row r="88" spans="1:10" s="18" customFormat="1" ht="18" customHeight="1">
      <c r="A88" s="9">
        <f ca="1">IF(ROWS($1:75)&gt;COUNT(Dong),"",OFFSET(TH!C$1,SMALL(Dong,ROWS($1:75)),))</f>
        <v>41302</v>
      </c>
      <c r="B88" s="9" t="str">
        <f ca="1">IF(ROWS($1:75)&gt;COUNT(Dong),"",OFFSET(TH!D$1,SMALL(Dong,ROWS($1:75)),))</f>
        <v>NL/N14</v>
      </c>
      <c r="C88" s="9">
        <f ca="1">IF(ROWS($1:75)&gt;COUNT(Dong),"",OFFSET(TH!E$1,SMALL(Dong,ROWS($1:75)),))</f>
        <v>41302</v>
      </c>
      <c r="D88" s="226" t="str">
        <f ca="1">IF(ROWS($1:75)&gt;COUNT(Dong),"",OFFSET(TH!F$1,SMALL(Dong,ROWS($1:75)),))</f>
        <v>VAT Giấy tấm</v>
      </c>
      <c r="E88" s="46" t="str">
        <f ca="1">IF(ROWS($1:75)&gt;COUNT(Dong),"",IF(OFFSET(TH!L$1,SMALL(Dong,ROWS($1:75)),)="331",OFFSET(TH!M$1,SMALL(Dong,ROWS($1:75)),),OFFSET(TH!L$1,SMALL(Dong,ROWS($1:75)),)))</f>
        <v>1331</v>
      </c>
      <c r="F88" s="46"/>
      <c r="G88" s="58">
        <f ca="1">IF(ROWS($1:75)&gt;COUNT(Dong),"",IF(OFFSET(TH!L$1,SMALL(Dong,ROWS($1:75)),)="331",OFFSET(TH!K$1,SMALL(Dong,ROWS($1:75)),),0))</f>
        <v>0</v>
      </c>
      <c r="H88" s="58">
        <f ca="1">IF(ROWS($1:75)&gt;COUNT(Dong),"",IF(OFFSET(TH!M$1,SMALL(Dong,ROWS($1:75)),)="331",OFFSET(TH!K$1,SMALL(Dong,ROWS($1:75)),),0))</f>
        <v>1724129</v>
      </c>
      <c r="I88" s="25">
        <f t="shared" ca="1" si="8"/>
        <v>0</v>
      </c>
      <c r="J88" s="25">
        <f t="shared" ca="1" si="9"/>
        <v>37031506</v>
      </c>
    </row>
    <row r="89" spans="1:10" s="18" customFormat="1" ht="18" customHeight="1">
      <c r="A89" s="9">
        <f ca="1">IF(ROWS($1:76)&gt;COUNT(Dong),"",OFFSET(TH!C$1,SMALL(Dong,ROWS($1:76)),))</f>
        <v>41302</v>
      </c>
      <c r="B89" s="9" t="str">
        <f ca="1">IF(ROWS($1:76)&gt;COUNT(Dong),"",OFFSET(TH!D$1,SMALL(Dong,ROWS($1:76)),))</f>
        <v>NL/N14</v>
      </c>
      <c r="C89" s="9">
        <f ca="1">IF(ROWS($1:76)&gt;COUNT(Dong),"",OFFSET(TH!E$1,SMALL(Dong,ROWS($1:76)),))</f>
        <v>41302</v>
      </c>
      <c r="D89" s="226" t="str">
        <f ca="1">IF(ROWS($1:76)&gt;COUNT(Dong),"",OFFSET(TH!F$1,SMALL(Dong,ROWS($1:76)),))</f>
        <v>Thanh toán tiền hàng</v>
      </c>
      <c r="E89" s="46" t="str">
        <f ca="1">IF(ROWS($1:76)&gt;COUNT(Dong),"",IF(OFFSET(TH!L$1,SMALL(Dong,ROWS($1:76)),)="331",OFFSET(TH!M$1,SMALL(Dong,ROWS($1:76)),),OFFSET(TH!L$1,SMALL(Dong,ROWS($1:76)),)))</f>
        <v>1111</v>
      </c>
      <c r="F89" s="46"/>
      <c r="G89" s="58">
        <f ca="1">IF(ROWS($1:76)&gt;COUNT(Dong),"",IF(OFFSET(TH!L$1,SMALL(Dong,ROWS($1:76)),)="331",OFFSET(TH!K$1,SMALL(Dong,ROWS($1:76)),),0))</f>
        <v>18965415</v>
      </c>
      <c r="H89" s="58">
        <f ca="1">IF(ROWS($1:76)&gt;COUNT(Dong),"",IF(OFFSET(TH!M$1,SMALL(Dong,ROWS($1:76)),)="331",OFFSET(TH!K$1,SMALL(Dong,ROWS($1:76)),),0))</f>
        <v>0</v>
      </c>
      <c r="I89" s="25">
        <f t="shared" ca="1" si="8"/>
        <v>0</v>
      </c>
      <c r="J89" s="25">
        <f t="shared" ca="1" si="9"/>
        <v>18066091</v>
      </c>
    </row>
    <row r="90" spans="1:10" s="18" customFormat="1" ht="18" customHeight="1">
      <c r="A90" s="9">
        <f ca="1">IF(ROWS($1:77)&gt;COUNT(Dong),"",OFFSET(TH!C$1,SMALL(Dong,ROWS($1:77)),))</f>
        <v>41303</v>
      </c>
      <c r="B90" s="9" t="str">
        <f ca="1">IF(ROWS($1:77)&gt;COUNT(Dong),"",OFFSET(TH!D$1,SMALL(Dong,ROWS($1:77)),))</f>
        <v>NL/N15</v>
      </c>
      <c r="C90" s="9">
        <f ca="1">IF(ROWS($1:77)&gt;COUNT(Dong),"",OFFSET(TH!E$1,SMALL(Dong,ROWS($1:77)),))</f>
        <v>41303</v>
      </c>
      <c r="D90" s="226" t="str">
        <f ca="1">IF(ROWS($1:77)&gt;COUNT(Dong),"",OFFSET(TH!F$1,SMALL(Dong,ROWS($1:77)),))</f>
        <v>Giấy tấm 2 vàng + 3 xeo (2240x1685)</v>
      </c>
      <c r="E90" s="46" t="str">
        <f ca="1">IF(ROWS($1:77)&gt;COUNT(Dong),"",IF(OFFSET(TH!L$1,SMALL(Dong,ROWS($1:77)),)="331",OFFSET(TH!M$1,SMALL(Dong,ROWS($1:77)),),OFFSET(TH!L$1,SMALL(Dong,ROWS($1:77)),)))</f>
        <v>1521</v>
      </c>
      <c r="F90" s="46"/>
      <c r="G90" s="58">
        <f ca="1">IF(ROWS($1:77)&gt;COUNT(Dong),"",IF(OFFSET(TH!L$1,SMALL(Dong,ROWS($1:77)),)="331",OFFSET(TH!K$1,SMALL(Dong,ROWS($1:77)),),0))</f>
        <v>0</v>
      </c>
      <c r="H90" s="58">
        <f ca="1">IF(ROWS($1:77)&gt;COUNT(Dong),"",IF(OFFSET(TH!M$1,SMALL(Dong,ROWS($1:77)),)="331",OFFSET(TH!K$1,SMALL(Dong,ROWS($1:77)),),0))</f>
        <v>8514990</v>
      </c>
      <c r="I90" s="25">
        <f t="shared" ca="1" si="8"/>
        <v>0</v>
      </c>
      <c r="J90" s="25">
        <f t="shared" ca="1" si="9"/>
        <v>26581081</v>
      </c>
    </row>
    <row r="91" spans="1:10" s="18" customFormat="1" ht="18" customHeight="1">
      <c r="A91" s="9">
        <f ca="1">IF(ROWS($1:78)&gt;COUNT(Dong),"",OFFSET(TH!C$1,SMALL(Dong,ROWS($1:78)),))</f>
        <v>41303</v>
      </c>
      <c r="B91" s="9" t="str">
        <f ca="1">IF(ROWS($1:78)&gt;COUNT(Dong),"",OFFSET(TH!D$1,SMALL(Dong,ROWS($1:78)),))</f>
        <v>NL/N15</v>
      </c>
      <c r="C91" s="9">
        <f ca="1">IF(ROWS($1:78)&gt;COUNT(Dong),"",OFFSET(TH!E$1,SMALL(Dong,ROWS($1:78)),))</f>
        <v>41303</v>
      </c>
      <c r="D91" s="226" t="str">
        <f ca="1">IF(ROWS($1:78)&gt;COUNT(Dong),"",OFFSET(TH!F$1,SMALL(Dong,ROWS($1:78)),))</f>
        <v>VAT Giấy tấm</v>
      </c>
      <c r="E91" s="46" t="str">
        <f ca="1">IF(ROWS($1:78)&gt;COUNT(Dong),"",IF(OFFSET(TH!L$1,SMALL(Dong,ROWS($1:78)),)="331",OFFSET(TH!M$1,SMALL(Dong,ROWS($1:78)),),OFFSET(TH!L$1,SMALL(Dong,ROWS($1:78)),)))</f>
        <v>1331</v>
      </c>
      <c r="F91" s="46"/>
      <c r="G91" s="58">
        <f ca="1">IF(ROWS($1:78)&gt;COUNT(Dong),"",IF(OFFSET(TH!L$1,SMALL(Dong,ROWS($1:78)),)="331",OFFSET(TH!K$1,SMALL(Dong,ROWS($1:78)),),0))</f>
        <v>0</v>
      </c>
      <c r="H91" s="58">
        <f ca="1">IF(ROWS($1:78)&gt;COUNT(Dong),"",IF(OFFSET(TH!M$1,SMALL(Dong,ROWS($1:78)),)="331",OFFSET(TH!K$1,SMALL(Dong,ROWS($1:78)),),0))</f>
        <v>851499</v>
      </c>
      <c r="I91" s="25">
        <f t="shared" ca="1" si="8"/>
        <v>0</v>
      </c>
      <c r="J91" s="25">
        <f t="shared" ca="1" si="9"/>
        <v>27432580</v>
      </c>
    </row>
    <row r="92" spans="1:10" s="18" customFormat="1" ht="18" customHeight="1">
      <c r="A92" s="9">
        <f ca="1">IF(ROWS($1:79)&gt;COUNT(Dong),"",OFFSET(TH!C$1,SMALL(Dong,ROWS($1:79)),))</f>
        <v>41303</v>
      </c>
      <c r="B92" s="9" t="str">
        <f ca="1">IF(ROWS($1:79)&gt;COUNT(Dong),"",OFFSET(TH!D$1,SMALL(Dong,ROWS($1:79)),))</f>
        <v>NL/N15</v>
      </c>
      <c r="C92" s="9">
        <f ca="1">IF(ROWS($1:79)&gt;COUNT(Dong),"",OFFSET(TH!E$1,SMALL(Dong,ROWS($1:79)),))</f>
        <v>41303</v>
      </c>
      <c r="D92" s="226" t="str">
        <f ca="1">IF(ROWS($1:79)&gt;COUNT(Dong),"",OFFSET(TH!F$1,SMALL(Dong,ROWS($1:79)),))</f>
        <v>Thanh toán tiền hàng</v>
      </c>
      <c r="E92" s="46" t="str">
        <f ca="1">IF(ROWS($1:79)&gt;COUNT(Dong),"",IF(OFFSET(TH!L$1,SMALL(Dong,ROWS($1:79)),)="331",OFFSET(TH!M$1,SMALL(Dong,ROWS($1:79)),),OFFSET(TH!L$1,SMALL(Dong,ROWS($1:79)),)))</f>
        <v>1111</v>
      </c>
      <c r="F92" s="46"/>
      <c r="G92" s="58">
        <f ca="1">IF(ROWS($1:79)&gt;COUNT(Dong),"",IF(OFFSET(TH!L$1,SMALL(Dong,ROWS($1:79)),)="331",OFFSET(TH!K$1,SMALL(Dong,ROWS($1:79)),),0))</f>
        <v>9366489</v>
      </c>
      <c r="H92" s="58">
        <f ca="1">IF(ROWS($1:79)&gt;COUNT(Dong),"",IF(OFFSET(TH!M$1,SMALL(Dong,ROWS($1:79)),)="331",OFFSET(TH!K$1,SMALL(Dong,ROWS($1:79)),),0))</f>
        <v>0</v>
      </c>
      <c r="I92" s="25">
        <f t="shared" ca="1" si="8"/>
        <v>0</v>
      </c>
      <c r="J92" s="25">
        <f t="shared" ca="1" si="9"/>
        <v>18066091</v>
      </c>
    </row>
    <row r="93" spans="1:10" s="18" customFormat="1" ht="18" customHeight="1">
      <c r="A93" s="9">
        <f ca="1">IF(ROWS($1:80)&gt;COUNT(Dong),"",OFFSET(TH!C$1,SMALL(Dong,ROWS($1:80)),))</f>
        <v>41303</v>
      </c>
      <c r="B93" s="9" t="str">
        <f ca="1">IF(ROWS($1:80)&gt;COUNT(Dong),"",OFFSET(TH!D$1,SMALL(Dong,ROWS($1:80)),))</f>
        <v>NL/N16</v>
      </c>
      <c r="C93" s="9">
        <f ca="1">IF(ROWS($1:80)&gt;COUNT(Dong),"",OFFSET(TH!E$1,SMALL(Dong,ROWS($1:80)),))</f>
        <v>41303</v>
      </c>
      <c r="D93" s="226" t="str">
        <f ca="1">IF(ROWS($1:80)&gt;COUNT(Dong),"",OFFSET(TH!F$1,SMALL(Dong,ROWS($1:80)),))</f>
        <v>Giấy tấm 1 YBB + 1 xeo + 1 vàng (1220x950)</v>
      </c>
      <c r="E93" s="46" t="str">
        <f ca="1">IF(ROWS($1:80)&gt;COUNT(Dong),"",IF(OFFSET(TH!L$1,SMALL(Dong,ROWS($1:80)),)="331",OFFSET(TH!M$1,SMALL(Dong,ROWS($1:80)),),OFFSET(TH!L$1,SMALL(Dong,ROWS($1:80)),)))</f>
        <v>1521</v>
      </c>
      <c r="F93" s="46"/>
      <c r="G93" s="58">
        <f ca="1">IF(ROWS($1:80)&gt;COUNT(Dong),"",IF(OFFSET(TH!L$1,SMALL(Dong,ROWS($1:80)),)="331",OFFSET(TH!K$1,SMALL(Dong,ROWS($1:80)),),0))</f>
        <v>0</v>
      </c>
      <c r="H93" s="58">
        <f ca="1">IF(ROWS($1:80)&gt;COUNT(Dong),"",IF(OFFSET(TH!M$1,SMALL(Dong,ROWS($1:80)),)="331",OFFSET(TH!K$1,SMALL(Dong,ROWS($1:80)),),0))</f>
        <v>3469010</v>
      </c>
      <c r="I93" s="25">
        <f t="shared" ca="1" si="8"/>
        <v>0</v>
      </c>
      <c r="J93" s="25">
        <f t="shared" ca="1" si="9"/>
        <v>21535101</v>
      </c>
    </row>
    <row r="94" spans="1:10" s="18" customFormat="1" ht="18" customHeight="1">
      <c r="A94" s="9">
        <f ca="1">IF(ROWS($1:81)&gt;COUNT(Dong),"",OFFSET(TH!C$1,SMALL(Dong,ROWS($1:81)),))</f>
        <v>41303</v>
      </c>
      <c r="B94" s="9" t="str">
        <f ca="1">IF(ROWS($1:81)&gt;COUNT(Dong),"",OFFSET(TH!D$1,SMALL(Dong,ROWS($1:81)),))</f>
        <v>NL/N16</v>
      </c>
      <c r="C94" s="9">
        <f ca="1">IF(ROWS($1:81)&gt;COUNT(Dong),"",OFFSET(TH!E$1,SMALL(Dong,ROWS($1:81)),))</f>
        <v>41303</v>
      </c>
      <c r="D94" s="226" t="str">
        <f ca="1">IF(ROWS($1:81)&gt;COUNT(Dong),"",OFFSET(TH!F$1,SMALL(Dong,ROWS($1:81)),))</f>
        <v>Giấy tấm 1 YBB + 1 xeo150 + 1 vàng (1700x1540)</v>
      </c>
      <c r="E94" s="46" t="str">
        <f ca="1">IF(ROWS($1:81)&gt;COUNT(Dong),"",IF(OFFSET(TH!L$1,SMALL(Dong,ROWS($1:81)),)="331",OFFSET(TH!M$1,SMALL(Dong,ROWS($1:81)),),OFFSET(TH!L$1,SMALL(Dong,ROWS($1:81)),)))</f>
        <v>1521</v>
      </c>
      <c r="F94" s="46"/>
      <c r="G94" s="58">
        <f ca="1">IF(ROWS($1:81)&gt;COUNT(Dong),"",IF(OFFSET(TH!L$1,SMALL(Dong,ROWS($1:81)),)="331",OFFSET(TH!K$1,SMALL(Dong,ROWS($1:81)),),0))</f>
        <v>0</v>
      </c>
      <c r="H94" s="58">
        <f ca="1">IF(ROWS($1:81)&gt;COUNT(Dong),"",IF(OFFSET(TH!M$1,SMALL(Dong,ROWS($1:81)),)="331",OFFSET(TH!K$1,SMALL(Dong,ROWS($1:81)),),0))</f>
        <v>6289360</v>
      </c>
      <c r="I94" s="25">
        <f t="shared" ca="1" si="8"/>
        <v>0</v>
      </c>
      <c r="J94" s="25">
        <f t="shared" ca="1" si="9"/>
        <v>27824461</v>
      </c>
    </row>
    <row r="95" spans="1:10" s="18" customFormat="1" ht="18" customHeight="1">
      <c r="A95" s="9">
        <f ca="1">IF(ROWS($1:82)&gt;COUNT(Dong),"",OFFSET(TH!C$1,SMALL(Dong,ROWS($1:82)),))</f>
        <v>41303</v>
      </c>
      <c r="B95" s="9" t="str">
        <f ca="1">IF(ROWS($1:82)&gt;COUNT(Dong),"",OFFSET(TH!D$1,SMALL(Dong,ROWS($1:82)),))</f>
        <v>NL/N16</v>
      </c>
      <c r="C95" s="9">
        <f ca="1">IF(ROWS($1:82)&gt;COUNT(Dong),"",OFFSET(TH!E$1,SMALL(Dong,ROWS($1:82)),))</f>
        <v>41303</v>
      </c>
      <c r="D95" s="226" t="str">
        <f ca="1">IF(ROWS($1:82)&gt;COUNT(Dong),"",OFFSET(TH!F$1,SMALL(Dong,ROWS($1:82)),))</f>
        <v>VAT Giấy tấm</v>
      </c>
      <c r="E95" s="46" t="str">
        <f ca="1">IF(ROWS($1:82)&gt;COUNT(Dong),"",IF(OFFSET(TH!L$1,SMALL(Dong,ROWS($1:82)),)="331",OFFSET(TH!M$1,SMALL(Dong,ROWS($1:82)),),OFFSET(TH!L$1,SMALL(Dong,ROWS($1:82)),)))</f>
        <v>1331</v>
      </c>
      <c r="F95" s="46"/>
      <c r="G95" s="58">
        <f ca="1">IF(ROWS($1:82)&gt;COUNT(Dong),"",IF(OFFSET(TH!L$1,SMALL(Dong,ROWS($1:82)),)="331",OFFSET(TH!K$1,SMALL(Dong,ROWS($1:82)),),0))</f>
        <v>0</v>
      </c>
      <c r="H95" s="58">
        <f ca="1">IF(ROWS($1:82)&gt;COUNT(Dong),"",IF(OFFSET(TH!M$1,SMALL(Dong,ROWS($1:82)),)="331",OFFSET(TH!K$1,SMALL(Dong,ROWS($1:82)),),0))</f>
        <v>975837</v>
      </c>
      <c r="I95" s="25">
        <f t="shared" ca="1" si="8"/>
        <v>0</v>
      </c>
      <c r="J95" s="25">
        <f t="shared" ca="1" si="9"/>
        <v>28800298</v>
      </c>
    </row>
    <row r="96" spans="1:10" s="18" customFormat="1" ht="18" customHeight="1">
      <c r="A96" s="9">
        <f ca="1">IF(ROWS($1:83)&gt;COUNT(Dong),"",OFFSET(TH!C$1,SMALL(Dong,ROWS($1:83)),))</f>
        <v>41303</v>
      </c>
      <c r="B96" s="9" t="str">
        <f ca="1">IF(ROWS($1:83)&gt;COUNT(Dong),"",OFFSET(TH!D$1,SMALL(Dong,ROWS($1:83)),))</f>
        <v>NL/N16</v>
      </c>
      <c r="C96" s="9">
        <f ca="1">IF(ROWS($1:83)&gt;COUNT(Dong),"",OFFSET(TH!E$1,SMALL(Dong,ROWS($1:83)),))</f>
        <v>41303</v>
      </c>
      <c r="D96" s="226" t="str">
        <f ca="1">IF(ROWS($1:83)&gt;COUNT(Dong),"",OFFSET(TH!F$1,SMALL(Dong,ROWS($1:83)),))</f>
        <v>Thanh toán tiền hàng</v>
      </c>
      <c r="E96" s="46" t="str">
        <f ca="1">IF(ROWS($1:83)&gt;COUNT(Dong),"",IF(OFFSET(TH!L$1,SMALL(Dong,ROWS($1:83)),)="331",OFFSET(TH!M$1,SMALL(Dong,ROWS($1:83)),),OFFSET(TH!L$1,SMALL(Dong,ROWS($1:83)),)))</f>
        <v>1111</v>
      </c>
      <c r="F96" s="46"/>
      <c r="G96" s="58">
        <f ca="1">IF(ROWS($1:83)&gt;COUNT(Dong),"",IF(OFFSET(TH!L$1,SMALL(Dong,ROWS($1:83)),)="331",OFFSET(TH!K$1,SMALL(Dong,ROWS($1:83)),),0))</f>
        <v>10734207</v>
      </c>
      <c r="H96" s="58">
        <f ca="1">IF(ROWS($1:83)&gt;COUNT(Dong),"",IF(OFFSET(TH!M$1,SMALL(Dong,ROWS($1:83)),)="331",OFFSET(TH!K$1,SMALL(Dong,ROWS($1:83)),),0))</f>
        <v>0</v>
      </c>
      <c r="I96" s="25">
        <f t="shared" ca="1" si="8"/>
        <v>0</v>
      </c>
      <c r="J96" s="25">
        <f t="shared" ca="1" si="9"/>
        <v>18066091</v>
      </c>
    </row>
    <row r="97" spans="1:11" s="18" customFormat="1" ht="18" customHeight="1">
      <c r="A97" s="9">
        <f ca="1">IF(ROWS($1:84)&gt;COUNT(Dong),"",OFFSET(TH!C$1,SMALL(Dong,ROWS($1:84)),))</f>
        <v>41304</v>
      </c>
      <c r="B97" s="9" t="str">
        <f ca="1">IF(ROWS($1:84)&gt;COUNT(Dong),"",OFFSET(TH!D$1,SMALL(Dong,ROWS($1:84)),))</f>
        <v>NL/N17</v>
      </c>
      <c r="C97" s="9">
        <f ca="1">IF(ROWS($1:84)&gt;COUNT(Dong),"",OFFSET(TH!E$1,SMALL(Dong,ROWS($1:84)),))</f>
        <v>41304</v>
      </c>
      <c r="D97" s="226" t="str">
        <f ca="1">IF(ROWS($1:84)&gt;COUNT(Dong),"",OFFSET(TH!F$1,SMALL(Dong,ROWS($1:84)),))</f>
        <v>Giấy tấm 1 YBB + 1 xeo150 + 1 vàng (1700x1540)</v>
      </c>
      <c r="E97" s="46" t="str">
        <f ca="1">IF(ROWS($1:84)&gt;COUNT(Dong),"",IF(OFFSET(TH!L$1,SMALL(Dong,ROWS($1:84)),)="331",OFFSET(TH!M$1,SMALL(Dong,ROWS($1:84)),),OFFSET(TH!L$1,SMALL(Dong,ROWS($1:84)),)))</f>
        <v>1521</v>
      </c>
      <c r="F97" s="46"/>
      <c r="G97" s="58">
        <f ca="1">IF(ROWS($1:84)&gt;COUNT(Dong),"",IF(OFFSET(TH!L$1,SMALL(Dong,ROWS($1:84)),)="331",OFFSET(TH!K$1,SMALL(Dong,ROWS($1:84)),),0))</f>
        <v>0</v>
      </c>
      <c r="H97" s="58">
        <f ca="1">IF(ROWS($1:84)&gt;COUNT(Dong),"",IF(OFFSET(TH!M$1,SMALL(Dong,ROWS($1:84)),)="331",OFFSET(TH!K$1,SMALL(Dong,ROWS($1:84)),),0))</f>
        <v>5513400</v>
      </c>
      <c r="I97" s="25">
        <f t="shared" ca="1" si="8"/>
        <v>0</v>
      </c>
      <c r="J97" s="25">
        <f t="shared" ca="1" si="9"/>
        <v>23579491</v>
      </c>
    </row>
    <row r="98" spans="1:11" s="18" customFormat="1" ht="18" customHeight="1">
      <c r="A98" s="9">
        <f ca="1">IF(ROWS($1:85)&gt;COUNT(Dong),"",OFFSET(TH!C$1,SMALL(Dong,ROWS($1:85)),))</f>
        <v>41304</v>
      </c>
      <c r="B98" s="9" t="str">
        <f ca="1">IF(ROWS($1:85)&gt;COUNT(Dong),"",OFFSET(TH!D$1,SMALL(Dong,ROWS($1:85)),))</f>
        <v>NL/N17</v>
      </c>
      <c r="C98" s="9">
        <f ca="1">IF(ROWS($1:85)&gt;COUNT(Dong),"",OFFSET(TH!E$1,SMALL(Dong,ROWS($1:85)),))</f>
        <v>41304</v>
      </c>
      <c r="D98" s="226" t="str">
        <f ca="1">IF(ROWS($1:85)&gt;COUNT(Dong),"",OFFSET(TH!F$1,SMALL(Dong,ROWS($1:85)),))</f>
        <v>VAT Giấy tấm</v>
      </c>
      <c r="E98" s="46" t="str">
        <f ca="1">IF(ROWS($1:85)&gt;COUNT(Dong),"",IF(OFFSET(TH!L$1,SMALL(Dong,ROWS($1:85)),)="331",OFFSET(TH!M$1,SMALL(Dong,ROWS($1:85)),),OFFSET(TH!L$1,SMALL(Dong,ROWS($1:85)),)))</f>
        <v>1331</v>
      </c>
      <c r="F98" s="46"/>
      <c r="G98" s="58">
        <f ca="1">IF(ROWS($1:85)&gt;COUNT(Dong),"",IF(OFFSET(TH!L$1,SMALL(Dong,ROWS($1:85)),)="331",OFFSET(TH!K$1,SMALL(Dong,ROWS($1:85)),),0))</f>
        <v>0</v>
      </c>
      <c r="H98" s="58">
        <f ca="1">IF(ROWS($1:85)&gt;COUNT(Dong),"",IF(OFFSET(TH!M$1,SMALL(Dong,ROWS($1:85)),)="331",OFFSET(TH!K$1,SMALL(Dong,ROWS($1:85)),),0))</f>
        <v>551340</v>
      </c>
      <c r="I98" s="25">
        <f t="shared" ca="1" si="8"/>
        <v>0</v>
      </c>
      <c r="J98" s="25">
        <f t="shared" ca="1" si="9"/>
        <v>24130831</v>
      </c>
    </row>
    <row r="99" spans="1:11" s="18" customFormat="1" ht="18" customHeight="1">
      <c r="A99" s="9">
        <f ca="1">IF(ROWS($1:86)&gt;COUNT(Dong),"",OFFSET(TH!C$1,SMALL(Dong,ROWS($1:86)),))</f>
        <v>41304</v>
      </c>
      <c r="B99" s="9" t="str">
        <f ca="1">IF(ROWS($1:86)&gt;COUNT(Dong),"",OFFSET(TH!D$1,SMALL(Dong,ROWS($1:86)),))</f>
        <v>NL/N17</v>
      </c>
      <c r="C99" s="9">
        <f ca="1">IF(ROWS($1:86)&gt;COUNT(Dong),"",OFFSET(TH!E$1,SMALL(Dong,ROWS($1:86)),))</f>
        <v>41304</v>
      </c>
      <c r="D99" s="226" t="str">
        <f ca="1">IF(ROWS($1:86)&gt;COUNT(Dong),"",OFFSET(TH!F$1,SMALL(Dong,ROWS($1:86)),))</f>
        <v>Thanh toán tiền hàng</v>
      </c>
      <c r="E99" s="46" t="str">
        <f ca="1">IF(ROWS($1:86)&gt;COUNT(Dong),"",IF(OFFSET(TH!L$1,SMALL(Dong,ROWS($1:86)),)="331",OFFSET(TH!M$1,SMALL(Dong,ROWS($1:86)),),OFFSET(TH!L$1,SMALL(Dong,ROWS($1:86)),)))</f>
        <v>1111</v>
      </c>
      <c r="F99" s="46"/>
      <c r="G99" s="58">
        <f ca="1">IF(ROWS($1:86)&gt;COUNT(Dong),"",IF(OFFSET(TH!L$1,SMALL(Dong,ROWS($1:86)),)="331",OFFSET(TH!K$1,SMALL(Dong,ROWS($1:86)),),0))</f>
        <v>6064740</v>
      </c>
      <c r="H99" s="58">
        <f ca="1">IF(ROWS($1:86)&gt;COUNT(Dong),"",IF(OFFSET(TH!M$1,SMALL(Dong,ROWS($1:86)),)="331",OFFSET(TH!K$1,SMALL(Dong,ROWS($1:86)),),0))</f>
        <v>0</v>
      </c>
      <c r="I99" s="25">
        <f t="shared" ca="1" si="8"/>
        <v>0</v>
      </c>
      <c r="J99" s="25">
        <f t="shared" ca="1" si="9"/>
        <v>18066091</v>
      </c>
    </row>
    <row r="100" spans="1:11" s="18" customFormat="1" ht="18" customHeight="1">
      <c r="A100" s="9">
        <f ca="1">IF(ROWS($1:87)&gt;COUNT(Dong),"",OFFSET(TH!C$1,SMALL(Dong,ROWS($1:87)),))</f>
        <v>41517</v>
      </c>
      <c r="B100" s="9" t="str">
        <f ca="1">IF(ROWS($1:87)&gt;COUNT(Dong),"",OFFSET(TH!D$1,SMALL(Dong,ROWS($1:87)),))</f>
        <v>NL/N17</v>
      </c>
      <c r="C100" s="9">
        <f ca="1">IF(ROWS($1:87)&gt;COUNT(Dong),"",OFFSET(TH!E$1,SMALL(Dong,ROWS($1:87)),))</f>
        <v>41517</v>
      </c>
      <c r="D100" s="226" t="str">
        <f ca="1">IF(ROWS($1:87)&gt;COUNT(Dong),"",OFFSET(TH!F$1,SMALL(Dong,ROWS($1:87)),))</f>
        <v>Thanh toán tiền hàng</v>
      </c>
      <c r="E100" s="46" t="str">
        <f ca="1">IF(ROWS($1:87)&gt;COUNT(Dong),"",IF(OFFSET(TH!L$1,SMALL(Dong,ROWS($1:87)),)="331",OFFSET(TH!M$1,SMALL(Dong,ROWS($1:87)),),OFFSET(TH!L$1,SMALL(Dong,ROWS($1:87)),)))</f>
        <v>1111</v>
      </c>
      <c r="F100" s="46"/>
      <c r="G100" s="58">
        <f ca="1">IF(ROWS($1:87)&gt;COUNT(Dong),"",IF(OFFSET(TH!L$1,SMALL(Dong,ROWS($1:87)),)="331",OFFSET(TH!K$1,SMALL(Dong,ROWS($1:87)),),0))</f>
        <v>18066091</v>
      </c>
      <c r="H100" s="58">
        <f ca="1">IF(ROWS($1:87)&gt;COUNT(Dong),"",IF(OFFSET(TH!M$1,SMALL(Dong,ROWS($1:87)),)="331",OFFSET(TH!K$1,SMALL(Dong,ROWS($1:87)),),0))</f>
        <v>0</v>
      </c>
      <c r="I100" s="25">
        <f t="shared" ca="1" si="8"/>
        <v>0</v>
      </c>
      <c r="J100" s="25">
        <f t="shared" ca="1" si="9"/>
        <v>0</v>
      </c>
    </row>
    <row r="101" spans="1:11" s="18" customFormat="1" ht="18" customHeight="1">
      <c r="A101" s="9"/>
      <c r="B101" s="9"/>
      <c r="C101" s="9"/>
      <c r="D101" s="226"/>
      <c r="E101" s="46"/>
      <c r="F101" s="46"/>
      <c r="G101" s="58"/>
      <c r="H101" s="58"/>
      <c r="I101" s="25"/>
      <c r="J101" s="25"/>
    </row>
    <row r="102" spans="1:11" s="18" customFormat="1" ht="18" customHeight="1">
      <c r="A102" s="24"/>
      <c r="B102" s="21"/>
      <c r="C102" s="26"/>
      <c r="D102" s="23" t="s">
        <v>33</v>
      </c>
      <c r="E102" s="21" t="s">
        <v>19</v>
      </c>
      <c r="F102" s="21" t="s">
        <v>19</v>
      </c>
      <c r="G102" s="27">
        <f ca="1">SUM(G14:G101)</f>
        <v>349572812</v>
      </c>
      <c r="H102" s="27">
        <f ca="1">SUM(H14:H101)</f>
        <v>213578230</v>
      </c>
      <c r="I102" s="27" t="s">
        <v>19</v>
      </c>
      <c r="J102" s="27" t="s">
        <v>19</v>
      </c>
    </row>
    <row r="103" spans="1:11" s="18" customFormat="1" ht="18" customHeight="1">
      <c r="A103" s="24"/>
      <c r="B103" s="21"/>
      <c r="C103" s="21"/>
      <c r="D103" s="23" t="s">
        <v>10</v>
      </c>
      <c r="E103" s="21" t="s">
        <v>19</v>
      </c>
      <c r="F103" s="21" t="s">
        <v>19</v>
      </c>
      <c r="G103" s="27" t="s">
        <v>19</v>
      </c>
      <c r="H103" s="27" t="s">
        <v>19</v>
      </c>
      <c r="I103" s="27">
        <f ca="1">MAX(I13+G102-H102-J13,0)</f>
        <v>0</v>
      </c>
      <c r="J103" s="27">
        <f ca="1">MAX(J13+H102-G102-I13,0)</f>
        <v>0</v>
      </c>
    </row>
    <row r="104" spans="1:11" s="18" customFormat="1" ht="6" customHeight="1">
      <c r="B104" s="19"/>
      <c r="C104" s="19"/>
      <c r="E104" s="19"/>
    </row>
    <row r="105" spans="1:11" s="18" customFormat="1" ht="14.25" customHeight="1">
      <c r="A105" s="28" t="s">
        <v>152</v>
      </c>
      <c r="B105" s="19"/>
      <c r="C105" s="19"/>
      <c r="E105" s="19"/>
      <c r="K105" s="28" t="s">
        <v>152</v>
      </c>
    </row>
    <row r="106" spans="1:11" s="18" customFormat="1" ht="14.25" customHeight="1">
      <c r="A106" s="28" t="str">
        <f ca="1">"- Ngày mở sổ: "&amp;DAY($A$14)&amp;"/"&amp;MONTH($A$14)&amp;"/ " &amp;YEAR($A$14)</f>
        <v>- Ngày mở sổ: 6/2/ 2013</v>
      </c>
      <c r="B106" s="19"/>
      <c r="C106" s="19"/>
      <c r="E106" s="19"/>
      <c r="K106" s="28" t="s">
        <v>34</v>
      </c>
    </row>
    <row r="107" spans="1:11" s="18" customFormat="1" ht="14.25" customHeight="1">
      <c r="B107" s="19"/>
      <c r="C107" s="19"/>
      <c r="E107" s="939" t="str">
        <f ca="1">"Ngày 31 tháng  12  năm  "&amp;YEAR($A$14)</f>
        <v>Ngày 31 tháng  12  năm  2013</v>
      </c>
      <c r="F107" s="939"/>
      <c r="G107" s="939"/>
      <c r="H107" s="939"/>
      <c r="I107" s="939"/>
      <c r="J107" s="939"/>
    </row>
    <row r="108" spans="1:11" s="18" customFormat="1" ht="14.25" customHeight="1">
      <c r="C108" s="214" t="s">
        <v>11</v>
      </c>
      <c r="E108" s="939" t="s">
        <v>12</v>
      </c>
      <c r="F108" s="939"/>
      <c r="G108" s="939"/>
      <c r="H108" s="939"/>
      <c r="I108" s="939"/>
      <c r="J108" s="939"/>
    </row>
    <row r="109" spans="1:11" s="18" customFormat="1" ht="14.25" customHeight="1">
      <c r="C109" s="214" t="s">
        <v>13</v>
      </c>
      <c r="E109" s="939" t="s">
        <v>13</v>
      </c>
      <c r="F109" s="939"/>
      <c r="G109" s="939"/>
      <c r="H109" s="939"/>
      <c r="I109" s="939"/>
      <c r="J109" s="939"/>
    </row>
    <row r="110" spans="1:11" s="29" customFormat="1"/>
    <row r="116" spans="3:3" ht="15">
      <c r="C116" s="225" t="s">
        <v>151</v>
      </c>
    </row>
  </sheetData>
  <autoFilter ref="A12:J21"/>
  <mergeCells count="15">
    <mergeCell ref="E108:J108"/>
    <mergeCell ref="E109:J109"/>
    <mergeCell ref="A10:A11"/>
    <mergeCell ref="H1:J1"/>
    <mergeCell ref="H2:J3"/>
    <mergeCell ref="E7:H7"/>
    <mergeCell ref="E107:J107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4" customWidth="1"/>
    <col min="2" max="2" width="7" style="264" customWidth="1"/>
    <col min="3" max="3" width="9.140625" style="264"/>
    <col min="4" max="4" width="40.140625" style="264" customWidth="1"/>
    <col min="5" max="5" width="6.5703125" style="264" customWidth="1"/>
    <col min="6" max="8" width="10" style="264" customWidth="1"/>
    <col min="9" max="9" width="13.7109375" style="264" customWidth="1"/>
    <col min="10" max="10" width="10" style="264" customWidth="1"/>
    <col min="11" max="11" width="8.7109375" style="264" customWidth="1"/>
    <col min="12" max="12" width="15" style="264" customWidth="1"/>
    <col min="13" max="13" width="10" style="264" customWidth="1"/>
    <col min="14" max="14" width="9.42578125" style="264" customWidth="1"/>
    <col min="15" max="16384" width="9.140625" style="264"/>
  </cols>
  <sheetData>
    <row r="2" spans="1:14">
      <c r="A2" s="875" t="str">
        <f>TH!$A$1</f>
        <v>Đơn vị: CÔNG TY TNHH SX TM KIM DUNG PHÁT</v>
      </c>
      <c r="C2" s="265"/>
      <c r="F2" s="266"/>
      <c r="G2" s="266"/>
      <c r="H2" s="266"/>
      <c r="I2" s="266"/>
      <c r="J2" s="990" t="s">
        <v>179</v>
      </c>
      <c r="K2" s="990"/>
      <c r="L2" s="990"/>
      <c r="M2" s="990"/>
      <c r="N2" s="266"/>
    </row>
    <row r="3" spans="1:14">
      <c r="A3" s="876" t="str">
        <f>TH!$A$2</f>
        <v>Địa chỉ: 1A227/1 Ấp 1, Phạm Văn Hai, Bình Chánh, TPHCM</v>
      </c>
      <c r="C3" s="265"/>
      <c r="F3" s="267"/>
      <c r="G3" s="267"/>
      <c r="H3" s="267"/>
      <c r="I3" s="267"/>
      <c r="J3" s="989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89"/>
      <c r="L3" s="989"/>
      <c r="M3" s="989"/>
      <c r="N3" s="267"/>
    </row>
    <row r="4" spans="1:14">
      <c r="F4" s="267"/>
      <c r="G4" s="267"/>
      <c r="H4" s="267"/>
      <c r="I4" s="267"/>
      <c r="J4" s="989"/>
      <c r="K4" s="989"/>
      <c r="L4" s="989"/>
      <c r="M4" s="989"/>
      <c r="N4" s="267"/>
    </row>
    <row r="5" spans="1:14" s="268" customFormat="1" ht="23.25" customHeight="1">
      <c r="A5" s="999" t="s">
        <v>180</v>
      </c>
      <c r="B5" s="999"/>
      <c r="C5" s="999"/>
      <c r="D5" s="999"/>
      <c r="E5" s="999"/>
      <c r="F5" s="999"/>
      <c r="G5" s="999"/>
      <c r="H5" s="999"/>
      <c r="I5" s="999"/>
      <c r="J5" s="999"/>
      <c r="K5" s="999"/>
      <c r="L5" s="999"/>
      <c r="M5" s="999"/>
      <c r="N5" s="999"/>
    </row>
    <row r="6" spans="1:14">
      <c r="A6" s="990" t="s">
        <v>495</v>
      </c>
      <c r="B6" s="990" t="s">
        <v>181</v>
      </c>
      <c r="C6" s="990"/>
      <c r="D6" s="990"/>
      <c r="E6" s="990"/>
      <c r="F6" s="990"/>
      <c r="G6" s="990"/>
      <c r="H6" s="990"/>
      <c r="I6" s="990"/>
      <c r="J6" s="990"/>
      <c r="K6" s="990"/>
      <c r="L6" s="990"/>
      <c r="M6" s="990"/>
      <c r="N6" s="990"/>
    </row>
    <row r="7" spans="1:14">
      <c r="C7" s="1000"/>
      <c r="D7" s="1000"/>
      <c r="E7" s="1000"/>
      <c r="F7" s="1000"/>
      <c r="G7" s="1000"/>
      <c r="H7" s="1000"/>
      <c r="I7" s="1000"/>
      <c r="J7" s="1000"/>
      <c r="K7" s="1000"/>
      <c r="L7" s="1000"/>
      <c r="M7" s="1000"/>
      <c r="N7" s="1000"/>
    </row>
    <row r="8" spans="1:14" ht="15.75" customHeight="1">
      <c r="A8" s="993" t="s">
        <v>20</v>
      </c>
      <c r="B8" s="1001" t="s">
        <v>1</v>
      </c>
      <c r="C8" s="1002"/>
      <c r="D8" s="993" t="s">
        <v>0</v>
      </c>
      <c r="E8" s="993" t="s">
        <v>14</v>
      </c>
      <c r="F8" s="992" t="s">
        <v>21</v>
      </c>
      <c r="G8" s="992"/>
      <c r="H8" s="992"/>
      <c r="I8" s="992"/>
      <c r="J8" s="992"/>
      <c r="K8" s="992"/>
      <c r="L8" s="992" t="s">
        <v>31</v>
      </c>
      <c r="M8" s="992"/>
      <c r="N8" s="992"/>
    </row>
    <row r="9" spans="1:14" ht="15.75" customHeight="1">
      <c r="A9" s="993"/>
      <c r="B9" s="1003"/>
      <c r="C9" s="1004"/>
      <c r="D9" s="993"/>
      <c r="E9" s="993"/>
      <c r="F9" s="992" t="s">
        <v>182</v>
      </c>
      <c r="G9" s="992"/>
      <c r="H9" s="992"/>
      <c r="I9" s="992" t="s">
        <v>183</v>
      </c>
      <c r="J9" s="992"/>
      <c r="K9" s="992"/>
      <c r="L9" s="993" t="s">
        <v>184</v>
      </c>
      <c r="M9" s="993" t="s">
        <v>185</v>
      </c>
      <c r="N9" s="993" t="s">
        <v>186</v>
      </c>
    </row>
    <row r="10" spans="1:14" ht="15.75" customHeight="1">
      <c r="A10" s="993"/>
      <c r="B10" s="995" t="s">
        <v>15</v>
      </c>
      <c r="C10" s="995" t="s">
        <v>32</v>
      </c>
      <c r="D10" s="993"/>
      <c r="E10" s="993"/>
      <c r="F10" s="997" t="s">
        <v>184</v>
      </c>
      <c r="G10" s="997" t="s">
        <v>185</v>
      </c>
      <c r="H10" s="997" t="s">
        <v>186</v>
      </c>
      <c r="I10" s="997" t="s">
        <v>184</v>
      </c>
      <c r="J10" s="997" t="s">
        <v>185</v>
      </c>
      <c r="K10" s="997" t="s">
        <v>186</v>
      </c>
      <c r="L10" s="994"/>
      <c r="M10" s="994"/>
      <c r="N10" s="994"/>
    </row>
    <row r="11" spans="1:14">
      <c r="A11" s="993"/>
      <c r="B11" s="996"/>
      <c r="C11" s="996"/>
      <c r="D11" s="993"/>
      <c r="E11" s="993"/>
      <c r="F11" s="998"/>
      <c r="G11" s="998"/>
      <c r="H11" s="998"/>
      <c r="I11" s="998"/>
      <c r="J11" s="998"/>
      <c r="K11" s="998"/>
      <c r="L11" s="994"/>
      <c r="M11" s="994"/>
      <c r="N11" s="994"/>
    </row>
    <row r="12" spans="1:14" s="267" customFormat="1">
      <c r="A12" s="269" t="s">
        <v>2</v>
      </c>
      <c r="B12" s="270" t="s">
        <v>3</v>
      </c>
      <c r="C12" s="269" t="s">
        <v>4</v>
      </c>
      <c r="D12" s="269" t="s">
        <v>5</v>
      </c>
      <c r="E12" s="269" t="s">
        <v>6</v>
      </c>
      <c r="F12" s="269">
        <v>1</v>
      </c>
      <c r="G12" s="269"/>
      <c r="H12" s="269"/>
      <c r="I12" s="269"/>
      <c r="J12" s="269"/>
      <c r="K12" s="269"/>
      <c r="L12" s="269"/>
      <c r="M12" s="269"/>
      <c r="N12" s="269"/>
    </row>
    <row r="13" spans="1:14">
      <c r="A13" s="271"/>
      <c r="B13" s="271"/>
      <c r="C13" s="880"/>
      <c r="D13" s="272" t="s">
        <v>7</v>
      </c>
      <c r="E13" s="271"/>
      <c r="F13" s="271"/>
      <c r="G13" s="271"/>
      <c r="H13" s="271"/>
      <c r="I13" s="271"/>
      <c r="J13" s="271"/>
      <c r="K13" s="271"/>
      <c r="L13" s="273">
        <f>CDPS!$D$39</f>
        <v>1900000000</v>
      </c>
      <c r="M13" s="271"/>
      <c r="N13" s="271"/>
    </row>
    <row r="14" spans="1:14">
      <c r="A14" s="879">
        <v>40634</v>
      </c>
      <c r="B14" s="740" t="s">
        <v>377</v>
      </c>
      <c r="C14" s="879">
        <v>40634</v>
      </c>
      <c r="D14" s="274" t="s">
        <v>469</v>
      </c>
      <c r="E14" s="740" t="s">
        <v>47</v>
      </c>
      <c r="F14" s="274"/>
      <c r="G14" s="274"/>
      <c r="H14" s="274"/>
      <c r="I14" s="350">
        <v>1700000000</v>
      </c>
      <c r="J14" s="274"/>
      <c r="K14" s="274"/>
      <c r="L14" s="743">
        <f>L13+I14-G14</f>
        <v>3600000000</v>
      </c>
      <c r="M14" s="274"/>
      <c r="N14" s="274"/>
    </row>
    <row r="15" spans="1:14">
      <c r="A15" s="879">
        <v>40634</v>
      </c>
      <c r="B15" s="740" t="s">
        <v>378</v>
      </c>
      <c r="C15" s="879">
        <v>40634</v>
      </c>
      <c r="D15" s="275" t="s">
        <v>470</v>
      </c>
      <c r="E15" s="741" t="s">
        <v>47</v>
      </c>
      <c r="F15" s="275"/>
      <c r="G15" s="275"/>
      <c r="H15" s="275"/>
      <c r="I15" s="365">
        <v>100000000</v>
      </c>
      <c r="J15" s="275"/>
      <c r="K15" s="275"/>
      <c r="L15" s="743">
        <f t="shared" ref="L15:L16" si="0">L14+I15-G15</f>
        <v>3700000000</v>
      </c>
      <c r="M15" s="275"/>
      <c r="N15" s="275"/>
    </row>
    <row r="16" spans="1:14">
      <c r="A16" s="879">
        <v>40634</v>
      </c>
      <c r="B16" s="740" t="s">
        <v>397</v>
      </c>
      <c r="C16" s="879">
        <v>40634</v>
      </c>
      <c r="D16" s="275" t="s">
        <v>471</v>
      </c>
      <c r="E16" s="741" t="s">
        <v>47</v>
      </c>
      <c r="F16" s="275"/>
      <c r="G16" s="275"/>
      <c r="H16" s="275"/>
      <c r="I16" s="365">
        <v>100000000</v>
      </c>
      <c r="J16" s="275"/>
      <c r="K16" s="275"/>
      <c r="L16" s="743">
        <f t="shared" si="0"/>
        <v>3800000000</v>
      </c>
      <c r="M16" s="275"/>
      <c r="N16" s="275"/>
    </row>
    <row r="17" spans="1:14">
      <c r="A17" s="740"/>
      <c r="B17" s="274"/>
      <c r="C17" s="740"/>
      <c r="D17" s="275"/>
      <c r="E17" s="275"/>
      <c r="F17" s="275"/>
      <c r="G17" s="275"/>
      <c r="H17" s="275"/>
      <c r="I17" s="275"/>
      <c r="J17" s="275"/>
      <c r="K17" s="275"/>
      <c r="L17" s="275"/>
      <c r="M17" s="275"/>
      <c r="N17" s="275"/>
    </row>
    <row r="18" spans="1:14">
      <c r="A18" s="740"/>
      <c r="B18" s="274"/>
      <c r="C18" s="740"/>
      <c r="D18" s="276" t="s">
        <v>133</v>
      </c>
      <c r="E18" s="493" t="s">
        <v>19</v>
      </c>
      <c r="F18" s="277"/>
      <c r="G18" s="277"/>
      <c r="H18" s="277"/>
      <c r="I18" s="742">
        <f>SUM(I13:I17)</f>
        <v>1900000000</v>
      </c>
      <c r="J18" s="277"/>
      <c r="K18" s="277"/>
      <c r="L18" s="744">
        <f>L13+I18-F18</f>
        <v>3800000000</v>
      </c>
      <c r="M18" s="277"/>
      <c r="N18" s="277"/>
    </row>
    <row r="19" spans="1:14">
      <c r="A19" s="278"/>
      <c r="B19" s="278"/>
      <c r="C19" s="278"/>
      <c r="D19" s="279" t="s">
        <v>10</v>
      </c>
      <c r="E19" s="494" t="s">
        <v>19</v>
      </c>
      <c r="F19" s="278"/>
      <c r="G19" s="278"/>
      <c r="H19" s="278"/>
      <c r="I19" s="278"/>
      <c r="J19" s="278"/>
      <c r="K19" s="278"/>
      <c r="L19" s="280">
        <f>L13+L18</f>
        <v>5700000000</v>
      </c>
      <c r="M19" s="278"/>
      <c r="N19" s="278"/>
    </row>
    <row r="21" spans="1:14">
      <c r="C21" s="281" t="s">
        <v>187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2"/>
      <c r="C23" s="282"/>
      <c r="D23" s="282"/>
      <c r="E23" s="991" t="str">
        <f>"Ngày 31 tháng  12  năm  "&amp;YEAR($A$14)</f>
        <v>Ngày 31 tháng  12  năm  2011</v>
      </c>
      <c r="F23" s="991"/>
      <c r="G23" s="991"/>
      <c r="H23" s="991"/>
      <c r="I23" s="991"/>
      <c r="J23" s="991"/>
      <c r="K23" s="991"/>
      <c r="L23" s="991"/>
      <c r="M23" s="991"/>
      <c r="N23" s="991"/>
    </row>
    <row r="24" spans="1:14">
      <c r="A24" s="991" t="s">
        <v>11</v>
      </c>
      <c r="B24" s="991"/>
      <c r="C24" s="991"/>
      <c r="D24" s="991"/>
      <c r="E24" s="991" t="s">
        <v>12</v>
      </c>
      <c r="F24" s="991"/>
      <c r="G24" s="991"/>
      <c r="H24" s="991"/>
      <c r="I24" s="991"/>
      <c r="J24" s="991"/>
      <c r="K24" s="991"/>
      <c r="L24" s="991"/>
      <c r="M24" s="991"/>
      <c r="N24" s="991"/>
    </row>
    <row r="25" spans="1:14">
      <c r="A25" s="991" t="s">
        <v>13</v>
      </c>
      <c r="B25" s="991"/>
      <c r="C25" s="991"/>
      <c r="D25" s="991"/>
      <c r="E25" s="991" t="s">
        <v>13</v>
      </c>
      <c r="F25" s="991"/>
      <c r="G25" s="991"/>
      <c r="H25" s="991"/>
      <c r="I25" s="991"/>
      <c r="J25" s="991"/>
      <c r="K25" s="991"/>
      <c r="L25" s="991"/>
      <c r="M25" s="991"/>
      <c r="N25" s="991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413"/>
  <sheetViews>
    <sheetView topLeftCell="A8" workbookViewId="0">
      <pane ySplit="4" topLeftCell="A12" activePane="bottomLeft" state="frozen"/>
      <selection activeCell="A8" sqref="A8"/>
      <selection pane="bottomLeft" activeCell="N12" sqref="N12"/>
    </sheetView>
  </sheetViews>
  <sheetFormatPr defaultRowHeight="12.75"/>
  <cols>
    <col min="1" max="1" width="3.7109375" style="288" customWidth="1"/>
    <col min="2" max="2" width="3.42578125" style="288" customWidth="1"/>
    <col min="3" max="3" width="34" style="288" customWidth="1"/>
    <col min="4" max="4" width="7.7109375" style="291" customWidth="1"/>
    <col min="5" max="5" width="8.42578125" style="309" customWidth="1"/>
    <col min="6" max="6" width="12.7109375" style="309" customWidth="1"/>
    <col min="7" max="7" width="8" style="293" customWidth="1"/>
    <col min="8" max="8" width="12.140625" style="293" customWidth="1"/>
    <col min="9" max="9" width="7.85546875" style="293" customWidth="1"/>
    <col min="10" max="10" width="11.7109375" style="293" customWidth="1"/>
    <col min="11" max="11" width="9" style="293" customWidth="1"/>
    <col min="12" max="12" width="13.140625" style="293" customWidth="1"/>
    <col min="13" max="13" width="9" style="288" customWidth="1"/>
    <col min="14" max="14" width="11.140625" style="293" bestFit="1" customWidth="1"/>
    <col min="15" max="16384" width="9.140625" style="288"/>
  </cols>
  <sheetData>
    <row r="1" spans="1:14" s="263" customFormat="1" ht="14.25" customHeight="1">
      <c r="B1" s="875" t="str">
        <f>TH!$A$1</f>
        <v>Đơn vị: CÔNG TY TNHH SX TM KIM DUNG PHÁT</v>
      </c>
      <c r="C1" s="283"/>
      <c r="D1" s="283"/>
      <c r="E1" s="283"/>
      <c r="F1" s="284"/>
      <c r="G1" s="284"/>
      <c r="H1" s="983" t="s">
        <v>188</v>
      </c>
      <c r="I1" s="983"/>
      <c r="J1" s="983"/>
      <c r="K1" s="983"/>
      <c r="L1" s="983"/>
      <c r="M1" s="745"/>
      <c r="N1" s="746"/>
    </row>
    <row r="2" spans="1:14" s="263" customFormat="1" ht="14.25" customHeight="1">
      <c r="B2" s="876" t="str">
        <f>TH!$A$2</f>
        <v>Địa chỉ: 1A227/1 Ấp 1, Phạm Văn Hai, Bình Chánh, TPHCM</v>
      </c>
      <c r="C2" s="285"/>
      <c r="D2" s="285"/>
      <c r="E2" s="285"/>
      <c r="F2" s="285"/>
      <c r="G2" s="285"/>
      <c r="H2" s="984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984"/>
      <c r="J2" s="984"/>
      <c r="K2" s="984"/>
      <c r="L2" s="984"/>
      <c r="M2" s="751"/>
      <c r="N2" s="746"/>
    </row>
    <row r="3" spans="1:14" s="263" customFormat="1" ht="14.25" customHeight="1">
      <c r="B3" s="285"/>
      <c r="C3" s="285"/>
      <c r="D3" s="285"/>
      <c r="E3" s="285"/>
      <c r="F3" s="285"/>
      <c r="G3" s="285"/>
      <c r="H3" s="984"/>
      <c r="I3" s="984"/>
      <c r="J3" s="984"/>
      <c r="K3" s="984"/>
      <c r="L3" s="984"/>
      <c r="M3" s="752"/>
      <c r="N3" s="746"/>
    </row>
    <row r="4" spans="1:14" s="286" customFormat="1" ht="27.75" customHeight="1">
      <c r="B4" s="1006" t="s">
        <v>189</v>
      </c>
      <c r="C4" s="1006"/>
      <c r="D4" s="1006"/>
      <c r="E4" s="1006"/>
      <c r="F4" s="1006"/>
      <c r="G4" s="1006"/>
      <c r="H4" s="1006"/>
      <c r="I4" s="1006"/>
      <c r="J4" s="1006"/>
      <c r="K4" s="1006"/>
      <c r="L4" s="1006"/>
      <c r="N4" s="747"/>
    </row>
    <row r="5" spans="1:14" s="286" customFormat="1" ht="15" customHeight="1">
      <c r="B5" s="1005" t="s">
        <v>190</v>
      </c>
      <c r="C5" s="1005"/>
      <c r="D5" s="1005"/>
      <c r="E5" s="1005"/>
      <c r="F5" s="1005"/>
      <c r="G5" s="1005"/>
      <c r="H5" s="1005"/>
      <c r="I5" s="1005"/>
      <c r="J5" s="1005"/>
      <c r="K5" s="1005"/>
      <c r="L5" s="1005"/>
      <c r="N5" s="747"/>
    </row>
    <row r="6" spans="1:14" s="286" customFormat="1" ht="12.75" hidden="1" customHeight="1">
      <c r="B6" s="1005" t="s">
        <v>191</v>
      </c>
      <c r="C6" s="1005"/>
      <c r="D6" s="1005"/>
      <c r="E6" s="1005"/>
      <c r="F6" s="1005"/>
      <c r="G6" s="1005"/>
      <c r="H6" s="1005"/>
      <c r="I6" s="1005"/>
      <c r="J6" s="1005"/>
      <c r="K6" s="1005"/>
      <c r="L6" s="1005"/>
      <c r="N6" s="747"/>
    </row>
    <row r="7" spans="1:14" s="287" customFormat="1" ht="24" hidden="1" customHeight="1">
      <c r="C7" s="1013" t="s">
        <v>192</v>
      </c>
      <c r="D7" s="1013"/>
      <c r="E7" s="1013"/>
      <c r="F7" s="1013"/>
      <c r="G7" s="1013"/>
      <c r="H7" s="1013"/>
      <c r="I7" s="1013"/>
      <c r="J7" s="1013"/>
      <c r="K7" s="1013"/>
      <c r="L7" s="1013"/>
      <c r="N7" s="748"/>
    </row>
    <row r="8" spans="1:14" ht="20.25" customHeight="1">
      <c r="B8" s="1007" t="s">
        <v>35</v>
      </c>
      <c r="C8" s="1008" t="s">
        <v>193</v>
      </c>
      <c r="D8" s="1009" t="s">
        <v>194</v>
      </c>
      <c r="E8" s="1011" t="s">
        <v>139</v>
      </c>
      <c r="F8" s="1011"/>
      <c r="G8" s="1011"/>
      <c r="H8" s="1011"/>
      <c r="I8" s="1011"/>
      <c r="J8" s="1011"/>
      <c r="K8" s="1011"/>
      <c r="L8" s="1011"/>
    </row>
    <row r="9" spans="1:14" ht="20.25" customHeight="1">
      <c r="B9" s="1007"/>
      <c r="C9" s="1008"/>
      <c r="D9" s="1010"/>
      <c r="E9" s="1011" t="s">
        <v>195</v>
      </c>
      <c r="F9" s="1011"/>
      <c r="G9" s="1012" t="s">
        <v>196</v>
      </c>
      <c r="H9" s="1012"/>
      <c r="I9" s="1012" t="s">
        <v>197</v>
      </c>
      <c r="J9" s="1012"/>
      <c r="K9" s="1012" t="s">
        <v>198</v>
      </c>
      <c r="L9" s="1012"/>
    </row>
    <row r="10" spans="1:14" ht="20.25" hidden="1" customHeight="1">
      <c r="B10" s="1007"/>
      <c r="C10" s="1008"/>
      <c r="D10" s="289"/>
      <c r="E10" s="290" t="s">
        <v>199</v>
      </c>
      <c r="F10" s="290" t="s">
        <v>200</v>
      </c>
      <c r="G10" s="290" t="s">
        <v>199</v>
      </c>
      <c r="H10" s="290" t="s">
        <v>200</v>
      </c>
      <c r="I10" s="290" t="s">
        <v>199</v>
      </c>
      <c r="J10" s="290" t="s">
        <v>200</v>
      </c>
      <c r="K10" s="290" t="s">
        <v>199</v>
      </c>
      <c r="L10" s="290" t="s">
        <v>200</v>
      </c>
    </row>
    <row r="11" spans="1:14" s="291" customFormat="1">
      <c r="B11" s="292" t="s">
        <v>2</v>
      </c>
      <c r="C11" s="289" t="s">
        <v>3</v>
      </c>
      <c r="D11" s="289"/>
      <c r="E11" s="290">
        <v>1</v>
      </c>
      <c r="F11" s="290">
        <v>1</v>
      </c>
      <c r="G11" s="290">
        <v>2</v>
      </c>
      <c r="H11" s="290">
        <v>2</v>
      </c>
      <c r="I11" s="290">
        <v>3</v>
      </c>
      <c r="J11" s="290">
        <v>3</v>
      </c>
      <c r="K11" s="290">
        <v>4</v>
      </c>
      <c r="L11" s="290">
        <v>4</v>
      </c>
      <c r="N11" s="749"/>
    </row>
    <row r="12" spans="1:14" ht="18" customHeight="1">
      <c r="A12" s="293" t="str">
        <f>IF(B12&lt;&gt;"","VL","")</f>
        <v>VL</v>
      </c>
      <c r="B12" s="294">
        <f>IF(C12&lt;&gt;"",ROW()-11,"")</f>
        <v>1</v>
      </c>
      <c r="C12" s="189" t="s">
        <v>374</v>
      </c>
      <c r="D12" s="296" t="s">
        <v>345</v>
      </c>
      <c r="E12" s="25">
        <v>50</v>
      </c>
      <c r="F12" s="25">
        <v>1250000</v>
      </c>
      <c r="G12" s="25">
        <f t="array" ref="G12">SUM(IF("1522"&amp;C12=KHN&amp;MH,SL))</f>
        <v>50</v>
      </c>
      <c r="H12" s="25">
        <f t="array" ref="H12">SUM(IF("1522"&amp;C12=KHN&amp;MH,TH))</f>
        <v>1250000</v>
      </c>
      <c r="I12" s="25">
        <f t="array" ref="I12">SUM(IF("1522"&amp;C12=KHC&amp;MH,SL))</f>
        <v>100</v>
      </c>
      <c r="J12" s="25">
        <f t="array" ref="J12">SUM(IF("1522"&amp;C12=KHC&amp;MH,TH))</f>
        <v>2500000</v>
      </c>
      <c r="K12" s="25">
        <f t="shared" ref="K12:L14" si="0">E12+G12-I12</f>
        <v>0</v>
      </c>
      <c r="L12" s="25">
        <f t="shared" si="0"/>
        <v>0</v>
      </c>
      <c r="M12" s="293"/>
    </row>
    <row r="13" spans="1:14" ht="18" customHeight="1">
      <c r="A13" s="293" t="str">
        <f>IF(B13&lt;&gt;"","VL","")</f>
        <v>VL</v>
      </c>
      <c r="B13" s="294">
        <f>IF(C13&lt;&gt;"",ROW()-11,"")</f>
        <v>2</v>
      </c>
      <c r="C13" s="189" t="s">
        <v>346</v>
      </c>
      <c r="D13" s="296" t="s">
        <v>345</v>
      </c>
      <c r="E13" s="8">
        <v>24</v>
      </c>
      <c r="F13" s="8">
        <v>1008000</v>
      </c>
      <c r="G13" s="25">
        <f t="array" ref="G13">SUM(IF("1522"&amp;C13=KHN&amp;MH,SL))</f>
        <v>120</v>
      </c>
      <c r="H13" s="25">
        <f t="array" ref="H13">SUM(IF("1522"&amp;C13=KHN&amp;MH,TH))</f>
        <v>5136000</v>
      </c>
      <c r="I13" s="25">
        <f t="array" ref="I13">SUM(IF("1522"&amp;C13=KHC&amp;MH,SL))</f>
        <v>96</v>
      </c>
      <c r="J13" s="25">
        <f t="array" ref="J13">SUM(IF("1522"&amp;C13=KHC&amp;MH,TH))</f>
        <v>4176000</v>
      </c>
      <c r="K13" s="8">
        <f t="shared" si="0"/>
        <v>48</v>
      </c>
      <c r="L13" s="8">
        <f t="shared" si="0"/>
        <v>1968000</v>
      </c>
      <c r="M13" s="293"/>
    </row>
    <row r="14" spans="1:14" ht="18" customHeight="1">
      <c r="A14" s="293" t="str">
        <f>IF(B14&lt;&gt;"","VL","")</f>
        <v>VL</v>
      </c>
      <c r="B14" s="294">
        <f>IF(C14&lt;&gt;"",ROW()-11,"")</f>
        <v>3</v>
      </c>
      <c r="C14" s="832" t="s">
        <v>578</v>
      </c>
      <c r="D14" s="296" t="s">
        <v>345</v>
      </c>
      <c r="E14" s="8"/>
      <c r="F14" s="8"/>
      <c r="G14" s="25">
        <f t="array" ref="G14">SUM(IF("1522"&amp;C14=KHN&amp;MH,SL))</f>
        <v>100</v>
      </c>
      <c r="H14" s="25">
        <f t="array" ref="H14">SUM(IF("1522"&amp;C14=KHN&amp;MH,TH))</f>
        <v>1750000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0"/>
        <v>100</v>
      </c>
      <c r="L14" s="8">
        <f t="shared" si="0"/>
        <v>1750000</v>
      </c>
      <c r="M14" s="293"/>
    </row>
    <row r="15" spans="1:14" ht="18.75" customHeight="1">
      <c r="A15" s="293" t="str">
        <f>IF(B15&lt;&gt;"","VL","")</f>
        <v/>
      </c>
      <c r="B15" s="294" t="str">
        <f>IF(C15&lt;&gt;"",ROW()-11,"")</f>
        <v/>
      </c>
      <c r="C15" s="298"/>
      <c r="D15" s="299"/>
      <c r="E15" s="300"/>
      <c r="F15" s="300"/>
      <c r="G15" s="25"/>
      <c r="H15" s="300"/>
      <c r="I15" s="300"/>
      <c r="J15" s="300"/>
      <c r="K15" s="300"/>
      <c r="L15" s="300"/>
      <c r="M15" s="293"/>
    </row>
    <row r="16" spans="1:14" ht="18.75" customHeight="1">
      <c r="A16" s="293" t="str">
        <f>IF(B16&lt;&gt;"","VL","")</f>
        <v/>
      </c>
      <c r="B16" s="292"/>
      <c r="C16" s="301" t="s">
        <v>344</v>
      </c>
      <c r="D16" s="13"/>
      <c r="E16" s="13">
        <f>SUM(E12:E15)</f>
        <v>74</v>
      </c>
      <c r="F16" s="13">
        <f t="shared" ref="F16:L16" si="1">SUM(F12:F15)</f>
        <v>2258000</v>
      </c>
      <c r="G16" s="13">
        <f t="shared" si="1"/>
        <v>270</v>
      </c>
      <c r="H16" s="13">
        <f t="shared" si="1"/>
        <v>8136000</v>
      </c>
      <c r="I16" s="13">
        <f t="shared" si="1"/>
        <v>196</v>
      </c>
      <c r="J16" s="13">
        <f t="shared" si="1"/>
        <v>6676000</v>
      </c>
      <c r="K16" s="13">
        <f t="shared" si="1"/>
        <v>148</v>
      </c>
      <c r="L16" s="13">
        <f t="shared" si="1"/>
        <v>3718000</v>
      </c>
      <c r="M16" s="293"/>
    </row>
    <row r="17" spans="1:13" ht="18.75" customHeight="1">
      <c r="A17" s="293"/>
      <c r="B17" s="478"/>
      <c r="C17" s="479"/>
      <c r="D17" s="480"/>
      <c r="E17" s="480"/>
      <c r="F17" s="480">
        <f>F16-CDPS!C20</f>
        <v>0</v>
      </c>
      <c r="G17" s="480"/>
      <c r="H17" s="480">
        <f>H16-CDPS!E20</f>
        <v>0</v>
      </c>
      <c r="I17" s="480"/>
      <c r="J17" s="480">
        <f>J16-CDPS!F20</f>
        <v>0</v>
      </c>
      <c r="K17" s="480"/>
      <c r="L17" s="480">
        <f>L16-CDPS!G20</f>
        <v>0</v>
      </c>
      <c r="M17" s="293"/>
    </row>
    <row r="18" spans="1:13" ht="18.75" customHeight="1">
      <c r="A18" s="293" t="str">
        <f t="shared" ref="A18:A81" si="2">IF(B18&lt;&gt;"","NL","")</f>
        <v>NL</v>
      </c>
      <c r="B18" s="477">
        <f>IF(C18&lt;&gt;"",ROW()-17,"")</f>
        <v>1</v>
      </c>
      <c r="C18" s="846" t="s">
        <v>1169</v>
      </c>
      <c r="D18" s="296" t="s">
        <v>1170</v>
      </c>
      <c r="E18" s="25">
        <v>150</v>
      </c>
      <c r="F18" s="25">
        <v>1767000</v>
      </c>
      <c r="G18" s="25">
        <f t="array" ref="G18">SUM(IF("1521"&amp;C18=KHN&amp;MH,SL))</f>
        <v>0</v>
      </c>
      <c r="H18" s="25">
        <f t="array" ref="H18">SUM(IF("1521"&amp;C18=KHN&amp;MH,TH))</f>
        <v>0</v>
      </c>
      <c r="I18" s="25">
        <f t="array" ref="I18">SUM(IF("1521"&amp;C18=KHC&amp;MH,SL))</f>
        <v>0</v>
      </c>
      <c r="J18" s="25">
        <f t="array" ref="J18">SUM(IF("1521"&amp;C18=KHC&amp;MH,TH))</f>
        <v>0</v>
      </c>
      <c r="K18" s="25">
        <f t="shared" ref="K18:K165" si="3">E18+G18-I18</f>
        <v>150</v>
      </c>
      <c r="L18" s="25">
        <f t="shared" ref="L18:L165" si="4">F18+H18-J18</f>
        <v>1767000</v>
      </c>
      <c r="M18" s="293"/>
    </row>
    <row r="19" spans="1:13" ht="18.75" customHeight="1">
      <c r="A19" s="293" t="str">
        <f t="shared" si="2"/>
        <v>NL</v>
      </c>
      <c r="B19" s="477">
        <f t="shared" ref="B19:B132" si="5">IF(C19&lt;&gt;"",ROW()-17,"")</f>
        <v>2</v>
      </c>
      <c r="C19" s="846" t="s">
        <v>1171</v>
      </c>
      <c r="D19" s="296" t="s">
        <v>1170</v>
      </c>
      <c r="E19" s="25">
        <v>209</v>
      </c>
      <c r="F19" s="25">
        <v>3827626</v>
      </c>
      <c r="G19" s="25">
        <f t="array" ref="G19">SUM(IF("1521"&amp;C19=KHN&amp;MH,SL))</f>
        <v>0</v>
      </c>
      <c r="H19" s="25">
        <f t="array" ref="H19">SUM(IF("1521"&amp;C19=KHN&amp;MH,TH))</f>
        <v>0</v>
      </c>
      <c r="I19" s="25">
        <f t="array" ref="I19">SUM(IF("1521"&amp;C19=KHC&amp;MH,SL))</f>
        <v>0</v>
      </c>
      <c r="J19" s="25">
        <f t="array" ref="J19">SUM(IF("1521"&amp;C19=KHC&amp;MH,TH))</f>
        <v>0</v>
      </c>
      <c r="K19" s="25">
        <f t="shared" si="3"/>
        <v>209</v>
      </c>
      <c r="L19" s="25">
        <f t="shared" si="4"/>
        <v>3827626</v>
      </c>
      <c r="M19" s="293"/>
    </row>
    <row r="20" spans="1:13" ht="18.75" customHeight="1">
      <c r="A20" s="293" t="str">
        <f t="shared" si="2"/>
        <v>NL</v>
      </c>
      <c r="B20" s="477">
        <f t="shared" si="5"/>
        <v>3</v>
      </c>
      <c r="C20" s="846" t="s">
        <v>1172</v>
      </c>
      <c r="D20" s="296" t="s">
        <v>1170</v>
      </c>
      <c r="E20" s="25">
        <v>202</v>
      </c>
      <c r="F20" s="25">
        <v>4240384</v>
      </c>
      <c r="G20" s="25">
        <f t="array" ref="G20">SUM(IF("1521"&amp;C20=KHN&amp;MH,SL))</f>
        <v>0</v>
      </c>
      <c r="H20" s="25">
        <f t="array" ref="H20">SUM(IF("1521"&amp;C20=KHN&amp;MH,TH))</f>
        <v>0</v>
      </c>
      <c r="I20" s="25">
        <f t="array" ref="I20">SUM(IF("1521"&amp;C20=KHC&amp;MH,SL))</f>
        <v>0</v>
      </c>
      <c r="J20" s="25">
        <f t="array" ref="J20">SUM(IF("1521"&amp;C20=KHC&amp;MH,TH))</f>
        <v>0</v>
      </c>
      <c r="K20" s="25">
        <f t="shared" si="3"/>
        <v>202</v>
      </c>
      <c r="L20" s="25">
        <f t="shared" si="4"/>
        <v>4240384</v>
      </c>
      <c r="M20" s="293"/>
    </row>
    <row r="21" spans="1:13" ht="18.75" customHeight="1">
      <c r="A21" s="293" t="str">
        <f t="shared" si="2"/>
        <v>NL</v>
      </c>
      <c r="B21" s="477">
        <f t="shared" si="5"/>
        <v>4</v>
      </c>
      <c r="C21" s="846" t="s">
        <v>1173</v>
      </c>
      <c r="D21" s="296" t="s">
        <v>1170</v>
      </c>
      <c r="E21" s="25">
        <v>760</v>
      </c>
      <c r="F21" s="25">
        <v>15819400</v>
      </c>
      <c r="G21" s="25">
        <f t="array" ref="G21">SUM(IF("1521"&amp;C21=KHN&amp;MH,SL))</f>
        <v>0</v>
      </c>
      <c r="H21" s="25">
        <f t="array" ref="H21">SUM(IF("1521"&amp;C21=KHN&amp;MH,TH))</f>
        <v>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25">
        <f t="shared" si="3"/>
        <v>760</v>
      </c>
      <c r="L21" s="25">
        <f t="shared" si="4"/>
        <v>15819400</v>
      </c>
      <c r="M21" s="293"/>
    </row>
    <row r="22" spans="1:13" ht="18.75" customHeight="1">
      <c r="A22" s="293" t="str">
        <f t="shared" si="2"/>
        <v>NL</v>
      </c>
      <c r="B22" s="477">
        <f t="shared" si="5"/>
        <v>5</v>
      </c>
      <c r="C22" s="846" t="s">
        <v>1174</v>
      </c>
      <c r="D22" s="296" t="s">
        <v>1170</v>
      </c>
      <c r="E22" s="25">
        <v>500</v>
      </c>
      <c r="F22" s="25">
        <v>14175000</v>
      </c>
      <c r="G22" s="25">
        <f t="array" ref="G22">SUM(IF("1521"&amp;C22=KHN&amp;MH,SL))</f>
        <v>0</v>
      </c>
      <c r="H22" s="25">
        <f t="array" ref="H22">SUM(IF("1521"&amp;C22=KHN&amp;MH,TH))</f>
        <v>0</v>
      </c>
      <c r="I22" s="25">
        <f t="array" ref="I22">SUM(IF("1521"&amp;C22=KHC&amp;MH,SL))</f>
        <v>0</v>
      </c>
      <c r="J22" s="25">
        <f t="array" ref="J22">SUM(IF("1521"&amp;C22=KHC&amp;MH,TH))</f>
        <v>0</v>
      </c>
      <c r="K22" s="25">
        <f t="shared" si="3"/>
        <v>500</v>
      </c>
      <c r="L22" s="25">
        <f t="shared" si="4"/>
        <v>14175000</v>
      </c>
      <c r="M22" s="293"/>
    </row>
    <row r="23" spans="1:13" ht="18.75" customHeight="1">
      <c r="A23" s="293" t="str">
        <f t="shared" si="2"/>
        <v>NL</v>
      </c>
      <c r="B23" s="477">
        <f t="shared" si="5"/>
        <v>6</v>
      </c>
      <c r="C23" s="846" t="s">
        <v>1175</v>
      </c>
      <c r="D23" s="296" t="s">
        <v>1170</v>
      </c>
      <c r="E23" s="25">
        <v>218</v>
      </c>
      <c r="F23" s="25">
        <v>4558380</v>
      </c>
      <c r="G23" s="25">
        <f t="array" ref="G23">SUM(IF("1521"&amp;C23=KHN&amp;MH,SL))</f>
        <v>0</v>
      </c>
      <c r="H23" s="25">
        <f t="array" ref="H23">SUM(IF("1521"&amp;C23=KHN&amp;MH,TH))</f>
        <v>0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25">
        <f t="shared" si="3"/>
        <v>218</v>
      </c>
      <c r="L23" s="25">
        <f t="shared" si="4"/>
        <v>4558380</v>
      </c>
      <c r="M23" s="293"/>
    </row>
    <row r="24" spans="1:13" ht="18.75" customHeight="1">
      <c r="A24" s="293" t="str">
        <f t="shared" si="2"/>
        <v>NL</v>
      </c>
      <c r="B24" s="477">
        <f t="shared" si="5"/>
        <v>7</v>
      </c>
      <c r="C24" s="846" t="s">
        <v>1176</v>
      </c>
      <c r="D24" s="296" t="s">
        <v>1170</v>
      </c>
      <c r="E24" s="25">
        <v>988</v>
      </c>
      <c r="F24" s="25">
        <v>22391044</v>
      </c>
      <c r="G24" s="25">
        <f t="array" ref="G24">SUM(IF("1521"&amp;C24=KHN&amp;MH,SL))</f>
        <v>0</v>
      </c>
      <c r="H24" s="25">
        <f t="array" ref="H24">SUM(IF("1521"&amp;C24=KHN&amp;MH,TH))</f>
        <v>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25">
        <f t="shared" si="3"/>
        <v>988</v>
      </c>
      <c r="L24" s="25">
        <f t="shared" si="4"/>
        <v>22391044</v>
      </c>
      <c r="M24" s="293"/>
    </row>
    <row r="25" spans="1:13" ht="18.75" customHeight="1">
      <c r="A25" s="293" t="str">
        <f t="shared" si="2"/>
        <v>NL</v>
      </c>
      <c r="B25" s="477">
        <f t="shared" si="5"/>
        <v>8</v>
      </c>
      <c r="C25" s="846" t="s">
        <v>1177</v>
      </c>
      <c r="D25" s="296" t="s">
        <v>1170</v>
      </c>
      <c r="E25" s="25">
        <v>517</v>
      </c>
      <c r="F25" s="25">
        <v>10330694</v>
      </c>
      <c r="G25" s="25">
        <f t="array" ref="G25">SUM(IF("1521"&amp;C25=KHN&amp;MH,SL))</f>
        <v>0</v>
      </c>
      <c r="H25" s="25">
        <f t="array" ref="H25">SUM(IF("1521"&amp;C25=KHN&amp;MH,TH))</f>
        <v>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25">
        <f t="shared" si="3"/>
        <v>517</v>
      </c>
      <c r="L25" s="25">
        <f t="shared" si="4"/>
        <v>10330694</v>
      </c>
      <c r="M25" s="293"/>
    </row>
    <row r="26" spans="1:13" ht="18.75" customHeight="1">
      <c r="A26" s="293" t="str">
        <f t="shared" si="2"/>
        <v>NL</v>
      </c>
      <c r="B26" s="477">
        <f t="shared" si="5"/>
        <v>9</v>
      </c>
      <c r="C26" s="846" t="s">
        <v>1178</v>
      </c>
      <c r="D26" s="296" t="s">
        <v>1170</v>
      </c>
      <c r="E26" s="25">
        <v>60</v>
      </c>
      <c r="F26" s="25">
        <v>1570740</v>
      </c>
      <c r="G26" s="25">
        <f t="array" ref="G26">SUM(IF("1521"&amp;C26=KHN&amp;MH,SL))</f>
        <v>0</v>
      </c>
      <c r="H26" s="25">
        <f t="array" ref="H26">SUM(IF("1521"&amp;C26=KHN&amp;MH,TH))</f>
        <v>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25">
        <f t="shared" si="3"/>
        <v>60</v>
      </c>
      <c r="L26" s="25">
        <f t="shared" si="4"/>
        <v>1570740</v>
      </c>
      <c r="M26" s="293"/>
    </row>
    <row r="27" spans="1:13" ht="18.75" customHeight="1">
      <c r="A27" s="293" t="str">
        <f t="shared" si="2"/>
        <v>NL</v>
      </c>
      <c r="B27" s="477">
        <f t="shared" si="5"/>
        <v>10</v>
      </c>
      <c r="C27" s="846" t="s">
        <v>1179</v>
      </c>
      <c r="D27" s="296" t="s">
        <v>1170</v>
      </c>
      <c r="E27" s="25">
        <v>50</v>
      </c>
      <c r="F27" s="25">
        <v>1641600</v>
      </c>
      <c r="G27" s="25">
        <f t="array" ref="G27">SUM(IF("1521"&amp;C27=KHN&amp;MH,SL))</f>
        <v>0</v>
      </c>
      <c r="H27" s="25">
        <f t="array" ref="H27">SUM(IF("1521"&amp;C27=KHN&amp;MH,TH))</f>
        <v>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25">
        <f t="shared" si="3"/>
        <v>50</v>
      </c>
      <c r="L27" s="25">
        <f t="shared" si="4"/>
        <v>1641600</v>
      </c>
      <c r="M27" s="293"/>
    </row>
    <row r="28" spans="1:13" ht="18.75" customHeight="1">
      <c r="A28" s="293" t="str">
        <f t="shared" si="2"/>
        <v>NL</v>
      </c>
      <c r="B28" s="477">
        <f t="shared" si="5"/>
        <v>11</v>
      </c>
      <c r="C28" s="846" t="s">
        <v>1180</v>
      </c>
      <c r="D28" s="296" t="s">
        <v>1170</v>
      </c>
      <c r="E28" s="25">
        <v>381</v>
      </c>
      <c r="F28" s="25">
        <v>7505319</v>
      </c>
      <c r="G28" s="25">
        <f t="array" ref="G28">SUM(IF("1521"&amp;C28=KHN&amp;MH,SL))</f>
        <v>0</v>
      </c>
      <c r="H28" s="25">
        <f t="array" ref="H28">SUM(IF("1521"&amp;C28=KHN&amp;MH,TH))</f>
        <v>0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25">
        <f t="shared" si="3"/>
        <v>381</v>
      </c>
      <c r="L28" s="25">
        <f t="shared" si="4"/>
        <v>7505319</v>
      </c>
      <c r="M28" s="293"/>
    </row>
    <row r="29" spans="1:13" ht="18.75" customHeight="1">
      <c r="A29" s="293" t="str">
        <f t="shared" si="2"/>
        <v>NL</v>
      </c>
      <c r="B29" s="477">
        <f t="shared" si="5"/>
        <v>12</v>
      </c>
      <c r="C29" s="846" t="s">
        <v>1181</v>
      </c>
      <c r="D29" s="296" t="s">
        <v>1170</v>
      </c>
      <c r="E29" s="25">
        <v>670</v>
      </c>
      <c r="F29" s="25">
        <v>4891000</v>
      </c>
      <c r="G29" s="25">
        <f t="array" ref="G29">SUM(IF("1521"&amp;C29=KHN&amp;MH,SL))</f>
        <v>0</v>
      </c>
      <c r="H29" s="25">
        <f t="array" ref="H29">SUM(IF("1521"&amp;C29=KHN&amp;MH,TH))</f>
        <v>0</v>
      </c>
      <c r="I29" s="25">
        <f t="array" ref="I29">SUM(IF("1521"&amp;C29=KHC&amp;MH,SL))</f>
        <v>0</v>
      </c>
      <c r="J29" s="25">
        <f t="array" ref="J29">SUM(IF("1521"&amp;C29=KHC&amp;MH,TH))</f>
        <v>0</v>
      </c>
      <c r="K29" s="25">
        <f t="shared" si="3"/>
        <v>670</v>
      </c>
      <c r="L29" s="25">
        <f t="shared" si="4"/>
        <v>4891000</v>
      </c>
      <c r="M29" s="293"/>
    </row>
    <row r="30" spans="1:13" ht="18.75" customHeight="1">
      <c r="A30" s="293" t="str">
        <f t="shared" si="2"/>
        <v>NL</v>
      </c>
      <c r="B30" s="477">
        <f t="shared" si="5"/>
        <v>13</v>
      </c>
      <c r="C30" s="846" t="s">
        <v>1182</v>
      </c>
      <c r="D30" s="296" t="s">
        <v>1170</v>
      </c>
      <c r="E30" s="25">
        <v>600</v>
      </c>
      <c r="F30" s="25">
        <v>5458800</v>
      </c>
      <c r="G30" s="25">
        <f t="array" ref="G30">SUM(IF("1521"&amp;C30=KHN&amp;MH,SL))</f>
        <v>0</v>
      </c>
      <c r="H30" s="25">
        <f t="array" ref="H30">SUM(IF("1521"&amp;C30=KHN&amp;MH,TH))</f>
        <v>0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25">
        <f t="shared" si="3"/>
        <v>600</v>
      </c>
      <c r="L30" s="25">
        <f t="shared" si="4"/>
        <v>5458800</v>
      </c>
      <c r="M30" s="293"/>
    </row>
    <row r="31" spans="1:13" ht="18.75" customHeight="1">
      <c r="A31" s="293" t="str">
        <f t="shared" si="2"/>
        <v>NL</v>
      </c>
      <c r="B31" s="477">
        <f t="shared" si="5"/>
        <v>14</v>
      </c>
      <c r="C31" s="846" t="s">
        <v>1183</v>
      </c>
      <c r="D31" s="296" t="s">
        <v>1170</v>
      </c>
      <c r="E31" s="25">
        <v>100</v>
      </c>
      <c r="F31" s="25">
        <v>641300</v>
      </c>
      <c r="G31" s="25">
        <f t="array" ref="G31">SUM(IF("1521"&amp;C31=KHN&amp;MH,SL))</f>
        <v>0</v>
      </c>
      <c r="H31" s="25">
        <f t="array" ref="H31">SUM(IF("1521"&amp;C31=KHN&amp;MH,TH))</f>
        <v>0</v>
      </c>
      <c r="I31" s="25">
        <f t="array" ref="I31">SUM(IF("1521"&amp;C31=KHC&amp;MH,SL))</f>
        <v>0</v>
      </c>
      <c r="J31" s="25">
        <f t="array" ref="J31">SUM(IF("1521"&amp;C31=KHC&amp;MH,TH))</f>
        <v>0</v>
      </c>
      <c r="K31" s="25">
        <f t="shared" si="3"/>
        <v>100</v>
      </c>
      <c r="L31" s="25">
        <f t="shared" si="4"/>
        <v>641300</v>
      </c>
      <c r="M31" s="293"/>
    </row>
    <row r="32" spans="1:13" ht="18.75" customHeight="1">
      <c r="A32" s="293" t="str">
        <f t="shared" si="2"/>
        <v>NL</v>
      </c>
      <c r="B32" s="477">
        <f t="shared" si="5"/>
        <v>15</v>
      </c>
      <c r="C32" s="846" t="s">
        <v>1184</v>
      </c>
      <c r="D32" s="296" t="s">
        <v>1170</v>
      </c>
      <c r="E32" s="25">
        <v>120</v>
      </c>
      <c r="F32" s="25">
        <v>1234440</v>
      </c>
      <c r="G32" s="25">
        <f t="array" ref="G32">SUM(IF("1521"&amp;C32=KHN&amp;MH,SL))</f>
        <v>0</v>
      </c>
      <c r="H32" s="25">
        <f t="array" ref="H32">SUM(IF("1521"&amp;C32=KHN&amp;MH,TH))</f>
        <v>0</v>
      </c>
      <c r="I32" s="25">
        <f t="array" ref="I32">SUM(IF("1521"&amp;C32=KHC&amp;MH,SL))</f>
        <v>0</v>
      </c>
      <c r="J32" s="25">
        <f t="array" ref="J32">SUM(IF("1521"&amp;C32=KHC&amp;MH,TH))</f>
        <v>0</v>
      </c>
      <c r="K32" s="25">
        <f t="shared" si="3"/>
        <v>120</v>
      </c>
      <c r="L32" s="25">
        <f t="shared" si="4"/>
        <v>1234440</v>
      </c>
      <c r="M32" s="293"/>
    </row>
    <row r="33" spans="1:13" ht="18.75" customHeight="1">
      <c r="A33" s="293" t="str">
        <f t="shared" si="2"/>
        <v>NL</v>
      </c>
      <c r="B33" s="477">
        <f t="shared" si="5"/>
        <v>16</v>
      </c>
      <c r="C33" s="846" t="s">
        <v>1185</v>
      </c>
      <c r="D33" s="296" t="s">
        <v>1170</v>
      </c>
      <c r="E33" s="25">
        <v>332</v>
      </c>
      <c r="F33" s="25">
        <v>3546271</v>
      </c>
      <c r="G33" s="25">
        <f t="array" ref="G33">SUM(IF("1521"&amp;C33=KHN&amp;MH,SL))</f>
        <v>0</v>
      </c>
      <c r="H33" s="25">
        <f t="array" ref="H33">SUM(IF("1521"&amp;C33=KHN&amp;MH,TH))</f>
        <v>0</v>
      </c>
      <c r="I33" s="25">
        <f t="array" ref="I33">SUM(IF("1521"&amp;C33=KHC&amp;MH,SL))</f>
        <v>0</v>
      </c>
      <c r="J33" s="25">
        <f t="array" ref="J33">SUM(IF("1521"&amp;C33=KHC&amp;MH,TH))</f>
        <v>0</v>
      </c>
      <c r="K33" s="25">
        <f t="shared" si="3"/>
        <v>332</v>
      </c>
      <c r="L33" s="25">
        <f t="shared" si="4"/>
        <v>3546271</v>
      </c>
      <c r="M33" s="293"/>
    </row>
    <row r="34" spans="1:13" ht="18.75" customHeight="1">
      <c r="A34" s="293" t="str">
        <f t="shared" si="2"/>
        <v>NL</v>
      </c>
      <c r="B34" s="477">
        <f t="shared" si="5"/>
        <v>17</v>
      </c>
      <c r="C34" s="846" t="s">
        <v>1186</v>
      </c>
      <c r="D34" s="296" t="s">
        <v>1170</v>
      </c>
      <c r="E34" s="25">
        <v>11</v>
      </c>
      <c r="F34" s="25">
        <v>159016</v>
      </c>
      <c r="G34" s="25">
        <f t="array" ref="G34">SUM(IF("1521"&amp;C34=KHN&amp;MH,SL))</f>
        <v>0</v>
      </c>
      <c r="H34" s="25">
        <f t="array" ref="H34">SUM(IF("1521"&amp;C34=KHN&amp;MH,TH))</f>
        <v>0</v>
      </c>
      <c r="I34" s="25">
        <f t="array" ref="I34">SUM(IF("1521"&amp;C34=KHC&amp;MH,SL))</f>
        <v>0</v>
      </c>
      <c r="J34" s="25">
        <f t="array" ref="J34">SUM(IF("1521"&amp;C34=KHC&amp;MH,TH))</f>
        <v>0</v>
      </c>
      <c r="K34" s="25">
        <f t="shared" si="3"/>
        <v>11</v>
      </c>
      <c r="L34" s="25">
        <f t="shared" si="4"/>
        <v>159016</v>
      </c>
      <c r="M34" s="293"/>
    </row>
    <row r="35" spans="1:13" ht="18.75" customHeight="1">
      <c r="A35" s="293" t="str">
        <f t="shared" si="2"/>
        <v>NL</v>
      </c>
      <c r="B35" s="477">
        <f t="shared" si="5"/>
        <v>18</v>
      </c>
      <c r="C35" s="846" t="s">
        <v>1187</v>
      </c>
      <c r="D35" s="296" t="s">
        <v>1170</v>
      </c>
      <c r="E35" s="25">
        <v>690</v>
      </c>
      <c r="F35" s="25">
        <v>9319830</v>
      </c>
      <c r="G35" s="25">
        <f t="array" ref="G35">SUM(IF("1521"&amp;C35=KHN&amp;MH,SL))</f>
        <v>0</v>
      </c>
      <c r="H35" s="25">
        <f t="array" ref="H35">SUM(IF("1521"&amp;C35=KHN&amp;MH,TH))</f>
        <v>0</v>
      </c>
      <c r="I35" s="25">
        <f t="array" ref="I35">SUM(IF("1521"&amp;C35=KHC&amp;MH,SL))</f>
        <v>0</v>
      </c>
      <c r="J35" s="25">
        <f t="array" ref="J35">SUM(IF("1521"&amp;C35=KHC&amp;MH,TH))</f>
        <v>0</v>
      </c>
      <c r="K35" s="25">
        <f t="shared" si="3"/>
        <v>690</v>
      </c>
      <c r="L35" s="25">
        <f t="shared" si="4"/>
        <v>9319830</v>
      </c>
      <c r="M35" s="293"/>
    </row>
    <row r="36" spans="1:13" ht="18.75" customHeight="1">
      <c r="A36" s="293" t="str">
        <f t="shared" si="2"/>
        <v>NL</v>
      </c>
      <c r="B36" s="477">
        <f t="shared" si="5"/>
        <v>19</v>
      </c>
      <c r="C36" s="846" t="s">
        <v>1188</v>
      </c>
      <c r="D36" s="296" t="s">
        <v>1170</v>
      </c>
      <c r="E36" s="25">
        <v>510</v>
      </c>
      <c r="F36" s="25">
        <v>4337550</v>
      </c>
      <c r="G36" s="25">
        <f t="array" ref="G36">SUM(IF("1521"&amp;C36=KHN&amp;MH,SL))</f>
        <v>0</v>
      </c>
      <c r="H36" s="25">
        <f t="array" ref="H36">SUM(IF("1521"&amp;C36=KHN&amp;MH,TH))</f>
        <v>0</v>
      </c>
      <c r="I36" s="25">
        <f t="array" ref="I36">SUM(IF("1521"&amp;C36=KHC&amp;MH,SL))</f>
        <v>0</v>
      </c>
      <c r="J36" s="25">
        <f t="array" ref="J36">SUM(IF("1521"&amp;C36=KHC&amp;MH,TH))</f>
        <v>0</v>
      </c>
      <c r="K36" s="25">
        <f t="shared" si="3"/>
        <v>510</v>
      </c>
      <c r="L36" s="25">
        <f t="shared" si="4"/>
        <v>4337550</v>
      </c>
      <c r="M36" s="293"/>
    </row>
    <row r="37" spans="1:13" ht="18.75" customHeight="1">
      <c r="A37" s="293" t="str">
        <f t="shared" si="2"/>
        <v>NL</v>
      </c>
      <c r="B37" s="477">
        <f t="shared" si="5"/>
        <v>20</v>
      </c>
      <c r="C37" s="846" t="s">
        <v>1189</v>
      </c>
      <c r="D37" s="296" t="s">
        <v>1170</v>
      </c>
      <c r="E37" s="25">
        <v>150</v>
      </c>
      <c r="F37" s="25">
        <v>2114100</v>
      </c>
      <c r="G37" s="25">
        <f t="array" ref="G37">SUM(IF("1521"&amp;C37=KHN&amp;MH,SL))</f>
        <v>0</v>
      </c>
      <c r="H37" s="25">
        <f t="array" ref="H37">SUM(IF("1521"&amp;C37=KHN&amp;MH,TH))</f>
        <v>0</v>
      </c>
      <c r="I37" s="25">
        <f t="array" ref="I37">SUM(IF("1521"&amp;C37=KHC&amp;MH,SL))</f>
        <v>0</v>
      </c>
      <c r="J37" s="25">
        <f t="array" ref="J37">SUM(IF("1521"&amp;C37=KHC&amp;MH,TH))</f>
        <v>0</v>
      </c>
      <c r="K37" s="25">
        <f t="shared" si="3"/>
        <v>150</v>
      </c>
      <c r="L37" s="25">
        <f t="shared" si="4"/>
        <v>2114100</v>
      </c>
      <c r="M37" s="293"/>
    </row>
    <row r="38" spans="1:13" ht="18.75" customHeight="1">
      <c r="A38" s="293" t="str">
        <f t="shared" si="2"/>
        <v>NL</v>
      </c>
      <c r="B38" s="477">
        <f t="shared" si="5"/>
        <v>21</v>
      </c>
      <c r="C38" s="846" t="s">
        <v>1190</v>
      </c>
      <c r="D38" s="296" t="s">
        <v>1170</v>
      </c>
      <c r="E38" s="25">
        <v>180</v>
      </c>
      <c r="F38" s="25">
        <v>2721600</v>
      </c>
      <c r="G38" s="25">
        <f t="array" ref="G38">SUM(IF("1521"&amp;C38=KHN&amp;MH,SL))</f>
        <v>0</v>
      </c>
      <c r="H38" s="25">
        <f t="array" ref="H38">SUM(IF("1521"&amp;C38=KHN&amp;MH,TH))</f>
        <v>0</v>
      </c>
      <c r="I38" s="25">
        <f t="array" ref="I38">SUM(IF("1521"&amp;C38=KHC&amp;MH,SL))</f>
        <v>0</v>
      </c>
      <c r="J38" s="25">
        <f t="array" ref="J38">SUM(IF("1521"&amp;C38=KHC&amp;MH,TH))</f>
        <v>0</v>
      </c>
      <c r="K38" s="25">
        <f t="shared" si="3"/>
        <v>180</v>
      </c>
      <c r="L38" s="25">
        <f t="shared" si="4"/>
        <v>2721600</v>
      </c>
      <c r="M38" s="293"/>
    </row>
    <row r="39" spans="1:13" ht="18.75" customHeight="1">
      <c r="A39" s="293" t="str">
        <f t="shared" si="2"/>
        <v>NL</v>
      </c>
      <c r="B39" s="477">
        <f t="shared" si="5"/>
        <v>22</v>
      </c>
      <c r="C39" s="846" t="s">
        <v>1191</v>
      </c>
      <c r="D39" s="296" t="s">
        <v>1170</v>
      </c>
      <c r="E39" s="25">
        <v>100</v>
      </c>
      <c r="F39" s="25">
        <v>678300</v>
      </c>
      <c r="G39" s="25">
        <f t="array" ref="G39">SUM(IF("1521"&amp;C39=KHN&amp;MH,SL))</f>
        <v>0</v>
      </c>
      <c r="H39" s="25">
        <f t="array" ref="H39">SUM(IF("1521"&amp;C39=KHN&amp;MH,TH))</f>
        <v>0</v>
      </c>
      <c r="I39" s="25">
        <f t="array" ref="I39">SUM(IF("1521"&amp;C39=KHC&amp;MH,SL))</f>
        <v>0</v>
      </c>
      <c r="J39" s="25">
        <f t="array" ref="J39">SUM(IF("1521"&amp;C39=KHC&amp;MH,TH))</f>
        <v>0</v>
      </c>
      <c r="K39" s="25">
        <f t="shared" si="3"/>
        <v>100</v>
      </c>
      <c r="L39" s="25">
        <f t="shared" si="4"/>
        <v>678300</v>
      </c>
      <c r="M39" s="293"/>
    </row>
    <row r="40" spans="1:13" ht="18.75" customHeight="1">
      <c r="A40" s="293" t="str">
        <f t="shared" si="2"/>
        <v>NL</v>
      </c>
      <c r="B40" s="477">
        <f t="shared" si="5"/>
        <v>23</v>
      </c>
      <c r="C40" s="846" t="s">
        <v>1192</v>
      </c>
      <c r="D40" s="296" t="s">
        <v>1170</v>
      </c>
      <c r="E40" s="25">
        <v>10</v>
      </c>
      <c r="F40" s="25">
        <v>93240</v>
      </c>
      <c r="G40" s="25">
        <f t="array" ref="G40">SUM(IF("1521"&amp;C40=KHN&amp;MH,SL))</f>
        <v>0</v>
      </c>
      <c r="H40" s="25">
        <f t="array" ref="H40">SUM(IF("1521"&amp;C40=KHN&amp;MH,TH))</f>
        <v>0</v>
      </c>
      <c r="I40" s="25">
        <f t="array" ref="I40">SUM(IF("1521"&amp;C40=KHC&amp;MH,SL))</f>
        <v>0</v>
      </c>
      <c r="J40" s="25">
        <f t="array" ref="J40">SUM(IF("1521"&amp;C40=KHC&amp;MH,TH))</f>
        <v>0</v>
      </c>
      <c r="K40" s="25">
        <f t="shared" si="3"/>
        <v>10</v>
      </c>
      <c r="L40" s="25">
        <f t="shared" si="4"/>
        <v>93240</v>
      </c>
      <c r="M40" s="293"/>
    </row>
    <row r="41" spans="1:13" ht="18.75" customHeight="1">
      <c r="A41" s="293" t="str">
        <f t="shared" si="2"/>
        <v>NL</v>
      </c>
      <c r="B41" s="477">
        <f t="shared" si="5"/>
        <v>24</v>
      </c>
      <c r="C41" s="846" t="s">
        <v>1193</v>
      </c>
      <c r="D41" s="296" t="s">
        <v>1170</v>
      </c>
      <c r="E41" s="25">
        <v>200</v>
      </c>
      <c r="F41" s="25">
        <v>2512600</v>
      </c>
      <c r="G41" s="25">
        <f t="array" ref="G41">SUM(IF("1521"&amp;C41=KHN&amp;MH,SL))</f>
        <v>0</v>
      </c>
      <c r="H41" s="25">
        <f t="array" ref="H41">SUM(IF("1521"&amp;C41=KHN&amp;MH,TH))</f>
        <v>0</v>
      </c>
      <c r="I41" s="25">
        <f t="array" ref="I41">SUM(IF("1521"&amp;C41=KHC&amp;MH,SL))</f>
        <v>0</v>
      </c>
      <c r="J41" s="25">
        <f t="array" ref="J41">SUM(IF("1521"&amp;C41=KHC&amp;MH,TH))</f>
        <v>0</v>
      </c>
      <c r="K41" s="25">
        <f t="shared" si="3"/>
        <v>200</v>
      </c>
      <c r="L41" s="25">
        <f t="shared" si="4"/>
        <v>2512600</v>
      </c>
      <c r="M41" s="293"/>
    </row>
    <row r="42" spans="1:13" ht="18.75" customHeight="1">
      <c r="A42" s="293" t="str">
        <f t="shared" si="2"/>
        <v>NL</v>
      </c>
      <c r="B42" s="477">
        <f t="shared" si="5"/>
        <v>25</v>
      </c>
      <c r="C42" s="846" t="s">
        <v>1194</v>
      </c>
      <c r="D42" s="296" t="s">
        <v>1170</v>
      </c>
      <c r="E42" s="25">
        <v>500</v>
      </c>
      <c r="F42" s="25">
        <v>4688500</v>
      </c>
      <c r="G42" s="25">
        <f t="array" ref="G42">SUM(IF("1521"&amp;C42=KHN&amp;MH,SL))</f>
        <v>0</v>
      </c>
      <c r="H42" s="25">
        <f t="array" ref="H42">SUM(IF("1521"&amp;C42=KHN&amp;MH,TH))</f>
        <v>0</v>
      </c>
      <c r="I42" s="25">
        <f t="array" ref="I42">SUM(IF("1521"&amp;C42=KHC&amp;MH,SL))</f>
        <v>0</v>
      </c>
      <c r="J42" s="25">
        <f t="array" ref="J42">SUM(IF("1521"&amp;C42=KHC&amp;MH,TH))</f>
        <v>0</v>
      </c>
      <c r="K42" s="25">
        <f t="shared" si="3"/>
        <v>500</v>
      </c>
      <c r="L42" s="25">
        <f t="shared" si="4"/>
        <v>4688500</v>
      </c>
      <c r="M42" s="293"/>
    </row>
    <row r="43" spans="1:13" ht="18.75" customHeight="1">
      <c r="A43" s="293" t="str">
        <f t="shared" si="2"/>
        <v>NL</v>
      </c>
      <c r="B43" s="477">
        <f t="shared" si="5"/>
        <v>26</v>
      </c>
      <c r="C43" s="846" t="s">
        <v>1195</v>
      </c>
      <c r="D43" s="296" t="s">
        <v>1170</v>
      </c>
      <c r="E43" s="25">
        <v>500</v>
      </c>
      <c r="F43" s="25">
        <v>4914000</v>
      </c>
      <c r="G43" s="25">
        <f t="array" ref="G43">SUM(IF("1521"&amp;C43=KHN&amp;MH,SL))</f>
        <v>0</v>
      </c>
      <c r="H43" s="25">
        <f t="array" ref="H43">SUM(IF("1521"&amp;C43=KHN&amp;MH,TH))</f>
        <v>0</v>
      </c>
      <c r="I43" s="25">
        <f t="array" ref="I43">SUM(IF("1521"&amp;C43=KHC&amp;MH,SL))</f>
        <v>0</v>
      </c>
      <c r="J43" s="25">
        <f t="array" ref="J43">SUM(IF("1521"&amp;C43=KHC&amp;MH,TH))</f>
        <v>0</v>
      </c>
      <c r="K43" s="25">
        <f t="shared" si="3"/>
        <v>500</v>
      </c>
      <c r="L43" s="25">
        <f t="shared" si="4"/>
        <v>4914000</v>
      </c>
      <c r="M43" s="293"/>
    </row>
    <row r="44" spans="1:13" ht="18.75" customHeight="1">
      <c r="A44" s="293" t="str">
        <f t="shared" si="2"/>
        <v>NL</v>
      </c>
      <c r="B44" s="477">
        <f t="shared" si="5"/>
        <v>27</v>
      </c>
      <c r="C44" s="846" t="s">
        <v>1196</v>
      </c>
      <c r="D44" s="296" t="s">
        <v>1170</v>
      </c>
      <c r="E44" s="25">
        <v>100</v>
      </c>
      <c r="F44" s="25">
        <v>1554400</v>
      </c>
      <c r="G44" s="25">
        <f t="array" ref="G44">SUM(IF("1521"&amp;C44=KHN&amp;MH,SL))</f>
        <v>0</v>
      </c>
      <c r="H44" s="25">
        <f t="array" ref="H44">SUM(IF("1521"&amp;C44=KHN&amp;MH,TH))</f>
        <v>0</v>
      </c>
      <c r="I44" s="25">
        <f t="array" ref="I44">SUM(IF("1521"&amp;C44=KHC&amp;MH,SL))</f>
        <v>0</v>
      </c>
      <c r="J44" s="25">
        <f t="array" ref="J44">SUM(IF("1521"&amp;C44=KHC&amp;MH,TH))</f>
        <v>0</v>
      </c>
      <c r="K44" s="25">
        <f t="shared" si="3"/>
        <v>100</v>
      </c>
      <c r="L44" s="25">
        <f t="shared" si="4"/>
        <v>1554400</v>
      </c>
      <c r="M44" s="293"/>
    </row>
    <row r="45" spans="1:13" ht="18.75" customHeight="1">
      <c r="A45" s="293" t="str">
        <f t="shared" si="2"/>
        <v>NL</v>
      </c>
      <c r="B45" s="477">
        <f t="shared" si="5"/>
        <v>28</v>
      </c>
      <c r="C45" s="846" t="s">
        <v>1197</v>
      </c>
      <c r="D45" s="296" t="s">
        <v>1170</v>
      </c>
      <c r="E45" s="25">
        <v>470</v>
      </c>
      <c r="F45" s="25">
        <v>5243790</v>
      </c>
      <c r="G45" s="25">
        <f t="array" ref="G45">SUM(IF("1521"&amp;C45=KHN&amp;MH,SL))</f>
        <v>0</v>
      </c>
      <c r="H45" s="25">
        <f t="array" ref="H45">SUM(IF("1521"&amp;C45=KHN&amp;MH,TH))</f>
        <v>0</v>
      </c>
      <c r="I45" s="25">
        <f t="array" ref="I45">SUM(IF("1521"&amp;C45=KHC&amp;MH,SL))</f>
        <v>0</v>
      </c>
      <c r="J45" s="25">
        <f t="array" ref="J45">SUM(IF("1521"&amp;C45=KHC&amp;MH,TH))</f>
        <v>0</v>
      </c>
      <c r="K45" s="25">
        <f t="shared" si="3"/>
        <v>470</v>
      </c>
      <c r="L45" s="25">
        <f t="shared" si="4"/>
        <v>5243790</v>
      </c>
      <c r="M45" s="293"/>
    </row>
    <row r="46" spans="1:13" ht="18.75" customHeight="1">
      <c r="A46" s="293" t="str">
        <f t="shared" si="2"/>
        <v>NL</v>
      </c>
      <c r="B46" s="477">
        <f t="shared" si="5"/>
        <v>29</v>
      </c>
      <c r="C46" s="846" t="s">
        <v>1198</v>
      </c>
      <c r="D46" s="296" t="s">
        <v>1170</v>
      </c>
      <c r="E46" s="25">
        <v>105</v>
      </c>
      <c r="F46" s="25">
        <v>1812195</v>
      </c>
      <c r="G46" s="25">
        <f t="array" ref="G46">SUM(IF("1521"&amp;C46=KHN&amp;MH,SL))</f>
        <v>0</v>
      </c>
      <c r="H46" s="25">
        <f t="array" ref="H46">SUM(IF("1521"&amp;C46=KHN&amp;MH,TH))</f>
        <v>0</v>
      </c>
      <c r="I46" s="25">
        <f t="array" ref="I46">SUM(IF("1521"&amp;C46=KHC&amp;MH,SL))</f>
        <v>0</v>
      </c>
      <c r="J46" s="25">
        <f t="array" ref="J46">SUM(IF("1521"&amp;C46=KHC&amp;MH,TH))</f>
        <v>0</v>
      </c>
      <c r="K46" s="25">
        <f t="shared" si="3"/>
        <v>105</v>
      </c>
      <c r="L46" s="25">
        <f t="shared" si="4"/>
        <v>1812195</v>
      </c>
      <c r="M46" s="293"/>
    </row>
    <row r="47" spans="1:13" ht="18.75" customHeight="1">
      <c r="A47" s="293" t="str">
        <f t="shared" si="2"/>
        <v>NL</v>
      </c>
      <c r="B47" s="477">
        <f t="shared" si="5"/>
        <v>30</v>
      </c>
      <c r="C47" s="846" t="s">
        <v>1199</v>
      </c>
      <c r="D47" s="296" t="s">
        <v>1170</v>
      </c>
      <c r="E47" s="25">
        <v>150</v>
      </c>
      <c r="F47" s="25">
        <v>1684050</v>
      </c>
      <c r="G47" s="25">
        <f t="array" ref="G47">SUM(IF("1521"&amp;C47=KHN&amp;MH,SL))</f>
        <v>0</v>
      </c>
      <c r="H47" s="25">
        <f t="array" ref="H47">SUM(IF("1521"&amp;C47=KHN&amp;MH,TH))</f>
        <v>0</v>
      </c>
      <c r="I47" s="25">
        <f t="array" ref="I47">SUM(IF("1521"&amp;C47=KHC&amp;MH,SL))</f>
        <v>0</v>
      </c>
      <c r="J47" s="25">
        <f t="array" ref="J47">SUM(IF("1521"&amp;C47=KHC&amp;MH,TH))</f>
        <v>0</v>
      </c>
      <c r="K47" s="25">
        <f t="shared" si="3"/>
        <v>150</v>
      </c>
      <c r="L47" s="25">
        <f t="shared" si="4"/>
        <v>1684050</v>
      </c>
      <c r="M47" s="293"/>
    </row>
    <row r="48" spans="1:13" ht="18.75" customHeight="1">
      <c r="A48" s="293" t="str">
        <f t="shared" si="2"/>
        <v>NL</v>
      </c>
      <c r="B48" s="477">
        <f t="shared" si="5"/>
        <v>31</v>
      </c>
      <c r="C48" s="846" t="s">
        <v>1200</v>
      </c>
      <c r="D48" s="296" t="s">
        <v>1170</v>
      </c>
      <c r="E48" s="25">
        <v>200</v>
      </c>
      <c r="F48" s="25">
        <v>1633000</v>
      </c>
      <c r="G48" s="25">
        <f t="array" ref="G48">SUM(IF("1521"&amp;C48=KHN&amp;MH,SL))</f>
        <v>0</v>
      </c>
      <c r="H48" s="25">
        <f t="array" ref="H48">SUM(IF("1521"&amp;C48=KHN&amp;MH,TH))</f>
        <v>0</v>
      </c>
      <c r="I48" s="25">
        <f t="array" ref="I48">SUM(IF("1521"&amp;C48=KHC&amp;MH,SL))</f>
        <v>0</v>
      </c>
      <c r="J48" s="25">
        <f t="array" ref="J48">SUM(IF("1521"&amp;C48=KHC&amp;MH,TH))</f>
        <v>0</v>
      </c>
      <c r="K48" s="25">
        <f t="shared" si="3"/>
        <v>200</v>
      </c>
      <c r="L48" s="25">
        <f t="shared" si="4"/>
        <v>1633000</v>
      </c>
      <c r="M48" s="293"/>
    </row>
    <row r="49" spans="1:13" ht="18.75" customHeight="1">
      <c r="A49" s="293" t="str">
        <f t="shared" si="2"/>
        <v>NL</v>
      </c>
      <c r="B49" s="477">
        <f t="shared" si="5"/>
        <v>32</v>
      </c>
      <c r="C49" s="846" t="s">
        <v>1201</v>
      </c>
      <c r="D49" s="296" t="s">
        <v>1170</v>
      </c>
      <c r="E49" s="25">
        <v>220</v>
      </c>
      <c r="F49" s="25">
        <v>3897520</v>
      </c>
      <c r="G49" s="25">
        <f t="array" ref="G49">SUM(IF("1521"&amp;C49=KHN&amp;MH,SL))</f>
        <v>0</v>
      </c>
      <c r="H49" s="25">
        <f t="array" ref="H49">SUM(IF("1521"&amp;C49=KHN&amp;MH,TH))</f>
        <v>0</v>
      </c>
      <c r="I49" s="25">
        <f t="array" ref="I49">SUM(IF("1521"&amp;C49=KHC&amp;MH,SL))</f>
        <v>0</v>
      </c>
      <c r="J49" s="25">
        <f t="array" ref="J49">SUM(IF("1521"&amp;C49=KHC&amp;MH,TH))</f>
        <v>0</v>
      </c>
      <c r="K49" s="25">
        <f t="shared" si="3"/>
        <v>220</v>
      </c>
      <c r="L49" s="25">
        <f t="shared" si="4"/>
        <v>3897520</v>
      </c>
      <c r="M49" s="293"/>
    </row>
    <row r="50" spans="1:13" ht="18.75" customHeight="1">
      <c r="A50" s="293" t="str">
        <f t="shared" si="2"/>
        <v>NL</v>
      </c>
      <c r="B50" s="477">
        <f t="shared" si="5"/>
        <v>33</v>
      </c>
      <c r="C50" s="846" t="s">
        <v>1202</v>
      </c>
      <c r="D50" s="296" t="s">
        <v>1170</v>
      </c>
      <c r="E50" s="25">
        <v>470</v>
      </c>
      <c r="F50" s="25">
        <v>5223110</v>
      </c>
      <c r="G50" s="25">
        <f t="array" ref="G50">SUM(IF("1521"&amp;C50=KHN&amp;MH,SL))</f>
        <v>0</v>
      </c>
      <c r="H50" s="25">
        <f t="array" ref="H50">SUM(IF("1521"&amp;C50=KHN&amp;MH,TH))</f>
        <v>0</v>
      </c>
      <c r="I50" s="25">
        <f t="array" ref="I50">SUM(IF("1521"&amp;C50=KHC&amp;MH,SL))</f>
        <v>0</v>
      </c>
      <c r="J50" s="25">
        <f t="array" ref="J50">SUM(IF("1521"&amp;C50=KHC&amp;MH,TH))</f>
        <v>0</v>
      </c>
      <c r="K50" s="25">
        <f t="shared" si="3"/>
        <v>470</v>
      </c>
      <c r="L50" s="25">
        <f t="shared" si="4"/>
        <v>5223110</v>
      </c>
      <c r="M50" s="293"/>
    </row>
    <row r="51" spans="1:13" ht="18.75" customHeight="1">
      <c r="A51" s="293" t="str">
        <f t="shared" si="2"/>
        <v>NL</v>
      </c>
      <c r="B51" s="477">
        <f t="shared" si="5"/>
        <v>34</v>
      </c>
      <c r="C51" s="846" t="s">
        <v>1203</v>
      </c>
      <c r="D51" s="296" t="s">
        <v>1170</v>
      </c>
      <c r="E51" s="25">
        <v>100</v>
      </c>
      <c r="F51" s="25">
        <v>1188900</v>
      </c>
      <c r="G51" s="25">
        <f t="array" ref="G51">SUM(IF("1521"&amp;C51=KHN&amp;MH,SL))</f>
        <v>0</v>
      </c>
      <c r="H51" s="25">
        <f t="array" ref="H51">SUM(IF("1521"&amp;C51=KHN&amp;MH,TH))</f>
        <v>0</v>
      </c>
      <c r="I51" s="25">
        <f t="array" ref="I51">SUM(IF("1521"&amp;C51=KHC&amp;MH,SL))</f>
        <v>0</v>
      </c>
      <c r="J51" s="25">
        <f t="array" ref="J51">SUM(IF("1521"&amp;C51=KHC&amp;MH,TH))</f>
        <v>0</v>
      </c>
      <c r="K51" s="25">
        <f t="shared" si="3"/>
        <v>100</v>
      </c>
      <c r="L51" s="25">
        <f t="shared" si="4"/>
        <v>1188900</v>
      </c>
      <c r="M51" s="293"/>
    </row>
    <row r="52" spans="1:13" ht="18.75" customHeight="1">
      <c r="A52" s="293" t="str">
        <f t="shared" si="2"/>
        <v>NL</v>
      </c>
      <c r="B52" s="477">
        <f t="shared" si="5"/>
        <v>35</v>
      </c>
      <c r="C52" s="846" t="s">
        <v>1204</v>
      </c>
      <c r="D52" s="296" t="s">
        <v>1170</v>
      </c>
      <c r="E52" s="25">
        <v>690</v>
      </c>
      <c r="F52" s="25">
        <v>13723250</v>
      </c>
      <c r="G52" s="25">
        <f t="array" ref="G52">SUM(IF("1521"&amp;C52=KHN&amp;MH,SL))</f>
        <v>0</v>
      </c>
      <c r="H52" s="25">
        <f t="array" ref="H52">SUM(IF("1521"&amp;C52=KHN&amp;MH,TH))</f>
        <v>0</v>
      </c>
      <c r="I52" s="25">
        <f t="array" ref="I52">SUM(IF("1521"&amp;C52=KHC&amp;MH,SL))</f>
        <v>0</v>
      </c>
      <c r="J52" s="25">
        <f t="array" ref="J52">SUM(IF("1521"&amp;C52=KHC&amp;MH,TH))</f>
        <v>0</v>
      </c>
      <c r="K52" s="25">
        <f t="shared" si="3"/>
        <v>690</v>
      </c>
      <c r="L52" s="25">
        <f t="shared" si="4"/>
        <v>13723250</v>
      </c>
      <c r="M52" s="293"/>
    </row>
    <row r="53" spans="1:13" ht="18.75" customHeight="1">
      <c r="A53" s="293" t="str">
        <f t="shared" si="2"/>
        <v>NL</v>
      </c>
      <c r="B53" s="477">
        <f t="shared" si="5"/>
        <v>36</v>
      </c>
      <c r="C53" s="846" t="s">
        <v>1205</v>
      </c>
      <c r="D53" s="296" t="s">
        <v>1170</v>
      </c>
      <c r="E53" s="25">
        <v>150</v>
      </c>
      <c r="F53" s="25">
        <v>1890900</v>
      </c>
      <c r="G53" s="25">
        <f t="array" ref="G53">SUM(IF("1521"&amp;C53=KHN&amp;MH,SL))</f>
        <v>0</v>
      </c>
      <c r="H53" s="25">
        <f t="array" ref="H53">SUM(IF("1521"&amp;C53=KHN&amp;MH,TH))</f>
        <v>0</v>
      </c>
      <c r="I53" s="25">
        <f t="array" ref="I53">SUM(IF("1521"&amp;C53=KHC&amp;MH,SL))</f>
        <v>0</v>
      </c>
      <c r="J53" s="25">
        <f t="array" ref="J53">SUM(IF("1521"&amp;C53=KHC&amp;MH,TH))</f>
        <v>0</v>
      </c>
      <c r="K53" s="25">
        <f t="shared" si="3"/>
        <v>150</v>
      </c>
      <c r="L53" s="25">
        <f t="shared" si="4"/>
        <v>1890900</v>
      </c>
      <c r="M53" s="293"/>
    </row>
    <row r="54" spans="1:13" ht="18.75" customHeight="1">
      <c r="A54" s="293" t="str">
        <f t="shared" si="2"/>
        <v>NL</v>
      </c>
      <c r="B54" s="477">
        <f t="shared" si="5"/>
        <v>37</v>
      </c>
      <c r="C54" s="846" t="s">
        <v>1206</v>
      </c>
      <c r="D54" s="296" t="s">
        <v>1170</v>
      </c>
      <c r="E54" s="25">
        <v>100</v>
      </c>
      <c r="F54" s="25">
        <v>1787600</v>
      </c>
      <c r="G54" s="25">
        <f t="array" ref="G54">SUM(IF("1521"&amp;C54=KHN&amp;MH,SL))</f>
        <v>0</v>
      </c>
      <c r="H54" s="25">
        <f t="array" ref="H54">SUM(IF("1521"&amp;C54=KHN&amp;MH,TH))</f>
        <v>0</v>
      </c>
      <c r="I54" s="25">
        <f t="array" ref="I54">SUM(IF("1521"&amp;C54=KHC&amp;MH,SL))</f>
        <v>0</v>
      </c>
      <c r="J54" s="25">
        <f t="array" ref="J54">SUM(IF("1521"&amp;C54=KHC&amp;MH,TH))</f>
        <v>0</v>
      </c>
      <c r="K54" s="25">
        <f t="shared" si="3"/>
        <v>100</v>
      </c>
      <c r="L54" s="25">
        <f t="shared" si="4"/>
        <v>1787600</v>
      </c>
      <c r="M54" s="293"/>
    </row>
    <row r="55" spans="1:13" ht="18.75" customHeight="1">
      <c r="A55" s="293" t="str">
        <f t="shared" si="2"/>
        <v>NL</v>
      </c>
      <c r="B55" s="477">
        <f t="shared" si="5"/>
        <v>38</v>
      </c>
      <c r="C55" s="846" t="s">
        <v>1207</v>
      </c>
      <c r="D55" s="296" t="s">
        <v>1170</v>
      </c>
      <c r="E55" s="25">
        <v>200</v>
      </c>
      <c r="F55" s="25">
        <v>2342400</v>
      </c>
      <c r="G55" s="25">
        <f t="array" ref="G55">SUM(IF("1521"&amp;C55=KHN&amp;MH,SL))</f>
        <v>0</v>
      </c>
      <c r="H55" s="25">
        <f t="array" ref="H55">SUM(IF("1521"&amp;C55=KHN&amp;MH,TH))</f>
        <v>0</v>
      </c>
      <c r="I55" s="25">
        <f t="array" ref="I55">SUM(IF("1521"&amp;C55=KHC&amp;MH,SL))</f>
        <v>0</v>
      </c>
      <c r="J55" s="25">
        <f t="array" ref="J55">SUM(IF("1521"&amp;C55=KHC&amp;MH,TH))</f>
        <v>0</v>
      </c>
      <c r="K55" s="25">
        <f t="shared" si="3"/>
        <v>200</v>
      </c>
      <c r="L55" s="25">
        <f t="shared" si="4"/>
        <v>2342400</v>
      </c>
      <c r="M55" s="293"/>
    </row>
    <row r="56" spans="1:13" ht="18.75" customHeight="1">
      <c r="A56" s="293" t="str">
        <f t="shared" si="2"/>
        <v>NL</v>
      </c>
      <c r="B56" s="477">
        <f t="shared" si="5"/>
        <v>39</v>
      </c>
      <c r="C56" s="846" t="s">
        <v>1208</v>
      </c>
      <c r="D56" s="296" t="s">
        <v>1170</v>
      </c>
      <c r="E56" s="25">
        <v>360</v>
      </c>
      <c r="F56" s="25">
        <v>5860080</v>
      </c>
      <c r="G56" s="25">
        <f t="array" ref="G56">SUM(IF("1521"&amp;C56=KHN&amp;MH,SL))</f>
        <v>0</v>
      </c>
      <c r="H56" s="25">
        <f t="array" ref="H56">SUM(IF("1521"&amp;C56=KHN&amp;MH,TH))</f>
        <v>0</v>
      </c>
      <c r="I56" s="25">
        <f t="array" ref="I56">SUM(IF("1521"&amp;C56=KHC&amp;MH,SL))</f>
        <v>0</v>
      </c>
      <c r="J56" s="25">
        <f t="array" ref="J56">SUM(IF("1521"&amp;C56=KHC&amp;MH,TH))</f>
        <v>0</v>
      </c>
      <c r="K56" s="25">
        <f t="shared" si="3"/>
        <v>360</v>
      </c>
      <c r="L56" s="25">
        <f t="shared" si="4"/>
        <v>5860080</v>
      </c>
      <c r="M56" s="293"/>
    </row>
    <row r="57" spans="1:13" ht="18.75" customHeight="1">
      <c r="A57" s="293" t="str">
        <f t="shared" si="2"/>
        <v>NL</v>
      </c>
      <c r="B57" s="477">
        <f t="shared" si="5"/>
        <v>40</v>
      </c>
      <c r="C57" s="846" t="s">
        <v>1209</v>
      </c>
      <c r="D57" s="296" t="s">
        <v>1170</v>
      </c>
      <c r="E57" s="25">
        <v>200</v>
      </c>
      <c r="F57" s="25">
        <v>3680400</v>
      </c>
      <c r="G57" s="25">
        <f t="array" ref="G57">SUM(IF("1521"&amp;C57=KHN&amp;MH,SL))</f>
        <v>0</v>
      </c>
      <c r="H57" s="25">
        <f t="array" ref="H57">SUM(IF("1521"&amp;C57=KHN&amp;MH,TH))</f>
        <v>0</v>
      </c>
      <c r="I57" s="25">
        <f t="array" ref="I57">SUM(IF("1521"&amp;C57=KHC&amp;MH,SL))</f>
        <v>0</v>
      </c>
      <c r="J57" s="25">
        <f t="array" ref="J57">SUM(IF("1521"&amp;C57=KHC&amp;MH,TH))</f>
        <v>0</v>
      </c>
      <c r="K57" s="25">
        <f t="shared" si="3"/>
        <v>200</v>
      </c>
      <c r="L57" s="25">
        <f t="shared" si="4"/>
        <v>3680400</v>
      </c>
      <c r="M57" s="293"/>
    </row>
    <row r="58" spans="1:13" ht="18.75" customHeight="1">
      <c r="A58" s="293" t="str">
        <f t="shared" si="2"/>
        <v>NL</v>
      </c>
      <c r="B58" s="477">
        <f t="shared" si="5"/>
        <v>41</v>
      </c>
      <c r="C58" s="846" t="s">
        <v>1210</v>
      </c>
      <c r="D58" s="296" t="s">
        <v>1170</v>
      </c>
      <c r="E58" s="25">
        <v>260</v>
      </c>
      <c r="F58" s="25">
        <v>4607720</v>
      </c>
      <c r="G58" s="25">
        <f t="array" ref="G58">SUM(IF("1521"&amp;C58=KHN&amp;MH,SL))</f>
        <v>0</v>
      </c>
      <c r="H58" s="25">
        <f t="array" ref="H58">SUM(IF("1521"&amp;C58=KHN&amp;MH,TH))</f>
        <v>0</v>
      </c>
      <c r="I58" s="25">
        <f t="array" ref="I58">SUM(IF("1521"&amp;C58=KHC&amp;MH,SL))</f>
        <v>0</v>
      </c>
      <c r="J58" s="25">
        <f t="array" ref="J58">SUM(IF("1521"&amp;C58=KHC&amp;MH,TH))</f>
        <v>0</v>
      </c>
      <c r="K58" s="25">
        <f t="shared" si="3"/>
        <v>260</v>
      </c>
      <c r="L58" s="25">
        <f t="shared" si="4"/>
        <v>4607720</v>
      </c>
      <c r="M58" s="293"/>
    </row>
    <row r="59" spans="1:13" ht="18.75" customHeight="1">
      <c r="A59" s="293" t="str">
        <f t="shared" si="2"/>
        <v>NL</v>
      </c>
      <c r="B59" s="477">
        <f t="shared" si="5"/>
        <v>42</v>
      </c>
      <c r="C59" s="846" t="s">
        <v>1211</v>
      </c>
      <c r="D59" s="296" t="s">
        <v>1170</v>
      </c>
      <c r="E59" s="25">
        <v>135</v>
      </c>
      <c r="F59" s="25">
        <v>2570535</v>
      </c>
      <c r="G59" s="25">
        <f t="array" ref="G59">SUM(IF("1521"&amp;C59=KHN&amp;MH,SL))</f>
        <v>0</v>
      </c>
      <c r="H59" s="25">
        <f t="array" ref="H59">SUM(IF("1521"&amp;C59=KHN&amp;MH,TH))</f>
        <v>0</v>
      </c>
      <c r="I59" s="25">
        <f t="array" ref="I59">SUM(IF("1521"&amp;C59=KHC&amp;MH,SL))</f>
        <v>0</v>
      </c>
      <c r="J59" s="25">
        <f t="array" ref="J59">SUM(IF("1521"&amp;C59=KHC&amp;MH,TH))</f>
        <v>0</v>
      </c>
      <c r="K59" s="25">
        <f t="shared" si="3"/>
        <v>135</v>
      </c>
      <c r="L59" s="25">
        <f t="shared" si="4"/>
        <v>2570535</v>
      </c>
      <c r="M59" s="293"/>
    </row>
    <row r="60" spans="1:13" ht="18.75" customHeight="1">
      <c r="A60" s="293" t="str">
        <f t="shared" si="2"/>
        <v>NL</v>
      </c>
      <c r="B60" s="477">
        <f t="shared" si="5"/>
        <v>43</v>
      </c>
      <c r="C60" s="846" t="s">
        <v>1212</v>
      </c>
      <c r="D60" s="296" t="s">
        <v>1170</v>
      </c>
      <c r="E60" s="25">
        <v>120</v>
      </c>
      <c r="F60" s="25">
        <v>2791440</v>
      </c>
      <c r="G60" s="25">
        <f t="array" ref="G60">SUM(IF("1521"&amp;C60=KHN&amp;MH,SL))</f>
        <v>0</v>
      </c>
      <c r="H60" s="25">
        <f t="array" ref="H60">SUM(IF("1521"&amp;C60=KHN&amp;MH,TH))</f>
        <v>0</v>
      </c>
      <c r="I60" s="25">
        <f t="array" ref="I60">SUM(IF("1521"&amp;C60=KHC&amp;MH,SL))</f>
        <v>0</v>
      </c>
      <c r="J60" s="25">
        <f t="array" ref="J60">SUM(IF("1521"&amp;C60=KHC&amp;MH,TH))</f>
        <v>0</v>
      </c>
      <c r="K60" s="25">
        <f t="shared" si="3"/>
        <v>120</v>
      </c>
      <c r="L60" s="25">
        <f t="shared" si="4"/>
        <v>2791440</v>
      </c>
      <c r="M60" s="293"/>
    </row>
    <row r="61" spans="1:13" ht="18.75" customHeight="1">
      <c r="A61" s="293" t="str">
        <f t="shared" si="2"/>
        <v>NL</v>
      </c>
      <c r="B61" s="477">
        <f t="shared" si="5"/>
        <v>44</v>
      </c>
      <c r="C61" s="846" t="s">
        <v>1213</v>
      </c>
      <c r="D61" s="296" t="s">
        <v>1170</v>
      </c>
      <c r="E61" s="25">
        <v>130</v>
      </c>
      <c r="F61" s="25">
        <v>3052010</v>
      </c>
      <c r="G61" s="25">
        <f t="array" ref="G61">SUM(IF("1521"&amp;C61=KHN&amp;MH,SL))</f>
        <v>0</v>
      </c>
      <c r="H61" s="25">
        <f t="array" ref="H61">SUM(IF("1521"&amp;C61=KHN&amp;MH,TH))</f>
        <v>0</v>
      </c>
      <c r="I61" s="25">
        <f t="array" ref="I61">SUM(IF("1521"&amp;C61=KHC&amp;MH,SL))</f>
        <v>0</v>
      </c>
      <c r="J61" s="25">
        <f t="array" ref="J61">SUM(IF("1521"&amp;C61=KHC&amp;MH,TH))</f>
        <v>0</v>
      </c>
      <c r="K61" s="25">
        <f t="shared" si="3"/>
        <v>130</v>
      </c>
      <c r="L61" s="25">
        <f t="shared" si="4"/>
        <v>3052010</v>
      </c>
      <c r="M61" s="293"/>
    </row>
    <row r="62" spans="1:13" ht="18.75" customHeight="1">
      <c r="A62" s="293" t="str">
        <f t="shared" si="2"/>
        <v>NL</v>
      </c>
      <c r="B62" s="477">
        <f t="shared" si="5"/>
        <v>45</v>
      </c>
      <c r="C62" s="846" t="s">
        <v>1214</v>
      </c>
      <c r="D62" s="296" t="s">
        <v>1170</v>
      </c>
      <c r="E62" s="25">
        <v>200</v>
      </c>
      <c r="F62" s="25">
        <v>3123600</v>
      </c>
      <c r="G62" s="25">
        <f t="array" ref="G62">SUM(IF("1521"&amp;C62=KHN&amp;MH,SL))</f>
        <v>0</v>
      </c>
      <c r="H62" s="25">
        <f t="array" ref="H62">SUM(IF("1521"&amp;C62=KHN&amp;MH,TH))</f>
        <v>0</v>
      </c>
      <c r="I62" s="25">
        <f t="array" ref="I62">SUM(IF("1521"&amp;C62=KHC&amp;MH,SL))</f>
        <v>0</v>
      </c>
      <c r="J62" s="25">
        <f t="array" ref="J62">SUM(IF("1521"&amp;C62=KHC&amp;MH,TH))</f>
        <v>0</v>
      </c>
      <c r="K62" s="25">
        <f t="shared" si="3"/>
        <v>200</v>
      </c>
      <c r="L62" s="25">
        <f t="shared" si="4"/>
        <v>3123600</v>
      </c>
      <c r="M62" s="293"/>
    </row>
    <row r="63" spans="1:13" ht="18.75" customHeight="1">
      <c r="A63" s="293" t="str">
        <f t="shared" si="2"/>
        <v>NL</v>
      </c>
      <c r="B63" s="477">
        <f t="shared" si="5"/>
        <v>46</v>
      </c>
      <c r="C63" s="846" t="s">
        <v>1215</v>
      </c>
      <c r="D63" s="296" t="s">
        <v>1170</v>
      </c>
      <c r="E63" s="25">
        <v>50</v>
      </c>
      <c r="F63" s="25">
        <v>1088100</v>
      </c>
      <c r="G63" s="25">
        <f t="array" ref="G63">SUM(IF("1521"&amp;C63=KHN&amp;MH,SL))</f>
        <v>0</v>
      </c>
      <c r="H63" s="25">
        <f t="array" ref="H63">SUM(IF("1521"&amp;C63=KHN&amp;MH,TH))</f>
        <v>0</v>
      </c>
      <c r="I63" s="25">
        <f t="array" ref="I63">SUM(IF("1521"&amp;C63=KHC&amp;MH,SL))</f>
        <v>0</v>
      </c>
      <c r="J63" s="25">
        <f t="array" ref="J63">SUM(IF("1521"&amp;C63=KHC&amp;MH,TH))</f>
        <v>0</v>
      </c>
      <c r="K63" s="25">
        <f t="shared" si="3"/>
        <v>50</v>
      </c>
      <c r="L63" s="25">
        <f t="shared" si="4"/>
        <v>1088100</v>
      </c>
      <c r="M63" s="293"/>
    </row>
    <row r="64" spans="1:13" ht="18.75" customHeight="1">
      <c r="A64" s="293" t="str">
        <f t="shared" si="2"/>
        <v>NL</v>
      </c>
      <c r="B64" s="477">
        <f t="shared" si="5"/>
        <v>47</v>
      </c>
      <c r="C64" s="846" t="s">
        <v>1216</v>
      </c>
      <c r="D64" s="296" t="s">
        <v>1170</v>
      </c>
      <c r="E64" s="25">
        <v>100</v>
      </c>
      <c r="F64" s="25">
        <v>1275700</v>
      </c>
      <c r="G64" s="25">
        <f t="array" ref="G64">SUM(IF("1521"&amp;C64=KHN&amp;MH,SL))</f>
        <v>0</v>
      </c>
      <c r="H64" s="25">
        <f t="array" ref="H64">SUM(IF("1521"&amp;C64=KHN&amp;MH,TH))</f>
        <v>0</v>
      </c>
      <c r="I64" s="25">
        <f t="array" ref="I64">SUM(IF("1521"&amp;C64=KHC&amp;MH,SL))</f>
        <v>0</v>
      </c>
      <c r="J64" s="25">
        <f t="array" ref="J64">SUM(IF("1521"&amp;C64=KHC&amp;MH,TH))</f>
        <v>0</v>
      </c>
      <c r="K64" s="25">
        <f t="shared" si="3"/>
        <v>100</v>
      </c>
      <c r="L64" s="25">
        <f t="shared" si="4"/>
        <v>1275700</v>
      </c>
      <c r="M64" s="293"/>
    </row>
    <row r="65" spans="1:13" ht="18.75" customHeight="1">
      <c r="A65" s="293" t="str">
        <f t="shared" si="2"/>
        <v>NL</v>
      </c>
      <c r="B65" s="477">
        <f t="shared" si="5"/>
        <v>48</v>
      </c>
      <c r="C65" s="846" t="s">
        <v>1217</v>
      </c>
      <c r="D65" s="296" t="s">
        <v>1170</v>
      </c>
      <c r="E65" s="25">
        <v>100</v>
      </c>
      <c r="F65" s="25">
        <v>1281400</v>
      </c>
      <c r="G65" s="25">
        <f t="array" ref="G65">SUM(IF("1521"&amp;C65=KHN&amp;MH,SL))</f>
        <v>0</v>
      </c>
      <c r="H65" s="25">
        <f t="array" ref="H65">SUM(IF("1521"&amp;C65=KHN&amp;MH,TH))</f>
        <v>0</v>
      </c>
      <c r="I65" s="25">
        <f t="array" ref="I65">SUM(IF("1521"&amp;C65=KHC&amp;MH,SL))</f>
        <v>0</v>
      </c>
      <c r="J65" s="25">
        <f t="array" ref="J65">SUM(IF("1521"&amp;C65=KHC&amp;MH,TH))</f>
        <v>0</v>
      </c>
      <c r="K65" s="25">
        <f t="shared" si="3"/>
        <v>100</v>
      </c>
      <c r="L65" s="25">
        <f t="shared" si="4"/>
        <v>1281400</v>
      </c>
      <c r="M65" s="293"/>
    </row>
    <row r="66" spans="1:13" ht="18.75" customHeight="1">
      <c r="A66" s="293" t="str">
        <f t="shared" si="2"/>
        <v>NL</v>
      </c>
      <c r="B66" s="477">
        <f t="shared" si="5"/>
        <v>49</v>
      </c>
      <c r="C66" s="846" t="s">
        <v>1218</v>
      </c>
      <c r="D66" s="296" t="s">
        <v>1170</v>
      </c>
      <c r="E66" s="25">
        <v>134</v>
      </c>
      <c r="F66" s="25">
        <v>2328384</v>
      </c>
      <c r="G66" s="25">
        <f t="array" ref="G66">SUM(IF("1521"&amp;C66=KHN&amp;MH,SL))</f>
        <v>0</v>
      </c>
      <c r="H66" s="25">
        <f t="array" ref="H66">SUM(IF("1521"&amp;C66=KHN&amp;MH,TH))</f>
        <v>0</v>
      </c>
      <c r="I66" s="25">
        <f t="array" ref="I66">SUM(IF("1521"&amp;C66=KHC&amp;MH,SL))</f>
        <v>0</v>
      </c>
      <c r="J66" s="25">
        <f t="array" ref="J66">SUM(IF("1521"&amp;C66=KHC&amp;MH,TH))</f>
        <v>0</v>
      </c>
      <c r="K66" s="25">
        <f t="shared" si="3"/>
        <v>134</v>
      </c>
      <c r="L66" s="25">
        <f t="shared" si="4"/>
        <v>2328384</v>
      </c>
      <c r="M66" s="293"/>
    </row>
    <row r="67" spans="1:13" ht="18.75" customHeight="1">
      <c r="A67" s="293" t="str">
        <f t="shared" si="2"/>
        <v>NL</v>
      </c>
      <c r="B67" s="477">
        <f t="shared" si="5"/>
        <v>50</v>
      </c>
      <c r="C67" s="846" t="s">
        <v>1219</v>
      </c>
      <c r="D67" s="296" t="s">
        <v>1170</v>
      </c>
      <c r="E67" s="25">
        <v>680</v>
      </c>
      <c r="F67" s="25">
        <v>4898720</v>
      </c>
      <c r="G67" s="25">
        <f t="array" ref="G67">SUM(IF("1521"&amp;C67=KHN&amp;MH,SL))</f>
        <v>0</v>
      </c>
      <c r="H67" s="25">
        <f t="array" ref="H67">SUM(IF("1521"&amp;C67=KHN&amp;MH,TH))</f>
        <v>0</v>
      </c>
      <c r="I67" s="25">
        <f t="array" ref="I67">SUM(IF("1521"&amp;C67=KHC&amp;MH,SL))</f>
        <v>0</v>
      </c>
      <c r="J67" s="25">
        <f t="array" ref="J67">SUM(IF("1521"&amp;C67=KHC&amp;MH,TH))</f>
        <v>0</v>
      </c>
      <c r="K67" s="25">
        <f t="shared" si="3"/>
        <v>680</v>
      </c>
      <c r="L67" s="25">
        <f t="shared" si="4"/>
        <v>4898720</v>
      </c>
      <c r="M67" s="293"/>
    </row>
    <row r="68" spans="1:13" ht="18.75" customHeight="1">
      <c r="A68" s="293" t="str">
        <f t="shared" si="2"/>
        <v>NL</v>
      </c>
      <c r="B68" s="477">
        <f t="shared" si="5"/>
        <v>51</v>
      </c>
      <c r="C68" s="846" t="s">
        <v>1220</v>
      </c>
      <c r="D68" s="296" t="s">
        <v>1170</v>
      </c>
      <c r="E68" s="25">
        <v>200</v>
      </c>
      <c r="F68" s="25">
        <v>885800</v>
      </c>
      <c r="G68" s="25">
        <f t="array" ref="G68">SUM(IF("1521"&amp;C68=KHN&amp;MH,SL))</f>
        <v>0</v>
      </c>
      <c r="H68" s="25">
        <f t="array" ref="H68">SUM(IF("1521"&amp;C68=KHN&amp;MH,TH))</f>
        <v>0</v>
      </c>
      <c r="I68" s="25">
        <f t="array" ref="I68">SUM(IF("1521"&amp;C68=KHC&amp;MH,SL))</f>
        <v>0</v>
      </c>
      <c r="J68" s="25">
        <f t="array" ref="J68">SUM(IF("1521"&amp;C68=KHC&amp;MH,TH))</f>
        <v>0</v>
      </c>
      <c r="K68" s="25">
        <f t="shared" si="3"/>
        <v>200</v>
      </c>
      <c r="L68" s="25">
        <f t="shared" si="4"/>
        <v>885800</v>
      </c>
      <c r="M68" s="293"/>
    </row>
    <row r="69" spans="1:13" ht="18.75" customHeight="1">
      <c r="A69" s="293" t="str">
        <f t="shared" si="2"/>
        <v>NL</v>
      </c>
      <c r="B69" s="477">
        <f t="shared" si="5"/>
        <v>52</v>
      </c>
      <c r="C69" s="846" t="s">
        <v>1221</v>
      </c>
      <c r="D69" s="296" t="s">
        <v>1170</v>
      </c>
      <c r="E69" s="25">
        <v>300</v>
      </c>
      <c r="F69" s="25">
        <v>3090600</v>
      </c>
      <c r="G69" s="25">
        <f t="array" ref="G69">SUM(IF("1521"&amp;C69=KHN&amp;MH,SL))</f>
        <v>0</v>
      </c>
      <c r="H69" s="25">
        <f t="array" ref="H69">SUM(IF("1521"&amp;C69=KHN&amp;MH,TH))</f>
        <v>0</v>
      </c>
      <c r="I69" s="25">
        <f t="array" ref="I69">SUM(IF("1521"&amp;C69=KHC&amp;MH,SL))</f>
        <v>0</v>
      </c>
      <c r="J69" s="25">
        <f t="array" ref="J69">SUM(IF("1521"&amp;C69=KHC&amp;MH,TH))</f>
        <v>0</v>
      </c>
      <c r="K69" s="25">
        <f t="shared" si="3"/>
        <v>300</v>
      </c>
      <c r="L69" s="25">
        <f t="shared" si="4"/>
        <v>3090600</v>
      </c>
      <c r="M69" s="293"/>
    </row>
    <row r="70" spans="1:13" ht="18.75" customHeight="1">
      <c r="A70" s="293" t="str">
        <f t="shared" si="2"/>
        <v>NL</v>
      </c>
      <c r="B70" s="477">
        <f t="shared" si="5"/>
        <v>53</v>
      </c>
      <c r="C70" s="846" t="s">
        <v>1222</v>
      </c>
      <c r="D70" s="296" t="s">
        <v>1170</v>
      </c>
      <c r="E70" s="25">
        <v>100</v>
      </c>
      <c r="F70" s="25">
        <v>1173000</v>
      </c>
      <c r="G70" s="25">
        <f t="array" ref="G70">SUM(IF("1521"&amp;C70=KHN&amp;MH,SL))</f>
        <v>0</v>
      </c>
      <c r="H70" s="25">
        <f t="array" ref="H70">SUM(IF("1521"&amp;C70=KHN&amp;MH,TH))</f>
        <v>0</v>
      </c>
      <c r="I70" s="25">
        <f t="array" ref="I70">SUM(IF("1521"&amp;C70=KHC&amp;MH,SL))</f>
        <v>0</v>
      </c>
      <c r="J70" s="25">
        <f t="array" ref="J70">SUM(IF("1521"&amp;C70=KHC&amp;MH,TH))</f>
        <v>0</v>
      </c>
      <c r="K70" s="25">
        <f t="shared" si="3"/>
        <v>100</v>
      </c>
      <c r="L70" s="25">
        <f t="shared" si="4"/>
        <v>1173000</v>
      </c>
      <c r="M70" s="293"/>
    </row>
    <row r="71" spans="1:13" ht="18.75" customHeight="1">
      <c r="A71" s="293" t="str">
        <f t="shared" si="2"/>
        <v>NL</v>
      </c>
      <c r="B71" s="477">
        <f t="shared" si="5"/>
        <v>54</v>
      </c>
      <c r="C71" s="846" t="s">
        <v>1223</v>
      </c>
      <c r="D71" s="296" t="s">
        <v>1170</v>
      </c>
      <c r="E71" s="25">
        <v>250</v>
      </c>
      <c r="F71" s="25">
        <v>4393500</v>
      </c>
      <c r="G71" s="25">
        <f t="array" ref="G71">SUM(IF("1521"&amp;C71=KHN&amp;MH,SL))</f>
        <v>0</v>
      </c>
      <c r="H71" s="25">
        <f t="array" ref="H71">SUM(IF("1521"&amp;C71=KHN&amp;MH,TH))</f>
        <v>0</v>
      </c>
      <c r="I71" s="25">
        <f t="array" ref="I71">SUM(IF("1521"&amp;C71=KHC&amp;MH,SL))</f>
        <v>0</v>
      </c>
      <c r="J71" s="25">
        <f t="array" ref="J71">SUM(IF("1521"&amp;C71=KHC&amp;MH,TH))</f>
        <v>0</v>
      </c>
      <c r="K71" s="25">
        <f t="shared" si="3"/>
        <v>250</v>
      </c>
      <c r="L71" s="25">
        <f t="shared" si="4"/>
        <v>4393500</v>
      </c>
      <c r="M71" s="293"/>
    </row>
    <row r="72" spans="1:13" ht="18.75" customHeight="1">
      <c r="A72" s="293" t="str">
        <f t="shared" si="2"/>
        <v>NL</v>
      </c>
      <c r="B72" s="477">
        <f t="shared" si="5"/>
        <v>55</v>
      </c>
      <c r="C72" s="846" t="s">
        <v>1224</v>
      </c>
      <c r="D72" s="296" t="s">
        <v>1170</v>
      </c>
      <c r="E72" s="25">
        <v>290</v>
      </c>
      <c r="F72" s="25">
        <v>3501392</v>
      </c>
      <c r="G72" s="25">
        <f t="array" ref="G72">SUM(IF("1521"&amp;C72=KHN&amp;MH,SL))</f>
        <v>0</v>
      </c>
      <c r="H72" s="25">
        <f t="array" ref="H72">SUM(IF("1521"&amp;C72=KHN&amp;MH,TH))</f>
        <v>0</v>
      </c>
      <c r="I72" s="25">
        <f t="array" ref="I72">SUM(IF("1521"&amp;C72=KHC&amp;MH,SL))</f>
        <v>0</v>
      </c>
      <c r="J72" s="25">
        <f t="array" ref="J72">SUM(IF("1521"&amp;C72=KHC&amp;MH,TH))</f>
        <v>0</v>
      </c>
      <c r="K72" s="25">
        <f t="shared" si="3"/>
        <v>290</v>
      </c>
      <c r="L72" s="25">
        <f t="shared" si="4"/>
        <v>3501392</v>
      </c>
      <c r="M72" s="293"/>
    </row>
    <row r="73" spans="1:13" ht="18.75" customHeight="1">
      <c r="A73" s="293" t="str">
        <f t="shared" si="2"/>
        <v>NL</v>
      </c>
      <c r="B73" s="477">
        <f t="shared" si="5"/>
        <v>56</v>
      </c>
      <c r="C73" s="846" t="s">
        <v>1225</v>
      </c>
      <c r="D73" s="296" t="s">
        <v>1170</v>
      </c>
      <c r="E73" s="25">
        <v>3600</v>
      </c>
      <c r="F73" s="25">
        <v>38790000</v>
      </c>
      <c r="G73" s="25">
        <f t="array" ref="G73">SUM(IF("1521"&amp;C73=KHN&amp;MH,SL))</f>
        <v>0</v>
      </c>
      <c r="H73" s="25">
        <f t="array" ref="H73">SUM(IF("1521"&amp;C73=KHN&amp;MH,TH))</f>
        <v>0</v>
      </c>
      <c r="I73" s="25">
        <f t="array" ref="I73">SUM(IF("1521"&amp;C73=KHC&amp;MH,SL))</f>
        <v>0</v>
      </c>
      <c r="J73" s="25">
        <f t="array" ref="J73">SUM(IF("1521"&amp;C73=KHC&amp;MH,TH))</f>
        <v>0</v>
      </c>
      <c r="K73" s="25">
        <f t="shared" si="3"/>
        <v>3600</v>
      </c>
      <c r="L73" s="25">
        <f t="shared" si="4"/>
        <v>38790000</v>
      </c>
      <c r="M73" s="293"/>
    </row>
    <row r="74" spans="1:13" ht="18.75" customHeight="1">
      <c r="A74" s="293" t="str">
        <f t="shared" si="2"/>
        <v>NL</v>
      </c>
      <c r="B74" s="477">
        <f t="shared" si="5"/>
        <v>57</v>
      </c>
      <c r="C74" s="846" t="s">
        <v>1226</v>
      </c>
      <c r="D74" s="296" t="s">
        <v>1170</v>
      </c>
      <c r="E74" s="25">
        <v>240</v>
      </c>
      <c r="F74" s="25">
        <v>4788000</v>
      </c>
      <c r="G74" s="25">
        <f t="array" ref="G74">SUM(IF("1521"&amp;C74=KHN&amp;MH,SL))</f>
        <v>0</v>
      </c>
      <c r="H74" s="25">
        <f t="array" ref="H74">SUM(IF("1521"&amp;C74=KHN&amp;MH,TH))</f>
        <v>0</v>
      </c>
      <c r="I74" s="25">
        <f t="array" ref="I74">SUM(IF("1521"&amp;C74=KHC&amp;MH,SL))</f>
        <v>0</v>
      </c>
      <c r="J74" s="25">
        <f t="array" ref="J74">SUM(IF("1521"&amp;C74=KHC&amp;MH,TH))</f>
        <v>0</v>
      </c>
      <c r="K74" s="25">
        <f t="shared" si="3"/>
        <v>240</v>
      </c>
      <c r="L74" s="25">
        <f t="shared" si="4"/>
        <v>4788000</v>
      </c>
      <c r="M74" s="293"/>
    </row>
    <row r="75" spans="1:13" ht="18.75" customHeight="1">
      <c r="A75" s="293" t="str">
        <f t="shared" si="2"/>
        <v>NL</v>
      </c>
      <c r="B75" s="477">
        <f t="shared" si="5"/>
        <v>58</v>
      </c>
      <c r="C75" s="846" t="s">
        <v>1227</v>
      </c>
      <c r="D75" s="296" t="s">
        <v>1170</v>
      </c>
      <c r="E75" s="25">
        <v>340</v>
      </c>
      <c r="F75" s="25">
        <v>5402260</v>
      </c>
      <c r="G75" s="25">
        <f t="array" ref="G75">SUM(IF("1521"&amp;C75=KHN&amp;MH,SL))</f>
        <v>0</v>
      </c>
      <c r="H75" s="25">
        <f t="array" ref="H75">SUM(IF("1521"&amp;C75=KHN&amp;MH,TH))</f>
        <v>0</v>
      </c>
      <c r="I75" s="25">
        <f t="array" ref="I75">SUM(IF("1521"&amp;C75=KHC&amp;MH,SL))</f>
        <v>0</v>
      </c>
      <c r="J75" s="25">
        <f t="array" ref="J75">SUM(IF("1521"&amp;C75=KHC&amp;MH,TH))</f>
        <v>0</v>
      </c>
      <c r="K75" s="25">
        <f t="shared" si="3"/>
        <v>340</v>
      </c>
      <c r="L75" s="25">
        <f t="shared" si="4"/>
        <v>5402260</v>
      </c>
      <c r="M75" s="293"/>
    </row>
    <row r="76" spans="1:13" ht="18.75" customHeight="1">
      <c r="A76" s="293" t="str">
        <f t="shared" si="2"/>
        <v>NL</v>
      </c>
      <c r="B76" s="477">
        <f t="shared" si="5"/>
        <v>59</v>
      </c>
      <c r="C76" s="846" t="s">
        <v>1228</v>
      </c>
      <c r="D76" s="296" t="s">
        <v>1170</v>
      </c>
      <c r="E76" s="25">
        <v>480</v>
      </c>
      <c r="F76" s="25">
        <v>6706080</v>
      </c>
      <c r="G76" s="25">
        <f t="array" ref="G76">SUM(IF("1521"&amp;C76=KHN&amp;MH,SL))</f>
        <v>0</v>
      </c>
      <c r="H76" s="25">
        <f t="array" ref="H76">SUM(IF("1521"&amp;C76=KHN&amp;MH,TH))</f>
        <v>0</v>
      </c>
      <c r="I76" s="25">
        <f t="array" ref="I76">SUM(IF("1521"&amp;C76=KHC&amp;MH,SL))</f>
        <v>0</v>
      </c>
      <c r="J76" s="25">
        <f t="array" ref="J76">SUM(IF("1521"&amp;C76=KHC&amp;MH,TH))</f>
        <v>0</v>
      </c>
      <c r="K76" s="25">
        <f t="shared" si="3"/>
        <v>480</v>
      </c>
      <c r="L76" s="25">
        <f t="shared" si="4"/>
        <v>6706080</v>
      </c>
      <c r="M76" s="293"/>
    </row>
    <row r="77" spans="1:13" ht="18.75" customHeight="1">
      <c r="A77" s="293" t="str">
        <f t="shared" si="2"/>
        <v>NL</v>
      </c>
      <c r="B77" s="477">
        <f t="shared" si="5"/>
        <v>60</v>
      </c>
      <c r="C77" s="846" t="s">
        <v>1229</v>
      </c>
      <c r="D77" s="296" t="s">
        <v>1170</v>
      </c>
      <c r="E77" s="25">
        <v>1250</v>
      </c>
      <c r="F77" s="25">
        <v>17498750</v>
      </c>
      <c r="G77" s="25">
        <f t="array" ref="G77">SUM(IF("1521"&amp;C77=KHN&amp;MH,SL))</f>
        <v>0</v>
      </c>
      <c r="H77" s="25">
        <f t="array" ref="H77">SUM(IF("1521"&amp;C77=KHN&amp;MH,TH))</f>
        <v>0</v>
      </c>
      <c r="I77" s="25">
        <f t="array" ref="I77">SUM(IF("1521"&amp;C77=KHC&amp;MH,SL))</f>
        <v>0</v>
      </c>
      <c r="J77" s="25">
        <f t="array" ref="J77">SUM(IF("1521"&amp;C77=KHC&amp;MH,TH))</f>
        <v>0</v>
      </c>
      <c r="K77" s="25">
        <f t="shared" si="3"/>
        <v>1250</v>
      </c>
      <c r="L77" s="25">
        <f t="shared" si="4"/>
        <v>17498750</v>
      </c>
      <c r="M77" s="293"/>
    </row>
    <row r="78" spans="1:13" ht="18.75" customHeight="1">
      <c r="A78" s="293" t="str">
        <f t="shared" si="2"/>
        <v>NL</v>
      </c>
      <c r="B78" s="477">
        <f t="shared" si="5"/>
        <v>61</v>
      </c>
      <c r="C78" s="846" t="s">
        <v>1230</v>
      </c>
      <c r="D78" s="296" t="s">
        <v>1170</v>
      </c>
      <c r="E78" s="25">
        <v>100</v>
      </c>
      <c r="F78" s="25">
        <v>1666500</v>
      </c>
      <c r="G78" s="25">
        <f t="array" ref="G78">SUM(IF("1521"&amp;C78=KHN&amp;MH,SL))</f>
        <v>0</v>
      </c>
      <c r="H78" s="25">
        <f t="array" ref="H78">SUM(IF("1521"&amp;C78=KHN&amp;MH,TH))</f>
        <v>0</v>
      </c>
      <c r="I78" s="25">
        <f t="array" ref="I78">SUM(IF("1521"&amp;C78=KHC&amp;MH,SL))</f>
        <v>0</v>
      </c>
      <c r="J78" s="25">
        <f t="array" ref="J78">SUM(IF("1521"&amp;C78=KHC&amp;MH,TH))</f>
        <v>0</v>
      </c>
      <c r="K78" s="25">
        <f t="shared" si="3"/>
        <v>100</v>
      </c>
      <c r="L78" s="25">
        <f t="shared" si="4"/>
        <v>1666500</v>
      </c>
      <c r="M78" s="293"/>
    </row>
    <row r="79" spans="1:13" ht="18.75" customHeight="1">
      <c r="A79" s="293" t="str">
        <f t="shared" si="2"/>
        <v>NL</v>
      </c>
      <c r="B79" s="477">
        <f t="shared" si="5"/>
        <v>62</v>
      </c>
      <c r="C79" s="846" t="s">
        <v>1231</v>
      </c>
      <c r="D79" s="296" t="s">
        <v>1170</v>
      </c>
      <c r="E79" s="25">
        <v>129</v>
      </c>
      <c r="F79" s="25">
        <v>1531617</v>
      </c>
      <c r="G79" s="25">
        <f t="array" ref="G79">SUM(IF("1521"&amp;C79=KHN&amp;MH,SL))</f>
        <v>0</v>
      </c>
      <c r="H79" s="25">
        <f t="array" ref="H79">SUM(IF("1521"&amp;C79=KHN&amp;MH,TH))</f>
        <v>0</v>
      </c>
      <c r="I79" s="25">
        <f t="array" ref="I79">SUM(IF("1521"&amp;C79=KHC&amp;MH,SL))</f>
        <v>0</v>
      </c>
      <c r="J79" s="25">
        <f t="array" ref="J79">SUM(IF("1521"&amp;C79=KHC&amp;MH,TH))</f>
        <v>0</v>
      </c>
      <c r="K79" s="25">
        <f t="shared" si="3"/>
        <v>129</v>
      </c>
      <c r="L79" s="25">
        <f t="shared" si="4"/>
        <v>1531617</v>
      </c>
      <c r="M79" s="293"/>
    </row>
    <row r="80" spans="1:13" ht="18.75" customHeight="1">
      <c r="A80" s="293" t="str">
        <f t="shared" si="2"/>
        <v>NL</v>
      </c>
      <c r="B80" s="477">
        <f t="shared" si="5"/>
        <v>63</v>
      </c>
      <c r="C80" s="846" t="s">
        <v>1232</v>
      </c>
      <c r="D80" s="296" t="s">
        <v>1170</v>
      </c>
      <c r="E80" s="25">
        <v>2872</v>
      </c>
      <c r="F80" s="25">
        <v>64048472</v>
      </c>
      <c r="G80" s="25">
        <f t="array" ref="G80">SUM(IF("1521"&amp;C80=KHN&amp;MH,SL))</f>
        <v>0</v>
      </c>
      <c r="H80" s="25">
        <f t="array" ref="H80">SUM(IF("1521"&amp;C80=KHN&amp;MH,TH))</f>
        <v>0</v>
      </c>
      <c r="I80" s="25">
        <f t="array" ref="I80">SUM(IF("1521"&amp;C80=KHC&amp;MH,SL))</f>
        <v>0</v>
      </c>
      <c r="J80" s="25">
        <f t="array" ref="J80">SUM(IF("1521"&amp;C80=KHC&amp;MH,TH))</f>
        <v>0</v>
      </c>
      <c r="K80" s="25">
        <f t="shared" si="3"/>
        <v>2872</v>
      </c>
      <c r="L80" s="25">
        <f t="shared" si="4"/>
        <v>64048472</v>
      </c>
      <c r="M80" s="293"/>
    </row>
    <row r="81" spans="1:13" ht="18.75" customHeight="1">
      <c r="A81" s="293" t="str">
        <f t="shared" si="2"/>
        <v>NL</v>
      </c>
      <c r="B81" s="477">
        <f t="shared" si="5"/>
        <v>64</v>
      </c>
      <c r="C81" s="846" t="s">
        <v>1233</v>
      </c>
      <c r="D81" s="296" t="s">
        <v>1170</v>
      </c>
      <c r="E81" s="25">
        <v>90</v>
      </c>
      <c r="F81" s="25">
        <v>1003500</v>
      </c>
      <c r="G81" s="25">
        <f t="array" ref="G81">SUM(IF("1521"&amp;C81=KHN&amp;MH,SL))</f>
        <v>0</v>
      </c>
      <c r="H81" s="25">
        <f t="array" ref="H81">SUM(IF("1521"&amp;C81=KHN&amp;MH,TH))</f>
        <v>0</v>
      </c>
      <c r="I81" s="25">
        <f t="array" ref="I81">SUM(IF("1521"&amp;C81=KHC&amp;MH,SL))</f>
        <v>0</v>
      </c>
      <c r="J81" s="25">
        <f t="array" ref="J81">SUM(IF("1521"&amp;C81=KHC&amp;MH,TH))</f>
        <v>0</v>
      </c>
      <c r="K81" s="25">
        <f t="shared" si="3"/>
        <v>90</v>
      </c>
      <c r="L81" s="25">
        <f t="shared" si="4"/>
        <v>1003500</v>
      </c>
      <c r="M81" s="293"/>
    </row>
    <row r="82" spans="1:13" ht="18.75" customHeight="1">
      <c r="A82" s="293" t="str">
        <f t="shared" ref="A82:A132" si="6">IF(B82&lt;&gt;"","NL","")</f>
        <v>NL</v>
      </c>
      <c r="B82" s="477">
        <f t="shared" si="5"/>
        <v>65</v>
      </c>
      <c r="C82" s="846" t="s">
        <v>1234</v>
      </c>
      <c r="D82" s="296" t="s">
        <v>1170</v>
      </c>
      <c r="E82" s="25">
        <v>150</v>
      </c>
      <c r="F82" s="25">
        <v>1895250</v>
      </c>
      <c r="G82" s="25">
        <f t="array" ref="G82">SUM(IF("1521"&amp;C82=KHN&amp;MH,SL))</f>
        <v>0</v>
      </c>
      <c r="H82" s="25">
        <f t="array" ref="H82">SUM(IF("1521"&amp;C82=KHN&amp;MH,TH))</f>
        <v>0</v>
      </c>
      <c r="I82" s="25">
        <f t="array" ref="I82">SUM(IF("1521"&amp;C82=KHC&amp;MH,SL))</f>
        <v>0</v>
      </c>
      <c r="J82" s="25">
        <f t="array" ref="J82">SUM(IF("1521"&amp;C82=KHC&amp;MH,TH))</f>
        <v>0</v>
      </c>
      <c r="K82" s="25">
        <f t="shared" ref="K82:K132" si="7">E82+G82-I82</f>
        <v>150</v>
      </c>
      <c r="L82" s="25">
        <f t="shared" ref="L82:L132" si="8">F82+H82-J82</f>
        <v>1895250</v>
      </c>
      <c r="M82" s="293"/>
    </row>
    <row r="83" spans="1:13" ht="18.75" customHeight="1">
      <c r="A83" s="293" t="str">
        <f t="shared" si="6"/>
        <v>NL</v>
      </c>
      <c r="B83" s="477">
        <f t="shared" si="5"/>
        <v>66</v>
      </c>
      <c r="C83" s="846" t="s">
        <v>1235</v>
      </c>
      <c r="D83" s="296" t="s">
        <v>1170</v>
      </c>
      <c r="E83" s="25">
        <v>350</v>
      </c>
      <c r="F83" s="25">
        <v>5482750</v>
      </c>
      <c r="G83" s="25">
        <f t="array" ref="G83">SUM(IF("1521"&amp;C83=KHN&amp;MH,SL))</f>
        <v>0</v>
      </c>
      <c r="H83" s="25">
        <f t="array" ref="H83">SUM(IF("1521"&amp;C83=KHN&amp;MH,TH))</f>
        <v>0</v>
      </c>
      <c r="I83" s="25">
        <f t="array" ref="I83">SUM(IF("1521"&amp;C83=KHC&amp;MH,SL))</f>
        <v>0</v>
      </c>
      <c r="J83" s="25">
        <f t="array" ref="J83">SUM(IF("1521"&amp;C83=KHC&amp;MH,TH))</f>
        <v>0</v>
      </c>
      <c r="K83" s="25">
        <f t="shared" si="7"/>
        <v>350</v>
      </c>
      <c r="L83" s="25">
        <f t="shared" si="8"/>
        <v>5482750</v>
      </c>
      <c r="M83" s="293"/>
    </row>
    <row r="84" spans="1:13" ht="18.75" customHeight="1">
      <c r="A84" s="293" t="str">
        <f t="shared" si="6"/>
        <v>NL</v>
      </c>
      <c r="B84" s="477">
        <f t="shared" si="5"/>
        <v>67</v>
      </c>
      <c r="C84" s="846" t="s">
        <v>1236</v>
      </c>
      <c r="D84" s="296" t="s">
        <v>1170</v>
      </c>
      <c r="E84" s="25">
        <v>1956</v>
      </c>
      <c r="F84" s="25">
        <v>35806536</v>
      </c>
      <c r="G84" s="25">
        <f t="array" ref="G84">SUM(IF("1521"&amp;C84=KHN&amp;MH,SL))</f>
        <v>0</v>
      </c>
      <c r="H84" s="25">
        <f t="array" ref="H84">SUM(IF("1521"&amp;C84=KHN&amp;MH,TH))</f>
        <v>0</v>
      </c>
      <c r="I84" s="25">
        <f t="array" ref="I84">SUM(IF("1521"&amp;C84=KHC&amp;MH,SL))</f>
        <v>0</v>
      </c>
      <c r="J84" s="25">
        <f t="array" ref="J84">SUM(IF("1521"&amp;C84=KHC&amp;MH,TH))</f>
        <v>0</v>
      </c>
      <c r="K84" s="25">
        <f t="shared" si="7"/>
        <v>1956</v>
      </c>
      <c r="L84" s="25">
        <f t="shared" si="8"/>
        <v>35806536</v>
      </c>
      <c r="M84" s="293"/>
    </row>
    <row r="85" spans="1:13" ht="18.75" customHeight="1">
      <c r="A85" s="293" t="str">
        <f t="shared" si="6"/>
        <v>NL</v>
      </c>
      <c r="B85" s="477">
        <f t="shared" si="5"/>
        <v>68</v>
      </c>
      <c r="C85" s="846" t="s">
        <v>1237</v>
      </c>
      <c r="D85" s="296" t="s">
        <v>1170</v>
      </c>
      <c r="E85" s="25">
        <v>500</v>
      </c>
      <c r="F85" s="25">
        <v>6310000</v>
      </c>
      <c r="G85" s="25">
        <f t="array" ref="G85">SUM(IF("1521"&amp;C85=KHN&amp;MH,SL))</f>
        <v>0</v>
      </c>
      <c r="H85" s="25">
        <f t="array" ref="H85">SUM(IF("1521"&amp;C85=KHN&amp;MH,TH))</f>
        <v>0</v>
      </c>
      <c r="I85" s="25">
        <f t="array" ref="I85">SUM(IF("1521"&amp;C85=KHC&amp;MH,SL))</f>
        <v>0</v>
      </c>
      <c r="J85" s="25">
        <f t="array" ref="J85">SUM(IF("1521"&amp;C85=KHC&amp;MH,TH))</f>
        <v>0</v>
      </c>
      <c r="K85" s="25">
        <f t="shared" si="7"/>
        <v>500</v>
      </c>
      <c r="L85" s="25">
        <f t="shared" si="8"/>
        <v>6310000</v>
      </c>
      <c r="M85" s="293"/>
    </row>
    <row r="86" spans="1:13" ht="18.75" customHeight="1">
      <c r="A86" s="293" t="str">
        <f t="shared" si="6"/>
        <v>NL</v>
      </c>
      <c r="B86" s="477">
        <f t="shared" si="5"/>
        <v>69</v>
      </c>
      <c r="C86" s="846" t="s">
        <v>1238</v>
      </c>
      <c r="D86" s="296" t="s">
        <v>1170</v>
      </c>
      <c r="E86" s="25">
        <v>490</v>
      </c>
      <c r="F86" s="25">
        <v>7754250</v>
      </c>
      <c r="G86" s="25">
        <f t="array" ref="G86">SUM(IF("1521"&amp;C86=KHN&amp;MH,SL))</f>
        <v>0</v>
      </c>
      <c r="H86" s="25">
        <f t="array" ref="H86">SUM(IF("1521"&amp;C86=KHN&amp;MH,TH))</f>
        <v>0</v>
      </c>
      <c r="I86" s="25">
        <f t="array" ref="I86">SUM(IF("1521"&amp;C86=KHC&amp;MH,SL))</f>
        <v>0</v>
      </c>
      <c r="J86" s="25">
        <f t="array" ref="J86">SUM(IF("1521"&amp;C86=KHC&amp;MH,TH))</f>
        <v>0</v>
      </c>
      <c r="K86" s="25">
        <f t="shared" si="7"/>
        <v>490</v>
      </c>
      <c r="L86" s="25">
        <f t="shared" si="8"/>
        <v>7754250</v>
      </c>
      <c r="M86" s="293"/>
    </row>
    <row r="87" spans="1:13" ht="18.75" customHeight="1">
      <c r="A87" s="293" t="str">
        <f t="shared" si="6"/>
        <v>NL</v>
      </c>
      <c r="B87" s="477">
        <f t="shared" si="5"/>
        <v>70</v>
      </c>
      <c r="C87" s="846" t="s">
        <v>1239</v>
      </c>
      <c r="D87" s="296" t="s">
        <v>1170</v>
      </c>
      <c r="E87" s="25">
        <v>150</v>
      </c>
      <c r="F87" s="25">
        <v>3420000</v>
      </c>
      <c r="G87" s="25">
        <f t="array" ref="G87">SUM(IF("1521"&amp;C87=KHN&amp;MH,SL))</f>
        <v>0</v>
      </c>
      <c r="H87" s="25">
        <f t="array" ref="H87">SUM(IF("1521"&amp;C87=KHN&amp;MH,TH))</f>
        <v>0</v>
      </c>
      <c r="I87" s="25">
        <f t="array" ref="I87">SUM(IF("1521"&amp;C87=KHC&amp;MH,SL))</f>
        <v>0</v>
      </c>
      <c r="J87" s="25">
        <f t="array" ref="J87">SUM(IF("1521"&amp;C87=KHC&amp;MH,TH))</f>
        <v>0</v>
      </c>
      <c r="K87" s="25">
        <f t="shared" si="7"/>
        <v>150</v>
      </c>
      <c r="L87" s="25">
        <f t="shared" si="8"/>
        <v>3420000</v>
      </c>
      <c r="M87" s="293"/>
    </row>
    <row r="88" spans="1:13" ht="18.75" customHeight="1">
      <c r="A88" s="293" t="str">
        <f t="shared" si="6"/>
        <v>NL</v>
      </c>
      <c r="B88" s="477">
        <f t="shared" si="5"/>
        <v>71</v>
      </c>
      <c r="C88" s="846" t="s">
        <v>1240</v>
      </c>
      <c r="D88" s="296" t="s">
        <v>1170</v>
      </c>
      <c r="E88" s="25">
        <v>100</v>
      </c>
      <c r="F88" s="25">
        <v>2325000</v>
      </c>
      <c r="G88" s="25">
        <f t="array" ref="G88">SUM(IF("1521"&amp;C88=KHN&amp;MH,SL))</f>
        <v>0</v>
      </c>
      <c r="H88" s="25">
        <f t="array" ref="H88">SUM(IF("1521"&amp;C88=KHN&amp;MH,TH))</f>
        <v>0</v>
      </c>
      <c r="I88" s="25">
        <f t="array" ref="I88">SUM(IF("1521"&amp;C88=KHC&amp;MH,SL))</f>
        <v>0</v>
      </c>
      <c r="J88" s="25">
        <f t="array" ref="J88">SUM(IF("1521"&amp;C88=KHC&amp;MH,TH))</f>
        <v>0</v>
      </c>
      <c r="K88" s="25">
        <f t="shared" si="7"/>
        <v>100</v>
      </c>
      <c r="L88" s="25">
        <f t="shared" si="8"/>
        <v>2325000</v>
      </c>
      <c r="M88" s="293"/>
    </row>
    <row r="89" spans="1:13" ht="18.75" customHeight="1">
      <c r="A89" s="293" t="str">
        <f t="shared" si="6"/>
        <v>NL</v>
      </c>
      <c r="B89" s="477">
        <f t="shared" si="5"/>
        <v>72</v>
      </c>
      <c r="C89" s="846" t="s">
        <v>1241</v>
      </c>
      <c r="D89" s="296" t="s">
        <v>1170</v>
      </c>
      <c r="E89" s="25">
        <v>250</v>
      </c>
      <c r="F89" s="25">
        <v>3404750</v>
      </c>
      <c r="G89" s="25">
        <f t="array" ref="G89">SUM(IF("1521"&amp;C89=KHN&amp;MH,SL))</f>
        <v>0</v>
      </c>
      <c r="H89" s="25">
        <f t="array" ref="H89">SUM(IF("1521"&amp;C89=KHN&amp;MH,TH))</f>
        <v>0</v>
      </c>
      <c r="I89" s="25">
        <f t="array" ref="I89">SUM(IF("1521"&amp;C89=KHC&amp;MH,SL))</f>
        <v>0</v>
      </c>
      <c r="J89" s="25">
        <f t="array" ref="J89">SUM(IF("1521"&amp;C89=KHC&amp;MH,TH))</f>
        <v>0</v>
      </c>
      <c r="K89" s="25">
        <f t="shared" si="7"/>
        <v>250</v>
      </c>
      <c r="L89" s="25">
        <f t="shared" si="8"/>
        <v>3404750</v>
      </c>
      <c r="M89" s="293"/>
    </row>
    <row r="90" spans="1:13" ht="18.75" customHeight="1">
      <c r="A90" s="293" t="str">
        <f t="shared" si="6"/>
        <v>NL</v>
      </c>
      <c r="B90" s="477">
        <f t="shared" si="5"/>
        <v>73</v>
      </c>
      <c r="C90" s="846" t="s">
        <v>1242</v>
      </c>
      <c r="D90" s="296" t="s">
        <v>1170</v>
      </c>
      <c r="E90" s="25">
        <v>1000</v>
      </c>
      <c r="F90" s="25">
        <v>17625000</v>
      </c>
      <c r="G90" s="25">
        <f t="array" ref="G90">SUM(IF("1521"&amp;C90=KHN&amp;MH,SL))</f>
        <v>0</v>
      </c>
      <c r="H90" s="25">
        <f t="array" ref="H90">SUM(IF("1521"&amp;C90=KHN&amp;MH,TH))</f>
        <v>0</v>
      </c>
      <c r="I90" s="25">
        <f t="array" ref="I90">SUM(IF("1521"&amp;C90=KHC&amp;MH,SL))</f>
        <v>0</v>
      </c>
      <c r="J90" s="25">
        <f t="array" ref="J90">SUM(IF("1521"&amp;C90=KHC&amp;MH,TH))</f>
        <v>0</v>
      </c>
      <c r="K90" s="25">
        <f t="shared" si="7"/>
        <v>1000</v>
      </c>
      <c r="L90" s="25">
        <f t="shared" si="8"/>
        <v>17625000</v>
      </c>
      <c r="M90" s="293"/>
    </row>
    <row r="91" spans="1:13" ht="18.75" customHeight="1">
      <c r="A91" s="293" t="str">
        <f t="shared" si="6"/>
        <v>NL</v>
      </c>
      <c r="B91" s="477">
        <f t="shared" si="5"/>
        <v>74</v>
      </c>
      <c r="C91" s="846" t="s">
        <v>1243</v>
      </c>
      <c r="D91" s="296" t="s">
        <v>1170</v>
      </c>
      <c r="E91" s="25">
        <v>11562</v>
      </c>
      <c r="F91" s="25">
        <v>230200108</v>
      </c>
      <c r="G91" s="25">
        <f t="array" ref="G91">SUM(IF("1521"&amp;C91=KHN&amp;MH,SL))</f>
        <v>0</v>
      </c>
      <c r="H91" s="25">
        <f t="array" ref="H91">SUM(IF("1521"&amp;C91=KHN&amp;MH,TH))</f>
        <v>0</v>
      </c>
      <c r="I91" s="25">
        <f t="array" ref="I91">SUM(IF("1521"&amp;C91=KHC&amp;MH,SL))</f>
        <v>0</v>
      </c>
      <c r="J91" s="25">
        <f t="array" ref="J91">SUM(IF("1521"&amp;C91=KHC&amp;MH,TH))</f>
        <v>0</v>
      </c>
      <c r="K91" s="25">
        <f t="shared" si="7"/>
        <v>11562</v>
      </c>
      <c r="L91" s="25">
        <f t="shared" si="8"/>
        <v>230200108</v>
      </c>
      <c r="M91" s="293"/>
    </row>
    <row r="92" spans="1:13" ht="18.75" customHeight="1">
      <c r="A92" s="293" t="str">
        <f t="shared" si="6"/>
        <v>NL</v>
      </c>
      <c r="B92" s="477">
        <f t="shared" si="5"/>
        <v>75</v>
      </c>
      <c r="C92" s="846" t="s">
        <v>1244</v>
      </c>
      <c r="D92" s="296" t="s">
        <v>1170</v>
      </c>
      <c r="E92" s="25">
        <v>103</v>
      </c>
      <c r="F92" s="25">
        <v>2443675</v>
      </c>
      <c r="G92" s="25">
        <f t="array" ref="G92">SUM(IF("1521"&amp;C92=KHN&amp;MH,SL))</f>
        <v>0</v>
      </c>
      <c r="H92" s="25">
        <f t="array" ref="H92">SUM(IF("1521"&amp;C92=KHN&amp;MH,TH))</f>
        <v>0</v>
      </c>
      <c r="I92" s="25">
        <f t="array" ref="I92">SUM(IF("1521"&amp;C92=KHC&amp;MH,SL))</f>
        <v>0</v>
      </c>
      <c r="J92" s="25">
        <f t="array" ref="J92">SUM(IF("1521"&amp;C92=KHC&amp;MH,TH))</f>
        <v>0</v>
      </c>
      <c r="K92" s="25">
        <f t="shared" si="7"/>
        <v>103</v>
      </c>
      <c r="L92" s="25">
        <f t="shared" si="8"/>
        <v>2443675</v>
      </c>
      <c r="M92" s="293"/>
    </row>
    <row r="93" spans="1:13" ht="18.75" customHeight="1">
      <c r="A93" s="293" t="str">
        <f t="shared" si="6"/>
        <v>NL</v>
      </c>
      <c r="B93" s="477">
        <f t="shared" si="5"/>
        <v>76</v>
      </c>
      <c r="C93" s="846" t="s">
        <v>1245</v>
      </c>
      <c r="D93" s="296" t="s">
        <v>1170</v>
      </c>
      <c r="E93" s="25">
        <v>250</v>
      </c>
      <c r="F93" s="25">
        <v>3681500</v>
      </c>
      <c r="G93" s="25">
        <f t="array" ref="G93">SUM(IF("1521"&amp;C93=KHN&amp;MH,SL))</f>
        <v>0</v>
      </c>
      <c r="H93" s="25">
        <f t="array" ref="H93">SUM(IF("1521"&amp;C93=KHN&amp;MH,TH))</f>
        <v>0</v>
      </c>
      <c r="I93" s="25">
        <f t="array" ref="I93">SUM(IF("1521"&amp;C93=KHC&amp;MH,SL))</f>
        <v>0</v>
      </c>
      <c r="J93" s="25">
        <f t="array" ref="J93">SUM(IF("1521"&amp;C93=KHC&amp;MH,TH))</f>
        <v>0</v>
      </c>
      <c r="K93" s="25">
        <f t="shared" si="7"/>
        <v>250</v>
      </c>
      <c r="L93" s="25">
        <f t="shared" si="8"/>
        <v>3681500</v>
      </c>
      <c r="M93" s="293"/>
    </row>
    <row r="94" spans="1:13" ht="18.75" customHeight="1">
      <c r="A94" s="293" t="str">
        <f t="shared" si="6"/>
        <v>NL</v>
      </c>
      <c r="B94" s="477">
        <f t="shared" si="5"/>
        <v>77</v>
      </c>
      <c r="C94" s="846" t="s">
        <v>1246</v>
      </c>
      <c r="D94" s="296" t="s">
        <v>1170</v>
      </c>
      <c r="E94" s="25">
        <v>750</v>
      </c>
      <c r="F94" s="25">
        <v>16740750</v>
      </c>
      <c r="G94" s="25">
        <f t="array" ref="G94">SUM(IF("1521"&amp;C94=KHN&amp;MH,SL))</f>
        <v>0</v>
      </c>
      <c r="H94" s="25">
        <f t="array" ref="H94">SUM(IF("1521"&amp;C94=KHN&amp;MH,TH))</f>
        <v>0</v>
      </c>
      <c r="I94" s="25">
        <f t="array" ref="I94">SUM(IF("1521"&amp;C94=KHC&amp;MH,SL))</f>
        <v>0</v>
      </c>
      <c r="J94" s="25">
        <f t="array" ref="J94">SUM(IF("1521"&amp;C94=KHC&amp;MH,TH))</f>
        <v>0</v>
      </c>
      <c r="K94" s="25">
        <f t="shared" si="7"/>
        <v>750</v>
      </c>
      <c r="L94" s="25">
        <f t="shared" si="8"/>
        <v>16740750</v>
      </c>
      <c r="M94" s="293"/>
    </row>
    <row r="95" spans="1:13" ht="18.75" customHeight="1">
      <c r="A95" s="293" t="str">
        <f t="shared" si="6"/>
        <v>NL</v>
      </c>
      <c r="B95" s="477">
        <f t="shared" si="5"/>
        <v>78</v>
      </c>
      <c r="C95" s="846" t="s">
        <v>1247</v>
      </c>
      <c r="D95" s="296" t="s">
        <v>1170</v>
      </c>
      <c r="E95" s="25">
        <v>100</v>
      </c>
      <c r="F95" s="25">
        <v>2260100</v>
      </c>
      <c r="G95" s="25">
        <f t="array" ref="G95">SUM(IF("1521"&amp;C95=KHN&amp;MH,SL))</f>
        <v>0</v>
      </c>
      <c r="H95" s="25">
        <f t="array" ref="H95">SUM(IF("1521"&amp;C95=KHN&amp;MH,TH))</f>
        <v>0</v>
      </c>
      <c r="I95" s="25">
        <f t="array" ref="I95">SUM(IF("1521"&amp;C95=KHC&amp;MH,SL))</f>
        <v>0</v>
      </c>
      <c r="J95" s="25">
        <f t="array" ref="J95">SUM(IF("1521"&amp;C95=KHC&amp;MH,TH))</f>
        <v>0</v>
      </c>
      <c r="K95" s="25">
        <f t="shared" si="7"/>
        <v>100</v>
      </c>
      <c r="L95" s="25">
        <f t="shared" si="8"/>
        <v>2260100</v>
      </c>
      <c r="M95" s="293"/>
    </row>
    <row r="96" spans="1:13" ht="18.75" customHeight="1">
      <c r="A96" s="293" t="str">
        <f t="shared" si="6"/>
        <v>NL</v>
      </c>
      <c r="B96" s="477">
        <f t="shared" si="5"/>
        <v>79</v>
      </c>
      <c r="C96" s="846" t="s">
        <v>1248</v>
      </c>
      <c r="D96" s="296" t="s">
        <v>1170</v>
      </c>
      <c r="E96" s="25">
        <v>1000</v>
      </c>
      <c r="F96" s="25">
        <v>21023000</v>
      </c>
      <c r="G96" s="25">
        <f t="array" ref="G96">SUM(IF("1521"&amp;C96=KHN&amp;MH,SL))</f>
        <v>0</v>
      </c>
      <c r="H96" s="25">
        <f t="array" ref="H96">SUM(IF("1521"&amp;C96=KHN&amp;MH,TH))</f>
        <v>0</v>
      </c>
      <c r="I96" s="25">
        <f t="array" ref="I96">SUM(IF("1521"&amp;C96=KHC&amp;MH,SL))</f>
        <v>0</v>
      </c>
      <c r="J96" s="25">
        <f t="array" ref="J96">SUM(IF("1521"&amp;C96=KHC&amp;MH,TH))</f>
        <v>0</v>
      </c>
      <c r="K96" s="25">
        <f t="shared" si="7"/>
        <v>1000</v>
      </c>
      <c r="L96" s="25">
        <f t="shared" si="8"/>
        <v>21023000</v>
      </c>
      <c r="M96" s="293"/>
    </row>
    <row r="97" spans="1:13" ht="18.75" customHeight="1">
      <c r="A97" s="293" t="str">
        <f t="shared" si="6"/>
        <v>NL</v>
      </c>
      <c r="B97" s="477">
        <f t="shared" si="5"/>
        <v>80</v>
      </c>
      <c r="C97" s="846" t="s">
        <v>1249</v>
      </c>
      <c r="D97" s="296" t="s">
        <v>1170</v>
      </c>
      <c r="E97" s="25">
        <v>1076</v>
      </c>
      <c r="F97" s="25">
        <v>34777914</v>
      </c>
      <c r="G97" s="25">
        <f t="array" ref="G97">SUM(IF("1521"&amp;C97=KHN&amp;MH,SL))</f>
        <v>0</v>
      </c>
      <c r="H97" s="25">
        <f t="array" ref="H97">SUM(IF("1521"&amp;C97=KHN&amp;MH,TH))</f>
        <v>0</v>
      </c>
      <c r="I97" s="25">
        <f t="array" ref="I97">SUM(IF("1521"&amp;C97=KHC&amp;MH,SL))</f>
        <v>0</v>
      </c>
      <c r="J97" s="25">
        <f t="array" ref="J97">SUM(IF("1521"&amp;C97=KHC&amp;MH,TH))</f>
        <v>0</v>
      </c>
      <c r="K97" s="25">
        <f t="shared" si="7"/>
        <v>1076</v>
      </c>
      <c r="L97" s="25">
        <f t="shared" si="8"/>
        <v>34777914</v>
      </c>
      <c r="M97" s="293"/>
    </row>
    <row r="98" spans="1:13" ht="18.75" customHeight="1">
      <c r="A98" s="293" t="str">
        <f t="shared" si="6"/>
        <v>NL</v>
      </c>
      <c r="B98" s="477">
        <f t="shared" si="5"/>
        <v>81</v>
      </c>
      <c r="C98" s="846" t="s">
        <v>1250</v>
      </c>
      <c r="D98" s="296" t="s">
        <v>1170</v>
      </c>
      <c r="E98" s="25">
        <v>100</v>
      </c>
      <c r="F98" s="25">
        <v>1597600</v>
      </c>
      <c r="G98" s="25">
        <f t="array" ref="G98">SUM(IF("1521"&amp;C98=KHN&amp;MH,SL))</f>
        <v>0</v>
      </c>
      <c r="H98" s="25">
        <f t="array" ref="H98">SUM(IF("1521"&amp;C98=KHN&amp;MH,TH))</f>
        <v>0</v>
      </c>
      <c r="I98" s="25">
        <f t="array" ref="I98">SUM(IF("1521"&amp;C98=KHC&amp;MH,SL))</f>
        <v>0</v>
      </c>
      <c r="J98" s="25">
        <f t="array" ref="J98">SUM(IF("1521"&amp;C98=KHC&amp;MH,TH))</f>
        <v>0</v>
      </c>
      <c r="K98" s="25">
        <f t="shared" si="7"/>
        <v>100</v>
      </c>
      <c r="L98" s="25">
        <f t="shared" si="8"/>
        <v>1597600</v>
      </c>
      <c r="M98" s="293"/>
    </row>
    <row r="99" spans="1:13" ht="18.75" customHeight="1">
      <c r="A99" s="293" t="str">
        <f t="shared" si="6"/>
        <v>NL</v>
      </c>
      <c r="B99" s="477">
        <f t="shared" si="5"/>
        <v>82</v>
      </c>
      <c r="C99" s="846" t="s">
        <v>1251</v>
      </c>
      <c r="D99" s="296" t="s">
        <v>1170</v>
      </c>
      <c r="E99" s="25">
        <v>150</v>
      </c>
      <c r="F99" s="25">
        <v>4185000</v>
      </c>
      <c r="G99" s="25">
        <f t="array" ref="G99">SUM(IF("1521"&amp;C99=KHN&amp;MH,SL))</f>
        <v>0</v>
      </c>
      <c r="H99" s="25">
        <f t="array" ref="H99">SUM(IF("1521"&amp;C99=KHN&amp;MH,TH))</f>
        <v>0</v>
      </c>
      <c r="I99" s="25">
        <f t="array" ref="I99">SUM(IF("1521"&amp;C99=KHC&amp;MH,SL))</f>
        <v>0</v>
      </c>
      <c r="J99" s="25">
        <f t="array" ref="J99">SUM(IF("1521"&amp;C99=KHC&amp;MH,TH))</f>
        <v>0</v>
      </c>
      <c r="K99" s="25">
        <f t="shared" si="7"/>
        <v>150</v>
      </c>
      <c r="L99" s="25">
        <f t="shared" si="8"/>
        <v>4185000</v>
      </c>
      <c r="M99" s="293"/>
    </row>
    <row r="100" spans="1:13" ht="18.75" customHeight="1">
      <c r="A100" s="293" t="str">
        <f t="shared" si="6"/>
        <v>NL</v>
      </c>
      <c r="B100" s="477">
        <f t="shared" si="5"/>
        <v>83</v>
      </c>
      <c r="C100" s="846" t="s">
        <v>1252</v>
      </c>
      <c r="D100" s="296" t="s">
        <v>1170</v>
      </c>
      <c r="E100" s="25">
        <v>100</v>
      </c>
      <c r="F100" s="25">
        <v>2280900</v>
      </c>
      <c r="G100" s="25">
        <f t="array" ref="G100">SUM(IF("1521"&amp;C100=KHN&amp;MH,SL))</f>
        <v>0</v>
      </c>
      <c r="H100" s="25">
        <f t="array" ref="H100">SUM(IF("1521"&amp;C100=KHN&amp;MH,TH))</f>
        <v>0</v>
      </c>
      <c r="I100" s="25">
        <f t="array" ref="I100">SUM(IF("1521"&amp;C100=KHC&amp;MH,SL))</f>
        <v>0</v>
      </c>
      <c r="J100" s="25">
        <f t="array" ref="J100">SUM(IF("1521"&amp;C100=KHC&amp;MH,TH))</f>
        <v>0</v>
      </c>
      <c r="K100" s="25">
        <f t="shared" si="7"/>
        <v>100</v>
      </c>
      <c r="L100" s="25">
        <f t="shared" si="8"/>
        <v>2280900</v>
      </c>
      <c r="M100" s="293"/>
    </row>
    <row r="101" spans="1:13" ht="18.75" customHeight="1">
      <c r="A101" s="293" t="str">
        <f t="shared" si="6"/>
        <v>NL</v>
      </c>
      <c r="B101" s="477">
        <f t="shared" si="5"/>
        <v>84</v>
      </c>
      <c r="C101" s="846" t="s">
        <v>1253</v>
      </c>
      <c r="D101" s="296" t="s">
        <v>1170</v>
      </c>
      <c r="E101" s="25">
        <v>520</v>
      </c>
      <c r="F101" s="25">
        <v>11974560</v>
      </c>
      <c r="G101" s="25">
        <f t="array" ref="G101">SUM(IF("1521"&amp;C101=KHN&amp;MH,SL))</f>
        <v>0</v>
      </c>
      <c r="H101" s="25">
        <f t="array" ref="H101">SUM(IF("1521"&amp;C101=KHN&amp;MH,TH))</f>
        <v>0</v>
      </c>
      <c r="I101" s="25">
        <f t="array" ref="I101">SUM(IF("1521"&amp;C101=KHC&amp;MH,SL))</f>
        <v>0</v>
      </c>
      <c r="J101" s="25">
        <f t="array" ref="J101">SUM(IF("1521"&amp;C101=KHC&amp;MH,TH))</f>
        <v>0</v>
      </c>
      <c r="K101" s="25">
        <f t="shared" si="7"/>
        <v>520</v>
      </c>
      <c r="L101" s="25">
        <f t="shared" si="8"/>
        <v>11974560</v>
      </c>
      <c r="M101" s="293"/>
    </row>
    <row r="102" spans="1:13" ht="18.75" customHeight="1">
      <c r="A102" s="293" t="str">
        <f t="shared" si="6"/>
        <v>NL</v>
      </c>
      <c r="B102" s="477">
        <f t="shared" si="5"/>
        <v>85</v>
      </c>
      <c r="C102" s="846" t="s">
        <v>1254</v>
      </c>
      <c r="D102" s="296" t="s">
        <v>1170</v>
      </c>
      <c r="E102" s="25">
        <v>2000</v>
      </c>
      <c r="F102" s="25">
        <v>46298000</v>
      </c>
      <c r="G102" s="25">
        <f t="array" ref="G102">SUM(IF("1521"&amp;C102=KHN&amp;MH,SL))</f>
        <v>0</v>
      </c>
      <c r="H102" s="25">
        <f t="array" ref="H102">SUM(IF("1521"&amp;C102=KHN&amp;MH,TH))</f>
        <v>0</v>
      </c>
      <c r="I102" s="25">
        <f t="array" ref="I102">SUM(IF("1521"&amp;C102=KHC&amp;MH,SL))</f>
        <v>0</v>
      </c>
      <c r="J102" s="25">
        <f t="array" ref="J102">SUM(IF("1521"&amp;C102=KHC&amp;MH,TH))</f>
        <v>0</v>
      </c>
      <c r="K102" s="25">
        <f t="shared" si="7"/>
        <v>2000</v>
      </c>
      <c r="L102" s="25">
        <f t="shared" si="8"/>
        <v>46298000</v>
      </c>
      <c r="M102" s="293"/>
    </row>
    <row r="103" spans="1:13" ht="18.75" customHeight="1">
      <c r="A103" s="293" t="str">
        <f t="shared" si="6"/>
        <v>NL</v>
      </c>
      <c r="B103" s="477">
        <f t="shared" si="5"/>
        <v>86</v>
      </c>
      <c r="C103" s="846" t="s">
        <v>1255</v>
      </c>
      <c r="D103" s="296" t="s">
        <v>1170</v>
      </c>
      <c r="E103" s="25">
        <v>200</v>
      </c>
      <c r="F103" s="25">
        <v>4620400</v>
      </c>
      <c r="G103" s="25">
        <f t="array" ref="G103">SUM(IF("1521"&amp;C103=KHN&amp;MH,SL))</f>
        <v>0</v>
      </c>
      <c r="H103" s="25">
        <f t="array" ref="H103">SUM(IF("1521"&amp;C103=KHN&amp;MH,TH))</f>
        <v>0</v>
      </c>
      <c r="I103" s="25">
        <f t="array" ref="I103">SUM(IF("1521"&amp;C103=KHC&amp;MH,SL))</f>
        <v>0</v>
      </c>
      <c r="J103" s="25">
        <f t="array" ref="J103">SUM(IF("1521"&amp;C103=KHC&amp;MH,TH))</f>
        <v>0</v>
      </c>
      <c r="K103" s="25">
        <f t="shared" si="7"/>
        <v>200</v>
      </c>
      <c r="L103" s="25">
        <f t="shared" si="8"/>
        <v>4620400</v>
      </c>
      <c r="M103" s="293"/>
    </row>
    <row r="104" spans="1:13" ht="18.75" customHeight="1">
      <c r="A104" s="293" t="str">
        <f t="shared" si="6"/>
        <v>NL</v>
      </c>
      <c r="B104" s="477">
        <f t="shared" si="5"/>
        <v>87</v>
      </c>
      <c r="C104" s="846" t="s">
        <v>1256</v>
      </c>
      <c r="D104" s="296" t="s">
        <v>1170</v>
      </c>
      <c r="E104" s="25">
        <v>112</v>
      </c>
      <c r="F104" s="25">
        <v>2107616</v>
      </c>
      <c r="G104" s="25">
        <f t="array" ref="G104">SUM(IF("1521"&amp;C104=KHN&amp;MH,SL))</f>
        <v>0</v>
      </c>
      <c r="H104" s="25">
        <f t="array" ref="H104">SUM(IF("1521"&amp;C104=KHN&amp;MH,TH))</f>
        <v>0</v>
      </c>
      <c r="I104" s="25">
        <f t="array" ref="I104">SUM(IF("1521"&amp;C104=KHC&amp;MH,SL))</f>
        <v>0</v>
      </c>
      <c r="J104" s="25">
        <f t="array" ref="J104">SUM(IF("1521"&amp;C104=KHC&amp;MH,TH))</f>
        <v>0</v>
      </c>
      <c r="K104" s="25">
        <f t="shared" si="7"/>
        <v>112</v>
      </c>
      <c r="L104" s="25">
        <f t="shared" si="8"/>
        <v>2107616</v>
      </c>
      <c r="M104" s="293"/>
    </row>
    <row r="105" spans="1:13" ht="18.75" customHeight="1">
      <c r="A105" s="293" t="str">
        <f t="shared" si="6"/>
        <v>NL</v>
      </c>
      <c r="B105" s="477">
        <f t="shared" si="5"/>
        <v>88</v>
      </c>
      <c r="C105" s="846" t="s">
        <v>1257</v>
      </c>
      <c r="D105" s="296" t="s">
        <v>1170</v>
      </c>
      <c r="E105" s="25">
        <v>104</v>
      </c>
      <c r="F105" s="25">
        <v>2054936</v>
      </c>
      <c r="G105" s="25">
        <f t="array" ref="G105">SUM(IF("1521"&amp;C105=KHN&amp;MH,SL))</f>
        <v>0</v>
      </c>
      <c r="H105" s="25">
        <f t="array" ref="H105">SUM(IF("1521"&amp;C105=KHN&amp;MH,TH))</f>
        <v>0</v>
      </c>
      <c r="I105" s="25">
        <f t="array" ref="I105">SUM(IF("1521"&amp;C105=KHC&amp;MH,SL))</f>
        <v>0</v>
      </c>
      <c r="J105" s="25">
        <f t="array" ref="J105">SUM(IF("1521"&amp;C105=KHC&amp;MH,TH))</f>
        <v>0</v>
      </c>
      <c r="K105" s="25">
        <f t="shared" si="7"/>
        <v>104</v>
      </c>
      <c r="L105" s="25">
        <f t="shared" si="8"/>
        <v>2054936</v>
      </c>
      <c r="M105" s="293"/>
    </row>
    <row r="106" spans="1:13" ht="18.75" customHeight="1">
      <c r="A106" s="293" t="str">
        <f t="shared" si="6"/>
        <v>NL</v>
      </c>
      <c r="B106" s="477">
        <f t="shared" si="5"/>
        <v>89</v>
      </c>
      <c r="C106" s="846" t="s">
        <v>1258</v>
      </c>
      <c r="D106" s="296" t="s">
        <v>1170</v>
      </c>
      <c r="E106" s="25">
        <v>300</v>
      </c>
      <c r="F106" s="25">
        <v>6297600</v>
      </c>
      <c r="G106" s="25">
        <f t="array" ref="G106">SUM(IF("1521"&amp;C106=KHN&amp;MH,SL))</f>
        <v>0</v>
      </c>
      <c r="H106" s="25">
        <f t="array" ref="H106">SUM(IF("1521"&amp;C106=KHN&amp;MH,TH))</f>
        <v>0</v>
      </c>
      <c r="I106" s="25">
        <f t="array" ref="I106">SUM(IF("1521"&amp;C106=KHC&amp;MH,SL))</f>
        <v>0</v>
      </c>
      <c r="J106" s="25">
        <f t="array" ref="J106">SUM(IF("1521"&amp;C106=KHC&amp;MH,TH))</f>
        <v>0</v>
      </c>
      <c r="K106" s="25">
        <f t="shared" si="7"/>
        <v>300</v>
      </c>
      <c r="L106" s="25">
        <f t="shared" si="8"/>
        <v>6297600</v>
      </c>
      <c r="M106" s="293"/>
    </row>
    <row r="107" spans="1:13" ht="18.75" customHeight="1">
      <c r="A107" s="293" t="str">
        <f t="shared" si="6"/>
        <v>NL</v>
      </c>
      <c r="B107" s="477">
        <f t="shared" si="5"/>
        <v>90</v>
      </c>
      <c r="C107" s="846" t="s">
        <v>1259</v>
      </c>
      <c r="D107" s="296" t="s">
        <v>1170</v>
      </c>
      <c r="E107" s="25">
        <v>100</v>
      </c>
      <c r="F107" s="25">
        <v>2321000</v>
      </c>
      <c r="G107" s="25">
        <f t="array" ref="G107">SUM(IF("1521"&amp;C107=KHN&amp;MH,SL))</f>
        <v>0</v>
      </c>
      <c r="H107" s="25">
        <f t="array" ref="H107">SUM(IF("1521"&amp;C107=KHN&amp;MH,TH))</f>
        <v>0</v>
      </c>
      <c r="I107" s="25">
        <f t="array" ref="I107">SUM(IF("1521"&amp;C107=KHC&amp;MH,SL))</f>
        <v>0</v>
      </c>
      <c r="J107" s="25">
        <f t="array" ref="J107">SUM(IF("1521"&amp;C107=KHC&amp;MH,TH))</f>
        <v>0</v>
      </c>
      <c r="K107" s="25">
        <f t="shared" si="7"/>
        <v>100</v>
      </c>
      <c r="L107" s="25">
        <f t="shared" si="8"/>
        <v>2321000</v>
      </c>
      <c r="M107" s="293"/>
    </row>
    <row r="108" spans="1:13" ht="18.75" customHeight="1">
      <c r="A108" s="293" t="str">
        <f t="shared" si="6"/>
        <v>NL</v>
      </c>
      <c r="B108" s="477">
        <f t="shared" si="5"/>
        <v>91</v>
      </c>
      <c r="C108" s="846" t="s">
        <v>1260</v>
      </c>
      <c r="D108" s="296" t="s">
        <v>1170</v>
      </c>
      <c r="E108" s="25">
        <v>100</v>
      </c>
      <c r="F108" s="25">
        <v>2184800</v>
      </c>
      <c r="G108" s="25">
        <f t="array" ref="G108">SUM(IF("1521"&amp;C108=KHN&amp;MH,SL))</f>
        <v>0</v>
      </c>
      <c r="H108" s="25">
        <f t="array" ref="H108">SUM(IF("1521"&amp;C108=KHN&amp;MH,TH))</f>
        <v>0</v>
      </c>
      <c r="I108" s="25">
        <f t="array" ref="I108">SUM(IF("1521"&amp;C108=KHC&amp;MH,SL))</f>
        <v>0</v>
      </c>
      <c r="J108" s="25">
        <f t="array" ref="J108">SUM(IF("1521"&amp;C108=KHC&amp;MH,TH))</f>
        <v>0</v>
      </c>
      <c r="K108" s="25">
        <f t="shared" si="7"/>
        <v>100</v>
      </c>
      <c r="L108" s="25">
        <f t="shared" si="8"/>
        <v>2184800</v>
      </c>
      <c r="M108" s="293"/>
    </row>
    <row r="109" spans="1:13" ht="18.75" customHeight="1">
      <c r="A109" s="293" t="str">
        <f t="shared" si="6"/>
        <v>NL</v>
      </c>
      <c r="B109" s="477">
        <f t="shared" si="5"/>
        <v>92</v>
      </c>
      <c r="C109" s="846" t="s">
        <v>1261</v>
      </c>
      <c r="D109" s="296" t="s">
        <v>1170</v>
      </c>
      <c r="E109" s="25">
        <v>76</v>
      </c>
      <c r="F109" s="25">
        <v>2203012</v>
      </c>
      <c r="G109" s="25">
        <f t="array" ref="G109">SUM(IF("1521"&amp;C109=KHN&amp;MH,SL))</f>
        <v>0</v>
      </c>
      <c r="H109" s="25">
        <f t="array" ref="H109">SUM(IF("1521"&amp;C109=KHN&amp;MH,TH))</f>
        <v>0</v>
      </c>
      <c r="I109" s="25">
        <f t="array" ref="I109">SUM(IF("1521"&amp;C109=KHC&amp;MH,SL))</f>
        <v>0</v>
      </c>
      <c r="J109" s="25">
        <f t="array" ref="J109">SUM(IF("1521"&amp;C109=KHC&amp;MH,TH))</f>
        <v>0</v>
      </c>
      <c r="K109" s="25">
        <f t="shared" si="7"/>
        <v>76</v>
      </c>
      <c r="L109" s="25">
        <f t="shared" si="8"/>
        <v>2203012</v>
      </c>
      <c r="M109" s="293"/>
    </row>
    <row r="110" spans="1:13" ht="18.75" customHeight="1">
      <c r="A110" s="293" t="str">
        <f t="shared" si="6"/>
        <v>NL</v>
      </c>
      <c r="B110" s="477">
        <f t="shared" si="5"/>
        <v>93</v>
      </c>
      <c r="C110" s="846" t="s">
        <v>1262</v>
      </c>
      <c r="D110" s="296" t="s">
        <v>1170</v>
      </c>
      <c r="E110" s="25">
        <v>250</v>
      </c>
      <c r="F110" s="25">
        <v>5721750</v>
      </c>
      <c r="G110" s="25">
        <f t="array" ref="G110">SUM(IF("1521"&amp;C110=KHN&amp;MH,SL))</f>
        <v>0</v>
      </c>
      <c r="H110" s="25">
        <f t="array" ref="H110">SUM(IF("1521"&amp;C110=KHN&amp;MH,TH))</f>
        <v>0</v>
      </c>
      <c r="I110" s="25">
        <f t="array" ref="I110">SUM(IF("1521"&amp;C110=KHC&amp;MH,SL))</f>
        <v>0</v>
      </c>
      <c r="J110" s="25">
        <f t="array" ref="J110">SUM(IF("1521"&amp;C110=KHC&amp;MH,TH))</f>
        <v>0</v>
      </c>
      <c r="K110" s="25">
        <f t="shared" si="7"/>
        <v>250</v>
      </c>
      <c r="L110" s="25">
        <f t="shared" si="8"/>
        <v>5721750</v>
      </c>
      <c r="M110" s="293"/>
    </row>
    <row r="111" spans="1:13" ht="18.75" customHeight="1">
      <c r="A111" s="293" t="str">
        <f t="shared" si="6"/>
        <v>NL</v>
      </c>
      <c r="B111" s="477">
        <f t="shared" si="5"/>
        <v>94</v>
      </c>
      <c r="C111" s="846" t="s">
        <v>1263</v>
      </c>
      <c r="D111" s="296" t="s">
        <v>1170</v>
      </c>
      <c r="E111" s="25">
        <v>100</v>
      </c>
      <c r="F111" s="25">
        <v>1698500</v>
      </c>
      <c r="G111" s="25">
        <f t="array" ref="G111">SUM(IF("1521"&amp;C111=KHN&amp;MH,SL))</f>
        <v>0</v>
      </c>
      <c r="H111" s="25">
        <f t="array" ref="H111">SUM(IF("1521"&amp;C111=KHN&amp;MH,TH))</f>
        <v>0</v>
      </c>
      <c r="I111" s="25">
        <f t="array" ref="I111">SUM(IF("1521"&amp;C111=KHC&amp;MH,SL))</f>
        <v>0</v>
      </c>
      <c r="J111" s="25">
        <f t="array" ref="J111">SUM(IF("1521"&amp;C111=KHC&amp;MH,TH))</f>
        <v>0</v>
      </c>
      <c r="K111" s="25">
        <f t="shared" si="7"/>
        <v>100</v>
      </c>
      <c r="L111" s="25">
        <f t="shared" si="8"/>
        <v>1698500</v>
      </c>
      <c r="M111" s="293"/>
    </row>
    <row r="112" spans="1:13" ht="18.75" customHeight="1">
      <c r="A112" s="293" t="str">
        <f t="shared" si="6"/>
        <v>NL</v>
      </c>
      <c r="B112" s="477">
        <f t="shared" si="5"/>
        <v>95</v>
      </c>
      <c r="C112" s="846" t="s">
        <v>1264</v>
      </c>
      <c r="D112" s="296" t="s">
        <v>1170</v>
      </c>
      <c r="E112" s="25">
        <v>104</v>
      </c>
      <c r="F112" s="25">
        <v>2505880</v>
      </c>
      <c r="G112" s="25">
        <f t="array" ref="G112">SUM(IF("1521"&amp;C112=KHN&amp;MH,SL))</f>
        <v>0</v>
      </c>
      <c r="H112" s="25">
        <f t="array" ref="H112">SUM(IF("1521"&amp;C112=KHN&amp;MH,TH))</f>
        <v>0</v>
      </c>
      <c r="I112" s="25">
        <f t="array" ref="I112">SUM(IF("1521"&amp;C112=KHC&amp;MH,SL))</f>
        <v>0</v>
      </c>
      <c r="J112" s="25">
        <f t="array" ref="J112">SUM(IF("1521"&amp;C112=KHC&amp;MH,TH))</f>
        <v>0</v>
      </c>
      <c r="K112" s="25">
        <f t="shared" si="7"/>
        <v>104</v>
      </c>
      <c r="L112" s="25">
        <f t="shared" si="8"/>
        <v>2505880</v>
      </c>
      <c r="M112" s="293"/>
    </row>
    <row r="113" spans="1:13" ht="18.75" customHeight="1">
      <c r="A113" s="293" t="str">
        <f t="shared" si="6"/>
        <v>NL</v>
      </c>
      <c r="B113" s="477">
        <f t="shared" si="5"/>
        <v>96</v>
      </c>
      <c r="C113" s="846" t="s">
        <v>1265</v>
      </c>
      <c r="D113" s="296" t="s">
        <v>1170</v>
      </c>
      <c r="E113" s="25">
        <v>100</v>
      </c>
      <c r="F113" s="25">
        <v>2345500</v>
      </c>
      <c r="G113" s="25">
        <f t="array" ref="G113">SUM(IF("1521"&amp;C113=KHN&amp;MH,SL))</f>
        <v>0</v>
      </c>
      <c r="H113" s="25">
        <f t="array" ref="H113">SUM(IF("1521"&amp;C113=KHN&amp;MH,TH))</f>
        <v>0</v>
      </c>
      <c r="I113" s="25">
        <f t="array" ref="I113">SUM(IF("1521"&amp;C113=KHC&amp;MH,SL))</f>
        <v>0</v>
      </c>
      <c r="J113" s="25">
        <f t="array" ref="J113">SUM(IF("1521"&amp;C113=KHC&amp;MH,TH))</f>
        <v>0</v>
      </c>
      <c r="K113" s="25">
        <f t="shared" si="7"/>
        <v>100</v>
      </c>
      <c r="L113" s="25">
        <f t="shared" si="8"/>
        <v>2345500</v>
      </c>
      <c r="M113" s="293"/>
    </row>
    <row r="114" spans="1:13" ht="18.75" customHeight="1">
      <c r="A114" s="293" t="str">
        <f t="shared" si="6"/>
        <v>NL</v>
      </c>
      <c r="B114" s="477">
        <f t="shared" si="5"/>
        <v>97</v>
      </c>
      <c r="C114" s="846" t="s">
        <v>1266</v>
      </c>
      <c r="D114" s="296" t="s">
        <v>1170</v>
      </c>
      <c r="E114" s="25">
        <v>200</v>
      </c>
      <c r="F114" s="25">
        <v>4708600</v>
      </c>
      <c r="G114" s="25">
        <f t="array" ref="G114">SUM(IF("1521"&amp;C114=KHN&amp;MH,SL))</f>
        <v>0</v>
      </c>
      <c r="H114" s="25">
        <f t="array" ref="H114">SUM(IF("1521"&amp;C114=KHN&amp;MH,TH))</f>
        <v>0</v>
      </c>
      <c r="I114" s="25">
        <f t="array" ref="I114">SUM(IF("1521"&amp;C114=KHC&amp;MH,SL))</f>
        <v>0</v>
      </c>
      <c r="J114" s="25">
        <f t="array" ref="J114">SUM(IF("1521"&amp;C114=KHC&amp;MH,TH))</f>
        <v>0</v>
      </c>
      <c r="K114" s="25">
        <f t="shared" si="7"/>
        <v>200</v>
      </c>
      <c r="L114" s="25">
        <f t="shared" si="8"/>
        <v>4708600</v>
      </c>
      <c r="M114" s="293"/>
    </row>
    <row r="115" spans="1:13" ht="18.75" customHeight="1">
      <c r="A115" s="293" t="str">
        <f t="shared" si="6"/>
        <v>NL</v>
      </c>
      <c r="B115" s="477">
        <f t="shared" si="5"/>
        <v>98</v>
      </c>
      <c r="C115" s="846" t="s">
        <v>1267</v>
      </c>
      <c r="D115" s="296" t="s">
        <v>1170</v>
      </c>
      <c r="E115" s="25">
        <v>50</v>
      </c>
      <c r="F115" s="25">
        <v>1999750</v>
      </c>
      <c r="G115" s="25">
        <f t="array" ref="G115">SUM(IF("1521"&amp;C115=KHN&amp;MH,SL))</f>
        <v>0</v>
      </c>
      <c r="H115" s="25">
        <f t="array" ref="H115">SUM(IF("1521"&amp;C115=KHN&amp;MH,TH))</f>
        <v>0</v>
      </c>
      <c r="I115" s="25">
        <f t="array" ref="I115">SUM(IF("1521"&amp;C115=KHC&amp;MH,SL))</f>
        <v>0</v>
      </c>
      <c r="J115" s="25">
        <f t="array" ref="J115">SUM(IF("1521"&amp;C115=KHC&amp;MH,TH))</f>
        <v>0</v>
      </c>
      <c r="K115" s="25">
        <f t="shared" si="7"/>
        <v>50</v>
      </c>
      <c r="L115" s="25">
        <f t="shared" si="8"/>
        <v>1999750</v>
      </c>
      <c r="M115" s="293"/>
    </row>
    <row r="116" spans="1:13" ht="18.75" customHeight="1">
      <c r="A116" s="293" t="str">
        <f t="shared" si="6"/>
        <v>NL</v>
      </c>
      <c r="B116" s="477">
        <f t="shared" si="5"/>
        <v>99</v>
      </c>
      <c r="C116" s="846" t="s">
        <v>1268</v>
      </c>
      <c r="D116" s="296" t="s">
        <v>1170</v>
      </c>
      <c r="E116" s="25">
        <v>240</v>
      </c>
      <c r="F116" s="25">
        <v>5061360</v>
      </c>
      <c r="G116" s="25">
        <f t="array" ref="G116">SUM(IF("1521"&amp;C116=KHN&amp;MH,SL))</f>
        <v>0</v>
      </c>
      <c r="H116" s="25">
        <f t="array" ref="H116">SUM(IF("1521"&amp;C116=KHN&amp;MH,TH))</f>
        <v>0</v>
      </c>
      <c r="I116" s="25">
        <f t="array" ref="I116">SUM(IF("1521"&amp;C116=KHC&amp;MH,SL))</f>
        <v>0</v>
      </c>
      <c r="J116" s="25">
        <f t="array" ref="J116">SUM(IF("1521"&amp;C116=KHC&amp;MH,TH))</f>
        <v>0</v>
      </c>
      <c r="K116" s="25">
        <f t="shared" si="7"/>
        <v>240</v>
      </c>
      <c r="L116" s="25">
        <f t="shared" si="8"/>
        <v>5061360</v>
      </c>
      <c r="M116" s="293"/>
    </row>
    <row r="117" spans="1:13" ht="18.75" customHeight="1">
      <c r="A117" s="293" t="str">
        <f t="shared" si="6"/>
        <v>NL</v>
      </c>
      <c r="B117" s="477">
        <f t="shared" si="5"/>
        <v>100</v>
      </c>
      <c r="C117" s="846" t="s">
        <v>1269</v>
      </c>
      <c r="D117" s="296" t="s">
        <v>1170</v>
      </c>
      <c r="E117" s="25">
        <v>100</v>
      </c>
      <c r="F117" s="25">
        <v>2492200</v>
      </c>
      <c r="G117" s="25">
        <f t="array" ref="G117">SUM(IF("1521"&amp;C117=KHN&amp;MH,SL))</f>
        <v>0</v>
      </c>
      <c r="H117" s="25">
        <f t="array" ref="H117">SUM(IF("1521"&amp;C117=KHN&amp;MH,TH))</f>
        <v>0</v>
      </c>
      <c r="I117" s="25">
        <f t="array" ref="I117">SUM(IF("1521"&amp;C117=KHC&amp;MH,SL))</f>
        <v>0</v>
      </c>
      <c r="J117" s="25">
        <f t="array" ref="J117">SUM(IF("1521"&amp;C117=KHC&amp;MH,TH))</f>
        <v>0</v>
      </c>
      <c r="K117" s="25">
        <f t="shared" si="7"/>
        <v>100</v>
      </c>
      <c r="L117" s="25">
        <f t="shared" si="8"/>
        <v>2492200</v>
      </c>
      <c r="M117" s="293"/>
    </row>
    <row r="118" spans="1:13" ht="18.75" customHeight="1">
      <c r="A118" s="293" t="str">
        <f t="shared" si="6"/>
        <v>NL</v>
      </c>
      <c r="B118" s="477">
        <f t="shared" si="5"/>
        <v>101</v>
      </c>
      <c r="C118" s="846" t="s">
        <v>1270</v>
      </c>
      <c r="D118" s="296" t="s">
        <v>1170</v>
      </c>
      <c r="E118" s="25">
        <v>150</v>
      </c>
      <c r="F118" s="25">
        <v>3116400</v>
      </c>
      <c r="G118" s="25">
        <f t="array" ref="G118">SUM(IF("1521"&amp;C118=KHN&amp;MH,SL))</f>
        <v>0</v>
      </c>
      <c r="H118" s="25">
        <f t="array" ref="H118">SUM(IF("1521"&amp;C118=KHN&amp;MH,TH))</f>
        <v>0</v>
      </c>
      <c r="I118" s="25">
        <f t="array" ref="I118">SUM(IF("1521"&amp;C118=KHC&amp;MH,SL))</f>
        <v>0</v>
      </c>
      <c r="J118" s="25">
        <f t="array" ref="J118">SUM(IF("1521"&amp;C118=KHC&amp;MH,TH))</f>
        <v>0</v>
      </c>
      <c r="K118" s="25">
        <f t="shared" si="7"/>
        <v>150</v>
      </c>
      <c r="L118" s="25">
        <f t="shared" si="8"/>
        <v>3116400</v>
      </c>
      <c r="M118" s="293"/>
    </row>
    <row r="119" spans="1:13" ht="18.75" customHeight="1">
      <c r="A119" s="293" t="str">
        <f t="shared" si="6"/>
        <v>NL</v>
      </c>
      <c r="B119" s="477">
        <f t="shared" si="5"/>
        <v>102</v>
      </c>
      <c r="C119" s="846" t="s">
        <v>1271</v>
      </c>
      <c r="D119" s="296" t="s">
        <v>1170</v>
      </c>
      <c r="E119" s="25">
        <v>205</v>
      </c>
      <c r="F119" s="25">
        <v>4329395</v>
      </c>
      <c r="G119" s="25">
        <f t="array" ref="G119">SUM(IF("1521"&amp;C119=KHN&amp;MH,SL))</f>
        <v>0</v>
      </c>
      <c r="H119" s="25">
        <f t="array" ref="H119">SUM(IF("1521"&amp;C119=KHN&amp;MH,TH))</f>
        <v>0</v>
      </c>
      <c r="I119" s="25">
        <f t="array" ref="I119">SUM(IF("1521"&amp;C119=KHC&amp;MH,SL))</f>
        <v>0</v>
      </c>
      <c r="J119" s="25">
        <f t="array" ref="J119">SUM(IF("1521"&amp;C119=KHC&amp;MH,TH))</f>
        <v>0</v>
      </c>
      <c r="K119" s="25">
        <f t="shared" si="7"/>
        <v>205</v>
      </c>
      <c r="L119" s="25">
        <f t="shared" si="8"/>
        <v>4329395</v>
      </c>
      <c r="M119" s="293"/>
    </row>
    <row r="120" spans="1:13" ht="18.75" customHeight="1">
      <c r="A120" s="293" t="str">
        <f t="shared" si="6"/>
        <v>NL</v>
      </c>
      <c r="B120" s="477">
        <f t="shared" si="5"/>
        <v>103</v>
      </c>
      <c r="C120" s="846" t="s">
        <v>1272</v>
      </c>
      <c r="D120" s="296" t="s">
        <v>1170</v>
      </c>
      <c r="E120" s="25">
        <v>215</v>
      </c>
      <c r="F120" s="25">
        <v>4807615</v>
      </c>
      <c r="G120" s="25">
        <f t="array" ref="G120">SUM(IF("1521"&amp;C120=KHN&amp;MH,SL))</f>
        <v>0</v>
      </c>
      <c r="H120" s="25">
        <f t="array" ref="H120">SUM(IF("1521"&amp;C120=KHN&amp;MH,TH))</f>
        <v>0</v>
      </c>
      <c r="I120" s="25">
        <f t="array" ref="I120">SUM(IF("1521"&amp;C120=KHC&amp;MH,SL))</f>
        <v>0</v>
      </c>
      <c r="J120" s="25">
        <f t="array" ref="J120">SUM(IF("1521"&amp;C120=KHC&amp;MH,TH))</f>
        <v>0</v>
      </c>
      <c r="K120" s="25">
        <f t="shared" si="7"/>
        <v>215</v>
      </c>
      <c r="L120" s="25">
        <f t="shared" si="8"/>
        <v>4807615</v>
      </c>
      <c r="M120" s="293"/>
    </row>
    <row r="121" spans="1:13" ht="18.75" customHeight="1">
      <c r="A121" s="293" t="str">
        <f t="shared" si="6"/>
        <v>NL</v>
      </c>
      <c r="B121" s="477">
        <f t="shared" si="5"/>
        <v>104</v>
      </c>
      <c r="C121" s="846" t="s">
        <v>1273</v>
      </c>
      <c r="D121" s="296" t="s">
        <v>1170</v>
      </c>
      <c r="E121" s="25">
        <v>104</v>
      </c>
      <c r="F121" s="25">
        <v>2376712</v>
      </c>
      <c r="G121" s="25">
        <f t="array" ref="G121">SUM(IF("1521"&amp;C121=KHN&amp;MH,SL))</f>
        <v>0</v>
      </c>
      <c r="H121" s="25">
        <f t="array" ref="H121">SUM(IF("1521"&amp;C121=KHN&amp;MH,TH))</f>
        <v>0</v>
      </c>
      <c r="I121" s="25">
        <f t="array" ref="I121">SUM(IF("1521"&amp;C121=KHC&amp;MH,SL))</f>
        <v>0</v>
      </c>
      <c r="J121" s="25">
        <f t="array" ref="J121">SUM(IF("1521"&amp;C121=KHC&amp;MH,TH))</f>
        <v>0</v>
      </c>
      <c r="K121" s="25">
        <f t="shared" si="7"/>
        <v>104</v>
      </c>
      <c r="L121" s="25">
        <f t="shared" si="8"/>
        <v>2376712</v>
      </c>
      <c r="M121" s="293"/>
    </row>
    <row r="122" spans="1:13" ht="18.75" customHeight="1">
      <c r="A122" s="293" t="str">
        <f t="shared" si="6"/>
        <v>NL</v>
      </c>
      <c r="B122" s="477">
        <f t="shared" si="5"/>
        <v>105</v>
      </c>
      <c r="C122" s="846" t="s">
        <v>1274</v>
      </c>
      <c r="D122" s="296" t="s">
        <v>1170</v>
      </c>
      <c r="E122" s="25">
        <v>100</v>
      </c>
      <c r="F122" s="25">
        <v>578300</v>
      </c>
      <c r="G122" s="25">
        <f t="array" ref="G122">SUM(IF("1521"&amp;C122=KHN&amp;MH,SL))</f>
        <v>0</v>
      </c>
      <c r="H122" s="25">
        <f t="array" ref="H122">SUM(IF("1521"&amp;C122=KHN&amp;MH,TH))</f>
        <v>0</v>
      </c>
      <c r="I122" s="25">
        <f t="array" ref="I122">SUM(IF("1521"&amp;C122=KHC&amp;MH,SL))</f>
        <v>0</v>
      </c>
      <c r="J122" s="25">
        <f t="array" ref="J122">SUM(IF("1521"&amp;C122=KHC&amp;MH,TH))</f>
        <v>0</v>
      </c>
      <c r="K122" s="25">
        <f t="shared" si="7"/>
        <v>100</v>
      </c>
      <c r="L122" s="25">
        <f t="shared" si="8"/>
        <v>578300</v>
      </c>
      <c r="M122" s="293"/>
    </row>
    <row r="123" spans="1:13" ht="18.75" customHeight="1">
      <c r="A123" s="293" t="str">
        <f t="shared" si="6"/>
        <v>NL</v>
      </c>
      <c r="B123" s="477">
        <f t="shared" si="5"/>
        <v>106</v>
      </c>
      <c r="C123" s="846" t="s">
        <v>1275</v>
      </c>
      <c r="D123" s="296" t="s">
        <v>1170</v>
      </c>
      <c r="E123" s="25">
        <v>150</v>
      </c>
      <c r="F123" s="25">
        <v>1428480</v>
      </c>
      <c r="G123" s="25">
        <f t="array" ref="G123">SUM(IF("1521"&amp;C123=KHN&amp;MH,SL))</f>
        <v>0</v>
      </c>
      <c r="H123" s="25">
        <f t="array" ref="H123">SUM(IF("1521"&amp;C123=KHN&amp;MH,TH))</f>
        <v>0</v>
      </c>
      <c r="I123" s="25">
        <f t="array" ref="I123">SUM(IF("1521"&amp;C123=KHC&amp;MH,SL))</f>
        <v>0</v>
      </c>
      <c r="J123" s="25">
        <f t="array" ref="J123">SUM(IF("1521"&amp;C123=KHC&amp;MH,TH))</f>
        <v>0</v>
      </c>
      <c r="K123" s="25">
        <f t="shared" si="7"/>
        <v>150</v>
      </c>
      <c r="L123" s="25">
        <f t="shared" si="8"/>
        <v>1428480</v>
      </c>
      <c r="M123" s="293"/>
    </row>
    <row r="124" spans="1:13" ht="18.75" customHeight="1">
      <c r="A124" s="293" t="str">
        <f t="shared" si="6"/>
        <v>NL</v>
      </c>
      <c r="B124" s="477">
        <f t="shared" si="5"/>
        <v>107</v>
      </c>
      <c r="C124" s="846" t="s">
        <v>1276</v>
      </c>
      <c r="D124" s="296" t="s">
        <v>1170</v>
      </c>
      <c r="E124" s="25">
        <v>200</v>
      </c>
      <c r="F124" s="25">
        <v>2211840</v>
      </c>
      <c r="G124" s="25">
        <f t="array" ref="G124">SUM(IF("1521"&amp;C124=KHN&amp;MH,SL))</f>
        <v>0</v>
      </c>
      <c r="H124" s="25">
        <f t="array" ref="H124">SUM(IF("1521"&amp;C124=KHN&amp;MH,TH))</f>
        <v>0</v>
      </c>
      <c r="I124" s="25">
        <f t="array" ref="I124">SUM(IF("1521"&amp;C124=KHC&amp;MH,SL))</f>
        <v>0</v>
      </c>
      <c r="J124" s="25">
        <f t="array" ref="J124">SUM(IF("1521"&amp;C124=KHC&amp;MH,TH))</f>
        <v>0</v>
      </c>
      <c r="K124" s="25">
        <f t="shared" si="7"/>
        <v>200</v>
      </c>
      <c r="L124" s="25">
        <f t="shared" si="8"/>
        <v>2211840</v>
      </c>
      <c r="M124" s="293"/>
    </row>
    <row r="125" spans="1:13" ht="18.75" customHeight="1">
      <c r="A125" s="293" t="str">
        <f t="shared" si="6"/>
        <v>NL</v>
      </c>
      <c r="B125" s="477">
        <f t="shared" si="5"/>
        <v>108</v>
      </c>
      <c r="C125" s="846" t="s">
        <v>1277</v>
      </c>
      <c r="D125" s="296" t="s">
        <v>1170</v>
      </c>
      <c r="E125" s="25">
        <v>630</v>
      </c>
      <c r="F125" s="25">
        <v>6746040</v>
      </c>
      <c r="G125" s="25">
        <f t="array" ref="G125">SUM(IF("1521"&amp;C125=KHN&amp;MH,SL))</f>
        <v>0</v>
      </c>
      <c r="H125" s="25">
        <f t="array" ref="H125">SUM(IF("1521"&amp;C125=KHN&amp;MH,TH))</f>
        <v>0</v>
      </c>
      <c r="I125" s="25">
        <f t="array" ref="I125">SUM(IF("1521"&amp;C125=KHC&amp;MH,SL))</f>
        <v>0</v>
      </c>
      <c r="J125" s="25">
        <f t="array" ref="J125">SUM(IF("1521"&amp;C125=KHC&amp;MH,TH))</f>
        <v>0</v>
      </c>
      <c r="K125" s="25">
        <f t="shared" si="7"/>
        <v>630</v>
      </c>
      <c r="L125" s="25">
        <f t="shared" si="8"/>
        <v>6746040</v>
      </c>
      <c r="M125" s="293"/>
    </row>
    <row r="126" spans="1:13" ht="18.75" customHeight="1">
      <c r="A126" s="293" t="str">
        <f t="shared" si="6"/>
        <v>NL</v>
      </c>
      <c r="B126" s="477">
        <f t="shared" si="5"/>
        <v>109</v>
      </c>
      <c r="C126" s="846" t="s">
        <v>1278</v>
      </c>
      <c r="D126" s="296" t="s">
        <v>1170</v>
      </c>
      <c r="E126" s="25">
        <v>200</v>
      </c>
      <c r="F126" s="25">
        <v>2036000</v>
      </c>
      <c r="G126" s="25">
        <f t="array" ref="G126">SUM(IF("1521"&amp;C126=KHN&amp;MH,SL))</f>
        <v>0</v>
      </c>
      <c r="H126" s="25">
        <f t="array" ref="H126">SUM(IF("1521"&amp;C126=KHN&amp;MH,TH))</f>
        <v>0</v>
      </c>
      <c r="I126" s="25">
        <f t="array" ref="I126">SUM(IF("1521"&amp;C126=KHC&amp;MH,SL))</f>
        <v>0</v>
      </c>
      <c r="J126" s="25">
        <f t="array" ref="J126">SUM(IF("1521"&amp;C126=KHC&amp;MH,TH))</f>
        <v>0</v>
      </c>
      <c r="K126" s="25">
        <f t="shared" si="7"/>
        <v>200</v>
      </c>
      <c r="L126" s="25">
        <f t="shared" si="8"/>
        <v>2036000</v>
      </c>
      <c r="M126" s="293"/>
    </row>
    <row r="127" spans="1:13" ht="18.75" customHeight="1">
      <c r="A127" s="293" t="str">
        <f t="shared" si="6"/>
        <v>NL</v>
      </c>
      <c r="B127" s="477">
        <f t="shared" si="5"/>
        <v>110</v>
      </c>
      <c r="C127" s="846" t="s">
        <v>1279</v>
      </c>
      <c r="D127" s="296" t="s">
        <v>1170</v>
      </c>
      <c r="E127" s="25">
        <v>250</v>
      </c>
      <c r="F127" s="25">
        <v>2419000</v>
      </c>
      <c r="G127" s="25">
        <f t="array" ref="G127">SUM(IF("1521"&amp;C127=KHN&amp;MH,SL))</f>
        <v>0</v>
      </c>
      <c r="H127" s="25">
        <f t="array" ref="H127">SUM(IF("1521"&amp;C127=KHN&amp;MH,TH))</f>
        <v>0</v>
      </c>
      <c r="I127" s="25">
        <f t="array" ref="I127">SUM(IF("1521"&amp;C127=KHC&amp;MH,SL))</f>
        <v>0</v>
      </c>
      <c r="J127" s="25">
        <f t="array" ref="J127">SUM(IF("1521"&amp;C127=KHC&amp;MH,TH))</f>
        <v>0</v>
      </c>
      <c r="K127" s="25">
        <f t="shared" si="7"/>
        <v>250</v>
      </c>
      <c r="L127" s="25">
        <f t="shared" si="8"/>
        <v>2419000</v>
      </c>
      <c r="M127" s="293"/>
    </row>
    <row r="128" spans="1:13" ht="18.75" customHeight="1">
      <c r="A128" s="293" t="str">
        <f t="shared" si="6"/>
        <v>NL</v>
      </c>
      <c r="B128" s="477">
        <f t="shared" si="5"/>
        <v>111</v>
      </c>
      <c r="C128" s="846" t="s">
        <v>1280</v>
      </c>
      <c r="D128" s="296" t="s">
        <v>1170</v>
      </c>
      <c r="E128" s="25">
        <v>130</v>
      </c>
      <c r="F128" s="25">
        <v>1739530</v>
      </c>
      <c r="G128" s="25">
        <f t="array" ref="G128">SUM(IF("1521"&amp;C128=KHN&amp;MH,SL))</f>
        <v>0</v>
      </c>
      <c r="H128" s="25">
        <f t="array" ref="H128">SUM(IF("1521"&amp;C128=KHN&amp;MH,TH))</f>
        <v>0</v>
      </c>
      <c r="I128" s="25">
        <f t="array" ref="I128">SUM(IF("1521"&amp;C128=KHC&amp;MH,SL))</f>
        <v>0</v>
      </c>
      <c r="J128" s="25">
        <f t="array" ref="J128">SUM(IF("1521"&amp;C128=KHC&amp;MH,TH))</f>
        <v>0</v>
      </c>
      <c r="K128" s="25">
        <f t="shared" si="7"/>
        <v>130</v>
      </c>
      <c r="L128" s="25">
        <f t="shared" si="8"/>
        <v>1739530</v>
      </c>
      <c r="M128" s="293"/>
    </row>
    <row r="129" spans="1:13" ht="18.75" customHeight="1">
      <c r="A129" s="293" t="str">
        <f t="shared" si="6"/>
        <v>NL</v>
      </c>
      <c r="B129" s="477">
        <f t="shared" si="5"/>
        <v>112</v>
      </c>
      <c r="C129" s="846" t="s">
        <v>1281</v>
      </c>
      <c r="D129" s="296" t="s">
        <v>1170</v>
      </c>
      <c r="E129" s="25">
        <v>120</v>
      </c>
      <c r="F129" s="25">
        <v>1687320</v>
      </c>
      <c r="G129" s="25">
        <f t="array" ref="G129">SUM(IF("1521"&amp;C129=KHN&amp;MH,SL))</f>
        <v>0</v>
      </c>
      <c r="H129" s="25">
        <f t="array" ref="H129">SUM(IF("1521"&amp;C129=KHN&amp;MH,TH))</f>
        <v>0</v>
      </c>
      <c r="I129" s="25">
        <f t="array" ref="I129">SUM(IF("1521"&amp;C129=KHC&amp;MH,SL))</f>
        <v>0</v>
      </c>
      <c r="J129" s="25">
        <f t="array" ref="J129">SUM(IF("1521"&amp;C129=KHC&amp;MH,TH))</f>
        <v>0</v>
      </c>
      <c r="K129" s="25">
        <f t="shared" si="7"/>
        <v>120</v>
      </c>
      <c r="L129" s="25">
        <f t="shared" si="8"/>
        <v>1687320</v>
      </c>
      <c r="M129" s="293"/>
    </row>
    <row r="130" spans="1:13" ht="18.75" customHeight="1">
      <c r="A130" s="293" t="str">
        <f t="shared" si="6"/>
        <v>NL</v>
      </c>
      <c r="B130" s="477">
        <f t="shared" si="5"/>
        <v>113</v>
      </c>
      <c r="C130" s="846" t="s">
        <v>1282</v>
      </c>
      <c r="D130" s="296" t="s">
        <v>1170</v>
      </c>
      <c r="E130" s="25">
        <v>500</v>
      </c>
      <c r="F130" s="25">
        <v>5431500</v>
      </c>
      <c r="G130" s="25">
        <f t="array" ref="G130">SUM(IF("1521"&amp;C130=KHN&amp;MH,SL))</f>
        <v>0</v>
      </c>
      <c r="H130" s="25">
        <f t="array" ref="H130">SUM(IF("1521"&amp;C130=KHN&amp;MH,TH))</f>
        <v>0</v>
      </c>
      <c r="I130" s="25">
        <f t="array" ref="I130">SUM(IF("1521"&amp;C130=KHC&amp;MH,SL))</f>
        <v>0</v>
      </c>
      <c r="J130" s="25">
        <f t="array" ref="J130">SUM(IF("1521"&amp;C130=KHC&amp;MH,TH))</f>
        <v>0</v>
      </c>
      <c r="K130" s="25">
        <f t="shared" si="7"/>
        <v>500</v>
      </c>
      <c r="L130" s="25">
        <f t="shared" si="8"/>
        <v>5431500</v>
      </c>
      <c r="M130" s="293"/>
    </row>
    <row r="131" spans="1:13" ht="18.75" customHeight="1">
      <c r="A131" s="293" t="str">
        <f t="shared" si="6"/>
        <v>NL</v>
      </c>
      <c r="B131" s="477">
        <f t="shared" si="5"/>
        <v>114</v>
      </c>
      <c r="C131" s="846" t="s">
        <v>1283</v>
      </c>
      <c r="D131" s="296" t="s">
        <v>1170</v>
      </c>
      <c r="E131" s="25">
        <v>500</v>
      </c>
      <c r="F131" s="25">
        <v>6562500</v>
      </c>
      <c r="G131" s="25">
        <f t="array" ref="G131">SUM(IF("1521"&amp;C131=KHN&amp;MH,SL))</f>
        <v>0</v>
      </c>
      <c r="H131" s="25">
        <f t="array" ref="H131">SUM(IF("1521"&amp;C131=KHN&amp;MH,TH))</f>
        <v>0</v>
      </c>
      <c r="I131" s="25">
        <f t="array" ref="I131">SUM(IF("1521"&amp;C131=KHC&amp;MH,SL))</f>
        <v>0</v>
      </c>
      <c r="J131" s="25">
        <f t="array" ref="J131">SUM(IF("1521"&amp;C131=KHC&amp;MH,TH))</f>
        <v>0</v>
      </c>
      <c r="K131" s="25">
        <f t="shared" si="7"/>
        <v>500</v>
      </c>
      <c r="L131" s="25">
        <f t="shared" si="8"/>
        <v>6562500</v>
      </c>
      <c r="M131" s="293"/>
    </row>
    <row r="132" spans="1:13" ht="18.75" customHeight="1">
      <c r="A132" s="293" t="str">
        <f t="shared" si="6"/>
        <v>NL</v>
      </c>
      <c r="B132" s="477">
        <f t="shared" si="5"/>
        <v>115</v>
      </c>
      <c r="C132" s="846" t="s">
        <v>1284</v>
      </c>
      <c r="D132" s="296" t="s">
        <v>1170</v>
      </c>
      <c r="E132" s="25">
        <v>1000</v>
      </c>
      <c r="F132" s="25">
        <v>4600000</v>
      </c>
      <c r="G132" s="25">
        <f t="array" ref="G132">SUM(IF("1521"&amp;C132=KHN&amp;MH,SL))</f>
        <v>0</v>
      </c>
      <c r="H132" s="25">
        <f t="array" ref="H132">SUM(IF("1521"&amp;C132=KHN&amp;MH,TH))</f>
        <v>0</v>
      </c>
      <c r="I132" s="25">
        <f t="array" ref="I132">SUM(IF("1521"&amp;C132=KHC&amp;MH,SL))</f>
        <v>0</v>
      </c>
      <c r="J132" s="25">
        <f t="array" ref="J132">SUM(IF("1521"&amp;C132=KHC&amp;MH,TH))</f>
        <v>0</v>
      </c>
      <c r="K132" s="25">
        <f t="shared" si="7"/>
        <v>1000</v>
      </c>
      <c r="L132" s="25">
        <f t="shared" si="8"/>
        <v>4600000</v>
      </c>
      <c r="M132" s="293"/>
    </row>
    <row r="133" spans="1:13" ht="18.75" customHeight="1">
      <c r="A133" s="293" t="str">
        <f t="shared" ref="A133:A183" si="9">IF(B133&lt;&gt;"","NL","")</f>
        <v>NL</v>
      </c>
      <c r="B133" s="477">
        <f t="shared" ref="B133:B183" si="10">IF(C133&lt;&gt;"",ROW()-17,"")</f>
        <v>116</v>
      </c>
      <c r="C133" s="846" t="s">
        <v>696</v>
      </c>
      <c r="D133" s="296" t="s">
        <v>1170</v>
      </c>
      <c r="E133" s="25"/>
      <c r="F133" s="25"/>
      <c r="G133" s="25">
        <f t="array" ref="G133">SUM(IF("1521"&amp;C133=KHN&amp;MH,SL))</f>
        <v>334</v>
      </c>
      <c r="H133" s="25">
        <f t="array" ref="H133">SUM(IF("1521"&amp;C133=KHN&amp;MH,TH))</f>
        <v>2223104</v>
      </c>
      <c r="I133" s="25">
        <f t="array" ref="I133">SUM(IF("1521"&amp;C133=KHC&amp;MH,SL))</f>
        <v>0</v>
      </c>
      <c r="J133" s="25">
        <f t="array" ref="J133">SUM(IF("1521"&amp;C133=KHC&amp;MH,TH))</f>
        <v>0</v>
      </c>
      <c r="K133" s="25">
        <f t="shared" ref="K133:K134" si="11">E133+G133-I133</f>
        <v>334</v>
      </c>
      <c r="L133" s="25">
        <f t="shared" ref="L133:L134" si="12">F133+H133-J133</f>
        <v>2223104</v>
      </c>
      <c r="M133" s="293"/>
    </row>
    <row r="134" spans="1:13" ht="18.75" customHeight="1">
      <c r="A134" s="293" t="str">
        <f t="shared" si="9"/>
        <v>NL</v>
      </c>
      <c r="B134" s="477">
        <f t="shared" si="10"/>
        <v>117</v>
      </c>
      <c r="C134" s="192" t="s">
        <v>713</v>
      </c>
      <c r="D134" s="296" t="s">
        <v>1170</v>
      </c>
      <c r="E134" s="8"/>
      <c r="F134" s="8"/>
      <c r="G134" s="25">
        <f t="array" ref="G134">SUM(IF("1521"&amp;C134=KHN&amp;MH,SL))</f>
        <v>2650</v>
      </c>
      <c r="H134" s="25">
        <f t="array" ref="H134">SUM(IF("1521"&amp;C134=KHN&amp;MH,TH))</f>
        <v>17914000</v>
      </c>
      <c r="I134" s="25">
        <f t="array" ref="I134">SUM(IF("1521"&amp;C134=KHC&amp;MH,SL))</f>
        <v>0</v>
      </c>
      <c r="J134" s="25">
        <f t="array" ref="J134">SUM(IF("1521"&amp;C134=KHC&amp;MH,TH))</f>
        <v>0</v>
      </c>
      <c r="K134" s="25">
        <f t="shared" si="11"/>
        <v>2650</v>
      </c>
      <c r="L134" s="25">
        <f t="shared" si="12"/>
        <v>17914000</v>
      </c>
      <c r="M134" s="293"/>
    </row>
    <row r="135" spans="1:13" ht="18.75" customHeight="1">
      <c r="A135" s="293" t="str">
        <f t="shared" si="9"/>
        <v>NL</v>
      </c>
      <c r="B135" s="477">
        <f t="shared" si="10"/>
        <v>118</v>
      </c>
      <c r="C135" s="192" t="s">
        <v>699</v>
      </c>
      <c r="D135" s="296" t="s">
        <v>1170</v>
      </c>
      <c r="E135" s="8"/>
      <c r="F135" s="8"/>
      <c r="G135" s="25">
        <f t="array" ref="G135">SUM(IF("1521"&amp;C135=KHN&amp;MH,SL))</f>
        <v>300</v>
      </c>
      <c r="H135" s="25">
        <f t="array" ref="H135">SUM(IF("1521"&amp;C135=KHN&amp;MH,TH))</f>
        <v>2827500</v>
      </c>
      <c r="I135" s="25">
        <f t="array" ref="I135">SUM(IF("1521"&amp;C135=KHC&amp;MH,SL))</f>
        <v>0</v>
      </c>
      <c r="J135" s="25">
        <f t="array" ref="J135">SUM(IF("1521"&amp;C135=KHC&amp;MH,TH))</f>
        <v>0</v>
      </c>
      <c r="K135" s="8">
        <f t="shared" si="3"/>
        <v>300</v>
      </c>
      <c r="L135" s="8">
        <f t="shared" si="4"/>
        <v>2827500</v>
      </c>
      <c r="M135" s="293"/>
    </row>
    <row r="136" spans="1:13" ht="18.75" customHeight="1">
      <c r="A136" s="293" t="str">
        <f t="shared" si="9"/>
        <v>NL</v>
      </c>
      <c r="B136" s="477">
        <f t="shared" si="10"/>
        <v>119</v>
      </c>
      <c r="C136" s="192" t="s">
        <v>721</v>
      </c>
      <c r="D136" s="296" t="s">
        <v>1170</v>
      </c>
      <c r="E136" s="8"/>
      <c r="F136" s="8"/>
      <c r="G136" s="25">
        <f t="array" ref="G136">SUM(IF("1521"&amp;C136=KHN&amp;MH,SL))</f>
        <v>1620</v>
      </c>
      <c r="H136" s="25">
        <f t="array" ref="H136">SUM(IF("1521"&amp;C136=KHN&amp;MH,TH))</f>
        <v>18061380</v>
      </c>
      <c r="I136" s="25">
        <f t="array" ref="I136">SUM(IF("1521"&amp;C136=KHC&amp;MH,SL))</f>
        <v>0</v>
      </c>
      <c r="J136" s="25">
        <f t="array" ref="J136">SUM(IF("1521"&amp;C136=KHC&amp;MH,TH))</f>
        <v>0</v>
      </c>
      <c r="K136" s="8">
        <f t="shared" ref="K136:K138" si="13">E136+G136-I136</f>
        <v>1620</v>
      </c>
      <c r="L136" s="8">
        <f t="shared" ref="L136:L138" si="14">F136+H136-J136</f>
        <v>18061380</v>
      </c>
      <c r="M136" s="293"/>
    </row>
    <row r="137" spans="1:13" ht="18" customHeight="1">
      <c r="A137" s="293" t="str">
        <f t="shared" si="9"/>
        <v>NL</v>
      </c>
      <c r="B137" s="477">
        <f t="shared" si="10"/>
        <v>120</v>
      </c>
      <c r="C137" s="192" t="s">
        <v>700</v>
      </c>
      <c r="D137" s="296" t="s">
        <v>1170</v>
      </c>
      <c r="E137" s="8"/>
      <c r="F137" s="8"/>
      <c r="G137" s="25">
        <f t="array" ref="G137">SUM(IF("1521"&amp;C137=KHN&amp;MH,SL))</f>
        <v>334</v>
      </c>
      <c r="H137" s="25">
        <f t="array" ref="H137">SUM(IF("1521"&amp;C137=KHN&amp;MH,TH))</f>
        <v>5665642</v>
      </c>
      <c r="I137" s="25">
        <f t="array" ref="I137">SUM(IF("1521"&amp;C137=KHC&amp;MH,SL))</f>
        <v>0</v>
      </c>
      <c r="J137" s="25">
        <f t="array" ref="J137">SUM(IF("1521"&amp;C137=KHC&amp;MH,TH))</f>
        <v>0</v>
      </c>
      <c r="K137" s="8">
        <f t="shared" si="13"/>
        <v>334</v>
      </c>
      <c r="L137" s="8">
        <f t="shared" si="14"/>
        <v>5665642</v>
      </c>
      <c r="M137" s="293"/>
    </row>
    <row r="138" spans="1:13" ht="18" customHeight="1">
      <c r="A138" s="293" t="str">
        <f t="shared" si="9"/>
        <v>NL</v>
      </c>
      <c r="B138" s="477">
        <f t="shared" si="10"/>
        <v>121</v>
      </c>
      <c r="C138" s="192" t="s">
        <v>718</v>
      </c>
      <c r="D138" s="296" t="s">
        <v>1170</v>
      </c>
      <c r="E138" s="8"/>
      <c r="F138" s="8"/>
      <c r="G138" s="25">
        <f t="array" ref="G138">SUM(IF("1521"&amp;C138=KHN&amp;MH,SL))</f>
        <v>1580</v>
      </c>
      <c r="H138" s="25">
        <f t="array" ref="H138">SUM(IF("1521"&amp;C138=KHN&amp;MH,TH))</f>
        <v>34613760</v>
      </c>
      <c r="I138" s="25">
        <f t="array" ref="I138">SUM(IF("1521"&amp;C138=KHC&amp;MH,SL))</f>
        <v>0</v>
      </c>
      <c r="J138" s="25">
        <f t="array" ref="J138">SUM(IF("1521"&amp;C138=KHC&amp;MH,TH))</f>
        <v>0</v>
      </c>
      <c r="K138" s="8">
        <f t="shared" si="13"/>
        <v>1580</v>
      </c>
      <c r="L138" s="8">
        <f t="shared" si="14"/>
        <v>34613760</v>
      </c>
      <c r="M138" s="293"/>
    </row>
    <row r="139" spans="1:13" ht="18" customHeight="1">
      <c r="A139" s="293" t="str">
        <f t="shared" si="9"/>
        <v>NL</v>
      </c>
      <c r="B139" s="477">
        <f t="shared" si="10"/>
        <v>122</v>
      </c>
      <c r="C139" s="192" t="s">
        <v>715</v>
      </c>
      <c r="D139" s="296" t="s">
        <v>1170</v>
      </c>
      <c r="E139" s="8"/>
      <c r="F139" s="8"/>
      <c r="G139" s="25">
        <f t="array" ref="G139">SUM(IF("1521"&amp;C139=KHN&amp;MH,SL))</f>
        <v>1755</v>
      </c>
      <c r="H139" s="25">
        <f t="array" ref="H139">SUM(IF("1521"&amp;C139=KHN&amp;MH,TH))</f>
        <v>36214860</v>
      </c>
      <c r="I139" s="25">
        <f t="array" ref="I139">SUM(IF("1521"&amp;C139=KHC&amp;MH,SL))</f>
        <v>0</v>
      </c>
      <c r="J139" s="25">
        <f t="array" ref="J139">SUM(IF("1521"&amp;C139=KHC&amp;MH,TH))</f>
        <v>0</v>
      </c>
      <c r="K139" s="8">
        <f t="shared" si="3"/>
        <v>1755</v>
      </c>
      <c r="L139" s="8">
        <f t="shared" si="4"/>
        <v>36214860</v>
      </c>
      <c r="M139" s="293"/>
    </row>
    <row r="140" spans="1:13" ht="18" customHeight="1">
      <c r="A140" s="293" t="str">
        <f t="shared" si="9"/>
        <v>NL</v>
      </c>
      <c r="B140" s="477">
        <f t="shared" si="10"/>
        <v>123</v>
      </c>
      <c r="C140" s="192" t="s">
        <v>704</v>
      </c>
      <c r="D140" s="296" t="s">
        <v>1170</v>
      </c>
      <c r="E140" s="8"/>
      <c r="F140" s="8"/>
      <c r="G140" s="25">
        <f t="array" ref="G140">SUM(IF("1521"&amp;C140=KHN&amp;MH,SL))</f>
        <v>250</v>
      </c>
      <c r="H140" s="25">
        <f t="array" ref="H140">SUM(IF("1521"&amp;C140=KHN&amp;MH,TH))</f>
        <v>3528000</v>
      </c>
      <c r="I140" s="25">
        <f t="array" ref="I140">SUM(IF("1521"&amp;C140=KHC&amp;MH,SL))</f>
        <v>0</v>
      </c>
      <c r="J140" s="25">
        <f t="array" ref="J140">SUM(IF("1521"&amp;C140=KHC&amp;MH,TH))</f>
        <v>0</v>
      </c>
      <c r="K140" s="8">
        <f t="shared" si="3"/>
        <v>250</v>
      </c>
      <c r="L140" s="8">
        <f t="shared" si="4"/>
        <v>3528000</v>
      </c>
      <c r="M140" s="293"/>
    </row>
    <row r="141" spans="1:13" ht="18" customHeight="1">
      <c r="A141" s="293" t="str">
        <f t="shared" si="9"/>
        <v>NL</v>
      </c>
      <c r="B141" s="477">
        <f t="shared" si="10"/>
        <v>124</v>
      </c>
      <c r="C141" s="192" t="s">
        <v>702</v>
      </c>
      <c r="D141" s="296" t="s">
        <v>1170</v>
      </c>
      <c r="E141" s="8"/>
      <c r="F141" s="8"/>
      <c r="G141" s="25">
        <f t="array" ref="G141">SUM(IF("1521"&amp;C141=KHN&amp;MH,SL))</f>
        <v>100</v>
      </c>
      <c r="H141" s="25">
        <f t="array" ref="H141">SUM(IF("1521"&amp;C141=KHN&amp;MH,TH))</f>
        <v>1572400</v>
      </c>
      <c r="I141" s="25">
        <f t="array" ref="I141">SUM(IF("1521"&amp;C141=KHC&amp;MH,SL))</f>
        <v>0</v>
      </c>
      <c r="J141" s="25">
        <f t="array" ref="J141">SUM(IF("1521"&amp;C141=KHC&amp;MH,TH))</f>
        <v>0</v>
      </c>
      <c r="K141" s="8">
        <f t="shared" si="3"/>
        <v>100</v>
      </c>
      <c r="L141" s="8">
        <f t="shared" si="4"/>
        <v>1572400</v>
      </c>
      <c r="M141" s="293"/>
    </row>
    <row r="142" spans="1:13" ht="18" customHeight="1">
      <c r="A142" s="293" t="str">
        <f t="shared" si="9"/>
        <v>NL</v>
      </c>
      <c r="B142" s="477">
        <f t="shared" si="10"/>
        <v>125</v>
      </c>
      <c r="C142" s="192" t="s">
        <v>676</v>
      </c>
      <c r="D142" s="296" t="s">
        <v>1170</v>
      </c>
      <c r="E142" s="8"/>
      <c r="F142" s="8"/>
      <c r="G142" s="25">
        <f t="array" ref="G142">SUM(IF("1521"&amp;C142=KHN&amp;MH,SL))</f>
        <v>650</v>
      </c>
      <c r="H142" s="25">
        <f t="array" ref="H142">SUM(IF("1521"&amp;C142=KHN&amp;MH,TH))</f>
        <v>6225050</v>
      </c>
      <c r="I142" s="25">
        <f t="array" ref="I142">SUM(IF("1521"&amp;C142=KHC&amp;MH,SL))</f>
        <v>0</v>
      </c>
      <c r="J142" s="25">
        <f t="array" ref="J142">SUM(IF("1521"&amp;C142=KHC&amp;MH,TH))</f>
        <v>0</v>
      </c>
      <c r="K142" s="8">
        <f t="shared" si="3"/>
        <v>650</v>
      </c>
      <c r="L142" s="8">
        <f t="shared" si="4"/>
        <v>6225050</v>
      </c>
      <c r="M142" s="293"/>
    </row>
    <row r="143" spans="1:13" ht="18" customHeight="1">
      <c r="A143" s="293" t="str">
        <f t="shared" si="9"/>
        <v>NL</v>
      </c>
      <c r="B143" s="477">
        <f t="shared" si="10"/>
        <v>126</v>
      </c>
      <c r="C143" s="189" t="s">
        <v>683</v>
      </c>
      <c r="D143" s="296" t="s">
        <v>1170</v>
      </c>
      <c r="E143" s="8"/>
      <c r="F143" s="8"/>
      <c r="G143" s="25">
        <f t="array" ref="G143">SUM(IF("1521"&amp;C143=KHN&amp;MH,SL))</f>
        <v>1000</v>
      </c>
      <c r="H143" s="25">
        <f t="array" ref="H143">SUM(IF("1521"&amp;C143=KHN&amp;MH,TH))</f>
        <v>11197000</v>
      </c>
      <c r="I143" s="25">
        <f t="array" ref="I143">SUM(IF("1521"&amp;C143=KHC&amp;MH,SL))</f>
        <v>0</v>
      </c>
      <c r="J143" s="25">
        <f t="array" ref="J143">SUM(IF("1521"&amp;C143=KHC&amp;MH,TH))</f>
        <v>0</v>
      </c>
      <c r="K143" s="8">
        <f t="shared" si="3"/>
        <v>1000</v>
      </c>
      <c r="L143" s="8">
        <f t="shared" si="4"/>
        <v>11197000</v>
      </c>
      <c r="M143" s="293"/>
    </row>
    <row r="144" spans="1:13" ht="18" customHeight="1">
      <c r="A144" s="293" t="str">
        <f t="shared" si="9"/>
        <v>NL</v>
      </c>
      <c r="B144" s="477">
        <f t="shared" si="10"/>
        <v>127</v>
      </c>
      <c r="C144" s="189" t="s">
        <v>685</v>
      </c>
      <c r="D144" s="296" t="s">
        <v>1170</v>
      </c>
      <c r="E144" s="8"/>
      <c r="F144" s="8"/>
      <c r="G144" s="25">
        <f t="array" ref="G144">SUM(IF("1521"&amp;C144=KHN&amp;MH,SL))</f>
        <v>300</v>
      </c>
      <c r="H144" s="25">
        <f t="array" ref="H144">SUM(IF("1521"&amp;C144=KHN&amp;MH,TH))</f>
        <v>4086300</v>
      </c>
      <c r="I144" s="25">
        <f t="array" ref="I144">SUM(IF("1521"&amp;C144=KHC&amp;MH,SL))</f>
        <v>0</v>
      </c>
      <c r="J144" s="25">
        <f t="array" ref="J144">SUM(IF("1521"&amp;C144=KHC&amp;MH,TH))</f>
        <v>0</v>
      </c>
      <c r="K144" s="8">
        <f t="shared" si="3"/>
        <v>300</v>
      </c>
      <c r="L144" s="8">
        <f t="shared" si="4"/>
        <v>4086300</v>
      </c>
      <c r="M144" s="293"/>
    </row>
    <row r="145" spans="1:13" ht="18" customHeight="1">
      <c r="A145" s="293" t="str">
        <f t="shared" si="9"/>
        <v>NL</v>
      </c>
      <c r="B145" s="477">
        <f t="shared" si="10"/>
        <v>128</v>
      </c>
      <c r="C145" s="192" t="s">
        <v>681</v>
      </c>
      <c r="D145" s="296" t="s">
        <v>1170</v>
      </c>
      <c r="E145" s="8"/>
      <c r="F145" s="8"/>
      <c r="G145" s="25">
        <f t="array" ref="G145">SUM(IF("1521"&amp;C145=KHN&amp;MH,SL))</f>
        <v>700</v>
      </c>
      <c r="H145" s="25">
        <f t="array" ref="H145">SUM(IF("1521"&amp;C145=KHN&amp;MH,TH))</f>
        <v>13096300</v>
      </c>
      <c r="I145" s="25">
        <f t="array" ref="I145">SUM(IF("1521"&amp;C145=KHC&amp;MH,SL))</f>
        <v>0</v>
      </c>
      <c r="J145" s="25">
        <f t="array" ref="J145">SUM(IF("1521"&amp;C145=KHC&amp;MH,TH))</f>
        <v>0</v>
      </c>
      <c r="K145" s="8">
        <f t="shared" si="3"/>
        <v>700</v>
      </c>
      <c r="L145" s="8">
        <f t="shared" si="4"/>
        <v>13096300</v>
      </c>
      <c r="M145" s="293"/>
    </row>
    <row r="146" spans="1:13" ht="18" customHeight="1">
      <c r="A146" s="293" t="str">
        <f t="shared" si="9"/>
        <v>NL</v>
      </c>
      <c r="B146" s="477">
        <f t="shared" si="10"/>
        <v>129</v>
      </c>
      <c r="C146" s="192" t="s">
        <v>679</v>
      </c>
      <c r="D146" s="296" t="s">
        <v>1170</v>
      </c>
      <c r="E146" s="8"/>
      <c r="F146" s="8"/>
      <c r="G146" s="25">
        <f t="array" ref="G146">SUM(IF("1521"&amp;C146=KHN&amp;MH,SL))</f>
        <v>2000</v>
      </c>
      <c r="H146" s="25">
        <f t="array" ref="H146">SUM(IF("1521"&amp;C146=KHN&amp;MH,TH))</f>
        <v>23444000</v>
      </c>
      <c r="I146" s="25">
        <f t="array" ref="I146">SUM(IF("1521"&amp;C146=KHC&amp;MH,SL))</f>
        <v>0</v>
      </c>
      <c r="J146" s="25">
        <f t="array" ref="J146">SUM(IF("1521"&amp;C146=KHC&amp;MH,TH))</f>
        <v>0</v>
      </c>
      <c r="K146" s="8">
        <f t="shared" si="3"/>
        <v>2000</v>
      </c>
      <c r="L146" s="8">
        <f t="shared" si="4"/>
        <v>23444000</v>
      </c>
      <c r="M146" s="293"/>
    </row>
    <row r="147" spans="1:13" ht="18" customHeight="1">
      <c r="A147" s="293" t="str">
        <f t="shared" si="9"/>
        <v>NL</v>
      </c>
      <c r="B147" s="477">
        <f t="shared" si="10"/>
        <v>130</v>
      </c>
      <c r="C147" s="192" t="s">
        <v>614</v>
      </c>
      <c r="D147" s="296" t="s">
        <v>1170</v>
      </c>
      <c r="E147" s="8"/>
      <c r="F147" s="8"/>
      <c r="G147" s="25">
        <f t="array" ref="G147">SUM(IF("1521"&amp;C147=KHN&amp;MH,SL))</f>
        <v>130</v>
      </c>
      <c r="H147" s="25">
        <f t="array" ref="H147">SUM(IF("1521"&amp;C147=KHN&amp;MH,TH))</f>
        <v>945620</v>
      </c>
      <c r="I147" s="25">
        <f t="array" ref="I147">SUM(IF("1521"&amp;C147=KHC&amp;MH,SL))</f>
        <v>0</v>
      </c>
      <c r="J147" s="25">
        <f t="array" ref="J147">SUM(IF("1521"&amp;C147=KHC&amp;MH,TH))</f>
        <v>0</v>
      </c>
      <c r="K147" s="8">
        <f t="shared" si="3"/>
        <v>130</v>
      </c>
      <c r="L147" s="8">
        <f t="shared" si="4"/>
        <v>945620</v>
      </c>
      <c r="M147" s="293"/>
    </row>
    <row r="148" spans="1:13" ht="18" customHeight="1">
      <c r="A148" s="293" t="str">
        <f t="shared" si="9"/>
        <v>NL</v>
      </c>
      <c r="B148" s="477">
        <f t="shared" si="10"/>
        <v>131</v>
      </c>
      <c r="C148" s="192" t="s">
        <v>593</v>
      </c>
      <c r="D148" s="296" t="s">
        <v>1170</v>
      </c>
      <c r="E148" s="8"/>
      <c r="F148" s="8"/>
      <c r="G148" s="25">
        <f t="array" ref="G148">SUM(IF("1521"&amp;C148=KHN&amp;MH,SL))</f>
        <v>672</v>
      </c>
      <c r="H148" s="25">
        <f t="array" ref="H148">SUM(IF("1521"&amp;C148=KHN&amp;MH,TH))</f>
        <v>19869696</v>
      </c>
      <c r="I148" s="25">
        <f t="array" ref="I148">SUM(IF("1521"&amp;C148=KHC&amp;MH,SL))</f>
        <v>0</v>
      </c>
      <c r="J148" s="25">
        <f t="array" ref="J148">SUM(IF("1521"&amp;C148=KHC&amp;MH,TH))</f>
        <v>0</v>
      </c>
      <c r="K148" s="8">
        <f t="shared" si="3"/>
        <v>672</v>
      </c>
      <c r="L148" s="8">
        <f t="shared" si="4"/>
        <v>19869696</v>
      </c>
      <c r="M148" s="293"/>
    </row>
    <row r="149" spans="1:13" ht="18" customHeight="1">
      <c r="A149" s="293" t="str">
        <f t="shared" si="9"/>
        <v>NL</v>
      </c>
      <c r="B149" s="477">
        <f t="shared" si="10"/>
        <v>132</v>
      </c>
      <c r="C149" s="189" t="s">
        <v>627</v>
      </c>
      <c r="D149" s="296" t="s">
        <v>1170</v>
      </c>
      <c r="E149" s="8"/>
      <c r="F149" s="8"/>
      <c r="G149" s="25">
        <f t="array" ref="G149">SUM(IF("1521"&amp;C149=KHN&amp;MH,SL))</f>
        <v>251</v>
      </c>
      <c r="H149" s="25">
        <f t="array" ref="H149">SUM(IF("1521"&amp;C149=KHN&amp;MH,TH))</f>
        <v>4898014</v>
      </c>
      <c r="I149" s="25">
        <f t="array" ref="I149">SUM(IF("1521"&amp;C149=KHC&amp;MH,SL))</f>
        <v>0</v>
      </c>
      <c r="J149" s="25">
        <f t="array" ref="J149">SUM(IF("1521"&amp;C149=KHC&amp;MH,TH))</f>
        <v>0</v>
      </c>
      <c r="K149" s="8">
        <f t="shared" si="3"/>
        <v>251</v>
      </c>
      <c r="L149" s="8">
        <f t="shared" si="4"/>
        <v>4898014</v>
      </c>
      <c r="M149" s="293"/>
    </row>
    <row r="150" spans="1:13" ht="18" customHeight="1">
      <c r="A150" s="293" t="str">
        <f t="shared" si="9"/>
        <v>NL</v>
      </c>
      <c r="B150" s="477">
        <f t="shared" si="10"/>
        <v>133</v>
      </c>
      <c r="C150" s="192" t="s">
        <v>629</v>
      </c>
      <c r="D150" s="296" t="s">
        <v>1170</v>
      </c>
      <c r="E150" s="8"/>
      <c r="F150" s="8"/>
      <c r="G150" s="25">
        <f t="array" ref="G150">SUM(IF("1521"&amp;C150=KHN&amp;MH,SL))</f>
        <v>250</v>
      </c>
      <c r="H150" s="25">
        <f t="array" ref="H150">SUM(IF("1521"&amp;C150=KHN&amp;MH,TH))</f>
        <v>7822000</v>
      </c>
      <c r="I150" s="25">
        <f t="array" ref="I150">SUM(IF("1521"&amp;C150=KHC&amp;MH,SL))</f>
        <v>0</v>
      </c>
      <c r="J150" s="25">
        <f t="array" ref="J150">SUM(IF("1521"&amp;C150=KHC&amp;MH,TH))</f>
        <v>0</v>
      </c>
      <c r="K150" s="8">
        <f t="shared" si="3"/>
        <v>250</v>
      </c>
      <c r="L150" s="8">
        <f t="shared" si="4"/>
        <v>7822000</v>
      </c>
      <c r="M150" s="293"/>
    </row>
    <row r="151" spans="1:13" ht="18" customHeight="1">
      <c r="A151" s="293" t="str">
        <f t="shared" si="9"/>
        <v>NL</v>
      </c>
      <c r="B151" s="477">
        <f t="shared" si="10"/>
        <v>134</v>
      </c>
      <c r="C151" s="192" t="s">
        <v>630</v>
      </c>
      <c r="D151" s="296" t="s">
        <v>1170</v>
      </c>
      <c r="E151" s="8"/>
      <c r="F151" s="8"/>
      <c r="G151" s="25">
        <f t="array" ref="G151">SUM(IF("1521"&amp;C151=KHN&amp;MH,SL))</f>
        <v>685</v>
      </c>
      <c r="H151" s="25">
        <f t="array" ref="H151">SUM(IF("1521"&amp;C151=KHN&amp;MH,TH))</f>
        <v>5743725</v>
      </c>
      <c r="I151" s="25">
        <f t="array" ref="I151">SUM(IF("1521"&amp;C151=KHC&amp;MH,SL))</f>
        <v>0</v>
      </c>
      <c r="J151" s="25">
        <f t="array" ref="J151">SUM(IF("1521"&amp;C151=KHC&amp;MH,TH))</f>
        <v>0</v>
      </c>
      <c r="K151" s="8">
        <f t="shared" si="3"/>
        <v>685</v>
      </c>
      <c r="L151" s="8">
        <f t="shared" si="4"/>
        <v>5743725</v>
      </c>
      <c r="M151" s="293"/>
    </row>
    <row r="152" spans="1:13" ht="18" customHeight="1">
      <c r="A152" s="293" t="str">
        <f t="shared" si="9"/>
        <v>NL</v>
      </c>
      <c r="B152" s="477">
        <f t="shared" si="10"/>
        <v>135</v>
      </c>
      <c r="C152" s="192" t="s">
        <v>637</v>
      </c>
      <c r="D152" s="296" t="s">
        <v>1170</v>
      </c>
      <c r="E152" s="8"/>
      <c r="F152" s="8"/>
      <c r="G152" s="25">
        <f t="array" ref="G152">SUM(IF("1521"&amp;C152=KHN&amp;MH,SL))</f>
        <v>505</v>
      </c>
      <c r="H152" s="25">
        <f t="array" ref="H152">SUM(IF("1521"&amp;C152=KHN&amp;MH,TH))</f>
        <v>6799825</v>
      </c>
      <c r="I152" s="25">
        <f t="array" ref="I152">SUM(IF("1521"&amp;C152=KHC&amp;MH,SL))</f>
        <v>0</v>
      </c>
      <c r="J152" s="25">
        <f t="array" ref="J152">SUM(IF("1521"&amp;C152=KHC&amp;MH,TH))</f>
        <v>0</v>
      </c>
      <c r="K152" s="8">
        <f t="shared" si="3"/>
        <v>505</v>
      </c>
      <c r="L152" s="8">
        <f t="shared" si="4"/>
        <v>6799825</v>
      </c>
      <c r="M152" s="293"/>
    </row>
    <row r="153" spans="1:13" ht="18" customHeight="1">
      <c r="A153" s="293" t="str">
        <f t="shared" si="9"/>
        <v>NL</v>
      </c>
      <c r="B153" s="477">
        <f t="shared" si="10"/>
        <v>136</v>
      </c>
      <c r="C153" s="192" t="s">
        <v>594</v>
      </c>
      <c r="D153" s="296" t="s">
        <v>1170</v>
      </c>
      <c r="E153" s="8"/>
      <c r="F153" s="8"/>
      <c r="G153" s="25">
        <f t="array" ref="G153">SUM(IF("1521"&amp;C153=KHN&amp;MH,SL))</f>
        <v>1015</v>
      </c>
      <c r="H153" s="25">
        <f t="array" ref="H153">SUM(IF("1521"&amp;C153=KHN&amp;MH,TH))</f>
        <v>8876170</v>
      </c>
      <c r="I153" s="25">
        <f t="array" ref="I153">SUM(IF("1521"&amp;C153=KHC&amp;MH,SL))</f>
        <v>0</v>
      </c>
      <c r="J153" s="25">
        <f t="array" ref="J153">SUM(IF("1521"&amp;C153=KHC&amp;MH,TH))</f>
        <v>0</v>
      </c>
      <c r="K153" s="8">
        <f t="shared" si="3"/>
        <v>1015</v>
      </c>
      <c r="L153" s="8">
        <f t="shared" si="4"/>
        <v>8876170</v>
      </c>
      <c r="M153" s="293"/>
    </row>
    <row r="154" spans="1:13" ht="18" customHeight="1">
      <c r="A154" s="293" t="str">
        <f t="shared" si="9"/>
        <v>NL</v>
      </c>
      <c r="B154" s="477">
        <f t="shared" si="10"/>
        <v>137</v>
      </c>
      <c r="C154" s="192" t="s">
        <v>617</v>
      </c>
      <c r="D154" s="296" t="s">
        <v>1170</v>
      </c>
      <c r="E154" s="8"/>
      <c r="F154" s="8"/>
      <c r="G154" s="25">
        <f t="array" ref="G154">SUM(IF("1521"&amp;C154=KHN&amp;MH,SL))</f>
        <v>101</v>
      </c>
      <c r="H154" s="25">
        <f t="array" ref="H154">SUM(IF("1521"&amp;C154=KHN&amp;MH,TH))</f>
        <v>941724</v>
      </c>
      <c r="I154" s="25">
        <f t="array" ref="I154">SUM(IF("1521"&amp;C154=KHC&amp;MH,SL))</f>
        <v>0</v>
      </c>
      <c r="J154" s="25">
        <f t="array" ref="J154">SUM(IF("1521"&amp;C154=KHC&amp;MH,TH))</f>
        <v>0</v>
      </c>
      <c r="K154" s="8">
        <f t="shared" si="3"/>
        <v>101</v>
      </c>
      <c r="L154" s="8">
        <f t="shared" si="4"/>
        <v>941724</v>
      </c>
      <c r="M154" s="293"/>
    </row>
    <row r="155" spans="1:13" ht="18" customHeight="1">
      <c r="A155" s="293" t="str">
        <f t="shared" si="9"/>
        <v>NL</v>
      </c>
      <c r="B155" s="477">
        <f t="shared" si="10"/>
        <v>138</v>
      </c>
      <c r="C155" s="192" t="s">
        <v>600</v>
      </c>
      <c r="D155" s="296" t="s">
        <v>1170</v>
      </c>
      <c r="E155" s="8"/>
      <c r="F155" s="8"/>
      <c r="G155" s="25">
        <f t="array" ref="G155">SUM(IF("1521"&amp;C155=KHN&amp;MH,SL))</f>
        <v>244</v>
      </c>
      <c r="H155" s="25">
        <f t="array" ref="H155">SUM(IF("1521"&amp;C155=KHN&amp;MH,TH))</f>
        <v>4324168</v>
      </c>
      <c r="I155" s="25">
        <f t="array" ref="I155">SUM(IF("1521"&amp;C155=KHC&amp;MH,SL))</f>
        <v>0</v>
      </c>
      <c r="J155" s="25">
        <f t="array" ref="J155">SUM(IF("1521"&amp;C155=KHC&amp;MH,TH))</f>
        <v>0</v>
      </c>
      <c r="K155" s="8">
        <f t="shared" si="3"/>
        <v>244</v>
      </c>
      <c r="L155" s="8">
        <f t="shared" si="4"/>
        <v>4324168</v>
      </c>
      <c r="M155" s="293"/>
    </row>
    <row r="156" spans="1:13" ht="18" customHeight="1">
      <c r="A156" s="293" t="str">
        <f t="shared" si="9"/>
        <v>NL</v>
      </c>
      <c r="B156" s="477">
        <f t="shared" si="10"/>
        <v>139</v>
      </c>
      <c r="C156" s="189" t="s">
        <v>612</v>
      </c>
      <c r="D156" s="296" t="s">
        <v>1170</v>
      </c>
      <c r="E156" s="8"/>
      <c r="F156" s="8"/>
      <c r="G156" s="25">
        <f t="array" ref="G156">SUM(IF("1521"&amp;C156=KHN&amp;MH,SL))</f>
        <v>259</v>
      </c>
      <c r="H156" s="25">
        <f t="array" ref="H156">SUM(IF("1521"&amp;C156=KHN&amp;MH,TH))</f>
        <v>4525507</v>
      </c>
      <c r="I156" s="25">
        <f t="array" ref="I156">SUM(IF("1521"&amp;C156=KHC&amp;MH,SL))</f>
        <v>0</v>
      </c>
      <c r="J156" s="25">
        <f t="array" ref="J156">SUM(IF("1521"&amp;C156=KHC&amp;MH,TH))</f>
        <v>0</v>
      </c>
      <c r="K156" s="8">
        <f t="shared" si="3"/>
        <v>259</v>
      </c>
      <c r="L156" s="8">
        <f t="shared" si="4"/>
        <v>4525507</v>
      </c>
      <c r="M156" s="293"/>
    </row>
    <row r="157" spans="1:13" ht="18" customHeight="1">
      <c r="A157" s="293" t="str">
        <f t="shared" si="9"/>
        <v>NL</v>
      </c>
      <c r="B157" s="477">
        <f t="shared" si="10"/>
        <v>140</v>
      </c>
      <c r="C157" s="192" t="s">
        <v>634</v>
      </c>
      <c r="D157" s="296" t="s">
        <v>1170</v>
      </c>
      <c r="E157" s="8"/>
      <c r="F157" s="8"/>
      <c r="G157" s="25">
        <f t="array" ref="G157">SUM(IF("1521"&amp;C157=KHN&amp;MH,SL))</f>
        <v>201</v>
      </c>
      <c r="H157" s="25">
        <f t="array" ref="H157">SUM(IF("1521"&amp;C157=KHN&amp;MH,TH))</f>
        <v>2716917</v>
      </c>
      <c r="I157" s="25">
        <f t="array" ref="I157">SUM(IF("1521"&amp;C157=KHC&amp;MH,SL))</f>
        <v>0</v>
      </c>
      <c r="J157" s="25">
        <f t="array" ref="J157">SUM(IF("1521"&amp;C157=KHC&amp;MH,TH))</f>
        <v>0</v>
      </c>
      <c r="K157" s="8">
        <f t="shared" si="3"/>
        <v>201</v>
      </c>
      <c r="L157" s="8">
        <f t="shared" si="4"/>
        <v>2716917</v>
      </c>
      <c r="M157" s="293"/>
    </row>
    <row r="158" spans="1:13" ht="18" customHeight="1">
      <c r="A158" s="293" t="str">
        <f t="shared" si="9"/>
        <v>NL</v>
      </c>
      <c r="B158" s="477">
        <f t="shared" si="10"/>
        <v>141</v>
      </c>
      <c r="C158" s="192" t="s">
        <v>610</v>
      </c>
      <c r="D158" s="296" t="s">
        <v>1170</v>
      </c>
      <c r="E158" s="8"/>
      <c r="F158" s="8"/>
      <c r="G158" s="25">
        <f t="array" ref="G158">SUM(IF("1521"&amp;C158=KHN&amp;MH,SL))</f>
        <v>474</v>
      </c>
      <c r="H158" s="25">
        <f t="array" ref="H158">SUM(IF("1521"&amp;C158=KHN&amp;MH,TH))</f>
        <v>9133980</v>
      </c>
      <c r="I158" s="25">
        <f t="array" ref="I158">SUM(IF("1521"&amp;C158=KHC&amp;MH,SL))</f>
        <v>0</v>
      </c>
      <c r="J158" s="25">
        <f t="array" ref="J158">SUM(IF("1521"&amp;C158=KHC&amp;MH,TH))</f>
        <v>0</v>
      </c>
      <c r="K158" s="8">
        <f t="shared" si="3"/>
        <v>474</v>
      </c>
      <c r="L158" s="8">
        <f t="shared" si="4"/>
        <v>9133980</v>
      </c>
      <c r="M158" s="293"/>
    </row>
    <row r="159" spans="1:13" ht="18" customHeight="1">
      <c r="A159" s="293" t="str">
        <f t="shared" si="9"/>
        <v>NL</v>
      </c>
      <c r="B159" s="477">
        <f t="shared" si="10"/>
        <v>142</v>
      </c>
      <c r="C159" s="192" t="s">
        <v>589</v>
      </c>
      <c r="D159" s="296" t="s">
        <v>1170</v>
      </c>
      <c r="E159" s="8"/>
      <c r="F159" s="8"/>
      <c r="G159" s="25">
        <f t="array" ref="G159">SUM(IF("1521"&amp;C159=KHN&amp;MH,SL))</f>
        <v>260</v>
      </c>
      <c r="H159" s="25">
        <f t="array" ref="H159">SUM(IF("1521"&amp;C159=KHN&amp;MH,TH))</f>
        <v>4322760</v>
      </c>
      <c r="I159" s="25">
        <f t="array" ref="I159">SUM(IF("1521"&amp;C159=KHC&amp;MH,SL))</f>
        <v>0</v>
      </c>
      <c r="J159" s="25">
        <f t="array" ref="J159">SUM(IF("1521"&amp;C159=KHC&amp;MH,TH))</f>
        <v>0</v>
      </c>
      <c r="K159" s="8">
        <f t="shared" si="3"/>
        <v>260</v>
      </c>
      <c r="L159" s="8">
        <f t="shared" si="4"/>
        <v>4322760</v>
      </c>
      <c r="M159" s="293"/>
    </row>
    <row r="160" spans="1:13" ht="18" customHeight="1">
      <c r="A160" s="293" t="str">
        <f t="shared" si="9"/>
        <v>NL</v>
      </c>
      <c r="B160" s="477">
        <f t="shared" si="10"/>
        <v>143</v>
      </c>
      <c r="C160" s="192" t="s">
        <v>613</v>
      </c>
      <c r="D160" s="296" t="s">
        <v>1170</v>
      </c>
      <c r="E160" s="8"/>
      <c r="F160" s="8"/>
      <c r="G160" s="25">
        <f t="array" ref="G160">SUM(IF("1521"&amp;C160=KHN&amp;MH,SL))</f>
        <v>712</v>
      </c>
      <c r="H160" s="25">
        <f t="array" ref="H160">SUM(IF("1521"&amp;C160=KHN&amp;MH,TH))</f>
        <v>6024232</v>
      </c>
      <c r="I160" s="25">
        <f t="array" ref="I160">SUM(IF("1521"&amp;C160=KHC&amp;MH,SL))</f>
        <v>0</v>
      </c>
      <c r="J160" s="25">
        <f t="array" ref="J160">SUM(IF("1521"&amp;C160=KHC&amp;MH,TH))</f>
        <v>0</v>
      </c>
      <c r="K160" s="8">
        <f t="shared" si="3"/>
        <v>712</v>
      </c>
      <c r="L160" s="8">
        <f t="shared" si="4"/>
        <v>6024232</v>
      </c>
      <c r="M160" s="293"/>
    </row>
    <row r="161" spans="1:13" ht="18" customHeight="1">
      <c r="A161" s="293" t="str">
        <f t="shared" si="9"/>
        <v>NL</v>
      </c>
      <c r="B161" s="477">
        <f t="shared" si="10"/>
        <v>144</v>
      </c>
      <c r="C161" s="297" t="s">
        <v>641</v>
      </c>
      <c r="D161" s="296" t="s">
        <v>1170</v>
      </c>
      <c r="E161" s="8"/>
      <c r="F161" s="8"/>
      <c r="G161" s="25">
        <f t="array" ref="G161">SUM(IF("1521"&amp;C161=KHN&amp;MH,SL))</f>
        <v>578</v>
      </c>
      <c r="H161" s="25">
        <f t="array" ref="H161">SUM(IF("1521"&amp;C161=KHN&amp;MH,TH))</f>
        <v>11802760</v>
      </c>
      <c r="I161" s="25">
        <f t="array" ref="I161">SUM(IF("1521"&amp;C161=KHC&amp;MH,SL))</f>
        <v>0</v>
      </c>
      <c r="J161" s="25">
        <f t="array" ref="J161">SUM(IF("1521"&amp;C161=KHC&amp;MH,TH))</f>
        <v>0</v>
      </c>
      <c r="K161" s="8">
        <f t="shared" si="3"/>
        <v>578</v>
      </c>
      <c r="L161" s="8">
        <f t="shared" si="4"/>
        <v>11802760</v>
      </c>
      <c r="M161" s="293"/>
    </row>
    <row r="162" spans="1:13" ht="18" customHeight="1">
      <c r="A162" s="293" t="str">
        <f t="shared" si="9"/>
        <v>NL</v>
      </c>
      <c r="B162" s="477">
        <f t="shared" si="10"/>
        <v>145</v>
      </c>
      <c r="C162" s="192" t="s">
        <v>605</v>
      </c>
      <c r="D162" s="296" t="s">
        <v>1170</v>
      </c>
      <c r="E162" s="8"/>
      <c r="F162" s="8"/>
      <c r="G162" s="25">
        <f t="array" ref="G162">SUM(IF("1521"&amp;C162=KHN&amp;MH,SL))</f>
        <v>336</v>
      </c>
      <c r="H162" s="25">
        <f t="array" ref="H162">SUM(IF("1521"&amp;C162=KHN&amp;MH,TH))</f>
        <v>6905808</v>
      </c>
      <c r="I162" s="25">
        <f t="array" ref="I162">SUM(IF("1521"&amp;C162=KHC&amp;MH,SL))</f>
        <v>0</v>
      </c>
      <c r="J162" s="25">
        <f t="array" ref="J162">SUM(IF("1521"&amp;C162=KHC&amp;MH,TH))</f>
        <v>0</v>
      </c>
      <c r="K162" s="8">
        <f t="shared" si="3"/>
        <v>336</v>
      </c>
      <c r="L162" s="8">
        <f t="shared" si="4"/>
        <v>6905808</v>
      </c>
      <c r="M162" s="293"/>
    </row>
    <row r="163" spans="1:13" ht="18" customHeight="1">
      <c r="A163" s="293" t="str">
        <f t="shared" si="9"/>
        <v>NL</v>
      </c>
      <c r="B163" s="477">
        <f t="shared" si="10"/>
        <v>146</v>
      </c>
      <c r="C163" s="192" t="s">
        <v>625</v>
      </c>
      <c r="D163" s="296" t="s">
        <v>1170</v>
      </c>
      <c r="E163" s="8"/>
      <c r="F163" s="8"/>
      <c r="G163" s="25">
        <f t="array" ref="G163">SUM(IF("1521"&amp;C163=KHN&amp;MH,SL))</f>
        <v>497</v>
      </c>
      <c r="H163" s="25">
        <f t="array" ref="H163">SUM(IF("1521"&amp;C163=KHN&amp;MH,TH))</f>
        <v>5673752</v>
      </c>
      <c r="I163" s="25">
        <f t="array" ref="I163">SUM(IF("1521"&amp;C163=KHC&amp;MH,SL))</f>
        <v>0</v>
      </c>
      <c r="J163" s="25">
        <f t="array" ref="J163">SUM(IF("1521"&amp;C163=KHC&amp;MH,TH))</f>
        <v>0</v>
      </c>
      <c r="K163" s="8">
        <f t="shared" si="3"/>
        <v>497</v>
      </c>
      <c r="L163" s="8">
        <f t="shared" si="4"/>
        <v>5673752</v>
      </c>
      <c r="M163" s="293"/>
    </row>
    <row r="164" spans="1:13" ht="18" customHeight="1">
      <c r="A164" s="293" t="str">
        <f t="shared" si="9"/>
        <v>NL</v>
      </c>
      <c r="B164" s="477">
        <f t="shared" si="10"/>
        <v>147</v>
      </c>
      <c r="C164" s="192" t="s">
        <v>624</v>
      </c>
      <c r="D164" s="296" t="s">
        <v>1170</v>
      </c>
      <c r="E164" s="8"/>
      <c r="F164" s="8"/>
      <c r="G164" s="25">
        <f t="array" ref="G164">SUM(IF("1521"&amp;C164=KHN&amp;MH,SL))</f>
        <v>142</v>
      </c>
      <c r="H164" s="25">
        <f t="array" ref="H164">SUM(IF("1521"&amp;C164=KHN&amp;MH,TH))</f>
        <v>2643614</v>
      </c>
      <c r="I164" s="25">
        <f t="array" ref="I164">SUM(IF("1521"&amp;C164=KHC&amp;MH,SL))</f>
        <v>0</v>
      </c>
      <c r="J164" s="25">
        <f t="array" ref="J164">SUM(IF("1521"&amp;C164=KHC&amp;MH,TH))</f>
        <v>0</v>
      </c>
      <c r="K164" s="8">
        <f t="shared" si="3"/>
        <v>142</v>
      </c>
      <c r="L164" s="8">
        <f t="shared" si="4"/>
        <v>2643614</v>
      </c>
      <c r="M164" s="293"/>
    </row>
    <row r="165" spans="1:13" ht="18" customHeight="1">
      <c r="A165" s="293" t="str">
        <f t="shared" si="9"/>
        <v>NL</v>
      </c>
      <c r="B165" s="477">
        <f t="shared" si="10"/>
        <v>148</v>
      </c>
      <c r="C165" s="192" t="s">
        <v>607</v>
      </c>
      <c r="D165" s="296" t="s">
        <v>1170</v>
      </c>
      <c r="E165" s="8"/>
      <c r="F165" s="8"/>
      <c r="G165" s="25">
        <f t="array" ref="G165">SUM(IF("1521"&amp;C165=KHN&amp;MH,SL))</f>
        <v>137</v>
      </c>
      <c r="H165" s="25">
        <f t="array" ref="H165">SUM(IF("1521"&amp;C165=KHN&amp;MH,TH))</f>
        <v>2548885</v>
      </c>
      <c r="I165" s="25">
        <f t="array" ref="I165">SUM(IF("1521"&amp;C165=KHC&amp;MH,SL))</f>
        <v>0</v>
      </c>
      <c r="J165" s="25">
        <f t="array" ref="J165">SUM(IF("1521"&amp;C165=KHC&amp;MH,TH))</f>
        <v>0</v>
      </c>
      <c r="K165" s="8">
        <f t="shared" si="3"/>
        <v>137</v>
      </c>
      <c r="L165" s="8">
        <f t="shared" si="4"/>
        <v>2548885</v>
      </c>
      <c r="M165" s="293"/>
    </row>
    <row r="166" spans="1:13" ht="18" customHeight="1">
      <c r="A166" s="293" t="str">
        <f t="shared" si="9"/>
        <v>NL</v>
      </c>
      <c r="B166" s="477">
        <f t="shared" si="10"/>
        <v>149</v>
      </c>
      <c r="C166" s="192" t="s">
        <v>596</v>
      </c>
      <c r="D166" s="296" t="s">
        <v>1170</v>
      </c>
      <c r="E166" s="8"/>
      <c r="F166" s="8"/>
      <c r="G166" s="25">
        <f t="array" ref="G166">SUM(IF("1521"&amp;C166=KHN&amp;MH,SL))</f>
        <v>121</v>
      </c>
      <c r="H166" s="25">
        <f t="array" ref="H166">SUM(IF("1521"&amp;C166=KHN&amp;MH,TH))</f>
        <v>1648625</v>
      </c>
      <c r="I166" s="25">
        <f t="array" ref="I166">SUM(IF("1521"&amp;C166=KHC&amp;MH,SL))</f>
        <v>0</v>
      </c>
      <c r="J166" s="25">
        <f t="array" ref="J166">SUM(IF("1521"&amp;C166=KHC&amp;MH,TH))</f>
        <v>0</v>
      </c>
      <c r="K166" s="8">
        <f t="shared" ref="K166:K197" si="15">E166+G166-I166</f>
        <v>121</v>
      </c>
      <c r="L166" s="8">
        <f t="shared" ref="L166:L197" si="16">F166+H166-J166</f>
        <v>1648625</v>
      </c>
      <c r="M166" s="293"/>
    </row>
    <row r="167" spans="1:13" ht="18" customHeight="1">
      <c r="A167" s="293" t="str">
        <f t="shared" si="9"/>
        <v>NL</v>
      </c>
      <c r="B167" s="477">
        <f t="shared" si="10"/>
        <v>150</v>
      </c>
      <c r="C167" s="192" t="s">
        <v>616</v>
      </c>
      <c r="D167" s="296" t="s">
        <v>1170</v>
      </c>
      <c r="E167" s="8"/>
      <c r="F167" s="8"/>
      <c r="G167" s="25">
        <f t="array" ref="G167">SUM(IF("1521"&amp;C167=KHN&amp;MH,SL))</f>
        <v>106</v>
      </c>
      <c r="H167" s="25">
        <f t="array" ref="H167">SUM(IF("1521"&amp;C167=KHN&amp;MH,TH))</f>
        <v>1153916</v>
      </c>
      <c r="I167" s="25">
        <f t="array" ref="I167">SUM(IF("1521"&amp;C167=KHC&amp;MH,SL))</f>
        <v>0</v>
      </c>
      <c r="J167" s="25">
        <f t="array" ref="J167">SUM(IF("1521"&amp;C167=KHC&amp;MH,TH))</f>
        <v>0</v>
      </c>
      <c r="K167" s="8">
        <f t="shared" si="15"/>
        <v>106</v>
      </c>
      <c r="L167" s="8">
        <f t="shared" si="16"/>
        <v>1153916</v>
      </c>
      <c r="M167" s="293"/>
    </row>
    <row r="168" spans="1:13" ht="18" customHeight="1">
      <c r="A168" s="293" t="str">
        <f t="shared" si="9"/>
        <v>NL</v>
      </c>
      <c r="B168" s="477">
        <f t="shared" si="10"/>
        <v>151</v>
      </c>
      <c r="C168" s="192" t="s">
        <v>636</v>
      </c>
      <c r="D168" s="296" t="s">
        <v>1170</v>
      </c>
      <c r="E168" s="8"/>
      <c r="F168" s="8"/>
      <c r="G168" s="25">
        <f t="array" ref="G168">SUM(IF("1521"&amp;C168=KHN&amp;MH,SL))</f>
        <v>192</v>
      </c>
      <c r="H168" s="25">
        <f t="array" ref="H168">SUM(IF("1521"&amp;C168=KHN&amp;MH,TH))</f>
        <v>2136192</v>
      </c>
      <c r="I168" s="25">
        <f t="array" ref="I168">SUM(IF("1521"&amp;C168=KHC&amp;MH,SL))</f>
        <v>0</v>
      </c>
      <c r="J168" s="25">
        <f t="array" ref="J168">SUM(IF("1521"&amp;C168=KHC&amp;MH,TH))</f>
        <v>0</v>
      </c>
      <c r="K168" s="8">
        <f t="shared" si="15"/>
        <v>192</v>
      </c>
      <c r="L168" s="8">
        <f t="shared" si="16"/>
        <v>2136192</v>
      </c>
      <c r="M168" s="293"/>
    </row>
    <row r="169" spans="1:13" ht="18" customHeight="1">
      <c r="A169" s="293" t="str">
        <f t="shared" si="9"/>
        <v>NL</v>
      </c>
      <c r="B169" s="477">
        <f t="shared" si="10"/>
        <v>152</v>
      </c>
      <c r="C169" s="192" t="s">
        <v>604</v>
      </c>
      <c r="D169" s="296" t="s">
        <v>1170</v>
      </c>
      <c r="E169" s="8"/>
      <c r="F169" s="8"/>
      <c r="G169" s="25">
        <f t="array" ref="G169">SUM(IF("1521"&amp;C169=KHN&amp;MH,SL))</f>
        <v>242</v>
      </c>
      <c r="H169" s="25">
        <f t="array" ref="H169">SUM(IF("1521"&amp;C169=KHN&amp;MH,TH))</f>
        <v>3220052</v>
      </c>
      <c r="I169" s="25">
        <f t="array" ref="I169">SUM(IF("1521"&amp;C169=KHC&amp;MH,SL))</f>
        <v>0</v>
      </c>
      <c r="J169" s="25">
        <f t="array" ref="J169">SUM(IF("1521"&amp;C169=KHC&amp;MH,TH))</f>
        <v>0</v>
      </c>
      <c r="K169" s="8">
        <f t="shared" si="15"/>
        <v>242</v>
      </c>
      <c r="L169" s="8">
        <f t="shared" si="16"/>
        <v>3220052</v>
      </c>
      <c r="M169" s="293"/>
    </row>
    <row r="170" spans="1:13" ht="18" customHeight="1">
      <c r="A170" s="293" t="str">
        <f t="shared" si="9"/>
        <v>NL</v>
      </c>
      <c r="B170" s="477">
        <f t="shared" si="10"/>
        <v>153</v>
      </c>
      <c r="C170" s="192" t="s">
        <v>626</v>
      </c>
      <c r="D170" s="296" t="s">
        <v>1170</v>
      </c>
      <c r="E170" s="8"/>
      <c r="F170" s="8"/>
      <c r="G170" s="25">
        <f t="array" ref="G170">SUM(IF("1521"&amp;C170=KHN&amp;MH,SL))</f>
        <v>50</v>
      </c>
      <c r="H170" s="25">
        <f t="array" ref="H170">SUM(IF("1521"&amp;C170=KHN&amp;MH,TH))</f>
        <v>785650</v>
      </c>
      <c r="I170" s="25">
        <f t="array" ref="I170">SUM(IF("1521"&amp;C170=KHC&amp;MH,SL))</f>
        <v>0</v>
      </c>
      <c r="J170" s="25">
        <f t="array" ref="J170">SUM(IF("1521"&amp;C170=KHC&amp;MH,TH))</f>
        <v>0</v>
      </c>
      <c r="K170" s="8">
        <f t="shared" si="15"/>
        <v>50</v>
      </c>
      <c r="L170" s="8">
        <f t="shared" si="16"/>
        <v>785650</v>
      </c>
      <c r="M170" s="293"/>
    </row>
    <row r="171" spans="1:13" ht="18" customHeight="1">
      <c r="A171" s="293" t="str">
        <f t="shared" si="9"/>
        <v>NL</v>
      </c>
      <c r="B171" s="477">
        <f t="shared" si="10"/>
        <v>154</v>
      </c>
      <c r="C171" s="192" t="s">
        <v>619</v>
      </c>
      <c r="D171" s="296" t="s">
        <v>1170</v>
      </c>
      <c r="E171" s="8"/>
      <c r="F171" s="8"/>
      <c r="G171" s="25">
        <f t="array" ref="G171">SUM(IF("1521"&amp;C171=KHN&amp;MH,SL))</f>
        <v>149</v>
      </c>
      <c r="H171" s="25">
        <f t="array" ref="H171">SUM(IF("1521"&amp;C171=KHN&amp;MH,TH))</f>
        <v>1789490</v>
      </c>
      <c r="I171" s="25">
        <f t="array" ref="I171">SUM(IF("1521"&amp;C171=KHC&amp;MH,SL))</f>
        <v>0</v>
      </c>
      <c r="J171" s="25">
        <f t="array" ref="J171">SUM(IF("1521"&amp;C171=KHC&amp;MH,TH))</f>
        <v>0</v>
      </c>
      <c r="K171" s="8">
        <f t="shared" si="15"/>
        <v>149</v>
      </c>
      <c r="L171" s="8">
        <f t="shared" si="16"/>
        <v>1789490</v>
      </c>
      <c r="M171" s="293"/>
    </row>
    <row r="172" spans="1:13" ht="18" customHeight="1">
      <c r="A172" s="293" t="str">
        <f t="shared" si="9"/>
        <v>NL</v>
      </c>
      <c r="B172" s="477">
        <f t="shared" si="10"/>
        <v>155</v>
      </c>
      <c r="C172" s="192" t="s">
        <v>632</v>
      </c>
      <c r="D172" s="296" t="s">
        <v>1170</v>
      </c>
      <c r="E172" s="8"/>
      <c r="F172" s="8"/>
      <c r="G172" s="25">
        <f t="array" ref="G172">SUM(IF("1521"&amp;C172=KHN&amp;MH,SL))</f>
        <v>619</v>
      </c>
      <c r="H172" s="25">
        <f t="array" ref="H172">SUM(IF("1521"&amp;C172=KHN&amp;MH,TH))</f>
        <v>9151296</v>
      </c>
      <c r="I172" s="25">
        <f t="array" ref="I172">SUM(IF("1521"&amp;C172=KHC&amp;MH,SL))</f>
        <v>0</v>
      </c>
      <c r="J172" s="25">
        <f t="array" ref="J172">SUM(IF("1521"&amp;C172=KHC&amp;MH,TH))</f>
        <v>0</v>
      </c>
      <c r="K172" s="8">
        <f t="shared" si="15"/>
        <v>619</v>
      </c>
      <c r="L172" s="8">
        <f t="shared" si="16"/>
        <v>9151296</v>
      </c>
      <c r="M172" s="293"/>
    </row>
    <row r="173" spans="1:13" ht="18" customHeight="1">
      <c r="A173" s="293" t="str">
        <f t="shared" si="9"/>
        <v>NL</v>
      </c>
      <c r="B173" s="477">
        <f t="shared" si="10"/>
        <v>156</v>
      </c>
      <c r="C173" s="189" t="s">
        <v>618</v>
      </c>
      <c r="D173" s="296" t="s">
        <v>1170</v>
      </c>
      <c r="E173" s="8"/>
      <c r="F173" s="8"/>
      <c r="G173" s="25">
        <f t="array" ref="G173">SUM(IF("1521"&amp;C173=KHN&amp;MH,SL))</f>
        <v>106</v>
      </c>
      <c r="H173" s="25">
        <f t="array" ref="H173">SUM(IF("1521"&amp;C173=KHN&amp;MH,TH))</f>
        <v>1327968</v>
      </c>
      <c r="I173" s="25">
        <f t="array" ref="I173">SUM(IF("1521"&amp;C173=KHC&amp;MH,SL))</f>
        <v>0</v>
      </c>
      <c r="J173" s="25">
        <f t="array" ref="J173">SUM(IF("1521"&amp;C173=KHC&amp;MH,TH))</f>
        <v>0</v>
      </c>
      <c r="K173" s="8">
        <f t="shared" si="15"/>
        <v>106</v>
      </c>
      <c r="L173" s="8">
        <f t="shared" si="16"/>
        <v>1327968</v>
      </c>
      <c r="M173" s="293"/>
    </row>
    <row r="174" spans="1:13" ht="18" customHeight="1">
      <c r="A174" s="293" t="str">
        <f t="shared" si="9"/>
        <v>NL</v>
      </c>
      <c r="B174" s="477">
        <f t="shared" si="10"/>
        <v>157</v>
      </c>
      <c r="C174" s="192" t="s">
        <v>588</v>
      </c>
      <c r="D174" s="296" t="s">
        <v>1170</v>
      </c>
      <c r="E174" s="8"/>
      <c r="F174" s="8"/>
      <c r="G174" s="25">
        <f t="array" ref="G174">SUM(IF("1521"&amp;C174=KHN&amp;MH,SL))</f>
        <v>201</v>
      </c>
      <c r="H174" s="25">
        <f t="array" ref="H174">SUM(IF("1521"&amp;C174=KHN&amp;MH,TH))</f>
        <v>3505038</v>
      </c>
      <c r="I174" s="25">
        <f t="array" ref="I174">SUM(IF("1521"&amp;C174=KHC&amp;MH,SL))</f>
        <v>0</v>
      </c>
      <c r="J174" s="25">
        <f t="array" ref="J174">SUM(IF("1521"&amp;C174=KHC&amp;MH,TH))</f>
        <v>0</v>
      </c>
      <c r="K174" s="8">
        <f t="shared" si="15"/>
        <v>201</v>
      </c>
      <c r="L174" s="8">
        <f t="shared" si="16"/>
        <v>3505038</v>
      </c>
      <c r="M174" s="293"/>
    </row>
    <row r="175" spans="1:13" ht="18" customHeight="1">
      <c r="A175" s="293" t="str">
        <f t="shared" si="9"/>
        <v>NL</v>
      </c>
      <c r="B175" s="477">
        <f t="shared" si="10"/>
        <v>158</v>
      </c>
      <c r="C175" s="192" t="s">
        <v>591</v>
      </c>
      <c r="D175" s="296" t="s">
        <v>1170</v>
      </c>
      <c r="E175" s="8"/>
      <c r="F175" s="8"/>
      <c r="G175" s="25">
        <f t="array" ref="G175">SUM(IF("1521"&amp;C175=KHN&amp;MH,SL))</f>
        <v>258</v>
      </c>
      <c r="H175" s="25">
        <f t="array" ref="H175">SUM(IF("1521"&amp;C175=KHN&amp;MH,TH))</f>
        <v>5133168</v>
      </c>
      <c r="I175" s="25">
        <f t="array" ref="I175">SUM(IF("1521"&amp;C175=KHC&amp;MH,SL))</f>
        <v>0</v>
      </c>
      <c r="J175" s="25">
        <f t="array" ref="J175">SUM(IF("1521"&amp;C175=KHC&amp;MH,TH))</f>
        <v>0</v>
      </c>
      <c r="K175" s="8">
        <f t="shared" si="15"/>
        <v>258</v>
      </c>
      <c r="L175" s="8">
        <f t="shared" si="16"/>
        <v>5133168</v>
      </c>
      <c r="M175" s="293"/>
    </row>
    <row r="176" spans="1:13" ht="18" customHeight="1">
      <c r="A176" s="293" t="str">
        <f t="shared" si="9"/>
        <v>NL</v>
      </c>
      <c r="B176" s="477">
        <f t="shared" si="10"/>
        <v>159</v>
      </c>
      <c r="C176" s="192" t="s">
        <v>602</v>
      </c>
      <c r="D176" s="296" t="s">
        <v>1170</v>
      </c>
      <c r="E176" s="8"/>
      <c r="F176" s="8"/>
      <c r="G176" s="25">
        <f t="array" ref="G176">SUM(IF("1521"&amp;C176=KHN&amp;MH,SL))</f>
        <v>512</v>
      </c>
      <c r="H176" s="25">
        <f t="array" ref="H176">SUM(IF("1521"&amp;C176=KHN&amp;MH,TH))</f>
        <v>11206656</v>
      </c>
      <c r="I176" s="25">
        <f t="array" ref="I176">SUM(IF("1521"&amp;C176=KHC&amp;MH,SL))</f>
        <v>0</v>
      </c>
      <c r="J176" s="25">
        <f t="array" ref="J176">SUM(IF("1521"&amp;C176=KHC&amp;MH,TH))</f>
        <v>0</v>
      </c>
      <c r="K176" s="8">
        <f t="shared" si="15"/>
        <v>512</v>
      </c>
      <c r="L176" s="8">
        <f t="shared" si="16"/>
        <v>11206656</v>
      </c>
      <c r="M176" s="293"/>
    </row>
    <row r="177" spans="1:13" ht="18" customHeight="1">
      <c r="A177" s="293" t="str">
        <f t="shared" si="9"/>
        <v>NL</v>
      </c>
      <c r="B177" s="477">
        <f t="shared" si="10"/>
        <v>160</v>
      </c>
      <c r="C177" s="192" t="s">
        <v>601</v>
      </c>
      <c r="D177" s="296" t="s">
        <v>1170</v>
      </c>
      <c r="E177" s="8"/>
      <c r="F177" s="8"/>
      <c r="G177" s="25">
        <f t="array" ref="G177">SUM(IF("1521"&amp;C177=KHN&amp;MH,SL))</f>
        <v>206</v>
      </c>
      <c r="H177" s="25">
        <f t="array" ref="H177">SUM(IF("1521"&amp;C177=KHN&amp;MH,TH))</f>
        <v>4111348</v>
      </c>
      <c r="I177" s="25">
        <f t="array" ref="I177">SUM(IF("1521"&amp;C177=KHC&amp;MH,SL))</f>
        <v>0</v>
      </c>
      <c r="J177" s="25">
        <f t="array" ref="J177">SUM(IF("1521"&amp;C177=KHC&amp;MH,TH))</f>
        <v>0</v>
      </c>
      <c r="K177" s="8">
        <f t="shared" si="15"/>
        <v>206</v>
      </c>
      <c r="L177" s="8">
        <f t="shared" si="16"/>
        <v>4111348</v>
      </c>
      <c r="M177" s="293"/>
    </row>
    <row r="178" spans="1:13" ht="18" customHeight="1">
      <c r="A178" s="293" t="str">
        <f t="shared" si="9"/>
        <v>NL</v>
      </c>
      <c r="B178" s="477">
        <f t="shared" si="10"/>
        <v>161</v>
      </c>
      <c r="C178" s="192" t="s">
        <v>585</v>
      </c>
      <c r="D178" s="296" t="s">
        <v>1170</v>
      </c>
      <c r="E178" s="8"/>
      <c r="F178" s="8"/>
      <c r="G178" s="25">
        <f t="array" ref="G178">SUM(IF("1521"&amp;C178=KHN&amp;MH,SL))</f>
        <v>203</v>
      </c>
      <c r="H178" s="25">
        <f t="array" ref="H178">SUM(IF("1521"&amp;C178=KHN&amp;MH,TH))</f>
        <v>4215295</v>
      </c>
      <c r="I178" s="25">
        <f t="array" ref="I178">SUM(IF("1521"&amp;C178=KHC&amp;MH,SL))</f>
        <v>0</v>
      </c>
      <c r="J178" s="25">
        <f t="array" ref="J178">SUM(IF("1521"&amp;C178=KHC&amp;MH,TH))</f>
        <v>0</v>
      </c>
      <c r="K178" s="8">
        <f t="shared" si="15"/>
        <v>203</v>
      </c>
      <c r="L178" s="8">
        <f t="shared" si="16"/>
        <v>4215295</v>
      </c>
      <c r="M178" s="293"/>
    </row>
    <row r="179" spans="1:13" ht="18" customHeight="1">
      <c r="A179" s="293" t="str">
        <f t="shared" si="9"/>
        <v>NL</v>
      </c>
      <c r="B179" s="477">
        <f t="shared" si="10"/>
        <v>162</v>
      </c>
      <c r="C179" s="192" t="s">
        <v>621</v>
      </c>
      <c r="D179" s="296" t="s">
        <v>1170</v>
      </c>
      <c r="E179" s="8"/>
      <c r="F179" s="8"/>
      <c r="G179" s="25">
        <f t="array" ref="G179">SUM(IF("1521"&amp;C179=KHN&amp;MH,SL))</f>
        <v>203</v>
      </c>
      <c r="H179" s="25">
        <f t="array" ref="H179">SUM(IF("1521"&amp;C179=KHN&amp;MH,TH))</f>
        <v>4522231</v>
      </c>
      <c r="I179" s="25">
        <f t="array" ref="I179">SUM(IF("1521"&amp;C179=KHC&amp;MH,SL))</f>
        <v>0</v>
      </c>
      <c r="J179" s="25">
        <f t="array" ref="J179">SUM(IF("1521"&amp;C179=KHC&amp;MH,TH))</f>
        <v>0</v>
      </c>
      <c r="K179" s="8">
        <f t="shared" si="15"/>
        <v>203</v>
      </c>
      <c r="L179" s="8">
        <f t="shared" si="16"/>
        <v>4522231</v>
      </c>
      <c r="M179" s="293"/>
    </row>
    <row r="180" spans="1:13" ht="18" customHeight="1">
      <c r="A180" s="293" t="str">
        <f t="shared" si="9"/>
        <v>NL</v>
      </c>
      <c r="B180" s="477">
        <f t="shared" si="10"/>
        <v>163</v>
      </c>
      <c r="C180" s="192" t="s">
        <v>638</v>
      </c>
      <c r="D180" s="296" t="s">
        <v>1170</v>
      </c>
      <c r="E180" s="8"/>
      <c r="F180" s="8"/>
      <c r="G180" s="25">
        <f t="array" ref="G180">SUM(IF("1521"&amp;C180=KHN&amp;MH,SL))</f>
        <v>235</v>
      </c>
      <c r="H180" s="25">
        <f t="array" ref="H180">SUM(IF("1521"&amp;C180=KHN&amp;MH,TH))</f>
        <v>8514990</v>
      </c>
      <c r="I180" s="25">
        <f t="array" ref="I180">SUM(IF("1521"&amp;C180=KHC&amp;MH,SL))</f>
        <v>0</v>
      </c>
      <c r="J180" s="25">
        <f t="array" ref="J180">SUM(IF("1521"&amp;C180=KHC&amp;MH,TH))</f>
        <v>0</v>
      </c>
      <c r="K180" s="8">
        <f t="shared" si="15"/>
        <v>235</v>
      </c>
      <c r="L180" s="8">
        <f t="shared" si="16"/>
        <v>8514990</v>
      </c>
      <c r="M180" s="293"/>
    </row>
    <row r="181" spans="1:13" ht="18" customHeight="1">
      <c r="A181" s="293" t="str">
        <f t="shared" si="9"/>
        <v>NL</v>
      </c>
      <c r="B181" s="477">
        <f t="shared" si="10"/>
        <v>164</v>
      </c>
      <c r="C181" s="192" t="s">
        <v>620</v>
      </c>
      <c r="D181" s="296" t="s">
        <v>1170</v>
      </c>
      <c r="E181" s="8"/>
      <c r="F181" s="8"/>
      <c r="G181" s="25">
        <f t="array" ref="G181">SUM(IF("1521"&amp;C181=KHN&amp;MH,SL))</f>
        <v>101</v>
      </c>
      <c r="H181" s="25">
        <f t="array" ref="H181">SUM(IF("1521"&amp;C181=KHN&amp;MH,TH))</f>
        <v>2321182</v>
      </c>
      <c r="I181" s="25">
        <f t="array" ref="I181">SUM(IF("1521"&amp;C181=KHC&amp;MH,SL))</f>
        <v>0</v>
      </c>
      <c r="J181" s="25">
        <f t="array" ref="J181">SUM(IF("1521"&amp;C181=KHC&amp;MH,TH))</f>
        <v>0</v>
      </c>
      <c r="K181" s="8">
        <f t="shared" si="15"/>
        <v>101</v>
      </c>
      <c r="L181" s="8">
        <f t="shared" si="16"/>
        <v>2321182</v>
      </c>
      <c r="M181" s="293"/>
    </row>
    <row r="182" spans="1:13" ht="18" customHeight="1">
      <c r="A182" s="293" t="str">
        <f t="shared" si="9"/>
        <v>NL</v>
      </c>
      <c r="B182" s="477">
        <f t="shared" si="10"/>
        <v>165</v>
      </c>
      <c r="C182" s="297" t="s">
        <v>598</v>
      </c>
      <c r="D182" s="296" t="s">
        <v>1170</v>
      </c>
      <c r="E182" s="8"/>
      <c r="F182" s="8"/>
      <c r="G182" s="25">
        <f t="array" ref="G182">SUM(IF("1521"&amp;C182=KHN&amp;MH,SL))</f>
        <v>100</v>
      </c>
      <c r="H182" s="25">
        <f t="array" ref="H182">SUM(IF("1521"&amp;C182=KHN&amp;MH,TH))</f>
        <v>2389000</v>
      </c>
      <c r="I182" s="25">
        <f t="array" ref="I182">SUM(IF("1521"&amp;C182=KHC&amp;MH,SL))</f>
        <v>0</v>
      </c>
      <c r="J182" s="25">
        <f t="array" ref="J182">SUM(IF("1521"&amp;C182=KHC&amp;MH,TH))</f>
        <v>0</v>
      </c>
      <c r="K182" s="8">
        <f t="shared" si="15"/>
        <v>100</v>
      </c>
      <c r="L182" s="8">
        <f t="shared" si="16"/>
        <v>2389000</v>
      </c>
      <c r="M182" s="293"/>
    </row>
    <row r="183" spans="1:13" ht="18" customHeight="1">
      <c r="A183" s="293" t="str">
        <f t="shared" si="9"/>
        <v>NL</v>
      </c>
      <c r="B183" s="477">
        <f t="shared" si="10"/>
        <v>166</v>
      </c>
      <c r="C183" s="192" t="s">
        <v>622</v>
      </c>
      <c r="D183" s="296" t="s">
        <v>1170</v>
      </c>
      <c r="E183" s="8"/>
      <c r="F183" s="8"/>
      <c r="G183" s="25">
        <f t="array" ref="G183">SUM(IF("1521"&amp;C183=KHN&amp;MH,SL))</f>
        <v>114</v>
      </c>
      <c r="H183" s="25">
        <f t="array" ref="H183">SUM(IF("1521"&amp;C183=KHN&amp;MH,TH))</f>
        <v>2495232</v>
      </c>
      <c r="I183" s="25">
        <f t="array" ref="I183">SUM(IF("1521"&amp;C183=KHC&amp;MH,SL))</f>
        <v>0</v>
      </c>
      <c r="J183" s="25">
        <f t="array" ref="J183">SUM(IF("1521"&amp;C183=KHC&amp;MH,TH))</f>
        <v>0</v>
      </c>
      <c r="K183" s="8">
        <f t="shared" si="15"/>
        <v>114</v>
      </c>
      <c r="L183" s="8">
        <f t="shared" si="16"/>
        <v>2495232</v>
      </c>
      <c r="M183" s="293"/>
    </row>
    <row r="184" spans="1:13" ht="18" customHeight="1">
      <c r="A184" s="293" t="str">
        <f t="shared" ref="A184:A212" si="17">IF(B184&lt;&gt;"","NL","")</f>
        <v>NL</v>
      </c>
      <c r="B184" s="477">
        <f t="shared" ref="B184:B216" si="18">IF(C184&lt;&gt;"",ROW()-17,"")</f>
        <v>167</v>
      </c>
      <c r="C184" s="192" t="s">
        <v>608</v>
      </c>
      <c r="D184" s="296" t="s">
        <v>1170</v>
      </c>
      <c r="E184" s="8"/>
      <c r="F184" s="8"/>
      <c r="G184" s="25">
        <f t="array" ref="G184">SUM(IF("1521"&amp;C184=KHN&amp;MH,SL))</f>
        <v>140</v>
      </c>
      <c r="H184" s="25">
        <f t="array" ref="H184">SUM(IF("1521"&amp;C184=KHN&amp;MH,TH))</f>
        <v>5455240</v>
      </c>
      <c r="I184" s="25">
        <f t="array" ref="I184">SUM(IF("1521"&amp;C184=KHC&amp;MH,SL))</f>
        <v>0</v>
      </c>
      <c r="J184" s="25">
        <f t="array" ref="J184">SUM(IF("1521"&amp;C184=KHC&amp;MH,TH))</f>
        <v>0</v>
      </c>
      <c r="K184" s="8">
        <f t="shared" si="15"/>
        <v>140</v>
      </c>
      <c r="L184" s="8">
        <f t="shared" si="16"/>
        <v>5455240</v>
      </c>
      <c r="M184" s="293"/>
    </row>
    <row r="185" spans="1:13" ht="18" customHeight="1">
      <c r="A185" s="293" t="str">
        <f t="shared" si="17"/>
        <v>NL</v>
      </c>
      <c r="B185" s="477">
        <f t="shared" si="18"/>
        <v>168</v>
      </c>
      <c r="C185" s="192" t="s">
        <v>599</v>
      </c>
      <c r="D185" s="296" t="s">
        <v>1170</v>
      </c>
      <c r="E185" s="8"/>
      <c r="F185" s="8"/>
      <c r="G185" s="25">
        <f t="array" ref="G185">SUM(IF("1521"&amp;C185=KHN&amp;MH,SL))</f>
        <v>100</v>
      </c>
      <c r="H185" s="25">
        <f t="array" ref="H185">SUM(IF("1521"&amp;C185=KHN&amp;MH,TH))</f>
        <v>2560300</v>
      </c>
      <c r="I185" s="25">
        <f t="array" ref="I185">SUM(IF("1521"&amp;C185=KHC&amp;MH,SL))</f>
        <v>0</v>
      </c>
      <c r="J185" s="25">
        <f t="array" ref="J185">SUM(IF("1521"&amp;C185=KHC&amp;MH,TH))</f>
        <v>0</v>
      </c>
      <c r="K185" s="8">
        <f t="shared" si="15"/>
        <v>100</v>
      </c>
      <c r="L185" s="8">
        <f t="shared" si="16"/>
        <v>2560300</v>
      </c>
      <c r="M185" s="293"/>
    </row>
    <row r="186" spans="1:13" ht="18" customHeight="1">
      <c r="A186" s="293" t="str">
        <f t="shared" si="17"/>
        <v>NL</v>
      </c>
      <c r="B186" s="477">
        <f t="shared" si="18"/>
        <v>169</v>
      </c>
      <c r="C186" s="192" t="s">
        <v>687</v>
      </c>
      <c r="D186" s="296" t="s">
        <v>1170</v>
      </c>
      <c r="E186" s="8"/>
      <c r="F186" s="8"/>
      <c r="G186" s="25">
        <f t="array" ref="G186">SUM(IF("1521"&amp;C186=KHN&amp;MH,SL))</f>
        <v>2300</v>
      </c>
      <c r="H186" s="25">
        <f t="array" ref="H186">SUM(IF("1521"&amp;C186=KHN&amp;MH,TH))</f>
        <v>19550000</v>
      </c>
      <c r="I186" s="25">
        <f t="array" ref="I186">SUM(IF("1521"&amp;C186=KHC&amp;MH,SL))</f>
        <v>0</v>
      </c>
      <c r="J186" s="25">
        <f t="array" ref="J186">SUM(IF("1521"&amp;C186=KHC&amp;MH,TH))</f>
        <v>0</v>
      </c>
      <c r="K186" s="8">
        <f t="shared" si="15"/>
        <v>2300</v>
      </c>
      <c r="L186" s="8">
        <f t="shared" si="16"/>
        <v>19550000</v>
      </c>
      <c r="M186" s="293"/>
    </row>
    <row r="187" spans="1:13" ht="18" customHeight="1">
      <c r="A187" s="293" t="str">
        <f t="shared" si="17"/>
        <v>NL</v>
      </c>
      <c r="B187" s="477">
        <f t="shared" si="18"/>
        <v>170</v>
      </c>
      <c r="C187" s="192" t="s">
        <v>690</v>
      </c>
      <c r="D187" s="296" t="s">
        <v>1170</v>
      </c>
      <c r="E187" s="8"/>
      <c r="F187" s="8"/>
      <c r="G187" s="25">
        <f t="array" ref="G187">SUM(IF("1521"&amp;C187=KHN&amp;MH,SL))</f>
        <v>5000</v>
      </c>
      <c r="H187" s="25">
        <f t="array" ref="H187">SUM(IF("1521"&amp;C187=KHN&amp;MH,TH))</f>
        <v>80000000</v>
      </c>
      <c r="I187" s="25">
        <f t="array" ref="I187">SUM(IF("1521"&amp;C187=KHC&amp;MH,SL))</f>
        <v>0</v>
      </c>
      <c r="J187" s="25">
        <f t="array" ref="J187">SUM(IF("1521"&amp;C187=KHC&amp;MH,TH))</f>
        <v>0</v>
      </c>
      <c r="K187" s="8">
        <f t="shared" si="15"/>
        <v>5000</v>
      </c>
      <c r="L187" s="8">
        <f t="shared" si="16"/>
        <v>80000000</v>
      </c>
      <c r="M187" s="293"/>
    </row>
    <row r="188" spans="1:13" ht="18" customHeight="1">
      <c r="A188" s="293" t="str">
        <f t="shared" si="17"/>
        <v>NL</v>
      </c>
      <c r="B188" s="477">
        <f t="shared" si="18"/>
        <v>171</v>
      </c>
      <c r="C188" s="189" t="s">
        <v>675</v>
      </c>
      <c r="D188" s="296" t="s">
        <v>1170</v>
      </c>
      <c r="E188" s="8"/>
      <c r="F188" s="8"/>
      <c r="G188" s="25">
        <f t="array" ref="G188">SUM(IF("1521"&amp;C188=KHN&amp;MH,SL))</f>
        <v>150</v>
      </c>
      <c r="H188" s="25">
        <f t="array" ref="H188">SUM(IF("1521"&amp;C188=KHN&amp;MH,TH))</f>
        <v>1635600</v>
      </c>
      <c r="I188" s="25">
        <f t="array" ref="I188">SUM(IF("1521"&amp;C188=KHC&amp;MH,SL))</f>
        <v>0</v>
      </c>
      <c r="J188" s="25">
        <f t="array" ref="J188">SUM(IF("1521"&amp;C188=KHC&amp;MH,TH))</f>
        <v>0</v>
      </c>
      <c r="K188" s="8">
        <f t="shared" si="15"/>
        <v>150</v>
      </c>
      <c r="L188" s="8">
        <f t="shared" si="16"/>
        <v>1635600</v>
      </c>
      <c r="M188" s="293"/>
    </row>
    <row r="189" spans="1:13" ht="18" customHeight="1">
      <c r="A189" s="293" t="str">
        <f t="shared" si="17"/>
        <v>NL</v>
      </c>
      <c r="B189" s="477">
        <f t="shared" si="18"/>
        <v>172</v>
      </c>
      <c r="C189" s="192" t="s">
        <v>672</v>
      </c>
      <c r="D189" s="296" t="s">
        <v>1170</v>
      </c>
      <c r="E189" s="8"/>
      <c r="F189" s="8"/>
      <c r="G189" s="25">
        <f t="array" ref="G189">SUM(IF("1521"&amp;C189=KHN&amp;MH,SL))</f>
        <v>1280</v>
      </c>
      <c r="H189" s="25">
        <f t="array" ref="H189">SUM(IF("1521"&amp;C189=KHN&amp;MH,TH))</f>
        <v>13825280</v>
      </c>
      <c r="I189" s="25">
        <f t="array" ref="I189">SUM(IF("1521"&amp;C189=KHC&amp;MH,SL))</f>
        <v>0</v>
      </c>
      <c r="J189" s="25">
        <f t="array" ref="J189">SUM(IF("1521"&amp;C189=KHC&amp;MH,TH))</f>
        <v>0</v>
      </c>
      <c r="K189" s="8">
        <f t="shared" si="15"/>
        <v>1280</v>
      </c>
      <c r="L189" s="8">
        <f t="shared" si="16"/>
        <v>13825280</v>
      </c>
      <c r="M189" s="293"/>
    </row>
    <row r="190" spans="1:13" ht="18" customHeight="1">
      <c r="A190" s="293" t="str">
        <f t="shared" si="17"/>
        <v>NL</v>
      </c>
      <c r="B190" s="477">
        <f t="shared" si="18"/>
        <v>173</v>
      </c>
      <c r="C190" s="192" t="s">
        <v>648</v>
      </c>
      <c r="D190" s="296" t="s">
        <v>1170</v>
      </c>
      <c r="E190" s="8"/>
      <c r="F190" s="8"/>
      <c r="G190" s="25">
        <f t="array" ref="G190">SUM(IF("1521"&amp;C190=KHN&amp;MH,SL))</f>
        <v>530</v>
      </c>
      <c r="H190" s="25">
        <f t="array" ref="H190">SUM(IF("1521"&amp;C190=KHN&amp;MH,TH))</f>
        <v>3922000</v>
      </c>
      <c r="I190" s="25">
        <f t="array" ref="I190">SUM(IF("1521"&amp;C190=KHC&amp;MH,SL))</f>
        <v>0</v>
      </c>
      <c r="J190" s="25">
        <f t="array" ref="J190">SUM(IF("1521"&amp;C190=KHC&amp;MH,TH))</f>
        <v>0</v>
      </c>
      <c r="K190" s="8">
        <f t="shared" si="15"/>
        <v>530</v>
      </c>
      <c r="L190" s="8">
        <f t="shared" si="16"/>
        <v>3922000</v>
      </c>
      <c r="M190" s="293"/>
    </row>
    <row r="191" spans="1:13" ht="18" customHeight="1">
      <c r="A191" s="293" t="str">
        <f t="shared" si="17"/>
        <v>NL</v>
      </c>
      <c r="B191" s="477">
        <f t="shared" si="18"/>
        <v>174</v>
      </c>
      <c r="C191" s="192" t="s">
        <v>650</v>
      </c>
      <c r="D191" s="296" t="s">
        <v>1170</v>
      </c>
      <c r="E191" s="8"/>
      <c r="F191" s="8"/>
      <c r="G191" s="25">
        <f t="array" ref="G191">SUM(IF("1521"&amp;C191=KHN&amp;MH,SL))</f>
        <v>105</v>
      </c>
      <c r="H191" s="25">
        <f t="array" ref="H191">SUM(IF("1521"&amp;C191=KHN&amp;MH,TH))</f>
        <v>693000</v>
      </c>
      <c r="I191" s="25">
        <f t="array" ref="I191">SUM(IF("1521"&amp;C191=KHC&amp;MH,SL))</f>
        <v>0</v>
      </c>
      <c r="J191" s="25">
        <f t="array" ref="J191">SUM(IF("1521"&amp;C191=KHC&amp;MH,TH))</f>
        <v>0</v>
      </c>
      <c r="K191" s="8">
        <f t="shared" si="15"/>
        <v>105</v>
      </c>
      <c r="L191" s="8">
        <f t="shared" si="16"/>
        <v>693000</v>
      </c>
      <c r="M191" s="293"/>
    </row>
    <row r="192" spans="1:13" ht="18" customHeight="1">
      <c r="A192" s="293" t="str">
        <f t="shared" si="17"/>
        <v>NL</v>
      </c>
      <c r="B192" s="477">
        <f t="shared" si="18"/>
        <v>175</v>
      </c>
      <c r="C192" s="192" t="s">
        <v>666</v>
      </c>
      <c r="D192" s="296" t="s">
        <v>1170</v>
      </c>
      <c r="E192" s="8"/>
      <c r="F192" s="8"/>
      <c r="G192" s="25">
        <f t="array" ref="G192">SUM(IF("1521"&amp;C192=KHN&amp;MH,SL))</f>
        <v>100</v>
      </c>
      <c r="H192" s="25">
        <f t="array" ref="H192">SUM(IF("1521"&amp;C192=KHN&amp;MH,TH))</f>
        <v>1262900</v>
      </c>
      <c r="I192" s="25">
        <f t="array" ref="I192">SUM(IF("1521"&amp;C192=KHC&amp;MH,SL))</f>
        <v>0</v>
      </c>
      <c r="J192" s="25">
        <f t="array" ref="J192">SUM(IF("1521"&amp;C192=KHC&amp;MH,TH))</f>
        <v>0</v>
      </c>
      <c r="K192" s="8">
        <f t="shared" si="15"/>
        <v>100</v>
      </c>
      <c r="L192" s="8">
        <f t="shared" si="16"/>
        <v>1262900</v>
      </c>
      <c r="M192" s="293"/>
    </row>
    <row r="193" spans="1:13" ht="18" customHeight="1">
      <c r="A193" s="293" t="str">
        <f t="shared" si="17"/>
        <v>NL</v>
      </c>
      <c r="B193" s="477">
        <f t="shared" si="18"/>
        <v>176</v>
      </c>
      <c r="C193" s="192" t="s">
        <v>664</v>
      </c>
      <c r="D193" s="296" t="s">
        <v>1170</v>
      </c>
      <c r="E193" s="8"/>
      <c r="F193" s="8"/>
      <c r="G193" s="25">
        <f t="array" ref="G193">SUM(IF("1521"&amp;C193=KHN&amp;MH,SL))</f>
        <v>108</v>
      </c>
      <c r="H193" s="25">
        <f t="array" ref="H193">SUM(IF("1521"&amp;C193=KHN&amp;MH,TH))</f>
        <v>1617624</v>
      </c>
      <c r="I193" s="25">
        <f t="array" ref="I193">SUM(IF("1521"&amp;C193=KHC&amp;MH,SL))</f>
        <v>0</v>
      </c>
      <c r="J193" s="25">
        <f t="array" ref="J193">SUM(IF("1521"&amp;C193=KHC&amp;MH,TH))</f>
        <v>0</v>
      </c>
      <c r="K193" s="8">
        <f t="shared" si="15"/>
        <v>108</v>
      </c>
      <c r="L193" s="8">
        <f t="shared" si="16"/>
        <v>1617624</v>
      </c>
      <c r="M193" s="293"/>
    </row>
    <row r="194" spans="1:13" ht="18" customHeight="1">
      <c r="A194" s="293" t="str">
        <f t="shared" si="17"/>
        <v>NL</v>
      </c>
      <c r="B194" s="477">
        <f t="shared" si="18"/>
        <v>177</v>
      </c>
      <c r="C194" s="192" t="s">
        <v>646</v>
      </c>
      <c r="D194" s="296" t="s">
        <v>1170</v>
      </c>
      <c r="E194" s="8"/>
      <c r="F194" s="8"/>
      <c r="G194" s="25">
        <f t="array" ref="G194">SUM(IF("1521"&amp;C194=KHN&amp;MH,SL))</f>
        <v>500</v>
      </c>
      <c r="H194" s="25">
        <f t="array" ref="H194">SUM(IF("1521"&amp;C194=KHN&amp;MH,TH))</f>
        <v>9656000</v>
      </c>
      <c r="I194" s="25">
        <f t="array" ref="I194">SUM(IF("1521"&amp;C194=KHC&amp;MH,SL))</f>
        <v>0</v>
      </c>
      <c r="J194" s="25">
        <f t="array" ref="J194">SUM(IF("1521"&amp;C194=KHC&amp;MH,TH))</f>
        <v>0</v>
      </c>
      <c r="K194" s="8">
        <f t="shared" si="15"/>
        <v>500</v>
      </c>
      <c r="L194" s="8">
        <f t="shared" si="16"/>
        <v>9656000</v>
      </c>
      <c r="M194" s="293"/>
    </row>
    <row r="195" spans="1:13" ht="18" customHeight="1">
      <c r="A195" s="293" t="str">
        <f t="shared" si="17"/>
        <v>NL</v>
      </c>
      <c r="B195" s="477">
        <f t="shared" si="18"/>
        <v>178</v>
      </c>
      <c r="C195" s="192" t="s">
        <v>670</v>
      </c>
      <c r="D195" s="296" t="s">
        <v>1170</v>
      </c>
      <c r="E195" s="8"/>
      <c r="F195" s="8"/>
      <c r="G195" s="25">
        <f t="array" ref="G195">SUM(IF("1521"&amp;C195=KHN&amp;MH,SL))</f>
        <v>150</v>
      </c>
      <c r="H195" s="25">
        <f t="array" ref="H195">SUM(IF("1521"&amp;C195=KHN&amp;MH,TH))</f>
        <v>2318400</v>
      </c>
      <c r="I195" s="25">
        <f t="array" ref="I195">SUM(IF("1521"&amp;C195=KHC&amp;MH,SL))</f>
        <v>0</v>
      </c>
      <c r="J195" s="25">
        <f t="array" ref="J195">SUM(IF("1521"&amp;C195=KHC&amp;MH,TH))</f>
        <v>0</v>
      </c>
      <c r="K195" s="8">
        <f t="shared" si="15"/>
        <v>150</v>
      </c>
      <c r="L195" s="8">
        <f t="shared" si="16"/>
        <v>2318400</v>
      </c>
      <c r="M195" s="293"/>
    </row>
    <row r="196" spans="1:13" ht="18" customHeight="1">
      <c r="A196" s="293" t="str">
        <f t="shared" si="17"/>
        <v>NL</v>
      </c>
      <c r="B196" s="477">
        <f t="shared" si="18"/>
        <v>179</v>
      </c>
      <c r="C196" s="192" t="s">
        <v>656</v>
      </c>
      <c r="D196" s="296" t="s">
        <v>1170</v>
      </c>
      <c r="E196" s="8"/>
      <c r="F196" s="8"/>
      <c r="G196" s="25">
        <f t="array" ref="G196">SUM(IF("1521"&amp;C196=KHN&amp;MH,SL))</f>
        <v>50</v>
      </c>
      <c r="H196" s="25">
        <f t="array" ref="H196">SUM(IF("1521"&amp;C196=KHN&amp;MH,TH))</f>
        <v>1021000</v>
      </c>
      <c r="I196" s="25">
        <f t="array" ref="I196">SUM(IF("1521"&amp;C196=KHC&amp;MH,SL))</f>
        <v>0</v>
      </c>
      <c r="J196" s="25">
        <f t="array" ref="J196">SUM(IF("1521"&amp;C196=KHC&amp;MH,TH))</f>
        <v>0</v>
      </c>
      <c r="K196" s="8">
        <f t="shared" si="15"/>
        <v>50</v>
      </c>
      <c r="L196" s="8">
        <f t="shared" si="16"/>
        <v>1021000</v>
      </c>
      <c r="M196" s="293"/>
    </row>
    <row r="197" spans="1:13" ht="18" customHeight="1">
      <c r="A197" s="293" t="str">
        <f t="shared" si="17"/>
        <v>NL</v>
      </c>
      <c r="B197" s="477">
        <f t="shared" si="18"/>
        <v>180</v>
      </c>
      <c r="C197" s="192" t="s">
        <v>665</v>
      </c>
      <c r="D197" s="296" t="s">
        <v>1170</v>
      </c>
      <c r="E197" s="8"/>
      <c r="F197" s="8"/>
      <c r="G197" s="25">
        <f t="array" ref="G197">SUM(IF("1521"&amp;C197=KHN&amp;MH,SL))</f>
        <v>100</v>
      </c>
      <c r="H197" s="25">
        <f t="array" ref="H197">SUM(IF("1521"&amp;C197=KHN&amp;MH,TH))</f>
        <v>1123800</v>
      </c>
      <c r="I197" s="25">
        <f t="array" ref="I197">SUM(IF("1521"&amp;C197=KHC&amp;MH,SL))</f>
        <v>0</v>
      </c>
      <c r="J197" s="25">
        <f t="array" ref="J197">SUM(IF("1521"&amp;C197=KHC&amp;MH,TH))</f>
        <v>0</v>
      </c>
      <c r="K197" s="8">
        <f t="shared" si="15"/>
        <v>100</v>
      </c>
      <c r="L197" s="8">
        <f t="shared" si="16"/>
        <v>1123800</v>
      </c>
      <c r="M197" s="293"/>
    </row>
    <row r="198" spans="1:13" ht="18" customHeight="1">
      <c r="A198" s="293" t="str">
        <f t="shared" si="17"/>
        <v>NL</v>
      </c>
      <c r="B198" s="477">
        <f t="shared" si="18"/>
        <v>181</v>
      </c>
      <c r="C198" s="192" t="s">
        <v>667</v>
      </c>
      <c r="D198" s="296" t="s">
        <v>1170</v>
      </c>
      <c r="E198" s="8"/>
      <c r="F198" s="8"/>
      <c r="G198" s="25">
        <f t="array" ref="G198">SUM(IF("1521"&amp;C198=KHN&amp;MH,SL))</f>
        <v>510</v>
      </c>
      <c r="H198" s="25">
        <f t="array" ref="H198">SUM(IF("1521"&amp;C198=KHN&amp;MH,TH))</f>
        <v>8351250</v>
      </c>
      <c r="I198" s="25">
        <f t="array" ref="I198">SUM(IF("1521"&amp;C198=KHC&amp;MH,SL))</f>
        <v>0</v>
      </c>
      <c r="J198" s="25">
        <f t="array" ref="J198">SUM(IF("1521"&amp;C198=KHC&amp;MH,TH))</f>
        <v>0</v>
      </c>
      <c r="K198" s="8">
        <f t="shared" ref="K198:K215" si="19">E198+G198-I198</f>
        <v>510</v>
      </c>
      <c r="L198" s="8">
        <f t="shared" ref="L198:L215" si="20">F198+H198-J198</f>
        <v>8351250</v>
      </c>
      <c r="M198" s="293"/>
    </row>
    <row r="199" spans="1:13" ht="18" customHeight="1">
      <c r="A199" s="293" t="str">
        <f t="shared" si="17"/>
        <v>NL</v>
      </c>
      <c r="B199" s="477">
        <f t="shared" si="18"/>
        <v>182</v>
      </c>
      <c r="C199" s="192" t="s">
        <v>663</v>
      </c>
      <c r="D199" s="296" t="s">
        <v>1170</v>
      </c>
      <c r="E199" s="8"/>
      <c r="F199" s="8"/>
      <c r="G199" s="25">
        <f t="array" ref="G199">SUM(IF("1521"&amp;C199=KHN&amp;MH,SL))</f>
        <v>60</v>
      </c>
      <c r="H199" s="25">
        <f t="array" ref="H199">SUM(IF("1521"&amp;C199=KHN&amp;MH,TH))</f>
        <v>1033320</v>
      </c>
      <c r="I199" s="25">
        <f t="array" ref="I199">SUM(IF("1521"&amp;C199=KHC&amp;MH,SL))</f>
        <v>0</v>
      </c>
      <c r="J199" s="25">
        <f t="array" ref="J199">SUM(IF("1521"&amp;C199=KHC&amp;MH,TH))</f>
        <v>0</v>
      </c>
      <c r="K199" s="8">
        <f t="shared" si="19"/>
        <v>60</v>
      </c>
      <c r="L199" s="8">
        <f t="shared" si="20"/>
        <v>1033320</v>
      </c>
      <c r="M199" s="293"/>
    </row>
    <row r="200" spans="1:13" ht="18" customHeight="1">
      <c r="A200" s="293" t="str">
        <f t="shared" si="17"/>
        <v>NL</v>
      </c>
      <c r="B200" s="477">
        <f t="shared" si="18"/>
        <v>183</v>
      </c>
      <c r="C200" s="297" t="s">
        <v>655</v>
      </c>
      <c r="D200" s="296" t="s">
        <v>1170</v>
      </c>
      <c r="E200" s="8"/>
      <c r="F200" s="8"/>
      <c r="G200" s="25">
        <f t="array" ref="G200">SUM(IF("1521"&amp;C200=KHN&amp;MH,SL))</f>
        <v>50</v>
      </c>
      <c r="H200" s="25">
        <f t="array" ref="H200">SUM(IF("1521"&amp;C200=KHN&amp;MH,TH))</f>
        <v>1140600</v>
      </c>
      <c r="I200" s="25">
        <f t="array" ref="I200">SUM(IF("1521"&amp;C200=KHC&amp;MH,SL))</f>
        <v>0</v>
      </c>
      <c r="J200" s="25">
        <f t="array" ref="J200">SUM(IF("1521"&amp;C200=KHC&amp;MH,TH))</f>
        <v>0</v>
      </c>
      <c r="K200" s="8">
        <f t="shared" si="19"/>
        <v>50</v>
      </c>
      <c r="L200" s="8">
        <f t="shared" si="20"/>
        <v>1140600</v>
      </c>
      <c r="M200" s="293"/>
    </row>
    <row r="201" spans="1:13" ht="18" customHeight="1">
      <c r="A201" s="293" t="str">
        <f t="shared" si="17"/>
        <v>NL</v>
      </c>
      <c r="B201" s="477">
        <f t="shared" si="18"/>
        <v>184</v>
      </c>
      <c r="C201" s="192" t="s">
        <v>653</v>
      </c>
      <c r="D201" s="296" t="s">
        <v>1170</v>
      </c>
      <c r="E201" s="8"/>
      <c r="F201" s="8"/>
      <c r="G201" s="25">
        <f t="array" ref="G201">SUM(IF("1521"&amp;C201=KHN&amp;MH,SL))</f>
        <v>50</v>
      </c>
      <c r="H201" s="25">
        <f t="array" ref="H201">SUM(IF("1521"&amp;C201=KHN&amp;MH,TH))</f>
        <v>1204900</v>
      </c>
      <c r="I201" s="25">
        <f t="array" ref="I201">SUM(IF("1521"&amp;C201=KHC&amp;MH,SL))</f>
        <v>0</v>
      </c>
      <c r="J201" s="25">
        <f t="array" ref="J201">SUM(IF("1521"&amp;C201=KHC&amp;MH,TH))</f>
        <v>0</v>
      </c>
      <c r="K201" s="8">
        <f t="shared" si="19"/>
        <v>50</v>
      </c>
      <c r="L201" s="8">
        <f t="shared" si="20"/>
        <v>1204900</v>
      </c>
      <c r="M201" s="293"/>
    </row>
    <row r="202" spans="1:13" ht="18" customHeight="1">
      <c r="A202" s="293" t="str">
        <f t="shared" si="17"/>
        <v>NL</v>
      </c>
      <c r="B202" s="477">
        <f t="shared" si="18"/>
        <v>185</v>
      </c>
      <c r="C202" s="192" t="s">
        <v>669</v>
      </c>
      <c r="D202" s="296" t="s">
        <v>1170</v>
      </c>
      <c r="E202" s="8"/>
      <c r="F202" s="8"/>
      <c r="G202" s="25">
        <f t="array" ref="G202">SUM(IF("1521"&amp;C202=KHN&amp;MH,SL))</f>
        <v>250</v>
      </c>
      <c r="H202" s="25">
        <f t="array" ref="H202">SUM(IF("1521"&amp;C202=KHN&amp;MH,TH))</f>
        <v>6725750</v>
      </c>
      <c r="I202" s="25">
        <f t="array" ref="I202">SUM(IF("1521"&amp;C202=KHC&amp;MH,SL))</f>
        <v>0</v>
      </c>
      <c r="J202" s="25">
        <f t="array" ref="J202">SUM(IF("1521"&amp;C202=KHC&amp;MH,TH))</f>
        <v>0</v>
      </c>
      <c r="K202" s="8">
        <f t="shared" si="19"/>
        <v>250</v>
      </c>
      <c r="L202" s="8">
        <f t="shared" si="20"/>
        <v>6725750</v>
      </c>
      <c r="M202" s="293"/>
    </row>
    <row r="203" spans="1:13" ht="18" customHeight="1">
      <c r="A203" s="293" t="str">
        <f t="shared" si="17"/>
        <v>NL</v>
      </c>
      <c r="B203" s="477">
        <f t="shared" si="18"/>
        <v>186</v>
      </c>
      <c r="C203" s="192" t="s">
        <v>651</v>
      </c>
      <c r="D203" s="296" t="s">
        <v>1170</v>
      </c>
      <c r="E203" s="8"/>
      <c r="F203" s="8"/>
      <c r="G203" s="25">
        <f t="array" ref="G203">SUM(IF("1521"&amp;C203=KHN&amp;MH,SL))</f>
        <v>215</v>
      </c>
      <c r="H203" s="25">
        <f t="array" ref="H203">SUM(IF("1521"&amp;C203=KHN&amp;MH,TH))</f>
        <v>1978000</v>
      </c>
      <c r="I203" s="25">
        <f t="array" ref="I203">SUM(IF("1521"&amp;C203=KHC&amp;MH,SL))</f>
        <v>0</v>
      </c>
      <c r="J203" s="25">
        <f t="array" ref="J203">SUM(IF("1521"&amp;C203=KHC&amp;MH,TH))</f>
        <v>0</v>
      </c>
      <c r="K203" s="8">
        <f t="shared" si="19"/>
        <v>215</v>
      </c>
      <c r="L203" s="8">
        <f t="shared" si="20"/>
        <v>1978000</v>
      </c>
      <c r="M203" s="293"/>
    </row>
    <row r="204" spans="1:13" ht="18" customHeight="1">
      <c r="A204" s="293" t="str">
        <f t="shared" si="17"/>
        <v>NL</v>
      </c>
      <c r="B204" s="477">
        <f t="shared" si="18"/>
        <v>187</v>
      </c>
      <c r="C204" s="192" t="s">
        <v>673</v>
      </c>
      <c r="D204" s="296" t="s">
        <v>1170</v>
      </c>
      <c r="E204" s="8"/>
      <c r="F204" s="8"/>
      <c r="G204" s="25">
        <f t="array" ref="G204">SUM(IF("1521"&amp;C204=KHN&amp;MH,SL))</f>
        <v>835</v>
      </c>
      <c r="H204" s="25">
        <f t="array" ref="H204">SUM(IF("1521"&amp;C204=KHN&amp;MH,TH))</f>
        <v>12368855</v>
      </c>
      <c r="I204" s="25">
        <f t="array" ref="I204">SUM(IF("1521"&amp;C204=KHC&amp;MH,SL))</f>
        <v>0</v>
      </c>
      <c r="J204" s="25">
        <f t="array" ref="J204">SUM(IF("1521"&amp;C204=KHC&amp;MH,TH))</f>
        <v>0</v>
      </c>
      <c r="K204" s="8">
        <f t="shared" si="19"/>
        <v>835</v>
      </c>
      <c r="L204" s="8">
        <f t="shared" si="20"/>
        <v>12368855</v>
      </c>
      <c r="M204" s="293"/>
    </row>
    <row r="205" spans="1:13" ht="18" customHeight="1">
      <c r="A205" s="293" t="str">
        <f t="shared" si="17"/>
        <v>NL</v>
      </c>
      <c r="B205" s="477">
        <f t="shared" si="18"/>
        <v>188</v>
      </c>
      <c r="C205" s="192" t="s">
        <v>647</v>
      </c>
      <c r="D205" s="296" t="s">
        <v>1170</v>
      </c>
      <c r="E205" s="8"/>
      <c r="F205" s="8"/>
      <c r="G205" s="25">
        <f t="array" ref="G205">SUM(IF("1521"&amp;C205=KHN&amp;MH,SL))</f>
        <v>250</v>
      </c>
      <c r="H205" s="25">
        <f t="array" ref="H205">SUM(IF("1521"&amp;C205=KHN&amp;MH,TH))</f>
        <v>4448000</v>
      </c>
      <c r="I205" s="25">
        <f t="array" ref="I205">SUM(IF("1521"&amp;C205=KHC&amp;MH,SL))</f>
        <v>0</v>
      </c>
      <c r="J205" s="25">
        <f t="array" ref="J205">SUM(IF("1521"&amp;C205=KHC&amp;MH,TH))</f>
        <v>0</v>
      </c>
      <c r="K205" s="8">
        <f t="shared" si="19"/>
        <v>250</v>
      </c>
      <c r="L205" s="8">
        <f t="shared" si="20"/>
        <v>4448000</v>
      </c>
      <c r="M205" s="293"/>
    </row>
    <row r="206" spans="1:13" ht="18" customHeight="1">
      <c r="A206" s="293" t="str">
        <f t="shared" si="17"/>
        <v>NL</v>
      </c>
      <c r="B206" s="477">
        <f t="shared" si="18"/>
        <v>189</v>
      </c>
      <c r="C206" s="192" t="s">
        <v>661</v>
      </c>
      <c r="D206" s="296" t="s">
        <v>1170</v>
      </c>
      <c r="E206" s="8"/>
      <c r="F206" s="8"/>
      <c r="G206" s="25">
        <f t="array" ref="G206">SUM(IF("1521"&amp;C206=KHN&amp;MH,SL))</f>
        <v>350</v>
      </c>
      <c r="H206" s="25">
        <f t="array" ref="H206">SUM(IF("1521"&amp;C206=KHN&amp;MH,TH))</f>
        <v>7101500</v>
      </c>
      <c r="I206" s="25">
        <f t="array" ref="I206">SUM(IF("1521"&amp;C206=KHC&amp;MH,SL))</f>
        <v>0</v>
      </c>
      <c r="J206" s="25">
        <f t="array" ref="J206">SUM(IF("1521"&amp;C206=KHC&amp;MH,TH))</f>
        <v>0</v>
      </c>
      <c r="K206" s="8">
        <f t="shared" si="19"/>
        <v>350</v>
      </c>
      <c r="L206" s="8">
        <f t="shared" si="20"/>
        <v>7101500</v>
      </c>
      <c r="M206" s="293"/>
    </row>
    <row r="207" spans="1:13" ht="18" customHeight="1">
      <c r="A207" s="293" t="str">
        <f t="shared" si="17"/>
        <v>NL</v>
      </c>
      <c r="B207" s="477">
        <f t="shared" si="18"/>
        <v>190</v>
      </c>
      <c r="C207" s="192" t="s">
        <v>658</v>
      </c>
      <c r="D207" s="296" t="s">
        <v>1170</v>
      </c>
      <c r="E207" s="8"/>
      <c r="F207" s="8"/>
      <c r="G207" s="25">
        <f t="array" ref="G207">SUM(IF("1521"&amp;C207=KHN&amp;MH,SL))</f>
        <v>265</v>
      </c>
      <c r="H207" s="25">
        <f t="array" ref="H207">SUM(IF("1521"&amp;C207=KHN&amp;MH,TH))</f>
        <v>3665480</v>
      </c>
      <c r="I207" s="25">
        <f t="array" ref="I207">SUM(IF("1521"&amp;C207=KHC&amp;MH,SL))</f>
        <v>0</v>
      </c>
      <c r="J207" s="25">
        <f t="array" ref="J207">SUM(IF("1521"&amp;C207=KHC&amp;MH,TH))</f>
        <v>0</v>
      </c>
      <c r="K207" s="8">
        <f t="shared" si="19"/>
        <v>265</v>
      </c>
      <c r="L207" s="8">
        <f t="shared" si="20"/>
        <v>3665480</v>
      </c>
      <c r="M207" s="293"/>
    </row>
    <row r="208" spans="1:13" ht="18" customHeight="1">
      <c r="A208" s="293" t="str">
        <f t="shared" si="17"/>
        <v>NL</v>
      </c>
      <c r="B208" s="477">
        <f t="shared" si="18"/>
        <v>191</v>
      </c>
      <c r="C208" s="192" t="s">
        <v>659</v>
      </c>
      <c r="D208" s="296" t="s">
        <v>1170</v>
      </c>
      <c r="E208" s="8"/>
      <c r="F208" s="8"/>
      <c r="G208" s="25">
        <f t="array" ref="G208">SUM(IF("1521"&amp;C208=KHN&amp;MH,SL))</f>
        <v>265</v>
      </c>
      <c r="H208" s="25">
        <f t="array" ref="H208">SUM(IF("1521"&amp;C208=KHN&amp;MH,TH))</f>
        <v>3825010</v>
      </c>
      <c r="I208" s="25">
        <f t="array" ref="I208">SUM(IF("1521"&amp;C208=KHC&amp;MH,SL))</f>
        <v>0</v>
      </c>
      <c r="J208" s="25">
        <f t="array" ref="J208">SUM(IF("1521"&amp;C208=KHC&amp;MH,TH))</f>
        <v>0</v>
      </c>
      <c r="K208" s="8">
        <f t="shared" si="19"/>
        <v>265</v>
      </c>
      <c r="L208" s="8">
        <f t="shared" si="20"/>
        <v>3825010</v>
      </c>
      <c r="M208" s="293"/>
    </row>
    <row r="209" spans="1:13" ht="18" customHeight="1">
      <c r="A209" s="293" t="str">
        <f t="shared" si="17"/>
        <v>NL</v>
      </c>
      <c r="B209" s="477">
        <f t="shared" si="18"/>
        <v>192</v>
      </c>
      <c r="C209" s="192" t="s">
        <v>652</v>
      </c>
      <c r="D209" s="296" t="s">
        <v>1170</v>
      </c>
      <c r="E209" s="8"/>
      <c r="F209" s="8"/>
      <c r="G209" s="25">
        <f t="array" ref="G209">SUM(IF("1521"&amp;C209=KHN&amp;MH,SL))</f>
        <v>4039</v>
      </c>
      <c r="H209" s="25">
        <f t="array" ref="H209">SUM(IF("1521"&amp;C209=KHN&amp;MH,TH))</f>
        <v>34179708</v>
      </c>
      <c r="I209" s="25">
        <f t="array" ref="I209">SUM(IF("1521"&amp;C209=KHC&amp;MH,SL))</f>
        <v>0</v>
      </c>
      <c r="J209" s="25">
        <f t="array" ref="J209">SUM(IF("1521"&amp;C209=KHC&amp;MH,TH))</f>
        <v>0</v>
      </c>
      <c r="K209" s="8">
        <f t="shared" si="19"/>
        <v>4039</v>
      </c>
      <c r="L209" s="8">
        <f t="shared" si="20"/>
        <v>34179708</v>
      </c>
      <c r="M209" s="293"/>
    </row>
    <row r="210" spans="1:13" ht="18" customHeight="1">
      <c r="A210" s="293" t="str">
        <f t="shared" si="17"/>
        <v>NL</v>
      </c>
      <c r="B210" s="477">
        <f t="shared" si="18"/>
        <v>193</v>
      </c>
      <c r="C210" s="192" t="s">
        <v>643</v>
      </c>
      <c r="D210" s="296" t="s">
        <v>1170</v>
      </c>
      <c r="E210" s="8"/>
      <c r="F210" s="8"/>
      <c r="G210" s="25">
        <f t="array" ref="G210">SUM(IF("1521"&amp;C210=KHN&amp;MH,SL))</f>
        <v>350</v>
      </c>
      <c r="H210" s="25">
        <f t="array" ref="H210">SUM(IF("1521"&amp;C210=KHN&amp;MH,TH))</f>
        <v>2738050</v>
      </c>
      <c r="I210" s="25">
        <f t="array" ref="I210">SUM(IF("1521"&amp;C210=KHC&amp;MH,SL))</f>
        <v>0</v>
      </c>
      <c r="J210" s="25">
        <f t="array" ref="J210">SUM(IF("1521"&amp;C210=KHC&amp;MH,TH))</f>
        <v>0</v>
      </c>
      <c r="K210" s="8">
        <f t="shared" si="19"/>
        <v>350</v>
      </c>
      <c r="L210" s="8">
        <f t="shared" si="20"/>
        <v>2738050</v>
      </c>
      <c r="M210" s="293"/>
    </row>
    <row r="211" spans="1:13" ht="18" customHeight="1">
      <c r="A211" s="293" t="str">
        <f t="shared" si="17"/>
        <v>NL</v>
      </c>
      <c r="B211" s="477">
        <f t="shared" si="18"/>
        <v>194</v>
      </c>
      <c r="C211" s="192" t="s">
        <v>657</v>
      </c>
      <c r="D211" s="296" t="s">
        <v>1170</v>
      </c>
      <c r="E211" s="8"/>
      <c r="F211" s="8"/>
      <c r="G211" s="25">
        <f t="array" ref="G211">SUM(IF("1521"&amp;C211=KHN&amp;MH,SL))</f>
        <v>135</v>
      </c>
      <c r="H211" s="25">
        <f t="array" ref="H211">SUM(IF("1521"&amp;C211=KHN&amp;MH,TH))</f>
        <v>1709775</v>
      </c>
      <c r="I211" s="25">
        <f t="array" ref="I211">SUM(IF("1521"&amp;C211=KHC&amp;MH,SL))</f>
        <v>0</v>
      </c>
      <c r="J211" s="25">
        <f t="array" ref="J211">SUM(IF("1521"&amp;C211=KHC&amp;MH,TH))</f>
        <v>0</v>
      </c>
      <c r="K211" s="8">
        <f t="shared" si="19"/>
        <v>135</v>
      </c>
      <c r="L211" s="8">
        <f t="shared" si="20"/>
        <v>1709775</v>
      </c>
      <c r="M211" s="293"/>
    </row>
    <row r="212" spans="1:13" ht="18" customHeight="1">
      <c r="A212" s="293" t="str">
        <f t="shared" si="17"/>
        <v>NL</v>
      </c>
      <c r="B212" s="477">
        <f t="shared" si="18"/>
        <v>195</v>
      </c>
      <c r="C212" s="189" t="s">
        <v>710</v>
      </c>
      <c r="D212" s="296" t="s">
        <v>1170</v>
      </c>
      <c r="E212" s="8"/>
      <c r="F212" s="8"/>
      <c r="G212" s="25">
        <f t="array" ref="G212">SUM(IF("1521"&amp;C212=KHN&amp;MH,SL))</f>
        <v>800</v>
      </c>
      <c r="H212" s="25">
        <f t="array" ref="H212">SUM(IF("1521"&amp;C212=KHN&amp;MH,TH))</f>
        <v>7200000</v>
      </c>
      <c r="I212" s="25">
        <f t="array" ref="I212">SUM(IF("1521"&amp;C212=KHC&amp;MH,SL))</f>
        <v>0</v>
      </c>
      <c r="J212" s="25">
        <f t="array" ref="J212">SUM(IF("1521"&amp;C212=KHC&amp;MH,TH))</f>
        <v>0</v>
      </c>
      <c r="K212" s="8">
        <f t="shared" si="19"/>
        <v>800</v>
      </c>
      <c r="L212" s="8">
        <f t="shared" si="20"/>
        <v>7200000</v>
      </c>
      <c r="M212" s="293"/>
    </row>
    <row r="213" spans="1:13" ht="18" customHeight="1">
      <c r="A213" s="293" t="str">
        <f t="shared" ref="A213:A216" si="21">IF(B213&lt;&gt;"","NL","")</f>
        <v>NL</v>
      </c>
      <c r="B213" s="477">
        <f t="shared" si="18"/>
        <v>196</v>
      </c>
      <c r="C213" s="192" t="s">
        <v>708</v>
      </c>
      <c r="D213" s="296" t="s">
        <v>1170</v>
      </c>
      <c r="E213" s="8"/>
      <c r="F213" s="8"/>
      <c r="G213" s="25">
        <f t="array" ref="G213">SUM(IF("1521"&amp;C213=KHN&amp;MH,SL))</f>
        <v>1000</v>
      </c>
      <c r="H213" s="25">
        <f t="array" ref="H213">SUM(IF("1521"&amp;C213=KHN&amp;MH,TH))</f>
        <v>9500000</v>
      </c>
      <c r="I213" s="25">
        <f t="array" ref="I213">SUM(IF("1521"&amp;C213=KHC&amp;MH,SL))</f>
        <v>0</v>
      </c>
      <c r="J213" s="25">
        <f t="array" ref="J213">SUM(IF("1521"&amp;C213=KHC&amp;MH,TH))</f>
        <v>0</v>
      </c>
      <c r="K213" s="8">
        <f t="shared" si="19"/>
        <v>1000</v>
      </c>
      <c r="L213" s="8">
        <f t="shared" si="20"/>
        <v>9500000</v>
      </c>
      <c r="M213" s="293"/>
    </row>
    <row r="214" spans="1:13" ht="18" customHeight="1">
      <c r="A214" s="293" t="str">
        <f t="shared" si="21"/>
        <v>NL</v>
      </c>
      <c r="B214" s="477">
        <f t="shared" si="18"/>
        <v>197</v>
      </c>
      <c r="C214" s="192" t="s">
        <v>705</v>
      </c>
      <c r="D214" s="296" t="s">
        <v>1170</v>
      </c>
      <c r="E214" s="8"/>
      <c r="F214" s="8"/>
      <c r="G214" s="25">
        <f t="array" ref="G214">SUM(IF("1521"&amp;C214=KHN&amp;MH,SL))</f>
        <v>1000</v>
      </c>
      <c r="H214" s="25">
        <f t="array" ref="H214">SUM(IF("1521"&amp;C214=KHN&amp;MH,TH))</f>
        <v>16800000</v>
      </c>
      <c r="I214" s="25">
        <f t="array" ref="I214">SUM(IF("1521"&amp;C214=KHC&amp;MH,SL))</f>
        <v>0</v>
      </c>
      <c r="J214" s="25">
        <f t="array" ref="J214">SUM(IF("1521"&amp;C214=KHC&amp;MH,TH))</f>
        <v>0</v>
      </c>
      <c r="K214" s="8">
        <f t="shared" si="19"/>
        <v>1000</v>
      </c>
      <c r="L214" s="8">
        <f t="shared" si="20"/>
        <v>16800000</v>
      </c>
      <c r="M214" s="293"/>
    </row>
    <row r="215" spans="1:13" ht="18" customHeight="1">
      <c r="A215" s="293" t="str">
        <f t="shared" si="21"/>
        <v>NL</v>
      </c>
      <c r="B215" s="477">
        <f t="shared" si="18"/>
        <v>198</v>
      </c>
      <c r="C215" s="192" t="s">
        <v>711</v>
      </c>
      <c r="D215" s="296" t="s">
        <v>1170</v>
      </c>
      <c r="E215" s="8"/>
      <c r="F215" s="8"/>
      <c r="G215" s="25">
        <f t="array" ref="G215">SUM(IF("1521"&amp;C215=KHN&amp;MH,SL))</f>
        <v>1100</v>
      </c>
      <c r="H215" s="25">
        <f t="array" ref="H215">SUM(IF("1521"&amp;C215=KHN&amp;MH,TH))</f>
        <v>16500000</v>
      </c>
      <c r="I215" s="25">
        <f t="array" ref="I215">SUM(IF("1521"&amp;C215=KHC&amp;MH,SL))</f>
        <v>0</v>
      </c>
      <c r="J215" s="25">
        <f t="array" ref="J215">SUM(IF("1521"&amp;C215=KHC&amp;MH,TH))</f>
        <v>0</v>
      </c>
      <c r="K215" s="8">
        <f t="shared" si="19"/>
        <v>1100</v>
      </c>
      <c r="L215" s="8">
        <f t="shared" si="20"/>
        <v>16500000</v>
      </c>
      <c r="M215" s="293"/>
    </row>
    <row r="216" spans="1:13" ht="19.5" customHeight="1">
      <c r="A216" s="293" t="str">
        <f t="shared" si="21"/>
        <v/>
      </c>
      <c r="B216" s="477" t="str">
        <f t="shared" si="18"/>
        <v/>
      </c>
      <c r="C216" s="302"/>
      <c r="D216" s="303"/>
      <c r="E216" s="304"/>
      <c r="F216" s="304"/>
      <c r="G216" s="304"/>
      <c r="H216" s="304"/>
      <c r="I216" s="304"/>
      <c r="J216" s="304"/>
      <c r="K216" s="8"/>
      <c r="L216" s="8"/>
      <c r="M216" s="293"/>
    </row>
    <row r="217" spans="1:13" ht="19.5" customHeight="1">
      <c r="A217" s="293" t="str">
        <f t="shared" ref="A217" si="22">IF(B217&lt;&gt;"","NL","")</f>
        <v/>
      </c>
      <c r="B217" s="292"/>
      <c r="C217" s="301" t="s">
        <v>352</v>
      </c>
      <c r="D217" s="292"/>
      <c r="E217" s="13">
        <f>SUM(E18:E216)</f>
        <v>53620</v>
      </c>
      <c r="F217" s="13">
        <f>SUM(F18:F216)</f>
        <v>928036588</v>
      </c>
      <c r="G217" s="13">
        <f>SUM(G18:G216)</f>
        <v>46877</v>
      </c>
      <c r="H217" s="13">
        <f>SUM(H18:H216)</f>
        <v>651927124</v>
      </c>
      <c r="I217" s="13">
        <f>SUM(I18:I216)</f>
        <v>0</v>
      </c>
      <c r="J217" s="13">
        <f>SUM(J18:J216)</f>
        <v>0</v>
      </c>
      <c r="K217" s="13">
        <f>SUM(K18:K216)</f>
        <v>100497</v>
      </c>
      <c r="L217" s="13">
        <f>SUM(L18:L216)</f>
        <v>1579963712</v>
      </c>
      <c r="M217" s="293"/>
    </row>
    <row r="218" spans="1:13" ht="19.5" customHeight="1">
      <c r="A218" s="293"/>
      <c r="B218" s="478"/>
      <c r="C218" s="479"/>
      <c r="D218" s="478"/>
      <c r="E218" s="480"/>
      <c r="F218" s="480">
        <f>F217-CDPS!C19</f>
        <v>0</v>
      </c>
      <c r="G218" s="480"/>
      <c r="H218" s="480">
        <f>H217-CDPS!E19</f>
        <v>0</v>
      </c>
      <c r="I218" s="480"/>
      <c r="J218" s="480">
        <f>J217-CDPS!F19</f>
        <v>0</v>
      </c>
      <c r="K218" s="480"/>
      <c r="L218" s="480">
        <f>L217-CDPS!G19</f>
        <v>0</v>
      </c>
      <c r="M218" s="293"/>
    </row>
    <row r="219" spans="1:13" ht="19.5" customHeight="1">
      <c r="A219" s="293" t="str">
        <f t="shared" ref="A219:A250" si="23">IF(B219&lt;&gt;"","TP","")</f>
        <v>TP</v>
      </c>
      <c r="B219" s="306">
        <f t="shared" ref="B219:B250" si="24">IF(C219&lt;&gt;"",B218+1,"")</f>
        <v>1</v>
      </c>
      <c r="C219" s="192" t="s">
        <v>1137</v>
      </c>
      <c r="D219" s="305"/>
      <c r="E219" s="25"/>
      <c r="F219" s="25"/>
      <c r="G219" s="25">
        <f t="array" ref="G219">SUM(IF("155"&amp;C219=KHN&amp;MH,SL))</f>
        <v>0</v>
      </c>
      <c r="H219" s="25">
        <f t="array" ref="H219">SUM(IF("155"&amp;C219=KHN&amp;MH,TH))</f>
        <v>0</v>
      </c>
      <c r="I219" s="25">
        <f t="array" ref="I219">SUM(IF("155"&amp;C219=KHC&amp;MH,SL))</f>
        <v>0</v>
      </c>
      <c r="J219" s="25">
        <f t="array" ref="J219">SUM(IF("155"&amp;C219=KHC&amp;MH,TH))</f>
        <v>0</v>
      </c>
      <c r="K219" s="25">
        <f t="shared" ref="K219:K250" si="25">E219+G219-I219</f>
        <v>0</v>
      </c>
      <c r="L219" s="25">
        <f t="shared" ref="L219:L250" si="26">F219+H219-J219</f>
        <v>0</v>
      </c>
      <c r="M219" s="293"/>
    </row>
    <row r="220" spans="1:13" ht="19.5" customHeight="1">
      <c r="A220" s="293" t="str">
        <f t="shared" si="23"/>
        <v>TP</v>
      </c>
      <c r="B220" s="306">
        <f t="shared" si="24"/>
        <v>2</v>
      </c>
      <c r="C220" s="192" t="s">
        <v>737</v>
      </c>
      <c r="D220" s="305"/>
      <c r="E220" s="8"/>
      <c r="F220" s="8"/>
      <c r="G220" s="25">
        <f t="array" ref="G220">SUM(IF("155"&amp;C220=KHN&amp;MH,SL))</f>
        <v>0</v>
      </c>
      <c r="H220" s="25">
        <f t="array" ref="H220">SUM(IF("155"&amp;C220=KHN&amp;MH,TH))</f>
        <v>0</v>
      </c>
      <c r="I220" s="25">
        <f t="array" ref="I220">SUM(IF("155"&amp;C220=KHC&amp;MH,SL))</f>
        <v>0</v>
      </c>
      <c r="J220" s="25">
        <f t="array" ref="J220">SUM(IF("155"&amp;C220=KHC&amp;MH,TH))</f>
        <v>0</v>
      </c>
      <c r="K220" s="8">
        <f t="shared" si="25"/>
        <v>0</v>
      </c>
      <c r="L220" s="8">
        <f t="shared" si="26"/>
        <v>0</v>
      </c>
      <c r="M220" s="293"/>
    </row>
    <row r="221" spans="1:13" ht="18" customHeight="1">
      <c r="A221" s="293" t="str">
        <f t="shared" si="23"/>
        <v>TP</v>
      </c>
      <c r="B221" s="306">
        <f t="shared" si="24"/>
        <v>3</v>
      </c>
      <c r="C221" s="192" t="s">
        <v>739</v>
      </c>
      <c r="D221" s="305"/>
      <c r="E221" s="8"/>
      <c r="F221" s="8"/>
      <c r="G221" s="25">
        <f t="array" ref="G221">SUM(IF("155"&amp;C221=KHN&amp;MH,SL))</f>
        <v>0</v>
      </c>
      <c r="H221" s="25">
        <f t="array" ref="H221">SUM(IF("155"&amp;C221=KHN&amp;MH,TH))</f>
        <v>0</v>
      </c>
      <c r="I221" s="25">
        <f t="array" ref="I221">SUM(IF("155"&amp;C221=KHC&amp;MH,SL))</f>
        <v>0</v>
      </c>
      <c r="J221" s="25">
        <f t="array" ref="J221">SUM(IF("155"&amp;C221=KHC&amp;MH,TH))</f>
        <v>0</v>
      </c>
      <c r="K221" s="8">
        <f t="shared" si="25"/>
        <v>0</v>
      </c>
      <c r="L221" s="8">
        <f t="shared" si="26"/>
        <v>0</v>
      </c>
      <c r="M221" s="293"/>
    </row>
    <row r="222" spans="1:13" ht="18" customHeight="1">
      <c r="A222" s="293" t="str">
        <f t="shared" si="23"/>
        <v>TP</v>
      </c>
      <c r="B222" s="306">
        <f t="shared" si="24"/>
        <v>4</v>
      </c>
      <c r="C222" s="192" t="s">
        <v>738</v>
      </c>
      <c r="D222" s="305"/>
      <c r="E222" s="8"/>
      <c r="F222" s="8"/>
      <c r="G222" s="25">
        <f t="array" ref="G222">SUM(IF("155"&amp;C222=KHN&amp;MH,SL))</f>
        <v>0</v>
      </c>
      <c r="H222" s="25">
        <f t="array" ref="H222">SUM(IF("155"&amp;C222=KHN&amp;MH,TH))</f>
        <v>0</v>
      </c>
      <c r="I222" s="25">
        <f t="array" ref="I222">SUM(IF("155"&amp;C222=KHC&amp;MH,SL))</f>
        <v>0</v>
      </c>
      <c r="J222" s="25">
        <f t="array" ref="J222">SUM(IF("155"&amp;C222=KHC&amp;MH,TH))</f>
        <v>0</v>
      </c>
      <c r="K222" s="8">
        <f t="shared" si="25"/>
        <v>0</v>
      </c>
      <c r="L222" s="8">
        <f t="shared" si="26"/>
        <v>0</v>
      </c>
      <c r="M222" s="293"/>
    </row>
    <row r="223" spans="1:13" ht="18.75" customHeight="1">
      <c r="A223" s="293" t="str">
        <f t="shared" si="23"/>
        <v>TP</v>
      </c>
      <c r="B223" s="306">
        <f t="shared" si="24"/>
        <v>5</v>
      </c>
      <c r="C223" s="192" t="s">
        <v>736</v>
      </c>
      <c r="D223" s="305"/>
      <c r="E223" s="8"/>
      <c r="F223" s="8"/>
      <c r="G223" s="25">
        <f t="array" ref="G223">SUM(IF("155"&amp;C223=KHN&amp;MH,SL))</f>
        <v>0</v>
      </c>
      <c r="H223" s="25">
        <f t="array" ref="H223">SUM(IF("155"&amp;C223=KHN&amp;MH,TH))</f>
        <v>0</v>
      </c>
      <c r="I223" s="25">
        <f t="array" ref="I223">SUM(IF("155"&amp;C223=KHC&amp;MH,SL))</f>
        <v>0</v>
      </c>
      <c r="J223" s="25">
        <f t="array" ref="J223">SUM(IF("155"&amp;C223=KHC&amp;MH,TH))</f>
        <v>0</v>
      </c>
      <c r="K223" s="8">
        <f t="shared" si="25"/>
        <v>0</v>
      </c>
      <c r="L223" s="8">
        <f t="shared" si="26"/>
        <v>0</v>
      </c>
      <c r="M223" s="293"/>
    </row>
    <row r="224" spans="1:13" ht="18.75" customHeight="1">
      <c r="A224" s="293" t="str">
        <f t="shared" si="23"/>
        <v>TP</v>
      </c>
      <c r="B224" s="306">
        <f t="shared" si="24"/>
        <v>6</v>
      </c>
      <c r="C224" s="192" t="s">
        <v>801</v>
      </c>
      <c r="D224" s="305"/>
      <c r="E224" s="8"/>
      <c r="F224" s="8"/>
      <c r="G224" s="25">
        <f t="array" ref="G224">SUM(IF("155"&amp;C224=KHN&amp;MH,SL))</f>
        <v>0</v>
      </c>
      <c r="H224" s="25">
        <f t="array" ref="H224">SUM(IF("155"&amp;C224=KHN&amp;MH,TH))</f>
        <v>0</v>
      </c>
      <c r="I224" s="25">
        <f t="array" ref="I224">SUM(IF("155"&amp;C224=KHC&amp;MH,SL))</f>
        <v>0</v>
      </c>
      <c r="J224" s="25">
        <f t="array" ref="J224">SUM(IF("155"&amp;C224=KHC&amp;MH,TH))</f>
        <v>0</v>
      </c>
      <c r="K224" s="8">
        <f t="shared" si="25"/>
        <v>0</v>
      </c>
      <c r="L224" s="8">
        <f t="shared" si="26"/>
        <v>0</v>
      </c>
      <c r="M224" s="293"/>
    </row>
    <row r="225" spans="1:13" ht="18.75" customHeight="1">
      <c r="A225" s="293" t="str">
        <f t="shared" si="23"/>
        <v>TP</v>
      </c>
      <c r="B225" s="306">
        <f t="shared" si="24"/>
        <v>7</v>
      </c>
      <c r="C225" s="192" t="s">
        <v>819</v>
      </c>
      <c r="D225" s="305"/>
      <c r="E225" s="8"/>
      <c r="F225" s="8"/>
      <c r="G225" s="25">
        <f t="array" ref="G225">SUM(IF("155"&amp;C225=KHN&amp;MH,SL))</f>
        <v>0</v>
      </c>
      <c r="H225" s="25">
        <f t="array" ref="H225">SUM(IF("155"&amp;C225=KHN&amp;MH,TH))</f>
        <v>0</v>
      </c>
      <c r="I225" s="25">
        <f t="array" ref="I225">SUM(IF("155"&amp;C225=KHC&amp;MH,SL))</f>
        <v>0</v>
      </c>
      <c r="J225" s="25">
        <f t="array" ref="J225">SUM(IF("155"&amp;C225=KHC&amp;MH,TH))</f>
        <v>0</v>
      </c>
      <c r="K225" s="8">
        <f t="shared" si="25"/>
        <v>0</v>
      </c>
      <c r="L225" s="8">
        <f t="shared" si="26"/>
        <v>0</v>
      </c>
      <c r="M225" s="293"/>
    </row>
    <row r="226" spans="1:13" ht="18.75" customHeight="1">
      <c r="A226" s="293" t="str">
        <f t="shared" si="23"/>
        <v>TP</v>
      </c>
      <c r="B226" s="306">
        <f t="shared" si="24"/>
        <v>8</v>
      </c>
      <c r="C226" s="192" t="s">
        <v>887</v>
      </c>
      <c r="D226" s="305"/>
      <c r="E226" s="8"/>
      <c r="F226" s="8"/>
      <c r="G226" s="25">
        <f t="array" ref="G226">SUM(IF("155"&amp;C226=KHN&amp;MH,SL))</f>
        <v>0</v>
      </c>
      <c r="H226" s="25">
        <f t="array" ref="H226">SUM(IF("155"&amp;C226=KHN&amp;MH,TH))</f>
        <v>0</v>
      </c>
      <c r="I226" s="25">
        <f t="array" ref="I226">SUM(IF("155"&amp;C226=KHC&amp;MH,SL))</f>
        <v>0</v>
      </c>
      <c r="J226" s="25">
        <f t="array" ref="J226">SUM(IF("155"&amp;C226=KHC&amp;MH,TH))</f>
        <v>0</v>
      </c>
      <c r="K226" s="8">
        <f t="shared" si="25"/>
        <v>0</v>
      </c>
      <c r="L226" s="8">
        <f t="shared" si="26"/>
        <v>0</v>
      </c>
      <c r="M226" s="293"/>
    </row>
    <row r="227" spans="1:13" ht="18.75" customHeight="1">
      <c r="A227" s="293" t="str">
        <f t="shared" si="23"/>
        <v>TP</v>
      </c>
      <c r="B227" s="306">
        <f t="shared" si="24"/>
        <v>9</v>
      </c>
      <c r="C227" s="192" t="s">
        <v>910</v>
      </c>
      <c r="D227" s="305"/>
      <c r="E227" s="8"/>
      <c r="F227" s="8"/>
      <c r="G227" s="25">
        <f t="array" ref="G227">SUM(IF("155"&amp;C227=KHN&amp;MH,SL))</f>
        <v>0</v>
      </c>
      <c r="H227" s="25">
        <f t="array" ref="H227">SUM(IF("155"&amp;C227=KHN&amp;MH,TH))</f>
        <v>0</v>
      </c>
      <c r="I227" s="25">
        <f t="array" ref="I227">SUM(IF("155"&amp;C227=KHC&amp;MH,SL))</f>
        <v>0</v>
      </c>
      <c r="J227" s="25">
        <f t="array" ref="J227">SUM(IF("155"&amp;C227=KHC&amp;MH,TH))</f>
        <v>0</v>
      </c>
      <c r="K227" s="8">
        <f t="shared" si="25"/>
        <v>0</v>
      </c>
      <c r="L227" s="8">
        <f t="shared" si="26"/>
        <v>0</v>
      </c>
      <c r="M227" s="293"/>
    </row>
    <row r="228" spans="1:13" ht="18.75" customHeight="1">
      <c r="A228" s="293" t="str">
        <f t="shared" si="23"/>
        <v>TP</v>
      </c>
      <c r="B228" s="306">
        <f t="shared" si="24"/>
        <v>10</v>
      </c>
      <c r="C228" s="192" t="s">
        <v>877</v>
      </c>
      <c r="D228" s="305"/>
      <c r="E228" s="8"/>
      <c r="F228" s="8"/>
      <c r="G228" s="25">
        <f t="array" ref="G228">SUM(IF("155"&amp;C228=KHN&amp;MH,SL))</f>
        <v>0</v>
      </c>
      <c r="H228" s="25">
        <f t="array" ref="H228">SUM(IF("155"&amp;C228=KHN&amp;MH,TH))</f>
        <v>0</v>
      </c>
      <c r="I228" s="25">
        <f t="array" ref="I228">SUM(IF("155"&amp;C228=KHC&amp;MH,SL))</f>
        <v>0</v>
      </c>
      <c r="J228" s="25">
        <f t="array" ref="J228">SUM(IF("155"&amp;C228=KHC&amp;MH,TH))</f>
        <v>0</v>
      </c>
      <c r="K228" s="8">
        <f t="shared" si="25"/>
        <v>0</v>
      </c>
      <c r="L228" s="8">
        <f t="shared" si="26"/>
        <v>0</v>
      </c>
      <c r="M228" s="293"/>
    </row>
    <row r="229" spans="1:13" ht="18.75" customHeight="1">
      <c r="A229" s="293" t="str">
        <f t="shared" si="23"/>
        <v>TP</v>
      </c>
      <c r="B229" s="306">
        <f t="shared" si="24"/>
        <v>11</v>
      </c>
      <c r="C229" s="192" t="s">
        <v>1018</v>
      </c>
      <c r="D229" s="305"/>
      <c r="E229" s="8"/>
      <c r="F229" s="8"/>
      <c r="G229" s="25">
        <f t="array" ref="G229">SUM(IF("155"&amp;C229=KHN&amp;MH,SL))</f>
        <v>0</v>
      </c>
      <c r="H229" s="25">
        <f t="array" ref="H229">SUM(IF("155"&amp;C229=KHN&amp;MH,TH))</f>
        <v>0</v>
      </c>
      <c r="I229" s="25">
        <f t="array" ref="I229">SUM(IF("155"&amp;C229=KHC&amp;MH,SL))</f>
        <v>0</v>
      </c>
      <c r="J229" s="25">
        <f t="array" ref="J229">SUM(IF("155"&amp;C229=KHC&amp;MH,TH))</f>
        <v>0</v>
      </c>
      <c r="K229" s="8">
        <f t="shared" si="25"/>
        <v>0</v>
      </c>
      <c r="L229" s="8">
        <f t="shared" si="26"/>
        <v>0</v>
      </c>
      <c r="M229" s="293"/>
    </row>
    <row r="230" spans="1:13" ht="18.75" customHeight="1">
      <c r="A230" s="293" t="str">
        <f t="shared" si="23"/>
        <v>TP</v>
      </c>
      <c r="B230" s="306">
        <f t="shared" si="24"/>
        <v>12</v>
      </c>
      <c r="C230" s="192" t="s">
        <v>880</v>
      </c>
      <c r="D230" s="305"/>
      <c r="E230" s="8"/>
      <c r="F230" s="8"/>
      <c r="G230" s="25">
        <f t="array" ref="G230">SUM(IF("155"&amp;C230=KHN&amp;MH,SL))</f>
        <v>0</v>
      </c>
      <c r="H230" s="25">
        <f t="array" ref="H230">SUM(IF("155"&amp;C230=KHN&amp;MH,TH))</f>
        <v>0</v>
      </c>
      <c r="I230" s="25">
        <f t="array" ref="I230">SUM(IF("155"&amp;C230=KHC&amp;MH,SL))</f>
        <v>0</v>
      </c>
      <c r="J230" s="25">
        <f t="array" ref="J230">SUM(IF("155"&amp;C230=KHC&amp;MH,TH))</f>
        <v>0</v>
      </c>
      <c r="K230" s="8">
        <f t="shared" si="25"/>
        <v>0</v>
      </c>
      <c r="L230" s="8">
        <f t="shared" si="26"/>
        <v>0</v>
      </c>
      <c r="M230" s="293"/>
    </row>
    <row r="231" spans="1:13" ht="18.75" customHeight="1">
      <c r="A231" s="293" t="str">
        <f t="shared" si="23"/>
        <v>TP</v>
      </c>
      <c r="B231" s="306">
        <f t="shared" si="24"/>
        <v>13</v>
      </c>
      <c r="C231" s="192" t="s">
        <v>1020</v>
      </c>
      <c r="D231" s="305"/>
      <c r="E231" s="8"/>
      <c r="F231" s="8"/>
      <c r="G231" s="25">
        <f t="array" ref="G231">SUM(IF("155"&amp;C231=KHN&amp;MH,SL))</f>
        <v>0</v>
      </c>
      <c r="H231" s="25">
        <f t="array" ref="H231">SUM(IF("155"&amp;C231=KHN&amp;MH,TH))</f>
        <v>0</v>
      </c>
      <c r="I231" s="25">
        <f t="array" ref="I231">SUM(IF("155"&amp;C231=KHC&amp;MH,SL))</f>
        <v>0</v>
      </c>
      <c r="J231" s="25">
        <f t="array" ref="J231">SUM(IF("155"&amp;C231=KHC&amp;MH,TH))</f>
        <v>0</v>
      </c>
      <c r="K231" s="8">
        <f t="shared" si="25"/>
        <v>0</v>
      </c>
      <c r="L231" s="8">
        <f t="shared" si="26"/>
        <v>0</v>
      </c>
      <c r="M231" s="293"/>
    </row>
    <row r="232" spans="1:13" ht="18.75" customHeight="1">
      <c r="A232" s="293" t="str">
        <f t="shared" si="23"/>
        <v>TP</v>
      </c>
      <c r="B232" s="306">
        <f t="shared" si="24"/>
        <v>14</v>
      </c>
      <c r="C232" s="192" t="s">
        <v>881</v>
      </c>
      <c r="D232" s="305"/>
      <c r="E232" s="8"/>
      <c r="F232" s="8"/>
      <c r="G232" s="25">
        <f t="array" ref="G232">SUM(IF("155"&amp;C232=KHN&amp;MH,SL))</f>
        <v>0</v>
      </c>
      <c r="H232" s="25">
        <f t="array" ref="H232">SUM(IF("155"&amp;C232=KHN&amp;MH,TH))</f>
        <v>0</v>
      </c>
      <c r="I232" s="25">
        <f t="array" ref="I232">SUM(IF("155"&amp;C232=KHC&amp;MH,SL))</f>
        <v>0</v>
      </c>
      <c r="J232" s="25">
        <f t="array" ref="J232">SUM(IF("155"&amp;C232=KHC&amp;MH,TH))</f>
        <v>0</v>
      </c>
      <c r="K232" s="8">
        <f t="shared" si="25"/>
        <v>0</v>
      </c>
      <c r="L232" s="8">
        <f t="shared" si="26"/>
        <v>0</v>
      </c>
      <c r="M232" s="293"/>
    </row>
    <row r="233" spans="1:13" ht="18.75" customHeight="1">
      <c r="A233" s="293" t="str">
        <f t="shared" si="23"/>
        <v>TP</v>
      </c>
      <c r="B233" s="306">
        <f t="shared" si="24"/>
        <v>15</v>
      </c>
      <c r="C233" s="192" t="s">
        <v>882</v>
      </c>
      <c r="D233" s="305"/>
      <c r="E233" s="8"/>
      <c r="F233" s="8"/>
      <c r="G233" s="25">
        <f t="array" ref="G233">SUM(IF("155"&amp;C233=KHN&amp;MH,SL))</f>
        <v>0</v>
      </c>
      <c r="H233" s="25">
        <f t="array" ref="H233">SUM(IF("155"&amp;C233=KHN&amp;MH,TH))</f>
        <v>0</v>
      </c>
      <c r="I233" s="25">
        <f t="array" ref="I233">SUM(IF("155"&amp;C233=KHC&amp;MH,SL))</f>
        <v>0</v>
      </c>
      <c r="J233" s="25">
        <f t="array" ref="J233">SUM(IF("155"&amp;C233=KHC&amp;MH,TH))</f>
        <v>0</v>
      </c>
      <c r="K233" s="8">
        <f t="shared" si="25"/>
        <v>0</v>
      </c>
      <c r="L233" s="8">
        <f t="shared" si="26"/>
        <v>0</v>
      </c>
      <c r="M233" s="293"/>
    </row>
    <row r="234" spans="1:13" ht="18.75" customHeight="1">
      <c r="A234" s="293" t="str">
        <f t="shared" si="23"/>
        <v>TP</v>
      </c>
      <c r="B234" s="306">
        <f t="shared" si="24"/>
        <v>16</v>
      </c>
      <c r="C234" s="192" t="s">
        <v>785</v>
      </c>
      <c r="D234" s="305"/>
      <c r="E234" s="8"/>
      <c r="F234" s="8"/>
      <c r="G234" s="25">
        <f t="array" ref="G234">SUM(IF("155"&amp;C234=KHN&amp;MH,SL))</f>
        <v>0</v>
      </c>
      <c r="H234" s="25">
        <f t="array" ref="H234">SUM(IF("155"&amp;C234=KHN&amp;MH,TH))</f>
        <v>0</v>
      </c>
      <c r="I234" s="25">
        <f t="array" ref="I234">SUM(IF("155"&amp;C234=KHC&amp;MH,SL))</f>
        <v>0</v>
      </c>
      <c r="J234" s="25">
        <f t="array" ref="J234">SUM(IF("155"&amp;C234=KHC&amp;MH,TH))</f>
        <v>0</v>
      </c>
      <c r="K234" s="8">
        <f t="shared" si="25"/>
        <v>0</v>
      </c>
      <c r="L234" s="8">
        <f t="shared" si="26"/>
        <v>0</v>
      </c>
      <c r="M234" s="293"/>
    </row>
    <row r="235" spans="1:13" ht="18.75" customHeight="1">
      <c r="A235" s="293" t="str">
        <f t="shared" si="23"/>
        <v>TP</v>
      </c>
      <c r="B235" s="306">
        <f t="shared" si="24"/>
        <v>17</v>
      </c>
      <c r="C235" s="192" t="s">
        <v>786</v>
      </c>
      <c r="D235" s="305"/>
      <c r="E235" s="8"/>
      <c r="F235" s="8"/>
      <c r="G235" s="25">
        <f t="array" ref="G235">SUM(IF("155"&amp;C235=KHN&amp;MH,SL))</f>
        <v>0</v>
      </c>
      <c r="H235" s="25">
        <f t="array" ref="H235">SUM(IF("155"&amp;C235=KHN&amp;MH,TH))</f>
        <v>0</v>
      </c>
      <c r="I235" s="25">
        <f t="array" ref="I235">SUM(IF("155"&amp;C235=KHC&amp;MH,SL))</f>
        <v>0</v>
      </c>
      <c r="J235" s="25">
        <f t="array" ref="J235">SUM(IF("155"&amp;C235=KHC&amp;MH,TH))</f>
        <v>0</v>
      </c>
      <c r="K235" s="8">
        <f t="shared" si="25"/>
        <v>0</v>
      </c>
      <c r="L235" s="8">
        <f t="shared" si="26"/>
        <v>0</v>
      </c>
      <c r="M235" s="293"/>
    </row>
    <row r="236" spans="1:13" ht="18.75" customHeight="1">
      <c r="A236" s="293" t="str">
        <f t="shared" si="23"/>
        <v>TP</v>
      </c>
      <c r="B236" s="306">
        <f t="shared" si="24"/>
        <v>18</v>
      </c>
      <c r="C236" s="192" t="s">
        <v>883</v>
      </c>
      <c r="D236" s="305"/>
      <c r="E236" s="8"/>
      <c r="F236" s="8"/>
      <c r="G236" s="25">
        <f t="array" ref="G236">SUM(IF("155"&amp;C236=KHN&amp;MH,SL))</f>
        <v>0</v>
      </c>
      <c r="H236" s="25">
        <f t="array" ref="H236">SUM(IF("155"&amp;C236=KHN&amp;MH,TH))</f>
        <v>0</v>
      </c>
      <c r="I236" s="25">
        <f t="array" ref="I236">SUM(IF("155"&amp;C236=KHC&amp;MH,SL))</f>
        <v>0</v>
      </c>
      <c r="J236" s="25">
        <f t="array" ref="J236">SUM(IF("155"&amp;C236=KHC&amp;MH,TH))</f>
        <v>0</v>
      </c>
      <c r="K236" s="8">
        <f t="shared" si="25"/>
        <v>0</v>
      </c>
      <c r="L236" s="8">
        <f t="shared" si="26"/>
        <v>0</v>
      </c>
      <c r="M236" s="293"/>
    </row>
    <row r="237" spans="1:13" ht="18.75" customHeight="1">
      <c r="A237" s="293" t="str">
        <f t="shared" si="23"/>
        <v>TP</v>
      </c>
      <c r="B237" s="306">
        <f t="shared" si="24"/>
        <v>19</v>
      </c>
      <c r="C237" s="192" t="s">
        <v>1022</v>
      </c>
      <c r="D237" s="305"/>
      <c r="E237" s="8"/>
      <c r="F237" s="8"/>
      <c r="G237" s="25">
        <f t="array" ref="G237">SUM(IF("155"&amp;C237=KHN&amp;MH,SL))</f>
        <v>0</v>
      </c>
      <c r="H237" s="25">
        <f t="array" ref="H237">SUM(IF("155"&amp;C237=KHN&amp;MH,TH))</f>
        <v>0</v>
      </c>
      <c r="I237" s="25">
        <f t="array" ref="I237">SUM(IF("155"&amp;C237=KHC&amp;MH,SL))</f>
        <v>0</v>
      </c>
      <c r="J237" s="25">
        <f t="array" ref="J237">SUM(IF("155"&amp;C237=KHC&amp;MH,TH))</f>
        <v>0</v>
      </c>
      <c r="K237" s="8">
        <f t="shared" si="25"/>
        <v>0</v>
      </c>
      <c r="L237" s="8">
        <f t="shared" si="26"/>
        <v>0</v>
      </c>
      <c r="M237" s="293"/>
    </row>
    <row r="238" spans="1:13" ht="18.75" customHeight="1">
      <c r="A238" s="293" t="str">
        <f t="shared" si="23"/>
        <v>TP</v>
      </c>
      <c r="B238" s="306">
        <f t="shared" si="24"/>
        <v>20</v>
      </c>
      <c r="C238" s="192" t="s">
        <v>725</v>
      </c>
      <c r="D238" s="305"/>
      <c r="E238" s="8"/>
      <c r="F238" s="8"/>
      <c r="G238" s="25">
        <f t="array" ref="G238">SUM(IF("155"&amp;C238=KHN&amp;MH,SL))</f>
        <v>0</v>
      </c>
      <c r="H238" s="25">
        <f t="array" ref="H238">SUM(IF("155"&amp;C238=KHN&amp;MH,TH))</f>
        <v>0</v>
      </c>
      <c r="I238" s="25">
        <f t="array" ref="I238">SUM(IF("155"&amp;C238=KHC&amp;MH,SL))</f>
        <v>0</v>
      </c>
      <c r="J238" s="25">
        <f t="array" ref="J238">SUM(IF("155"&amp;C238=KHC&amp;MH,TH))</f>
        <v>0</v>
      </c>
      <c r="K238" s="8">
        <f t="shared" si="25"/>
        <v>0</v>
      </c>
      <c r="L238" s="8">
        <f t="shared" si="26"/>
        <v>0</v>
      </c>
      <c r="M238" s="293"/>
    </row>
    <row r="239" spans="1:13" ht="18.75" customHeight="1">
      <c r="A239" s="293" t="str">
        <f t="shared" si="23"/>
        <v>TP</v>
      </c>
      <c r="B239" s="306">
        <f t="shared" si="24"/>
        <v>21</v>
      </c>
      <c r="C239" s="192" t="s">
        <v>1138</v>
      </c>
      <c r="D239" s="305"/>
      <c r="E239" s="8"/>
      <c r="F239" s="8"/>
      <c r="G239" s="25">
        <f t="array" ref="G239">SUM(IF("155"&amp;C239=KHN&amp;MH,SL))</f>
        <v>0</v>
      </c>
      <c r="H239" s="25">
        <f t="array" ref="H239">SUM(IF("155"&amp;C239=KHN&amp;MH,TH))</f>
        <v>0</v>
      </c>
      <c r="I239" s="25">
        <f t="array" ref="I239">SUM(IF("155"&amp;C239=KHC&amp;MH,SL))</f>
        <v>0</v>
      </c>
      <c r="J239" s="25">
        <f t="array" ref="J239">SUM(IF("155"&amp;C239=KHC&amp;MH,TH))</f>
        <v>0</v>
      </c>
      <c r="K239" s="8">
        <f t="shared" si="25"/>
        <v>0</v>
      </c>
      <c r="L239" s="8">
        <f t="shared" si="26"/>
        <v>0</v>
      </c>
      <c r="M239" s="293"/>
    </row>
    <row r="240" spans="1:13" ht="18.75" customHeight="1">
      <c r="A240" s="293" t="str">
        <f t="shared" si="23"/>
        <v>TP</v>
      </c>
      <c r="B240" s="306">
        <f t="shared" si="24"/>
        <v>22</v>
      </c>
      <c r="C240" s="192" t="s">
        <v>805</v>
      </c>
      <c r="D240" s="305"/>
      <c r="E240" s="8"/>
      <c r="F240" s="8"/>
      <c r="G240" s="25">
        <f t="array" ref="G240">SUM(IF("155"&amp;C240=KHN&amp;MH,SL))</f>
        <v>0</v>
      </c>
      <c r="H240" s="25">
        <f t="array" ref="H240">SUM(IF("155"&amp;C240=KHN&amp;MH,TH))</f>
        <v>0</v>
      </c>
      <c r="I240" s="25">
        <f t="array" ref="I240">SUM(IF("155"&amp;C240=KHC&amp;MH,SL))</f>
        <v>0</v>
      </c>
      <c r="J240" s="25">
        <f t="array" ref="J240">SUM(IF("155"&amp;C240=KHC&amp;MH,TH))</f>
        <v>0</v>
      </c>
      <c r="K240" s="8">
        <f t="shared" si="25"/>
        <v>0</v>
      </c>
      <c r="L240" s="8">
        <f t="shared" si="26"/>
        <v>0</v>
      </c>
      <c r="M240" s="293"/>
    </row>
    <row r="241" spans="1:13" ht="18.75" customHeight="1">
      <c r="A241" s="293" t="str">
        <f t="shared" si="23"/>
        <v>TP</v>
      </c>
      <c r="B241" s="306">
        <f t="shared" si="24"/>
        <v>23</v>
      </c>
      <c r="C241" s="192" t="s">
        <v>1023</v>
      </c>
      <c r="D241" s="305"/>
      <c r="E241" s="8"/>
      <c r="F241" s="8"/>
      <c r="G241" s="25">
        <f t="array" ref="G241">SUM(IF("155"&amp;C241=KHN&amp;MH,SL))</f>
        <v>0</v>
      </c>
      <c r="H241" s="25">
        <f t="array" ref="H241">SUM(IF("155"&amp;C241=KHN&amp;MH,TH))</f>
        <v>0</v>
      </c>
      <c r="I241" s="25">
        <f t="array" ref="I241">SUM(IF("155"&amp;C241=KHC&amp;MH,SL))</f>
        <v>0</v>
      </c>
      <c r="J241" s="25">
        <f t="array" ref="J241">SUM(IF("155"&amp;C241=KHC&amp;MH,TH))</f>
        <v>0</v>
      </c>
      <c r="K241" s="8">
        <f t="shared" si="25"/>
        <v>0</v>
      </c>
      <c r="L241" s="8">
        <f t="shared" si="26"/>
        <v>0</v>
      </c>
      <c r="M241" s="293"/>
    </row>
    <row r="242" spans="1:13" ht="18.75" customHeight="1">
      <c r="A242" s="293" t="str">
        <f t="shared" si="23"/>
        <v>TP</v>
      </c>
      <c r="B242" s="306">
        <f t="shared" si="24"/>
        <v>24</v>
      </c>
      <c r="C242" s="192" t="s">
        <v>808</v>
      </c>
      <c r="D242" s="305"/>
      <c r="E242" s="8"/>
      <c r="F242" s="8"/>
      <c r="G242" s="25">
        <f t="array" ref="G242">SUM(IF("155"&amp;C242=KHN&amp;MH,SL))</f>
        <v>0</v>
      </c>
      <c r="H242" s="25">
        <f t="array" ref="H242">SUM(IF("155"&amp;C242=KHN&amp;MH,TH))</f>
        <v>0</v>
      </c>
      <c r="I242" s="25">
        <f t="array" ref="I242">SUM(IF("155"&amp;C242=KHC&amp;MH,SL))</f>
        <v>0</v>
      </c>
      <c r="J242" s="25">
        <f t="array" ref="J242">SUM(IF("155"&amp;C242=KHC&amp;MH,TH))</f>
        <v>0</v>
      </c>
      <c r="K242" s="8">
        <f t="shared" si="25"/>
        <v>0</v>
      </c>
      <c r="L242" s="8">
        <f t="shared" si="26"/>
        <v>0</v>
      </c>
      <c r="M242" s="293"/>
    </row>
    <row r="243" spans="1:13" ht="18.75" customHeight="1">
      <c r="A243" s="293" t="str">
        <f t="shared" si="23"/>
        <v>TP</v>
      </c>
      <c r="B243" s="306">
        <f t="shared" si="24"/>
        <v>25</v>
      </c>
      <c r="C243" s="192" t="s">
        <v>846</v>
      </c>
      <c r="D243" s="305"/>
      <c r="E243" s="8"/>
      <c r="F243" s="8"/>
      <c r="G243" s="25">
        <f t="array" ref="G243">SUM(IF("155"&amp;C243=KHN&amp;MH,SL))</f>
        <v>0</v>
      </c>
      <c r="H243" s="25">
        <f t="array" ref="H243">SUM(IF("155"&amp;C243=KHN&amp;MH,TH))</f>
        <v>0</v>
      </c>
      <c r="I243" s="25">
        <f t="array" ref="I243">SUM(IF("155"&amp;C243=KHC&amp;MH,SL))</f>
        <v>0</v>
      </c>
      <c r="J243" s="25">
        <f t="array" ref="J243">SUM(IF("155"&amp;C243=KHC&amp;MH,TH))</f>
        <v>0</v>
      </c>
      <c r="K243" s="8">
        <f t="shared" si="25"/>
        <v>0</v>
      </c>
      <c r="L243" s="8">
        <f t="shared" si="26"/>
        <v>0</v>
      </c>
      <c r="M243" s="293"/>
    </row>
    <row r="244" spans="1:13" ht="18.75" customHeight="1">
      <c r="A244" s="293" t="str">
        <f t="shared" si="23"/>
        <v>TP</v>
      </c>
      <c r="B244" s="306">
        <f t="shared" si="24"/>
        <v>26</v>
      </c>
      <c r="C244" s="192" t="s">
        <v>1139</v>
      </c>
      <c r="D244" s="305"/>
      <c r="E244" s="8"/>
      <c r="F244" s="8"/>
      <c r="G244" s="25">
        <f t="array" ref="G244">SUM(IF("155"&amp;C244=KHN&amp;MH,SL))</f>
        <v>0</v>
      </c>
      <c r="H244" s="25">
        <f t="array" ref="H244">SUM(IF("155"&amp;C244=KHN&amp;MH,TH))</f>
        <v>0</v>
      </c>
      <c r="I244" s="25">
        <f t="array" ref="I244">SUM(IF("155"&amp;C244=KHC&amp;MH,SL))</f>
        <v>0</v>
      </c>
      <c r="J244" s="25">
        <f t="array" ref="J244">SUM(IF("155"&amp;C244=KHC&amp;MH,TH))</f>
        <v>0</v>
      </c>
      <c r="K244" s="8">
        <f t="shared" si="25"/>
        <v>0</v>
      </c>
      <c r="L244" s="8">
        <f t="shared" si="26"/>
        <v>0</v>
      </c>
      <c r="M244" s="293"/>
    </row>
    <row r="245" spans="1:13" ht="18.75" customHeight="1">
      <c r="A245" s="293" t="str">
        <f t="shared" si="23"/>
        <v>TP</v>
      </c>
      <c r="B245" s="306">
        <f t="shared" si="24"/>
        <v>27</v>
      </c>
      <c r="C245" s="192" t="s">
        <v>1140</v>
      </c>
      <c r="D245" s="305"/>
      <c r="E245" s="8"/>
      <c r="F245" s="8"/>
      <c r="G245" s="25">
        <f t="array" ref="G245">SUM(IF("155"&amp;C245=KHN&amp;MH,SL))</f>
        <v>0</v>
      </c>
      <c r="H245" s="25">
        <f t="array" ref="H245">SUM(IF("155"&amp;C245=KHN&amp;MH,TH))</f>
        <v>0</v>
      </c>
      <c r="I245" s="25">
        <f t="array" ref="I245">SUM(IF("155"&amp;C245=KHC&amp;MH,SL))</f>
        <v>0</v>
      </c>
      <c r="J245" s="25">
        <f t="array" ref="J245">SUM(IF("155"&amp;C245=KHC&amp;MH,TH))</f>
        <v>0</v>
      </c>
      <c r="K245" s="8">
        <f t="shared" si="25"/>
        <v>0</v>
      </c>
      <c r="L245" s="8">
        <f t="shared" si="26"/>
        <v>0</v>
      </c>
      <c r="M245" s="293"/>
    </row>
    <row r="246" spans="1:13" ht="18.75" customHeight="1">
      <c r="A246" s="293" t="str">
        <f t="shared" si="23"/>
        <v>TP</v>
      </c>
      <c r="B246" s="306">
        <f t="shared" si="24"/>
        <v>28</v>
      </c>
      <c r="C246" s="192" t="s">
        <v>884</v>
      </c>
      <c r="D246" s="305"/>
      <c r="E246" s="8"/>
      <c r="F246" s="8"/>
      <c r="G246" s="25">
        <f t="array" ref="G246">SUM(IF("155"&amp;C246=KHN&amp;MH,SL))</f>
        <v>0</v>
      </c>
      <c r="H246" s="25">
        <f t="array" ref="H246">SUM(IF("155"&amp;C246=KHN&amp;MH,TH))</f>
        <v>0</v>
      </c>
      <c r="I246" s="25">
        <f t="array" ref="I246">SUM(IF("155"&amp;C246=KHC&amp;MH,SL))</f>
        <v>0</v>
      </c>
      <c r="J246" s="25">
        <f t="array" ref="J246">SUM(IF("155"&amp;C246=KHC&amp;MH,TH))</f>
        <v>0</v>
      </c>
      <c r="K246" s="8">
        <f t="shared" si="25"/>
        <v>0</v>
      </c>
      <c r="L246" s="8">
        <f t="shared" si="26"/>
        <v>0</v>
      </c>
      <c r="M246" s="293"/>
    </row>
    <row r="247" spans="1:13" ht="18.75" customHeight="1">
      <c r="A247" s="293" t="str">
        <f t="shared" si="23"/>
        <v>TP</v>
      </c>
      <c r="B247" s="306">
        <f t="shared" si="24"/>
        <v>29</v>
      </c>
      <c r="C247" s="192" t="s">
        <v>835</v>
      </c>
      <c r="D247" s="305"/>
      <c r="E247" s="8"/>
      <c r="F247" s="8"/>
      <c r="G247" s="25">
        <f t="array" ref="G247">SUM(IF("155"&amp;C247=KHN&amp;MH,SL))</f>
        <v>0</v>
      </c>
      <c r="H247" s="25">
        <f t="array" ref="H247">SUM(IF("155"&amp;C247=KHN&amp;MH,TH))</f>
        <v>0</v>
      </c>
      <c r="I247" s="25">
        <f t="array" ref="I247">SUM(IF("155"&amp;C247=KHC&amp;MH,SL))</f>
        <v>0</v>
      </c>
      <c r="J247" s="25">
        <f t="array" ref="J247">SUM(IF("155"&amp;C247=KHC&amp;MH,TH))</f>
        <v>0</v>
      </c>
      <c r="K247" s="8">
        <f t="shared" si="25"/>
        <v>0</v>
      </c>
      <c r="L247" s="8">
        <f t="shared" si="26"/>
        <v>0</v>
      </c>
      <c r="M247" s="293"/>
    </row>
    <row r="248" spans="1:13" ht="18.75" customHeight="1">
      <c r="A248" s="293" t="str">
        <f t="shared" si="23"/>
        <v>TP</v>
      </c>
      <c r="B248" s="306">
        <f t="shared" si="24"/>
        <v>30</v>
      </c>
      <c r="C248" s="189" t="s">
        <v>993</v>
      </c>
      <c r="D248" s="305"/>
      <c r="E248" s="8"/>
      <c r="F248" s="8"/>
      <c r="G248" s="25">
        <f t="array" ref="G248">SUM(IF("155"&amp;C248=KHN&amp;MH,SL))</f>
        <v>0</v>
      </c>
      <c r="H248" s="25">
        <f t="array" ref="H248">SUM(IF("155"&amp;C248=KHN&amp;MH,TH))</f>
        <v>0</v>
      </c>
      <c r="I248" s="25">
        <f t="array" ref="I248">SUM(IF("155"&amp;C248=KHC&amp;MH,SL))</f>
        <v>0</v>
      </c>
      <c r="J248" s="25">
        <f t="array" ref="J248">SUM(IF("155"&amp;C248=KHC&amp;MH,TH))</f>
        <v>0</v>
      </c>
      <c r="K248" s="8">
        <f t="shared" si="25"/>
        <v>0</v>
      </c>
      <c r="L248" s="8">
        <f t="shared" si="26"/>
        <v>0</v>
      </c>
      <c r="M248" s="293"/>
    </row>
    <row r="249" spans="1:13" ht="18.75" customHeight="1">
      <c r="A249" s="293" t="str">
        <f t="shared" si="23"/>
        <v>TP</v>
      </c>
      <c r="B249" s="306">
        <f t="shared" si="24"/>
        <v>31</v>
      </c>
      <c r="C249" s="189" t="s">
        <v>1155</v>
      </c>
      <c r="D249" s="305"/>
      <c r="E249" s="8"/>
      <c r="F249" s="8"/>
      <c r="G249" s="25">
        <f t="array" ref="G249">SUM(IF("155"&amp;C249=KHN&amp;MH,SL))</f>
        <v>0</v>
      </c>
      <c r="H249" s="25">
        <f t="array" ref="H249">SUM(IF("155"&amp;C249=KHN&amp;MH,TH))</f>
        <v>0</v>
      </c>
      <c r="I249" s="25">
        <f t="array" ref="I249">SUM(IF("155"&amp;C249=KHC&amp;MH,SL))</f>
        <v>0</v>
      </c>
      <c r="J249" s="25">
        <f t="array" ref="J249">SUM(IF("155"&amp;C249=KHC&amp;MH,TH))</f>
        <v>0</v>
      </c>
      <c r="K249" s="8">
        <f t="shared" si="25"/>
        <v>0</v>
      </c>
      <c r="L249" s="8">
        <f t="shared" si="26"/>
        <v>0</v>
      </c>
      <c r="M249" s="293"/>
    </row>
    <row r="250" spans="1:13" ht="18.75" customHeight="1">
      <c r="A250" s="293" t="str">
        <f t="shared" si="23"/>
        <v>TP</v>
      </c>
      <c r="B250" s="306">
        <f t="shared" si="24"/>
        <v>32</v>
      </c>
      <c r="C250" s="192" t="s">
        <v>1143</v>
      </c>
      <c r="D250" s="305"/>
      <c r="E250" s="8"/>
      <c r="F250" s="8"/>
      <c r="G250" s="25">
        <f t="array" ref="G250">SUM(IF("155"&amp;C250=KHN&amp;MH,SL))</f>
        <v>0</v>
      </c>
      <c r="H250" s="25">
        <f t="array" ref="H250">SUM(IF("155"&amp;C250=KHN&amp;MH,TH))</f>
        <v>0</v>
      </c>
      <c r="I250" s="25">
        <f t="array" ref="I250">SUM(IF("155"&amp;C250=KHC&amp;MH,SL))</f>
        <v>0</v>
      </c>
      <c r="J250" s="25">
        <f t="array" ref="J250">SUM(IF("155"&amp;C250=KHC&amp;MH,TH))</f>
        <v>0</v>
      </c>
      <c r="K250" s="8">
        <f t="shared" si="25"/>
        <v>0</v>
      </c>
      <c r="L250" s="8">
        <f t="shared" si="26"/>
        <v>0</v>
      </c>
      <c r="M250" s="293"/>
    </row>
    <row r="251" spans="1:13" ht="18.75" customHeight="1">
      <c r="A251" s="293" t="str">
        <f t="shared" ref="A251:A282" si="27">IF(B251&lt;&gt;"","TP","")</f>
        <v>TP</v>
      </c>
      <c r="B251" s="306">
        <f t="shared" ref="B251:B282" si="28">IF(C251&lt;&gt;"",B250+1,"")</f>
        <v>33</v>
      </c>
      <c r="C251" s="192" t="s">
        <v>834</v>
      </c>
      <c r="D251" s="305"/>
      <c r="E251" s="8"/>
      <c r="F251" s="8"/>
      <c r="G251" s="25">
        <f t="array" ref="G251">SUM(IF("155"&amp;C251=KHN&amp;MH,SL))</f>
        <v>0</v>
      </c>
      <c r="H251" s="25">
        <f t="array" ref="H251">SUM(IF("155"&amp;C251=KHN&amp;MH,TH))</f>
        <v>0</v>
      </c>
      <c r="I251" s="25">
        <f t="array" ref="I251">SUM(IF("155"&amp;C251=KHC&amp;MH,SL))</f>
        <v>0</v>
      </c>
      <c r="J251" s="25">
        <f t="array" ref="J251">SUM(IF("155"&amp;C251=KHC&amp;MH,TH))</f>
        <v>0</v>
      </c>
      <c r="K251" s="8">
        <f t="shared" ref="K251:K282" si="29">E251+G251-I251</f>
        <v>0</v>
      </c>
      <c r="L251" s="8">
        <f t="shared" ref="L251:L282" si="30">F251+H251-J251</f>
        <v>0</v>
      </c>
      <c r="M251" s="293"/>
    </row>
    <row r="252" spans="1:13" ht="18.75" customHeight="1">
      <c r="A252" s="293" t="str">
        <f t="shared" si="27"/>
        <v>TP</v>
      </c>
      <c r="B252" s="306">
        <f t="shared" si="28"/>
        <v>34</v>
      </c>
      <c r="C252" s="192" t="s">
        <v>1149</v>
      </c>
      <c r="D252" s="305"/>
      <c r="E252" s="8"/>
      <c r="F252" s="8"/>
      <c r="G252" s="25">
        <f t="array" ref="G252">SUM(IF("155"&amp;C252=KHN&amp;MH,SL))</f>
        <v>0</v>
      </c>
      <c r="H252" s="25">
        <f t="array" ref="H252">SUM(IF("155"&amp;C252=KHN&amp;MH,TH))</f>
        <v>0</v>
      </c>
      <c r="I252" s="25">
        <f t="array" ref="I252">SUM(IF("155"&amp;C252=KHC&amp;MH,SL))</f>
        <v>0</v>
      </c>
      <c r="J252" s="25">
        <f t="array" ref="J252">SUM(IF("155"&amp;C252=KHC&amp;MH,TH))</f>
        <v>0</v>
      </c>
      <c r="K252" s="8">
        <f t="shared" si="29"/>
        <v>0</v>
      </c>
      <c r="L252" s="8">
        <f t="shared" si="30"/>
        <v>0</v>
      </c>
      <c r="M252" s="293"/>
    </row>
    <row r="253" spans="1:13" ht="18.75" customHeight="1">
      <c r="A253" s="293" t="str">
        <f t="shared" si="27"/>
        <v>TP</v>
      </c>
      <c r="B253" s="306">
        <f t="shared" si="28"/>
        <v>35</v>
      </c>
      <c r="C253" s="192" t="s">
        <v>1148</v>
      </c>
      <c r="D253" s="305"/>
      <c r="E253" s="8"/>
      <c r="F253" s="8"/>
      <c r="G253" s="25">
        <f t="array" ref="G253">SUM(IF("155"&amp;C253=KHN&amp;MH,SL))</f>
        <v>0</v>
      </c>
      <c r="H253" s="25">
        <f t="array" ref="H253">SUM(IF("155"&amp;C253=KHN&amp;MH,TH))</f>
        <v>0</v>
      </c>
      <c r="I253" s="25">
        <f t="array" ref="I253">SUM(IF("155"&amp;C253=KHC&amp;MH,SL))</f>
        <v>0</v>
      </c>
      <c r="J253" s="25">
        <f t="array" ref="J253">SUM(IF("155"&amp;C253=KHC&amp;MH,TH))</f>
        <v>0</v>
      </c>
      <c r="K253" s="8">
        <f t="shared" si="29"/>
        <v>0</v>
      </c>
      <c r="L253" s="8">
        <f t="shared" si="30"/>
        <v>0</v>
      </c>
      <c r="M253" s="293"/>
    </row>
    <row r="254" spans="1:13" ht="18.75" customHeight="1">
      <c r="A254" s="293" t="str">
        <f t="shared" si="27"/>
        <v>TP</v>
      </c>
      <c r="B254" s="306">
        <f t="shared" si="28"/>
        <v>36</v>
      </c>
      <c r="C254" s="192" t="s">
        <v>833</v>
      </c>
      <c r="D254" s="305"/>
      <c r="E254" s="8"/>
      <c r="F254" s="8"/>
      <c r="G254" s="25">
        <f t="array" ref="G254">SUM(IF("155"&amp;C254=KHN&amp;MH,SL))</f>
        <v>0</v>
      </c>
      <c r="H254" s="25">
        <f t="array" ref="H254">SUM(IF("155"&amp;C254=KHN&amp;MH,TH))</f>
        <v>0</v>
      </c>
      <c r="I254" s="25">
        <f t="array" ref="I254">SUM(IF("155"&amp;C254=KHC&amp;MH,SL))</f>
        <v>0</v>
      </c>
      <c r="J254" s="25">
        <f t="array" ref="J254">SUM(IF("155"&amp;C254=KHC&amp;MH,TH))</f>
        <v>0</v>
      </c>
      <c r="K254" s="8">
        <f t="shared" si="29"/>
        <v>0</v>
      </c>
      <c r="L254" s="8">
        <f t="shared" si="30"/>
        <v>0</v>
      </c>
      <c r="M254" s="293"/>
    </row>
    <row r="255" spans="1:13" ht="18.75" customHeight="1">
      <c r="A255" s="293" t="str">
        <f t="shared" si="27"/>
        <v>TP</v>
      </c>
      <c r="B255" s="306">
        <f t="shared" si="28"/>
        <v>37</v>
      </c>
      <c r="C255" s="192" t="s">
        <v>812</v>
      </c>
      <c r="D255" s="305"/>
      <c r="E255" s="8"/>
      <c r="F255" s="8"/>
      <c r="G255" s="25">
        <f t="array" ref="G255">SUM(IF("155"&amp;C255=KHN&amp;MH,SL))</f>
        <v>0</v>
      </c>
      <c r="H255" s="25">
        <f t="array" ref="H255">SUM(IF("155"&amp;C255=KHN&amp;MH,TH))</f>
        <v>0</v>
      </c>
      <c r="I255" s="25">
        <f t="array" ref="I255">SUM(IF("155"&amp;C255=KHC&amp;MH,SL))</f>
        <v>0</v>
      </c>
      <c r="J255" s="25">
        <f t="array" ref="J255">SUM(IF("155"&amp;C255=KHC&amp;MH,TH))</f>
        <v>0</v>
      </c>
      <c r="K255" s="8">
        <f t="shared" si="29"/>
        <v>0</v>
      </c>
      <c r="L255" s="8">
        <f t="shared" si="30"/>
        <v>0</v>
      </c>
      <c r="M255" s="293"/>
    </row>
    <row r="256" spans="1:13" ht="18.75" customHeight="1">
      <c r="A256" s="293" t="str">
        <f t="shared" si="27"/>
        <v>TP</v>
      </c>
      <c r="B256" s="306">
        <f t="shared" si="28"/>
        <v>38</v>
      </c>
      <c r="C256" s="192" t="s">
        <v>1156</v>
      </c>
      <c r="D256" s="305"/>
      <c r="E256" s="8"/>
      <c r="F256" s="8"/>
      <c r="G256" s="25">
        <f t="array" ref="G256">SUM(IF("155"&amp;C256=KHN&amp;MH,SL))</f>
        <v>0</v>
      </c>
      <c r="H256" s="25">
        <f t="array" ref="H256">SUM(IF("155"&amp;C256=KHN&amp;MH,TH))</f>
        <v>0</v>
      </c>
      <c r="I256" s="25">
        <f t="array" ref="I256">SUM(IF("155"&amp;C256=KHC&amp;MH,SL))</f>
        <v>0</v>
      </c>
      <c r="J256" s="25">
        <f t="array" ref="J256">SUM(IF("155"&amp;C256=KHC&amp;MH,TH))</f>
        <v>0</v>
      </c>
      <c r="K256" s="8">
        <f t="shared" si="29"/>
        <v>0</v>
      </c>
      <c r="L256" s="8">
        <f t="shared" si="30"/>
        <v>0</v>
      </c>
      <c r="M256" s="293"/>
    </row>
    <row r="257" spans="1:13" ht="18.75" customHeight="1">
      <c r="A257" s="293" t="str">
        <f t="shared" si="27"/>
        <v>TP</v>
      </c>
      <c r="B257" s="306">
        <f t="shared" si="28"/>
        <v>39</v>
      </c>
      <c r="C257" s="192" t="s">
        <v>831</v>
      </c>
      <c r="D257" s="305"/>
      <c r="E257" s="8"/>
      <c r="F257" s="8"/>
      <c r="G257" s="25">
        <f t="array" ref="G257">SUM(IF("155"&amp;C257=KHN&amp;MH,SL))</f>
        <v>0</v>
      </c>
      <c r="H257" s="25">
        <f t="array" ref="H257">SUM(IF("155"&amp;C257=KHN&amp;MH,TH))</f>
        <v>0</v>
      </c>
      <c r="I257" s="25">
        <f t="array" ref="I257">SUM(IF("155"&amp;C257=KHC&amp;MH,SL))</f>
        <v>0</v>
      </c>
      <c r="J257" s="25">
        <f t="array" ref="J257">SUM(IF("155"&amp;C257=KHC&amp;MH,TH))</f>
        <v>0</v>
      </c>
      <c r="K257" s="8">
        <f t="shared" si="29"/>
        <v>0</v>
      </c>
      <c r="L257" s="8">
        <f t="shared" si="30"/>
        <v>0</v>
      </c>
      <c r="M257" s="293"/>
    </row>
    <row r="258" spans="1:13" ht="18.75" customHeight="1">
      <c r="A258" s="293" t="str">
        <f t="shared" si="27"/>
        <v>TP</v>
      </c>
      <c r="B258" s="306">
        <f t="shared" si="28"/>
        <v>40</v>
      </c>
      <c r="C258" s="192" t="s">
        <v>755</v>
      </c>
      <c r="D258" s="305"/>
      <c r="E258" s="8"/>
      <c r="F258" s="8"/>
      <c r="G258" s="25">
        <f t="array" ref="G258">SUM(IF("155"&amp;C258=KHN&amp;MH,SL))</f>
        <v>0</v>
      </c>
      <c r="H258" s="25">
        <f t="array" ref="H258">SUM(IF("155"&amp;C258=KHN&amp;MH,TH))</f>
        <v>0</v>
      </c>
      <c r="I258" s="25">
        <f t="array" ref="I258">SUM(IF("155"&amp;C258=KHC&amp;MH,SL))</f>
        <v>0</v>
      </c>
      <c r="J258" s="25">
        <f t="array" ref="J258">SUM(IF("155"&amp;C258=KHC&amp;MH,TH))</f>
        <v>0</v>
      </c>
      <c r="K258" s="8">
        <f t="shared" si="29"/>
        <v>0</v>
      </c>
      <c r="L258" s="8">
        <f t="shared" si="30"/>
        <v>0</v>
      </c>
      <c r="M258" s="293"/>
    </row>
    <row r="259" spans="1:13" ht="18.75" customHeight="1">
      <c r="A259" s="293" t="str">
        <f t="shared" si="27"/>
        <v>TP</v>
      </c>
      <c r="B259" s="306">
        <f t="shared" si="28"/>
        <v>41</v>
      </c>
      <c r="C259" s="192" t="s">
        <v>752</v>
      </c>
      <c r="D259" s="305"/>
      <c r="E259" s="8"/>
      <c r="F259" s="8"/>
      <c r="G259" s="25">
        <f t="array" ref="G259">SUM(IF("155"&amp;C259=KHN&amp;MH,SL))</f>
        <v>0</v>
      </c>
      <c r="H259" s="25">
        <f t="array" ref="H259">SUM(IF("155"&amp;C259=KHN&amp;MH,TH))</f>
        <v>0</v>
      </c>
      <c r="I259" s="25">
        <f t="array" ref="I259">SUM(IF("155"&amp;C259=KHC&amp;MH,SL))</f>
        <v>0</v>
      </c>
      <c r="J259" s="25">
        <f t="array" ref="J259">SUM(IF("155"&amp;C259=KHC&amp;MH,TH))</f>
        <v>0</v>
      </c>
      <c r="K259" s="8">
        <f t="shared" si="29"/>
        <v>0</v>
      </c>
      <c r="L259" s="8">
        <f t="shared" si="30"/>
        <v>0</v>
      </c>
      <c r="M259" s="293"/>
    </row>
    <row r="260" spans="1:13" ht="18.75" customHeight="1">
      <c r="A260" s="293" t="str">
        <f t="shared" si="27"/>
        <v>TP</v>
      </c>
      <c r="B260" s="306">
        <f t="shared" si="28"/>
        <v>42</v>
      </c>
      <c r="C260" s="192" t="s">
        <v>1153</v>
      </c>
      <c r="D260" s="305"/>
      <c r="E260" s="8"/>
      <c r="F260" s="8"/>
      <c r="G260" s="25">
        <f t="array" ref="G260">SUM(IF("155"&amp;C260=KHN&amp;MH,SL))</f>
        <v>0</v>
      </c>
      <c r="H260" s="25">
        <f t="array" ref="H260">SUM(IF("155"&amp;C260=KHN&amp;MH,TH))</f>
        <v>0</v>
      </c>
      <c r="I260" s="25">
        <f t="array" ref="I260">SUM(IF("155"&amp;C260=KHC&amp;MH,SL))</f>
        <v>0</v>
      </c>
      <c r="J260" s="25">
        <f t="array" ref="J260">SUM(IF("155"&amp;C260=KHC&amp;MH,TH))</f>
        <v>0</v>
      </c>
      <c r="K260" s="8">
        <f t="shared" si="29"/>
        <v>0</v>
      </c>
      <c r="L260" s="8">
        <f t="shared" si="30"/>
        <v>0</v>
      </c>
      <c r="M260" s="293"/>
    </row>
    <row r="261" spans="1:13" ht="18.75" customHeight="1">
      <c r="A261" s="293" t="str">
        <f t="shared" si="27"/>
        <v>TP</v>
      </c>
      <c r="B261" s="306">
        <f t="shared" si="28"/>
        <v>43</v>
      </c>
      <c r="C261" s="189" t="s">
        <v>964</v>
      </c>
      <c r="D261" s="305"/>
      <c r="E261" s="8"/>
      <c r="F261" s="8"/>
      <c r="G261" s="25">
        <f t="array" ref="G261">SUM(IF("155"&amp;C261=KHN&amp;MH,SL))</f>
        <v>0</v>
      </c>
      <c r="H261" s="25">
        <f t="array" ref="H261">SUM(IF("155"&amp;C261=KHN&amp;MH,TH))</f>
        <v>0</v>
      </c>
      <c r="I261" s="25">
        <f t="array" ref="I261">SUM(IF("155"&amp;C261=KHC&amp;MH,SL))</f>
        <v>0</v>
      </c>
      <c r="J261" s="25">
        <f t="array" ref="J261">SUM(IF("155"&amp;C261=KHC&amp;MH,TH))</f>
        <v>0</v>
      </c>
      <c r="K261" s="8">
        <f t="shared" si="29"/>
        <v>0</v>
      </c>
      <c r="L261" s="8">
        <f t="shared" si="30"/>
        <v>0</v>
      </c>
      <c r="M261" s="293"/>
    </row>
    <row r="262" spans="1:13" ht="18.75" customHeight="1">
      <c r="A262" s="293" t="str">
        <f t="shared" si="27"/>
        <v>TP</v>
      </c>
      <c r="B262" s="306">
        <f t="shared" si="28"/>
        <v>44</v>
      </c>
      <c r="C262" s="189" t="s">
        <v>994</v>
      </c>
      <c r="D262" s="305"/>
      <c r="E262" s="8"/>
      <c r="F262" s="8"/>
      <c r="G262" s="25">
        <f t="array" ref="G262">SUM(IF("155"&amp;C262=KHN&amp;MH,SL))</f>
        <v>0</v>
      </c>
      <c r="H262" s="25">
        <f t="array" ref="H262">SUM(IF("155"&amp;C262=KHN&amp;MH,TH))</f>
        <v>0</v>
      </c>
      <c r="I262" s="25">
        <f t="array" ref="I262">SUM(IF("155"&amp;C262=KHC&amp;MH,SL))</f>
        <v>0</v>
      </c>
      <c r="J262" s="25">
        <f t="array" ref="J262">SUM(IF("155"&amp;C262=KHC&amp;MH,TH))</f>
        <v>0</v>
      </c>
      <c r="K262" s="8">
        <f t="shared" si="29"/>
        <v>0</v>
      </c>
      <c r="L262" s="8">
        <f t="shared" si="30"/>
        <v>0</v>
      </c>
      <c r="M262" s="293"/>
    </row>
    <row r="263" spans="1:13" ht="18.75" customHeight="1">
      <c r="A263" s="293" t="str">
        <f t="shared" si="27"/>
        <v>TP</v>
      </c>
      <c r="B263" s="306">
        <f t="shared" si="28"/>
        <v>45</v>
      </c>
      <c r="C263" s="192" t="s">
        <v>1157</v>
      </c>
      <c r="D263" s="305"/>
      <c r="E263" s="8"/>
      <c r="F263" s="8"/>
      <c r="G263" s="25">
        <f t="array" ref="G263">SUM(IF("155"&amp;C263=KHN&amp;MH,SL))</f>
        <v>0</v>
      </c>
      <c r="H263" s="25">
        <f t="array" ref="H263">SUM(IF("155"&amp;C263=KHN&amp;MH,TH))</f>
        <v>0</v>
      </c>
      <c r="I263" s="25">
        <f t="array" ref="I263">SUM(IF("155"&amp;C263=KHC&amp;MH,SL))</f>
        <v>0</v>
      </c>
      <c r="J263" s="25">
        <f t="array" ref="J263">SUM(IF("155"&amp;C263=KHC&amp;MH,TH))</f>
        <v>0</v>
      </c>
      <c r="K263" s="8">
        <f t="shared" si="29"/>
        <v>0</v>
      </c>
      <c r="L263" s="8">
        <f t="shared" si="30"/>
        <v>0</v>
      </c>
      <c r="M263" s="293"/>
    </row>
    <row r="264" spans="1:13" ht="18.75" customHeight="1">
      <c r="A264" s="293" t="str">
        <f t="shared" si="27"/>
        <v>TP</v>
      </c>
      <c r="B264" s="306">
        <f t="shared" si="28"/>
        <v>46</v>
      </c>
      <c r="C264" s="189" t="s">
        <v>1159</v>
      </c>
      <c r="D264" s="305"/>
      <c r="E264" s="8"/>
      <c r="F264" s="8"/>
      <c r="G264" s="25">
        <f t="array" ref="G264">SUM(IF("155"&amp;C264=KHN&amp;MH,SL))</f>
        <v>0</v>
      </c>
      <c r="H264" s="25">
        <f t="array" ref="H264">SUM(IF("155"&amp;C264=KHN&amp;MH,TH))</f>
        <v>0</v>
      </c>
      <c r="I264" s="25">
        <f t="array" ref="I264">SUM(IF("155"&amp;C264=KHC&amp;MH,SL))</f>
        <v>0</v>
      </c>
      <c r="J264" s="25">
        <f t="array" ref="J264">SUM(IF("155"&amp;C264=KHC&amp;MH,TH))</f>
        <v>0</v>
      </c>
      <c r="K264" s="8">
        <f t="shared" si="29"/>
        <v>0</v>
      </c>
      <c r="L264" s="8">
        <f t="shared" si="30"/>
        <v>0</v>
      </c>
      <c r="M264" s="293"/>
    </row>
    <row r="265" spans="1:13" ht="18.75" customHeight="1">
      <c r="A265" s="293" t="str">
        <f t="shared" si="27"/>
        <v>TP</v>
      </c>
      <c r="B265" s="306">
        <f t="shared" si="28"/>
        <v>47</v>
      </c>
      <c r="C265" s="189" t="s">
        <v>1158</v>
      </c>
      <c r="D265" s="305"/>
      <c r="E265" s="8"/>
      <c r="F265" s="8"/>
      <c r="G265" s="25">
        <f t="array" ref="G265">SUM(IF("155"&amp;C265=KHN&amp;MH,SL))</f>
        <v>0</v>
      </c>
      <c r="H265" s="25">
        <f t="array" ref="H265">SUM(IF("155"&amp;C265=KHN&amp;MH,TH))</f>
        <v>0</v>
      </c>
      <c r="I265" s="25">
        <f t="array" ref="I265">SUM(IF("155"&amp;C265=KHC&amp;MH,SL))</f>
        <v>0</v>
      </c>
      <c r="J265" s="25">
        <f t="array" ref="J265">SUM(IF("155"&amp;C265=KHC&amp;MH,TH))</f>
        <v>0</v>
      </c>
      <c r="K265" s="8">
        <f t="shared" si="29"/>
        <v>0</v>
      </c>
      <c r="L265" s="8">
        <f t="shared" si="30"/>
        <v>0</v>
      </c>
      <c r="M265" s="293"/>
    </row>
    <row r="266" spans="1:13" ht="18" customHeight="1">
      <c r="A266" s="293" t="str">
        <f t="shared" si="27"/>
        <v>TP</v>
      </c>
      <c r="B266" s="306">
        <f t="shared" si="28"/>
        <v>48</v>
      </c>
      <c r="C266" s="192" t="s">
        <v>1135</v>
      </c>
      <c r="D266" s="305"/>
      <c r="E266" s="8"/>
      <c r="F266" s="8"/>
      <c r="G266" s="25">
        <f t="array" ref="G266">SUM(IF("155"&amp;C266=KHN&amp;MH,SL))</f>
        <v>0</v>
      </c>
      <c r="H266" s="25">
        <f t="array" ref="H266">SUM(IF("155"&amp;C266=KHN&amp;MH,TH))</f>
        <v>0</v>
      </c>
      <c r="I266" s="25">
        <f t="array" ref="I266">SUM(IF("155"&amp;C266=KHC&amp;MH,SL))</f>
        <v>0</v>
      </c>
      <c r="J266" s="25">
        <f t="array" ref="J266">SUM(IF("155"&amp;C266=KHC&amp;MH,TH))</f>
        <v>0</v>
      </c>
      <c r="K266" s="8">
        <f t="shared" si="29"/>
        <v>0</v>
      </c>
      <c r="L266" s="8">
        <f t="shared" si="30"/>
        <v>0</v>
      </c>
      <c r="M266" s="293"/>
    </row>
    <row r="267" spans="1:13" ht="18" customHeight="1">
      <c r="A267" s="293" t="str">
        <f t="shared" si="27"/>
        <v>TP</v>
      </c>
      <c r="B267" s="306">
        <f t="shared" si="28"/>
        <v>49</v>
      </c>
      <c r="C267" s="189" t="s">
        <v>968</v>
      </c>
      <c r="D267" s="305"/>
      <c r="E267" s="8"/>
      <c r="F267" s="8"/>
      <c r="G267" s="25">
        <f t="array" ref="G267">SUM(IF("155"&amp;C267=KHN&amp;MH,SL))</f>
        <v>0</v>
      </c>
      <c r="H267" s="25">
        <f t="array" ref="H267">SUM(IF("155"&amp;C267=KHN&amp;MH,TH))</f>
        <v>0</v>
      </c>
      <c r="I267" s="25">
        <f t="array" ref="I267">SUM(IF("155"&amp;C267=KHC&amp;MH,SL))</f>
        <v>0</v>
      </c>
      <c r="J267" s="25">
        <f t="array" ref="J267">SUM(IF("155"&amp;C267=KHC&amp;MH,TH))</f>
        <v>0</v>
      </c>
      <c r="K267" s="8">
        <f t="shared" si="29"/>
        <v>0</v>
      </c>
      <c r="L267" s="8">
        <f t="shared" si="30"/>
        <v>0</v>
      </c>
      <c r="M267" s="293"/>
    </row>
    <row r="268" spans="1:13" ht="18.75" customHeight="1">
      <c r="A268" s="293" t="str">
        <f t="shared" si="27"/>
        <v>TP</v>
      </c>
      <c r="B268" s="306">
        <f t="shared" si="28"/>
        <v>50</v>
      </c>
      <c r="C268" s="189" t="s">
        <v>966</v>
      </c>
      <c r="D268" s="305"/>
      <c r="E268" s="8"/>
      <c r="F268" s="8"/>
      <c r="G268" s="25">
        <f t="array" ref="G268">SUM(IF("155"&amp;C268=KHN&amp;MH,SL))</f>
        <v>0</v>
      </c>
      <c r="H268" s="25">
        <f t="array" ref="H268">SUM(IF("155"&amp;C268=KHN&amp;MH,TH))</f>
        <v>0</v>
      </c>
      <c r="I268" s="25">
        <f t="array" ref="I268">SUM(IF("155"&amp;C268=KHC&amp;MH,SL))</f>
        <v>0</v>
      </c>
      <c r="J268" s="25">
        <f t="array" ref="J268">SUM(IF("155"&amp;C268=KHC&amp;MH,TH))</f>
        <v>0</v>
      </c>
      <c r="K268" s="8">
        <f t="shared" si="29"/>
        <v>0</v>
      </c>
      <c r="L268" s="8">
        <f t="shared" si="30"/>
        <v>0</v>
      </c>
      <c r="M268" s="293"/>
    </row>
    <row r="269" spans="1:13" ht="18.75" customHeight="1">
      <c r="A269" s="293" t="str">
        <f t="shared" si="27"/>
        <v>TP</v>
      </c>
      <c r="B269" s="306">
        <f t="shared" si="28"/>
        <v>51</v>
      </c>
      <c r="C269" s="192" t="s">
        <v>784</v>
      </c>
      <c r="D269" s="305"/>
      <c r="E269" s="8"/>
      <c r="F269" s="8"/>
      <c r="G269" s="25">
        <f t="array" ref="G269">SUM(IF("155"&amp;C269=KHN&amp;MH,SL))</f>
        <v>0</v>
      </c>
      <c r="H269" s="25">
        <f t="array" ref="H269">SUM(IF("155"&amp;C269=KHN&amp;MH,TH))</f>
        <v>0</v>
      </c>
      <c r="I269" s="25">
        <f t="array" ref="I269">SUM(IF("155"&amp;C269=KHC&amp;MH,SL))</f>
        <v>0</v>
      </c>
      <c r="J269" s="25">
        <f t="array" ref="J269">SUM(IF("155"&amp;C269=KHC&amp;MH,TH))</f>
        <v>0</v>
      </c>
      <c r="K269" s="8">
        <f t="shared" si="29"/>
        <v>0</v>
      </c>
      <c r="L269" s="8">
        <f t="shared" si="30"/>
        <v>0</v>
      </c>
      <c r="M269" s="293"/>
    </row>
    <row r="270" spans="1:13" ht="18.75" customHeight="1">
      <c r="A270" s="293" t="str">
        <f t="shared" si="27"/>
        <v>TP</v>
      </c>
      <c r="B270" s="306">
        <f t="shared" si="28"/>
        <v>52</v>
      </c>
      <c r="C270" s="189" t="s">
        <v>754</v>
      </c>
      <c r="D270" s="305"/>
      <c r="E270" s="8"/>
      <c r="F270" s="8"/>
      <c r="G270" s="25">
        <f t="array" ref="G270">SUM(IF("155"&amp;C270=KHN&amp;MH,SL))</f>
        <v>0</v>
      </c>
      <c r="H270" s="25">
        <f t="array" ref="H270">SUM(IF("155"&amp;C270=KHN&amp;MH,TH))</f>
        <v>0</v>
      </c>
      <c r="I270" s="25">
        <f t="array" ref="I270">SUM(IF("155"&amp;C270=KHC&amp;MH,SL))</f>
        <v>0</v>
      </c>
      <c r="J270" s="25">
        <f t="array" ref="J270">SUM(IF("155"&amp;C270=KHC&amp;MH,TH))</f>
        <v>0</v>
      </c>
      <c r="K270" s="8">
        <f t="shared" si="29"/>
        <v>0</v>
      </c>
      <c r="L270" s="8">
        <f t="shared" si="30"/>
        <v>0</v>
      </c>
      <c r="M270" s="293"/>
    </row>
    <row r="271" spans="1:13" ht="18.75" customHeight="1">
      <c r="A271" s="293" t="str">
        <f t="shared" si="27"/>
        <v>TP</v>
      </c>
      <c r="B271" s="306">
        <f t="shared" si="28"/>
        <v>53</v>
      </c>
      <c r="C271" s="192" t="s">
        <v>814</v>
      </c>
      <c r="D271" s="305"/>
      <c r="E271" s="8"/>
      <c r="F271" s="8"/>
      <c r="G271" s="25">
        <f t="array" ref="G271">SUM(IF("155"&amp;C271=KHN&amp;MH,SL))</f>
        <v>0</v>
      </c>
      <c r="H271" s="25">
        <f t="array" ref="H271">SUM(IF("155"&amp;C271=KHN&amp;MH,TH))</f>
        <v>0</v>
      </c>
      <c r="I271" s="25">
        <f t="array" ref="I271">SUM(IF("155"&amp;C271=KHC&amp;MH,SL))</f>
        <v>0</v>
      </c>
      <c r="J271" s="25">
        <f t="array" ref="J271">SUM(IF("155"&amp;C271=KHC&amp;MH,TH))</f>
        <v>0</v>
      </c>
      <c r="K271" s="8">
        <f t="shared" si="29"/>
        <v>0</v>
      </c>
      <c r="L271" s="8">
        <f t="shared" si="30"/>
        <v>0</v>
      </c>
      <c r="M271" s="293"/>
    </row>
    <row r="272" spans="1:13" ht="18.75" customHeight="1">
      <c r="A272" s="293" t="str">
        <f t="shared" si="27"/>
        <v>TP</v>
      </c>
      <c r="B272" s="306">
        <f t="shared" si="28"/>
        <v>54</v>
      </c>
      <c r="C272" s="189" t="s">
        <v>1154</v>
      </c>
      <c r="D272" s="305"/>
      <c r="E272" s="8"/>
      <c r="F272" s="8"/>
      <c r="G272" s="25">
        <f t="array" ref="G272">SUM(IF("155"&amp;C272=KHN&amp;MH,SL))</f>
        <v>0</v>
      </c>
      <c r="H272" s="25">
        <f t="array" ref="H272">SUM(IF("155"&amp;C272=KHN&amp;MH,TH))</f>
        <v>0</v>
      </c>
      <c r="I272" s="25">
        <f t="array" ref="I272">SUM(IF("155"&amp;C272=KHC&amp;MH,SL))</f>
        <v>0</v>
      </c>
      <c r="J272" s="25">
        <f t="array" ref="J272">SUM(IF("155"&amp;C272=KHC&amp;MH,TH))</f>
        <v>0</v>
      </c>
      <c r="K272" s="8">
        <f t="shared" si="29"/>
        <v>0</v>
      </c>
      <c r="L272" s="8">
        <f t="shared" si="30"/>
        <v>0</v>
      </c>
      <c r="M272" s="293"/>
    </row>
    <row r="273" spans="1:13" ht="18.75" customHeight="1">
      <c r="A273" s="293" t="str">
        <f t="shared" si="27"/>
        <v>TP</v>
      </c>
      <c r="B273" s="306">
        <f t="shared" si="28"/>
        <v>55</v>
      </c>
      <c r="C273" s="192" t="s">
        <v>1141</v>
      </c>
      <c r="D273" s="305"/>
      <c r="E273" s="8"/>
      <c r="F273" s="8"/>
      <c r="G273" s="25">
        <f t="array" ref="G273">SUM(IF("155"&amp;C273=KHN&amp;MH,SL))</f>
        <v>0</v>
      </c>
      <c r="H273" s="25">
        <f t="array" ref="H273">SUM(IF("155"&amp;C273=KHN&amp;MH,TH))</f>
        <v>0</v>
      </c>
      <c r="I273" s="25">
        <f t="array" ref="I273">SUM(IF("155"&amp;C273=KHC&amp;MH,SL))</f>
        <v>0</v>
      </c>
      <c r="J273" s="25">
        <f t="array" ref="J273">SUM(IF("155"&amp;C273=KHC&amp;MH,TH))</f>
        <v>0</v>
      </c>
      <c r="K273" s="8">
        <f t="shared" si="29"/>
        <v>0</v>
      </c>
      <c r="L273" s="8">
        <f t="shared" si="30"/>
        <v>0</v>
      </c>
      <c r="M273" s="293"/>
    </row>
    <row r="274" spans="1:13" ht="18.75" customHeight="1">
      <c r="A274" s="293" t="str">
        <f t="shared" si="27"/>
        <v>TP</v>
      </c>
      <c r="B274" s="306">
        <f t="shared" si="28"/>
        <v>56</v>
      </c>
      <c r="C274" s="192" t="s">
        <v>1127</v>
      </c>
      <c r="D274" s="305"/>
      <c r="E274" s="8"/>
      <c r="F274" s="8"/>
      <c r="G274" s="25">
        <f t="array" ref="G274">SUM(IF("155"&amp;C274=KHN&amp;MH,SL))</f>
        <v>0</v>
      </c>
      <c r="H274" s="25">
        <f t="array" ref="H274">SUM(IF("155"&amp;C274=KHN&amp;MH,TH))</f>
        <v>0</v>
      </c>
      <c r="I274" s="25">
        <f t="array" ref="I274">SUM(IF("155"&amp;C274=KHC&amp;MH,SL))</f>
        <v>0</v>
      </c>
      <c r="J274" s="25">
        <f t="array" ref="J274">SUM(IF("155"&amp;C274=KHC&amp;MH,TH))</f>
        <v>0</v>
      </c>
      <c r="K274" s="8">
        <f t="shared" si="29"/>
        <v>0</v>
      </c>
      <c r="L274" s="8">
        <f t="shared" si="30"/>
        <v>0</v>
      </c>
      <c r="M274" s="293"/>
    </row>
    <row r="275" spans="1:13" ht="18.75" customHeight="1">
      <c r="A275" s="293" t="str">
        <f t="shared" si="27"/>
        <v>TP</v>
      </c>
      <c r="B275" s="306">
        <f t="shared" si="28"/>
        <v>57</v>
      </c>
      <c r="C275" s="189" t="s">
        <v>980</v>
      </c>
      <c r="D275" s="305"/>
      <c r="E275" s="8"/>
      <c r="F275" s="8"/>
      <c r="G275" s="25">
        <f t="array" ref="G275">SUM(IF("155"&amp;C275=KHN&amp;MH,SL))</f>
        <v>0</v>
      </c>
      <c r="H275" s="25">
        <f t="array" ref="H275">SUM(IF("155"&amp;C275=KHN&amp;MH,TH))</f>
        <v>0</v>
      </c>
      <c r="I275" s="25">
        <f t="array" ref="I275">SUM(IF("155"&amp;C275=KHC&amp;MH,SL))</f>
        <v>0</v>
      </c>
      <c r="J275" s="25">
        <f t="array" ref="J275">SUM(IF("155"&amp;C275=KHC&amp;MH,TH))</f>
        <v>0</v>
      </c>
      <c r="K275" s="8">
        <f t="shared" si="29"/>
        <v>0</v>
      </c>
      <c r="L275" s="8">
        <f t="shared" si="30"/>
        <v>0</v>
      </c>
      <c r="M275" s="293"/>
    </row>
    <row r="276" spans="1:13" ht="18.75" customHeight="1">
      <c r="A276" s="293" t="str">
        <f t="shared" si="27"/>
        <v>TP</v>
      </c>
      <c r="B276" s="306">
        <f t="shared" si="28"/>
        <v>58</v>
      </c>
      <c r="C276" s="192" t="s">
        <v>733</v>
      </c>
      <c r="D276" s="305"/>
      <c r="E276" s="8"/>
      <c r="F276" s="8"/>
      <c r="G276" s="25">
        <f t="array" ref="G276">SUM(IF("155"&amp;C276=KHN&amp;MH,SL))</f>
        <v>0</v>
      </c>
      <c r="H276" s="25">
        <f t="array" ref="H276">SUM(IF("155"&amp;C276=KHN&amp;MH,TH))</f>
        <v>0</v>
      </c>
      <c r="I276" s="25">
        <f t="array" ref="I276">SUM(IF("155"&amp;C276=KHC&amp;MH,SL))</f>
        <v>0</v>
      </c>
      <c r="J276" s="25">
        <f t="array" ref="J276">SUM(IF("155"&amp;C276=KHC&amp;MH,TH))</f>
        <v>0</v>
      </c>
      <c r="K276" s="8">
        <f t="shared" si="29"/>
        <v>0</v>
      </c>
      <c r="L276" s="8">
        <f t="shared" si="30"/>
        <v>0</v>
      </c>
      <c r="M276" s="293"/>
    </row>
    <row r="277" spans="1:13" ht="18.75" customHeight="1">
      <c r="A277" s="293" t="str">
        <f t="shared" si="27"/>
        <v>TP</v>
      </c>
      <c r="B277" s="306">
        <f t="shared" si="28"/>
        <v>59</v>
      </c>
      <c r="C277" s="192" t="s">
        <v>1152</v>
      </c>
      <c r="D277" s="305"/>
      <c r="E277" s="8"/>
      <c r="F277" s="8"/>
      <c r="G277" s="25">
        <f t="array" ref="G277">SUM(IF("155"&amp;C277=KHN&amp;MH,SL))</f>
        <v>0</v>
      </c>
      <c r="H277" s="25">
        <f t="array" ref="H277">SUM(IF("155"&amp;C277=KHN&amp;MH,TH))</f>
        <v>0</v>
      </c>
      <c r="I277" s="25">
        <f t="array" ref="I277">SUM(IF("155"&amp;C277=KHC&amp;MH,SL))</f>
        <v>0</v>
      </c>
      <c r="J277" s="25">
        <f t="array" ref="J277">SUM(IF("155"&amp;C277=KHC&amp;MH,TH))</f>
        <v>0</v>
      </c>
      <c r="K277" s="8">
        <f t="shared" si="29"/>
        <v>0</v>
      </c>
      <c r="L277" s="8">
        <f t="shared" si="30"/>
        <v>0</v>
      </c>
      <c r="M277" s="293"/>
    </row>
    <row r="278" spans="1:13" ht="18.75" customHeight="1">
      <c r="A278" s="293" t="str">
        <f t="shared" si="27"/>
        <v>TP</v>
      </c>
      <c r="B278" s="306">
        <f t="shared" si="28"/>
        <v>60</v>
      </c>
      <c r="C278" s="189" t="s">
        <v>1160</v>
      </c>
      <c r="D278" s="305"/>
      <c r="E278" s="8"/>
      <c r="F278" s="8"/>
      <c r="G278" s="25">
        <f t="array" ref="G278">SUM(IF("155"&amp;C278=KHN&amp;MH,SL))</f>
        <v>0</v>
      </c>
      <c r="H278" s="25">
        <f t="array" ref="H278">SUM(IF("155"&amp;C278=KHN&amp;MH,TH))</f>
        <v>0</v>
      </c>
      <c r="I278" s="25">
        <f t="array" ref="I278">SUM(IF("155"&amp;C278=KHC&amp;MH,SL))</f>
        <v>0</v>
      </c>
      <c r="J278" s="25">
        <f t="array" ref="J278">SUM(IF("155"&amp;C278=KHC&amp;MH,TH))</f>
        <v>0</v>
      </c>
      <c r="K278" s="8">
        <f t="shared" si="29"/>
        <v>0</v>
      </c>
      <c r="L278" s="8">
        <f t="shared" si="30"/>
        <v>0</v>
      </c>
      <c r="M278" s="293"/>
    </row>
    <row r="279" spans="1:13" ht="18.75" customHeight="1">
      <c r="A279" s="293" t="str">
        <f t="shared" si="27"/>
        <v>TP</v>
      </c>
      <c r="B279" s="306">
        <f t="shared" si="28"/>
        <v>61</v>
      </c>
      <c r="C279" s="192" t="s">
        <v>1150</v>
      </c>
      <c r="D279" s="305"/>
      <c r="E279" s="8"/>
      <c r="F279" s="8"/>
      <c r="G279" s="25">
        <f t="array" ref="G279">SUM(IF("155"&amp;C279=KHN&amp;MH,SL))</f>
        <v>0</v>
      </c>
      <c r="H279" s="25">
        <f t="array" ref="H279">SUM(IF("155"&amp;C279=KHN&amp;MH,TH))</f>
        <v>0</v>
      </c>
      <c r="I279" s="25">
        <f t="array" ref="I279">SUM(IF("155"&amp;C279=KHC&amp;MH,SL))</f>
        <v>0</v>
      </c>
      <c r="J279" s="25">
        <f t="array" ref="J279">SUM(IF("155"&amp;C279=KHC&amp;MH,TH))</f>
        <v>0</v>
      </c>
      <c r="K279" s="8">
        <f t="shared" si="29"/>
        <v>0</v>
      </c>
      <c r="L279" s="8">
        <f t="shared" si="30"/>
        <v>0</v>
      </c>
      <c r="M279" s="293"/>
    </row>
    <row r="280" spans="1:13" ht="18.75" customHeight="1">
      <c r="A280" s="293" t="str">
        <f t="shared" si="27"/>
        <v>TP</v>
      </c>
      <c r="B280" s="306">
        <f t="shared" si="28"/>
        <v>62</v>
      </c>
      <c r="C280" s="192" t="s">
        <v>820</v>
      </c>
      <c r="D280" s="305"/>
      <c r="E280" s="8"/>
      <c r="F280" s="8"/>
      <c r="G280" s="25">
        <f t="array" ref="G280">SUM(IF("155"&amp;C280=KHN&amp;MH,SL))</f>
        <v>0</v>
      </c>
      <c r="H280" s="25">
        <f t="array" ref="H280">SUM(IF("155"&amp;C280=KHN&amp;MH,TH))</f>
        <v>0</v>
      </c>
      <c r="I280" s="25">
        <f t="array" ref="I280">SUM(IF("155"&amp;C280=KHC&amp;MH,SL))</f>
        <v>0</v>
      </c>
      <c r="J280" s="25">
        <f t="array" ref="J280">SUM(IF("155"&amp;C280=KHC&amp;MH,TH))</f>
        <v>0</v>
      </c>
      <c r="K280" s="8">
        <f t="shared" si="29"/>
        <v>0</v>
      </c>
      <c r="L280" s="8">
        <f t="shared" si="30"/>
        <v>0</v>
      </c>
      <c r="M280" s="293"/>
    </row>
    <row r="281" spans="1:13" ht="18.75" customHeight="1">
      <c r="A281" s="293" t="str">
        <f t="shared" si="27"/>
        <v>TP</v>
      </c>
      <c r="B281" s="306">
        <f t="shared" si="28"/>
        <v>63</v>
      </c>
      <c r="C281" s="192" t="s">
        <v>945</v>
      </c>
      <c r="D281" s="305"/>
      <c r="E281" s="8"/>
      <c r="F281" s="8"/>
      <c r="G281" s="25">
        <f t="array" ref="G281">SUM(IF("155"&amp;C281=KHN&amp;MH,SL))</f>
        <v>0</v>
      </c>
      <c r="H281" s="25">
        <f t="array" ref="H281">SUM(IF("155"&amp;C281=KHN&amp;MH,TH))</f>
        <v>0</v>
      </c>
      <c r="I281" s="25">
        <f t="array" ref="I281">SUM(IF("155"&amp;C281=KHC&amp;MH,SL))</f>
        <v>0</v>
      </c>
      <c r="J281" s="25">
        <f t="array" ref="J281">SUM(IF("155"&amp;C281=KHC&amp;MH,TH))</f>
        <v>0</v>
      </c>
      <c r="K281" s="8">
        <f t="shared" si="29"/>
        <v>0</v>
      </c>
      <c r="L281" s="8">
        <f t="shared" si="30"/>
        <v>0</v>
      </c>
      <c r="M281" s="293"/>
    </row>
    <row r="282" spans="1:13" ht="18.75" customHeight="1">
      <c r="A282" s="293" t="str">
        <f t="shared" si="27"/>
        <v>TP</v>
      </c>
      <c r="B282" s="306">
        <f t="shared" si="28"/>
        <v>64</v>
      </c>
      <c r="C282" s="192" t="s">
        <v>954</v>
      </c>
      <c r="D282" s="305"/>
      <c r="E282" s="8"/>
      <c r="F282" s="8"/>
      <c r="G282" s="25">
        <f t="array" ref="G282">SUM(IF("155"&amp;C282=KHN&amp;MH,SL))</f>
        <v>0</v>
      </c>
      <c r="H282" s="25">
        <f t="array" ref="H282">SUM(IF("155"&amp;C282=KHN&amp;MH,TH))</f>
        <v>0</v>
      </c>
      <c r="I282" s="25">
        <f t="array" ref="I282">SUM(IF("155"&amp;C282=KHC&amp;MH,SL))</f>
        <v>0</v>
      </c>
      <c r="J282" s="25">
        <f t="array" ref="J282">SUM(IF("155"&amp;C282=KHC&amp;MH,TH))</f>
        <v>0</v>
      </c>
      <c r="K282" s="8">
        <f t="shared" si="29"/>
        <v>0</v>
      </c>
      <c r="L282" s="8">
        <f t="shared" si="30"/>
        <v>0</v>
      </c>
      <c r="M282" s="293"/>
    </row>
    <row r="283" spans="1:13" ht="18.75" customHeight="1">
      <c r="A283" s="293" t="str">
        <f t="shared" ref="A283:A314" si="31">IF(B283&lt;&gt;"","TP","")</f>
        <v>TP</v>
      </c>
      <c r="B283" s="306">
        <f t="shared" ref="B283:B314" si="32">IF(C283&lt;&gt;"",B282+1,"")</f>
        <v>65</v>
      </c>
      <c r="C283" s="192" t="s">
        <v>1145</v>
      </c>
      <c r="D283" s="305"/>
      <c r="E283" s="8"/>
      <c r="F283" s="8"/>
      <c r="G283" s="25">
        <f t="array" ref="G283">SUM(IF("155"&amp;C283=KHN&amp;MH,SL))</f>
        <v>0</v>
      </c>
      <c r="H283" s="25">
        <f t="array" ref="H283">SUM(IF("155"&amp;C283=KHN&amp;MH,TH))</f>
        <v>0</v>
      </c>
      <c r="I283" s="25">
        <f t="array" ref="I283">SUM(IF("155"&amp;C283=KHC&amp;MH,SL))</f>
        <v>0</v>
      </c>
      <c r="J283" s="25">
        <f t="array" ref="J283">SUM(IF("155"&amp;C283=KHC&amp;MH,TH))</f>
        <v>0</v>
      </c>
      <c r="K283" s="8">
        <f t="shared" ref="K283:K314" si="33">E283+G283-I283</f>
        <v>0</v>
      </c>
      <c r="L283" s="8">
        <f t="shared" ref="L283:L314" si="34">F283+H283-J283</f>
        <v>0</v>
      </c>
      <c r="M283" s="293"/>
    </row>
    <row r="284" spans="1:13" ht="19.5" customHeight="1">
      <c r="A284" s="293" t="str">
        <f t="shared" si="31"/>
        <v>TP</v>
      </c>
      <c r="B284" s="306">
        <f t="shared" si="32"/>
        <v>66</v>
      </c>
      <c r="C284" s="189" t="s">
        <v>1161</v>
      </c>
      <c r="D284" s="305"/>
      <c r="E284" s="8"/>
      <c r="F284" s="8"/>
      <c r="G284" s="25">
        <f t="array" ref="G284">SUM(IF("155"&amp;C284=KHN&amp;MH,SL))</f>
        <v>0</v>
      </c>
      <c r="H284" s="25">
        <f t="array" ref="H284">SUM(IF("155"&amp;C284=KHN&amp;MH,TH))</f>
        <v>0</v>
      </c>
      <c r="I284" s="25">
        <f t="array" ref="I284">SUM(IF("155"&amp;C284=KHC&amp;MH,SL))</f>
        <v>0</v>
      </c>
      <c r="J284" s="25">
        <f t="array" ref="J284">SUM(IF("155"&amp;C284=KHC&amp;MH,TH))</f>
        <v>0</v>
      </c>
      <c r="K284" s="8">
        <f t="shared" si="33"/>
        <v>0</v>
      </c>
      <c r="L284" s="8">
        <f t="shared" si="34"/>
        <v>0</v>
      </c>
      <c r="M284" s="293"/>
    </row>
    <row r="285" spans="1:13" ht="19.5" customHeight="1">
      <c r="A285" s="293" t="str">
        <f t="shared" si="31"/>
        <v>TP</v>
      </c>
      <c r="B285" s="306">
        <f t="shared" si="32"/>
        <v>67</v>
      </c>
      <c r="C285" s="192" t="s">
        <v>946</v>
      </c>
      <c r="D285" s="305"/>
      <c r="E285" s="8"/>
      <c r="F285" s="8"/>
      <c r="G285" s="25">
        <f t="array" ref="G285">SUM(IF("155"&amp;C285=KHN&amp;MH,SL))</f>
        <v>0</v>
      </c>
      <c r="H285" s="25">
        <f t="array" ref="H285">SUM(IF("155"&amp;C285=KHN&amp;MH,TH))</f>
        <v>0</v>
      </c>
      <c r="I285" s="25">
        <f t="array" ref="I285">SUM(IF("155"&amp;C285=KHC&amp;MH,SL))</f>
        <v>0</v>
      </c>
      <c r="J285" s="25">
        <f t="array" ref="J285">SUM(IF("155"&amp;C285=KHC&amp;MH,TH))</f>
        <v>0</v>
      </c>
      <c r="K285" s="8">
        <f t="shared" si="33"/>
        <v>0</v>
      </c>
      <c r="L285" s="8">
        <f t="shared" si="34"/>
        <v>0</v>
      </c>
      <c r="M285" s="293"/>
    </row>
    <row r="286" spans="1:13" ht="19.5" customHeight="1">
      <c r="A286" s="293" t="str">
        <f t="shared" si="31"/>
        <v>TP</v>
      </c>
      <c r="B286" s="306">
        <f t="shared" si="32"/>
        <v>68</v>
      </c>
      <c r="C286" s="192" t="s">
        <v>1162</v>
      </c>
      <c r="D286" s="305"/>
      <c r="E286" s="8"/>
      <c r="F286" s="8"/>
      <c r="G286" s="25">
        <f t="array" ref="G286">SUM(IF("155"&amp;C286=KHN&amp;MH,SL))</f>
        <v>0</v>
      </c>
      <c r="H286" s="25">
        <f t="array" ref="H286">SUM(IF("155"&amp;C286=KHN&amp;MH,TH))</f>
        <v>0</v>
      </c>
      <c r="I286" s="25">
        <f t="array" ref="I286">SUM(IF("155"&amp;C286=KHC&amp;MH,SL))</f>
        <v>0</v>
      </c>
      <c r="J286" s="25">
        <f t="array" ref="J286">SUM(IF("155"&amp;C286=KHC&amp;MH,TH))</f>
        <v>0</v>
      </c>
      <c r="K286" s="8">
        <f t="shared" si="33"/>
        <v>0</v>
      </c>
      <c r="L286" s="8">
        <f t="shared" si="34"/>
        <v>0</v>
      </c>
      <c r="M286" s="293"/>
    </row>
    <row r="287" spans="1:13" ht="19.5" customHeight="1">
      <c r="A287" s="293" t="str">
        <f t="shared" si="31"/>
        <v>TP</v>
      </c>
      <c r="B287" s="306">
        <f t="shared" si="32"/>
        <v>69</v>
      </c>
      <c r="C287" s="192" t="s">
        <v>1133</v>
      </c>
      <c r="D287" s="305"/>
      <c r="E287" s="8"/>
      <c r="F287" s="8"/>
      <c r="G287" s="25">
        <f t="array" ref="G287">SUM(IF("155"&amp;C287=KHN&amp;MH,SL))</f>
        <v>0</v>
      </c>
      <c r="H287" s="25">
        <f t="array" ref="H287">SUM(IF("155"&amp;C287=KHN&amp;MH,TH))</f>
        <v>0</v>
      </c>
      <c r="I287" s="25">
        <f t="array" ref="I287">SUM(IF("155"&amp;C287=KHC&amp;MH,SL))</f>
        <v>0</v>
      </c>
      <c r="J287" s="25">
        <f t="array" ref="J287">SUM(IF("155"&amp;C287=KHC&amp;MH,TH))</f>
        <v>0</v>
      </c>
      <c r="K287" s="8">
        <f t="shared" si="33"/>
        <v>0</v>
      </c>
      <c r="L287" s="8">
        <f t="shared" si="34"/>
        <v>0</v>
      </c>
      <c r="M287" s="293"/>
    </row>
    <row r="288" spans="1:13" ht="19.5" customHeight="1">
      <c r="A288" s="293" t="str">
        <f t="shared" si="31"/>
        <v>TP</v>
      </c>
      <c r="B288" s="306">
        <f t="shared" si="32"/>
        <v>70</v>
      </c>
      <c r="C288" s="192" t="s">
        <v>827</v>
      </c>
      <c r="D288" s="305"/>
      <c r="E288" s="8"/>
      <c r="F288" s="8"/>
      <c r="G288" s="25">
        <f t="array" ref="G288">SUM(IF("155"&amp;C288=KHN&amp;MH,SL))</f>
        <v>0</v>
      </c>
      <c r="H288" s="25">
        <f t="array" ref="H288">SUM(IF("155"&amp;C288=KHN&amp;MH,TH))</f>
        <v>0</v>
      </c>
      <c r="I288" s="25">
        <f t="array" ref="I288">SUM(IF("155"&amp;C288=KHC&amp;MH,SL))</f>
        <v>0</v>
      </c>
      <c r="J288" s="25">
        <f t="array" ref="J288">SUM(IF("155"&amp;C288=KHC&amp;MH,TH))</f>
        <v>0</v>
      </c>
      <c r="K288" s="8">
        <f t="shared" si="33"/>
        <v>0</v>
      </c>
      <c r="L288" s="8">
        <f t="shared" si="34"/>
        <v>0</v>
      </c>
      <c r="M288" s="293"/>
    </row>
    <row r="289" spans="1:13" ht="19.5" customHeight="1">
      <c r="A289" s="293" t="str">
        <f t="shared" si="31"/>
        <v>TP</v>
      </c>
      <c r="B289" s="306">
        <f t="shared" si="32"/>
        <v>71</v>
      </c>
      <c r="C289" s="189" t="s">
        <v>982</v>
      </c>
      <c r="D289" s="305"/>
      <c r="E289" s="8"/>
      <c r="F289" s="8"/>
      <c r="G289" s="25">
        <f t="array" ref="G289">SUM(IF("155"&amp;C289=KHN&amp;MH,SL))</f>
        <v>0</v>
      </c>
      <c r="H289" s="25">
        <f t="array" ref="H289">SUM(IF("155"&amp;C289=KHN&amp;MH,TH))</f>
        <v>0</v>
      </c>
      <c r="I289" s="25">
        <f t="array" ref="I289">SUM(IF("155"&amp;C289=KHC&amp;MH,SL))</f>
        <v>0</v>
      </c>
      <c r="J289" s="25">
        <f t="array" ref="J289">SUM(IF("155"&amp;C289=KHC&amp;MH,TH))</f>
        <v>0</v>
      </c>
      <c r="K289" s="8">
        <f t="shared" si="33"/>
        <v>0</v>
      </c>
      <c r="L289" s="8">
        <f t="shared" si="34"/>
        <v>0</v>
      </c>
      <c r="M289" s="293"/>
    </row>
    <row r="290" spans="1:13" ht="19.5" customHeight="1">
      <c r="A290" s="293" t="str">
        <f t="shared" si="31"/>
        <v>TP</v>
      </c>
      <c r="B290" s="306">
        <f t="shared" si="32"/>
        <v>72</v>
      </c>
      <c r="C290" s="192" t="s">
        <v>756</v>
      </c>
      <c r="D290" s="305"/>
      <c r="E290" s="8"/>
      <c r="F290" s="8"/>
      <c r="G290" s="25">
        <f t="array" ref="G290">SUM(IF("155"&amp;C290=KHN&amp;MH,SL))</f>
        <v>0</v>
      </c>
      <c r="H290" s="25">
        <f t="array" ref="H290">SUM(IF("155"&amp;C290=KHN&amp;MH,TH))</f>
        <v>0</v>
      </c>
      <c r="I290" s="25">
        <f t="array" ref="I290">SUM(IF("155"&amp;C290=KHC&amp;MH,SL))</f>
        <v>0</v>
      </c>
      <c r="J290" s="25">
        <f t="array" ref="J290">SUM(IF("155"&amp;C290=KHC&amp;MH,TH))</f>
        <v>0</v>
      </c>
      <c r="K290" s="8">
        <f t="shared" si="33"/>
        <v>0</v>
      </c>
      <c r="L290" s="8">
        <f t="shared" si="34"/>
        <v>0</v>
      </c>
      <c r="M290" s="293"/>
    </row>
    <row r="291" spans="1:13" ht="19.5" customHeight="1">
      <c r="A291" s="293" t="str">
        <f t="shared" si="31"/>
        <v>TP</v>
      </c>
      <c r="B291" s="306">
        <f t="shared" si="32"/>
        <v>73</v>
      </c>
      <c r="C291" s="192" t="s">
        <v>1163</v>
      </c>
      <c r="D291" s="305"/>
      <c r="E291" s="8"/>
      <c r="F291" s="8"/>
      <c r="G291" s="25">
        <f t="array" ref="G291">SUM(IF("155"&amp;C291=KHN&amp;MH,SL))</f>
        <v>0</v>
      </c>
      <c r="H291" s="25">
        <f t="array" ref="H291">SUM(IF("155"&amp;C291=KHN&amp;MH,TH))</f>
        <v>0</v>
      </c>
      <c r="I291" s="25">
        <f t="array" ref="I291">SUM(IF("155"&amp;C291=KHC&amp;MH,SL))</f>
        <v>0</v>
      </c>
      <c r="J291" s="25">
        <f t="array" ref="J291">SUM(IF("155"&amp;C291=KHC&amp;MH,TH))</f>
        <v>0</v>
      </c>
      <c r="K291" s="8">
        <f t="shared" si="33"/>
        <v>0</v>
      </c>
      <c r="L291" s="8">
        <f t="shared" si="34"/>
        <v>0</v>
      </c>
      <c r="M291" s="293"/>
    </row>
    <row r="292" spans="1:13" ht="19.5" customHeight="1">
      <c r="A292" s="293" t="str">
        <f t="shared" si="31"/>
        <v>TP</v>
      </c>
      <c r="B292" s="306">
        <f t="shared" si="32"/>
        <v>74</v>
      </c>
      <c r="C292" s="189" t="s">
        <v>1164</v>
      </c>
      <c r="D292" s="305"/>
      <c r="E292" s="8"/>
      <c r="F292" s="8"/>
      <c r="G292" s="25">
        <f t="array" ref="G292">SUM(IF("155"&amp;C292=KHN&amp;MH,SL))</f>
        <v>0</v>
      </c>
      <c r="H292" s="25">
        <f t="array" ref="H292">SUM(IF("155"&amp;C292=KHN&amp;MH,TH))</f>
        <v>0</v>
      </c>
      <c r="I292" s="25">
        <f t="array" ref="I292">SUM(IF("155"&amp;C292=KHC&amp;MH,SL))</f>
        <v>0</v>
      </c>
      <c r="J292" s="25">
        <f t="array" ref="J292">SUM(IF("155"&amp;C292=KHC&amp;MH,TH))</f>
        <v>0</v>
      </c>
      <c r="K292" s="8">
        <f t="shared" si="33"/>
        <v>0</v>
      </c>
      <c r="L292" s="8">
        <f t="shared" si="34"/>
        <v>0</v>
      </c>
      <c r="M292" s="293"/>
    </row>
    <row r="293" spans="1:13" ht="19.5" customHeight="1">
      <c r="A293" s="293" t="str">
        <f t="shared" si="31"/>
        <v>TP</v>
      </c>
      <c r="B293" s="306">
        <f t="shared" si="32"/>
        <v>75</v>
      </c>
      <c r="C293" s="192" t="s">
        <v>922</v>
      </c>
      <c r="D293" s="305"/>
      <c r="E293" s="8"/>
      <c r="F293" s="8"/>
      <c r="G293" s="25">
        <f t="array" ref="G293">SUM(IF("155"&amp;C293=KHN&amp;MH,SL))</f>
        <v>0</v>
      </c>
      <c r="H293" s="25">
        <f t="array" ref="H293">SUM(IF("155"&amp;C293=KHN&amp;MH,TH))</f>
        <v>0</v>
      </c>
      <c r="I293" s="25">
        <f t="array" ref="I293">SUM(IF("155"&amp;C293=KHC&amp;MH,SL))</f>
        <v>0</v>
      </c>
      <c r="J293" s="25">
        <f t="array" ref="J293">SUM(IF("155"&amp;C293=KHC&amp;MH,TH))</f>
        <v>0</v>
      </c>
      <c r="K293" s="8">
        <f t="shared" si="33"/>
        <v>0</v>
      </c>
      <c r="L293" s="8">
        <f t="shared" si="34"/>
        <v>0</v>
      </c>
      <c r="M293" s="293"/>
    </row>
    <row r="294" spans="1:13" ht="19.5" customHeight="1">
      <c r="A294" s="293" t="str">
        <f t="shared" si="31"/>
        <v>TP</v>
      </c>
      <c r="B294" s="306">
        <f t="shared" si="32"/>
        <v>76</v>
      </c>
      <c r="C294" s="192" t="s">
        <v>740</v>
      </c>
      <c r="D294" s="305"/>
      <c r="E294" s="8"/>
      <c r="F294" s="8"/>
      <c r="G294" s="25">
        <f t="array" ref="G294">SUM(IF("155"&amp;C294=KHN&amp;MH,SL))</f>
        <v>0</v>
      </c>
      <c r="H294" s="25">
        <f t="array" ref="H294">SUM(IF("155"&amp;C294=KHN&amp;MH,TH))</f>
        <v>0</v>
      </c>
      <c r="I294" s="25">
        <f t="array" ref="I294">SUM(IF("155"&amp;C294=KHC&amp;MH,SL))</f>
        <v>0</v>
      </c>
      <c r="J294" s="25">
        <f t="array" ref="J294">SUM(IF("155"&amp;C294=KHC&amp;MH,TH))</f>
        <v>0</v>
      </c>
      <c r="K294" s="8">
        <f t="shared" si="33"/>
        <v>0</v>
      </c>
      <c r="L294" s="8">
        <f t="shared" si="34"/>
        <v>0</v>
      </c>
      <c r="M294" s="293"/>
    </row>
    <row r="295" spans="1:13" ht="19.5" customHeight="1">
      <c r="A295" s="293" t="str">
        <f t="shared" si="31"/>
        <v>TP</v>
      </c>
      <c r="B295" s="306">
        <f t="shared" si="32"/>
        <v>77</v>
      </c>
      <c r="C295" s="192" t="s">
        <v>1144</v>
      </c>
      <c r="D295" s="305"/>
      <c r="E295" s="8"/>
      <c r="F295" s="8"/>
      <c r="G295" s="25">
        <f t="array" ref="G295">SUM(IF("155"&amp;C295=KHN&amp;MH,SL))</f>
        <v>0</v>
      </c>
      <c r="H295" s="25">
        <f t="array" ref="H295">SUM(IF("155"&amp;C295=KHN&amp;MH,TH))</f>
        <v>0</v>
      </c>
      <c r="I295" s="25">
        <f t="array" ref="I295">SUM(IF("155"&amp;C295=KHC&amp;MH,SL))</f>
        <v>0</v>
      </c>
      <c r="J295" s="25">
        <f t="array" ref="J295">SUM(IF("155"&amp;C295=KHC&amp;MH,TH))</f>
        <v>0</v>
      </c>
      <c r="K295" s="8">
        <f t="shared" si="33"/>
        <v>0</v>
      </c>
      <c r="L295" s="8">
        <f t="shared" si="34"/>
        <v>0</v>
      </c>
      <c r="M295" s="293"/>
    </row>
    <row r="296" spans="1:13" ht="19.5" customHeight="1">
      <c r="A296" s="293" t="str">
        <f t="shared" si="31"/>
        <v>TP</v>
      </c>
      <c r="B296" s="306">
        <f t="shared" si="32"/>
        <v>78</v>
      </c>
      <c r="C296" s="192" t="s">
        <v>1146</v>
      </c>
      <c r="D296" s="305"/>
      <c r="E296" s="8"/>
      <c r="F296" s="8"/>
      <c r="G296" s="25">
        <f t="array" ref="G296">SUM(IF("155"&amp;C296=KHN&amp;MH,SL))</f>
        <v>0</v>
      </c>
      <c r="H296" s="25">
        <f t="array" ref="H296">SUM(IF("155"&amp;C296=KHN&amp;MH,TH))</f>
        <v>0</v>
      </c>
      <c r="I296" s="25">
        <f t="array" ref="I296">SUM(IF("155"&amp;C296=KHC&amp;MH,SL))</f>
        <v>0</v>
      </c>
      <c r="J296" s="25">
        <f t="array" ref="J296">SUM(IF("155"&amp;C296=KHC&amp;MH,TH))</f>
        <v>0</v>
      </c>
      <c r="K296" s="8">
        <f t="shared" si="33"/>
        <v>0</v>
      </c>
      <c r="L296" s="8">
        <f t="shared" si="34"/>
        <v>0</v>
      </c>
      <c r="M296" s="293"/>
    </row>
    <row r="297" spans="1:13" ht="19.5" customHeight="1">
      <c r="A297" s="293" t="str">
        <f t="shared" si="31"/>
        <v>TP</v>
      </c>
      <c r="B297" s="306">
        <f t="shared" si="32"/>
        <v>79</v>
      </c>
      <c r="C297" s="192" t="s">
        <v>766</v>
      </c>
      <c r="D297" s="305"/>
      <c r="E297" s="8"/>
      <c r="F297" s="8"/>
      <c r="G297" s="25">
        <f t="array" ref="G297">SUM(IF("155"&amp;C297=KHN&amp;MH,SL))</f>
        <v>0</v>
      </c>
      <c r="H297" s="25">
        <f t="array" ref="H297">SUM(IF("155"&amp;C297=KHN&amp;MH,TH))</f>
        <v>0</v>
      </c>
      <c r="I297" s="25">
        <f t="array" ref="I297">SUM(IF("155"&amp;C297=KHC&amp;MH,SL))</f>
        <v>0</v>
      </c>
      <c r="J297" s="25">
        <f t="array" ref="J297">SUM(IF("155"&amp;C297=KHC&amp;MH,TH))</f>
        <v>0</v>
      </c>
      <c r="K297" s="8">
        <f t="shared" si="33"/>
        <v>0</v>
      </c>
      <c r="L297" s="8">
        <f t="shared" si="34"/>
        <v>0</v>
      </c>
      <c r="M297" s="293"/>
    </row>
    <row r="298" spans="1:13" ht="19.5" customHeight="1">
      <c r="A298" s="293" t="str">
        <f t="shared" si="31"/>
        <v>TP</v>
      </c>
      <c r="B298" s="306">
        <f t="shared" si="32"/>
        <v>80</v>
      </c>
      <c r="C298" s="192" t="s">
        <v>885</v>
      </c>
      <c r="D298" s="305"/>
      <c r="E298" s="8"/>
      <c r="F298" s="8"/>
      <c r="G298" s="25">
        <f t="array" ref="G298">SUM(IF("155"&amp;C298=KHN&amp;MH,SL))</f>
        <v>0</v>
      </c>
      <c r="H298" s="25">
        <f t="array" ref="H298">SUM(IF("155"&amp;C298=KHN&amp;MH,TH))</f>
        <v>0</v>
      </c>
      <c r="I298" s="25">
        <f t="array" ref="I298">SUM(IF("155"&amp;C298=KHC&amp;MH,SL))</f>
        <v>0</v>
      </c>
      <c r="J298" s="25">
        <f t="array" ref="J298">SUM(IF("155"&amp;C298=KHC&amp;MH,TH))</f>
        <v>0</v>
      </c>
      <c r="K298" s="8">
        <f t="shared" si="33"/>
        <v>0</v>
      </c>
      <c r="L298" s="8">
        <f t="shared" si="34"/>
        <v>0</v>
      </c>
      <c r="M298" s="293"/>
    </row>
    <row r="299" spans="1:13" ht="19.5" customHeight="1">
      <c r="A299" s="293" t="str">
        <f t="shared" si="31"/>
        <v>TP</v>
      </c>
      <c r="B299" s="306">
        <f t="shared" si="32"/>
        <v>81</v>
      </c>
      <c r="C299" s="192" t="s">
        <v>816</v>
      </c>
      <c r="D299" s="305"/>
      <c r="E299" s="8"/>
      <c r="F299" s="8"/>
      <c r="G299" s="25">
        <f t="array" ref="G299">SUM(IF("155"&amp;C299=KHN&amp;MH,SL))</f>
        <v>0</v>
      </c>
      <c r="H299" s="25">
        <f t="array" ref="H299">SUM(IF("155"&amp;C299=KHN&amp;MH,TH))</f>
        <v>0</v>
      </c>
      <c r="I299" s="25">
        <f t="array" ref="I299">SUM(IF("155"&amp;C299=KHC&amp;MH,SL))</f>
        <v>0</v>
      </c>
      <c r="J299" s="25">
        <f t="array" ref="J299">SUM(IF("155"&amp;C299=KHC&amp;MH,TH))</f>
        <v>0</v>
      </c>
      <c r="K299" s="8">
        <f t="shared" si="33"/>
        <v>0</v>
      </c>
      <c r="L299" s="8">
        <f t="shared" si="34"/>
        <v>0</v>
      </c>
      <c r="M299" s="293"/>
    </row>
    <row r="300" spans="1:13" ht="19.5" customHeight="1">
      <c r="A300" s="293" t="str">
        <f t="shared" si="31"/>
        <v>TP</v>
      </c>
      <c r="B300" s="306">
        <f t="shared" si="32"/>
        <v>82</v>
      </c>
      <c r="C300" s="192" t="s">
        <v>1003</v>
      </c>
      <c r="D300" s="305"/>
      <c r="E300" s="8"/>
      <c r="F300" s="8"/>
      <c r="G300" s="25">
        <f t="array" ref="G300">SUM(IF("155"&amp;C300=KHN&amp;MH,SL))</f>
        <v>0</v>
      </c>
      <c r="H300" s="25">
        <f t="array" ref="H300">SUM(IF("155"&amp;C300=KHN&amp;MH,TH))</f>
        <v>0</v>
      </c>
      <c r="I300" s="25">
        <f t="array" ref="I300">SUM(IF("155"&amp;C300=KHC&amp;MH,SL))</f>
        <v>0</v>
      </c>
      <c r="J300" s="25">
        <f t="array" ref="J300">SUM(IF("155"&amp;C300=KHC&amp;MH,TH))</f>
        <v>0</v>
      </c>
      <c r="K300" s="8">
        <f t="shared" si="33"/>
        <v>0</v>
      </c>
      <c r="L300" s="8">
        <f t="shared" si="34"/>
        <v>0</v>
      </c>
      <c r="M300" s="293"/>
    </row>
    <row r="301" spans="1:13" ht="19.5" customHeight="1">
      <c r="A301" s="293" t="str">
        <f t="shared" si="31"/>
        <v>TP</v>
      </c>
      <c r="B301" s="306">
        <f t="shared" si="32"/>
        <v>83</v>
      </c>
      <c r="C301" s="192" t="s">
        <v>1128</v>
      </c>
      <c r="D301" s="305"/>
      <c r="E301" s="8"/>
      <c r="F301" s="8"/>
      <c r="G301" s="25">
        <f t="array" ref="G301">SUM(IF("155"&amp;C301=KHN&amp;MH,SL))</f>
        <v>0</v>
      </c>
      <c r="H301" s="25">
        <f t="array" ref="H301">SUM(IF("155"&amp;C301=KHN&amp;MH,TH))</f>
        <v>0</v>
      </c>
      <c r="I301" s="25">
        <f t="array" ref="I301">SUM(IF("155"&amp;C301=KHC&amp;MH,SL))</f>
        <v>0</v>
      </c>
      <c r="J301" s="25">
        <f t="array" ref="J301">SUM(IF("155"&amp;C301=KHC&amp;MH,TH))</f>
        <v>0</v>
      </c>
      <c r="K301" s="8">
        <f t="shared" si="33"/>
        <v>0</v>
      </c>
      <c r="L301" s="8">
        <f t="shared" si="34"/>
        <v>0</v>
      </c>
      <c r="M301" s="293"/>
    </row>
    <row r="302" spans="1:13" ht="19.5" customHeight="1">
      <c r="A302" s="293" t="str">
        <f t="shared" si="31"/>
        <v>TP</v>
      </c>
      <c r="B302" s="306">
        <f t="shared" si="32"/>
        <v>84</v>
      </c>
      <c r="C302" s="192" t="s">
        <v>1131</v>
      </c>
      <c r="D302" s="305"/>
      <c r="E302" s="8"/>
      <c r="F302" s="8"/>
      <c r="G302" s="25">
        <f t="array" ref="G302">SUM(IF("155"&amp;C302=KHN&amp;MH,SL))</f>
        <v>0</v>
      </c>
      <c r="H302" s="25">
        <f t="array" ref="H302">SUM(IF("155"&amp;C302=KHN&amp;MH,TH))</f>
        <v>0</v>
      </c>
      <c r="I302" s="25">
        <f t="array" ref="I302">SUM(IF("155"&amp;C302=KHC&amp;MH,SL))</f>
        <v>0</v>
      </c>
      <c r="J302" s="25">
        <f t="array" ref="J302">SUM(IF("155"&amp;C302=KHC&amp;MH,TH))</f>
        <v>0</v>
      </c>
      <c r="K302" s="8">
        <f t="shared" si="33"/>
        <v>0</v>
      </c>
      <c r="L302" s="8">
        <f t="shared" si="34"/>
        <v>0</v>
      </c>
      <c r="M302" s="293"/>
    </row>
    <row r="303" spans="1:13" ht="19.5" customHeight="1">
      <c r="A303" s="293" t="str">
        <f t="shared" si="31"/>
        <v>TP</v>
      </c>
      <c r="B303" s="306">
        <f t="shared" si="32"/>
        <v>85</v>
      </c>
      <c r="C303" s="192" t="s">
        <v>730</v>
      </c>
      <c r="D303" s="305"/>
      <c r="E303" s="8"/>
      <c r="F303" s="8"/>
      <c r="G303" s="25">
        <f t="array" ref="G303">SUM(IF("155"&amp;C303=KHN&amp;MH,SL))</f>
        <v>0</v>
      </c>
      <c r="H303" s="25">
        <f t="array" ref="H303">SUM(IF("155"&amp;C303=KHN&amp;MH,TH))</f>
        <v>0</v>
      </c>
      <c r="I303" s="25">
        <f t="array" ref="I303">SUM(IF("155"&amp;C303=KHC&amp;MH,SL))</f>
        <v>0</v>
      </c>
      <c r="J303" s="25">
        <f t="array" ref="J303">SUM(IF("155"&amp;C303=KHC&amp;MH,TH))</f>
        <v>0</v>
      </c>
      <c r="K303" s="8">
        <f t="shared" si="33"/>
        <v>0</v>
      </c>
      <c r="L303" s="8">
        <f t="shared" si="34"/>
        <v>0</v>
      </c>
      <c r="M303" s="293"/>
    </row>
    <row r="304" spans="1:13" ht="19.5" customHeight="1">
      <c r="A304" s="293" t="str">
        <f t="shared" si="31"/>
        <v>TP</v>
      </c>
      <c r="B304" s="306">
        <f t="shared" si="32"/>
        <v>86</v>
      </c>
      <c r="C304" s="192" t="s">
        <v>943</v>
      </c>
      <c r="D304" s="305"/>
      <c r="E304" s="8"/>
      <c r="F304" s="8"/>
      <c r="G304" s="25">
        <f t="array" ref="G304">SUM(IF("155"&amp;C304=KHN&amp;MH,SL))</f>
        <v>0</v>
      </c>
      <c r="H304" s="25">
        <f t="array" ref="H304">SUM(IF("155"&amp;C304=KHN&amp;MH,TH))</f>
        <v>0</v>
      </c>
      <c r="I304" s="25">
        <f t="array" ref="I304">SUM(IF("155"&amp;C304=KHC&amp;MH,SL))</f>
        <v>0</v>
      </c>
      <c r="J304" s="25">
        <f t="array" ref="J304">SUM(IF("155"&amp;C304=KHC&amp;MH,TH))</f>
        <v>0</v>
      </c>
      <c r="K304" s="8">
        <f t="shared" si="33"/>
        <v>0</v>
      </c>
      <c r="L304" s="8">
        <f t="shared" si="34"/>
        <v>0</v>
      </c>
      <c r="M304" s="293"/>
    </row>
    <row r="305" spans="1:13" ht="19.5" customHeight="1">
      <c r="A305" s="293" t="str">
        <f t="shared" si="31"/>
        <v>TP</v>
      </c>
      <c r="B305" s="306">
        <f t="shared" si="32"/>
        <v>87</v>
      </c>
      <c r="C305" s="192" t="s">
        <v>1147</v>
      </c>
      <c r="D305" s="305"/>
      <c r="E305" s="8"/>
      <c r="F305" s="8"/>
      <c r="G305" s="25">
        <f t="array" ref="G305">SUM(IF("155"&amp;C305=KHN&amp;MH,SL))</f>
        <v>0</v>
      </c>
      <c r="H305" s="25">
        <f t="array" ref="H305">SUM(IF("155"&amp;C305=KHN&amp;MH,TH))</f>
        <v>0</v>
      </c>
      <c r="I305" s="25">
        <f t="array" ref="I305">SUM(IF("155"&amp;C305=KHC&amp;MH,SL))</f>
        <v>0</v>
      </c>
      <c r="J305" s="25">
        <f t="array" ref="J305">SUM(IF("155"&amp;C305=KHC&amp;MH,TH))</f>
        <v>0</v>
      </c>
      <c r="K305" s="8">
        <f t="shared" si="33"/>
        <v>0</v>
      </c>
      <c r="L305" s="8">
        <f t="shared" si="34"/>
        <v>0</v>
      </c>
      <c r="M305" s="293"/>
    </row>
    <row r="306" spans="1:13" ht="19.5" customHeight="1">
      <c r="A306" s="293" t="str">
        <f t="shared" si="31"/>
        <v>TP</v>
      </c>
      <c r="B306" s="306">
        <f t="shared" si="32"/>
        <v>88</v>
      </c>
      <c r="C306" s="192" t="s">
        <v>1151</v>
      </c>
      <c r="D306" s="305"/>
      <c r="E306" s="8"/>
      <c r="F306" s="8"/>
      <c r="G306" s="25">
        <f t="array" ref="G306">SUM(IF("155"&amp;C306=KHN&amp;MH,SL))</f>
        <v>0</v>
      </c>
      <c r="H306" s="25">
        <f t="array" ref="H306">SUM(IF("155"&amp;C306=KHN&amp;MH,TH))</f>
        <v>0</v>
      </c>
      <c r="I306" s="25">
        <f t="array" ref="I306">SUM(IF("155"&amp;C306=KHC&amp;MH,SL))</f>
        <v>0</v>
      </c>
      <c r="J306" s="25">
        <f t="array" ref="J306">SUM(IF("155"&amp;C306=KHC&amp;MH,TH))</f>
        <v>0</v>
      </c>
      <c r="K306" s="8">
        <f t="shared" si="33"/>
        <v>0</v>
      </c>
      <c r="L306" s="8">
        <f t="shared" si="34"/>
        <v>0</v>
      </c>
      <c r="M306" s="293"/>
    </row>
    <row r="307" spans="1:13" ht="19.5" customHeight="1">
      <c r="A307" s="293" t="str">
        <f t="shared" si="31"/>
        <v>TP</v>
      </c>
      <c r="B307" s="306">
        <f t="shared" si="32"/>
        <v>89</v>
      </c>
      <c r="C307" s="192" t="s">
        <v>757</v>
      </c>
      <c r="D307" s="305"/>
      <c r="E307" s="8"/>
      <c r="F307" s="8"/>
      <c r="G307" s="25">
        <f t="array" ref="G307">SUM(IF("155"&amp;C307=KHN&amp;MH,SL))</f>
        <v>0</v>
      </c>
      <c r="H307" s="25">
        <f t="array" ref="H307">SUM(IF("155"&amp;C307=KHN&amp;MH,TH))</f>
        <v>0</v>
      </c>
      <c r="I307" s="25">
        <f t="array" ref="I307">SUM(IF("155"&amp;C307=KHC&amp;MH,SL))</f>
        <v>0</v>
      </c>
      <c r="J307" s="25">
        <f t="array" ref="J307">SUM(IF("155"&amp;C307=KHC&amp;MH,TH))</f>
        <v>0</v>
      </c>
      <c r="K307" s="8">
        <f t="shared" si="33"/>
        <v>0</v>
      </c>
      <c r="L307" s="8">
        <f t="shared" si="34"/>
        <v>0</v>
      </c>
      <c r="M307" s="293"/>
    </row>
    <row r="308" spans="1:13" ht="19.5" customHeight="1">
      <c r="A308" s="293" t="str">
        <f t="shared" si="31"/>
        <v>TP</v>
      </c>
      <c r="B308" s="306">
        <f t="shared" si="32"/>
        <v>90</v>
      </c>
      <c r="C308" s="192" t="s">
        <v>735</v>
      </c>
      <c r="D308" s="305"/>
      <c r="E308" s="8"/>
      <c r="F308" s="8"/>
      <c r="G308" s="25">
        <f t="array" ref="G308">SUM(IF("155"&amp;C308=KHN&amp;MH,SL))</f>
        <v>0</v>
      </c>
      <c r="H308" s="25">
        <f t="array" ref="H308">SUM(IF("155"&amp;C308=KHN&amp;MH,TH))</f>
        <v>0</v>
      </c>
      <c r="I308" s="25">
        <f t="array" ref="I308">SUM(IF("155"&amp;C308=KHC&amp;MH,SL))</f>
        <v>0</v>
      </c>
      <c r="J308" s="25">
        <f t="array" ref="J308">SUM(IF("155"&amp;C308=KHC&amp;MH,TH))</f>
        <v>0</v>
      </c>
      <c r="K308" s="8">
        <f t="shared" si="33"/>
        <v>0</v>
      </c>
      <c r="L308" s="8">
        <f t="shared" si="34"/>
        <v>0</v>
      </c>
      <c r="M308" s="293"/>
    </row>
    <row r="309" spans="1:13" ht="19.5" customHeight="1">
      <c r="A309" s="293" t="str">
        <f t="shared" si="31"/>
        <v>TP</v>
      </c>
      <c r="B309" s="306">
        <f t="shared" si="32"/>
        <v>91</v>
      </c>
      <c r="C309" s="192" t="s">
        <v>768</v>
      </c>
      <c r="D309" s="305"/>
      <c r="E309" s="8"/>
      <c r="F309" s="8"/>
      <c r="G309" s="25">
        <f t="array" ref="G309">SUM(IF("155"&amp;C309=KHN&amp;MH,SL))</f>
        <v>0</v>
      </c>
      <c r="H309" s="25">
        <f t="array" ref="H309">SUM(IF("155"&amp;C309=KHN&amp;MH,TH))</f>
        <v>0</v>
      </c>
      <c r="I309" s="25">
        <f t="array" ref="I309">SUM(IF("155"&amp;C309=KHC&amp;MH,SL))</f>
        <v>0</v>
      </c>
      <c r="J309" s="25">
        <f t="array" ref="J309">SUM(IF("155"&amp;C309=KHC&amp;MH,TH))</f>
        <v>0</v>
      </c>
      <c r="K309" s="8">
        <f t="shared" si="33"/>
        <v>0</v>
      </c>
      <c r="L309" s="8">
        <f t="shared" si="34"/>
        <v>0</v>
      </c>
      <c r="M309" s="293"/>
    </row>
    <row r="310" spans="1:13" ht="19.5" customHeight="1">
      <c r="A310" s="293" t="str">
        <f t="shared" si="31"/>
        <v>TP</v>
      </c>
      <c r="B310" s="306">
        <f t="shared" si="32"/>
        <v>92</v>
      </c>
      <c r="C310" s="192" t="s">
        <v>741</v>
      </c>
      <c r="D310" s="305"/>
      <c r="E310" s="8"/>
      <c r="F310" s="8"/>
      <c r="G310" s="25">
        <f t="array" ref="G310">SUM(IF("155"&amp;C310=KHN&amp;MH,SL))</f>
        <v>0</v>
      </c>
      <c r="H310" s="25">
        <f t="array" ref="H310">SUM(IF("155"&amp;C310=KHN&amp;MH,TH))</f>
        <v>0</v>
      </c>
      <c r="I310" s="25">
        <f t="array" ref="I310">SUM(IF("155"&amp;C310=KHC&amp;MH,SL))</f>
        <v>0</v>
      </c>
      <c r="J310" s="25">
        <f t="array" ref="J310">SUM(IF("155"&amp;C310=KHC&amp;MH,TH))</f>
        <v>0</v>
      </c>
      <c r="K310" s="8">
        <f t="shared" si="33"/>
        <v>0</v>
      </c>
      <c r="L310" s="8">
        <f t="shared" si="34"/>
        <v>0</v>
      </c>
      <c r="M310" s="293"/>
    </row>
    <row r="311" spans="1:13" ht="19.5" customHeight="1">
      <c r="A311" s="293" t="str">
        <f t="shared" si="31"/>
        <v>TP</v>
      </c>
      <c r="B311" s="306">
        <f t="shared" si="32"/>
        <v>93</v>
      </c>
      <c r="C311" s="192" t="s">
        <v>760</v>
      </c>
      <c r="D311" s="305"/>
      <c r="E311" s="8"/>
      <c r="F311" s="8"/>
      <c r="G311" s="25">
        <f t="array" ref="G311">SUM(IF("155"&amp;C311=KHN&amp;MH,SL))</f>
        <v>0</v>
      </c>
      <c r="H311" s="25">
        <f t="array" ref="H311">SUM(IF("155"&amp;C311=KHN&amp;MH,TH))</f>
        <v>0</v>
      </c>
      <c r="I311" s="25">
        <f t="array" ref="I311">SUM(IF("155"&amp;C311=KHC&amp;MH,SL))</f>
        <v>0</v>
      </c>
      <c r="J311" s="25">
        <f t="array" ref="J311">SUM(IF("155"&amp;C311=KHC&amp;MH,TH))</f>
        <v>0</v>
      </c>
      <c r="K311" s="8">
        <f t="shared" si="33"/>
        <v>0</v>
      </c>
      <c r="L311" s="8">
        <f t="shared" si="34"/>
        <v>0</v>
      </c>
      <c r="M311" s="293"/>
    </row>
    <row r="312" spans="1:13" ht="19.5" customHeight="1">
      <c r="A312" s="293" t="str">
        <f t="shared" si="31"/>
        <v>TP</v>
      </c>
      <c r="B312" s="306">
        <f t="shared" si="32"/>
        <v>94</v>
      </c>
      <c r="C312" s="189" t="s">
        <v>1142</v>
      </c>
      <c r="D312" s="305"/>
      <c r="E312" s="8"/>
      <c r="F312" s="8"/>
      <c r="G312" s="25">
        <f t="array" ref="G312">SUM(IF("155"&amp;C312=KHN&amp;MH,SL))</f>
        <v>0</v>
      </c>
      <c r="H312" s="25">
        <f t="array" ref="H312">SUM(IF("155"&amp;C312=KHN&amp;MH,TH))</f>
        <v>0</v>
      </c>
      <c r="I312" s="25">
        <f t="array" ref="I312">SUM(IF("155"&amp;C312=KHC&amp;MH,SL))</f>
        <v>0</v>
      </c>
      <c r="J312" s="25">
        <f t="array" ref="J312">SUM(IF("155"&amp;C312=KHC&amp;MH,TH))</f>
        <v>0</v>
      </c>
      <c r="K312" s="8">
        <f t="shared" si="33"/>
        <v>0</v>
      </c>
      <c r="L312" s="8">
        <f t="shared" si="34"/>
        <v>0</v>
      </c>
      <c r="M312" s="293"/>
    </row>
    <row r="313" spans="1:13" ht="19.5" customHeight="1">
      <c r="A313" s="293" t="str">
        <f t="shared" si="31"/>
        <v>TP</v>
      </c>
      <c r="B313" s="306">
        <f t="shared" si="32"/>
        <v>95</v>
      </c>
      <c r="C313" s="192" t="s">
        <v>931</v>
      </c>
      <c r="D313" s="305"/>
      <c r="E313" s="8"/>
      <c r="F313" s="8"/>
      <c r="G313" s="25">
        <f t="array" ref="G313">SUM(IF("155"&amp;C313=KHN&amp;MH,SL))</f>
        <v>0</v>
      </c>
      <c r="H313" s="25">
        <f t="array" ref="H313">SUM(IF("155"&amp;C313=KHN&amp;MH,TH))</f>
        <v>0</v>
      </c>
      <c r="I313" s="25">
        <f t="array" ref="I313">SUM(IF("155"&amp;C313=KHC&amp;MH,SL))</f>
        <v>0</v>
      </c>
      <c r="J313" s="25">
        <f t="array" ref="J313">SUM(IF("155"&amp;C313=KHC&amp;MH,TH))</f>
        <v>0</v>
      </c>
      <c r="K313" s="8">
        <f t="shared" si="33"/>
        <v>0</v>
      </c>
      <c r="L313" s="8">
        <f t="shared" si="34"/>
        <v>0</v>
      </c>
      <c r="M313" s="293"/>
    </row>
    <row r="314" spans="1:13" ht="19.5" customHeight="1">
      <c r="A314" s="293" t="str">
        <f t="shared" si="31"/>
        <v>TP</v>
      </c>
      <c r="B314" s="306">
        <f t="shared" si="32"/>
        <v>96</v>
      </c>
      <c r="C314" s="192" t="s">
        <v>925</v>
      </c>
      <c r="D314" s="305"/>
      <c r="E314" s="8"/>
      <c r="F314" s="8"/>
      <c r="G314" s="25">
        <f t="array" ref="G314">SUM(IF("155"&amp;C314=KHN&amp;MH,SL))</f>
        <v>0</v>
      </c>
      <c r="H314" s="25">
        <f t="array" ref="H314">SUM(IF("155"&amp;C314=KHN&amp;MH,TH))</f>
        <v>0</v>
      </c>
      <c r="I314" s="25">
        <f t="array" ref="I314">SUM(IF("155"&amp;C314=KHC&amp;MH,SL))</f>
        <v>0</v>
      </c>
      <c r="J314" s="25">
        <f t="array" ref="J314">SUM(IF("155"&amp;C314=KHC&amp;MH,TH))</f>
        <v>0</v>
      </c>
      <c r="K314" s="8">
        <f t="shared" si="33"/>
        <v>0</v>
      </c>
      <c r="L314" s="8">
        <f t="shared" si="34"/>
        <v>0</v>
      </c>
      <c r="M314" s="293"/>
    </row>
    <row r="315" spans="1:13" ht="19.5" customHeight="1">
      <c r="A315" s="293" t="str">
        <f t="shared" ref="A315:A346" si="35">IF(B315&lt;&gt;"","TP","")</f>
        <v>TP</v>
      </c>
      <c r="B315" s="306">
        <f t="shared" ref="B315:B346" si="36">IF(C315&lt;&gt;"",B314+1,"")</f>
        <v>97</v>
      </c>
      <c r="C315" s="192" t="s">
        <v>1132</v>
      </c>
      <c r="D315" s="305"/>
      <c r="E315" s="8"/>
      <c r="F315" s="8"/>
      <c r="G315" s="25">
        <f t="array" ref="G315">SUM(IF("155"&amp;C315=KHN&amp;MH,SL))</f>
        <v>0</v>
      </c>
      <c r="H315" s="25">
        <f t="array" ref="H315">SUM(IF("155"&amp;C315=KHN&amp;MH,TH))</f>
        <v>0</v>
      </c>
      <c r="I315" s="25">
        <f t="array" ref="I315">SUM(IF("155"&amp;C315=KHC&amp;MH,SL))</f>
        <v>0</v>
      </c>
      <c r="J315" s="25">
        <f t="array" ref="J315">SUM(IF("155"&amp;C315=KHC&amp;MH,TH))</f>
        <v>0</v>
      </c>
      <c r="K315" s="8">
        <f t="shared" ref="K315:K346" si="37">E315+G315-I315</f>
        <v>0</v>
      </c>
      <c r="L315" s="8">
        <f t="shared" ref="L315:L346" si="38">F315+H315-J315</f>
        <v>0</v>
      </c>
      <c r="M315" s="293"/>
    </row>
    <row r="316" spans="1:13" ht="19.5" customHeight="1">
      <c r="A316" s="293" t="str">
        <f t="shared" si="35"/>
        <v>TP</v>
      </c>
      <c r="B316" s="306">
        <f t="shared" si="36"/>
        <v>98</v>
      </c>
      <c r="C316" s="192" t="s">
        <v>942</v>
      </c>
      <c r="D316" s="305"/>
      <c r="E316" s="8"/>
      <c r="F316" s="8"/>
      <c r="G316" s="25">
        <f t="array" ref="G316">SUM(IF("155"&amp;C316=KHN&amp;MH,SL))</f>
        <v>0</v>
      </c>
      <c r="H316" s="25">
        <f t="array" ref="H316">SUM(IF("155"&amp;C316=KHN&amp;MH,TH))</f>
        <v>0</v>
      </c>
      <c r="I316" s="25">
        <f t="array" ref="I316">SUM(IF("155"&amp;C316=KHC&amp;MH,SL))</f>
        <v>0</v>
      </c>
      <c r="J316" s="25">
        <f t="array" ref="J316">SUM(IF("155"&amp;C316=KHC&amp;MH,TH))</f>
        <v>0</v>
      </c>
      <c r="K316" s="8">
        <f t="shared" si="37"/>
        <v>0</v>
      </c>
      <c r="L316" s="8">
        <f t="shared" si="38"/>
        <v>0</v>
      </c>
      <c r="M316" s="293"/>
    </row>
    <row r="317" spans="1:13" ht="19.5" customHeight="1">
      <c r="A317" s="293" t="str">
        <f t="shared" si="35"/>
        <v>TP</v>
      </c>
      <c r="B317" s="306">
        <f t="shared" si="36"/>
        <v>99</v>
      </c>
      <c r="C317" s="192" t="s">
        <v>940</v>
      </c>
      <c r="D317" s="305"/>
      <c r="E317" s="8"/>
      <c r="F317" s="8"/>
      <c r="G317" s="25">
        <f t="array" ref="G317">SUM(IF("155"&amp;C317=KHN&amp;MH,SL))</f>
        <v>0</v>
      </c>
      <c r="H317" s="25">
        <f t="array" ref="H317">SUM(IF("155"&amp;C317=KHN&amp;MH,TH))</f>
        <v>0</v>
      </c>
      <c r="I317" s="25">
        <f t="array" ref="I317">SUM(IF("155"&amp;C317=KHC&amp;MH,SL))</f>
        <v>0</v>
      </c>
      <c r="J317" s="25">
        <f t="array" ref="J317">SUM(IF("155"&amp;C317=KHC&amp;MH,TH))</f>
        <v>0</v>
      </c>
      <c r="K317" s="8">
        <f t="shared" si="37"/>
        <v>0</v>
      </c>
      <c r="L317" s="8">
        <f t="shared" si="38"/>
        <v>0</v>
      </c>
      <c r="M317" s="293"/>
    </row>
    <row r="318" spans="1:13" ht="19.5" customHeight="1">
      <c r="A318" s="293" t="str">
        <f t="shared" si="35"/>
        <v>TP</v>
      </c>
      <c r="B318" s="306">
        <f t="shared" si="36"/>
        <v>100</v>
      </c>
      <c r="C318" s="192" t="s">
        <v>1130</v>
      </c>
      <c r="D318" s="305"/>
      <c r="E318" s="8"/>
      <c r="F318" s="8"/>
      <c r="G318" s="25">
        <f t="array" ref="G318">SUM(IF("155"&amp;C318=KHN&amp;MH,SL))</f>
        <v>0</v>
      </c>
      <c r="H318" s="25">
        <f t="array" ref="H318">SUM(IF("155"&amp;C318=KHN&amp;MH,TH))</f>
        <v>0</v>
      </c>
      <c r="I318" s="25">
        <f t="array" ref="I318">SUM(IF("155"&amp;C318=KHC&amp;MH,SL))</f>
        <v>0</v>
      </c>
      <c r="J318" s="25">
        <f t="array" ref="J318">SUM(IF("155"&amp;C318=KHC&amp;MH,TH))</f>
        <v>0</v>
      </c>
      <c r="K318" s="8">
        <f t="shared" si="37"/>
        <v>0</v>
      </c>
      <c r="L318" s="8">
        <f t="shared" si="38"/>
        <v>0</v>
      </c>
      <c r="M318" s="293"/>
    </row>
    <row r="319" spans="1:13" ht="19.5" customHeight="1">
      <c r="A319" s="293" t="str">
        <f t="shared" si="35"/>
        <v>TP</v>
      </c>
      <c r="B319" s="306">
        <f t="shared" si="36"/>
        <v>101</v>
      </c>
      <c r="C319" s="192" t="s">
        <v>1134</v>
      </c>
      <c r="D319" s="305"/>
      <c r="E319" s="8"/>
      <c r="F319" s="8"/>
      <c r="G319" s="25">
        <f t="array" ref="G319">SUM(IF("155"&amp;C319=KHN&amp;MH,SL))</f>
        <v>0</v>
      </c>
      <c r="H319" s="25">
        <f t="array" ref="H319">SUM(IF("155"&amp;C319=KHN&amp;MH,TH))</f>
        <v>0</v>
      </c>
      <c r="I319" s="25">
        <f t="array" ref="I319">SUM(IF("155"&amp;C319=KHC&amp;MH,SL))</f>
        <v>0</v>
      </c>
      <c r="J319" s="25">
        <f t="array" ref="J319">SUM(IF("155"&amp;C319=KHC&amp;MH,TH))</f>
        <v>0</v>
      </c>
      <c r="K319" s="8">
        <f t="shared" si="37"/>
        <v>0</v>
      </c>
      <c r="L319" s="8">
        <f t="shared" si="38"/>
        <v>0</v>
      </c>
      <c r="M319" s="293"/>
    </row>
    <row r="320" spans="1:13" ht="19.5" customHeight="1">
      <c r="A320" s="293" t="str">
        <f t="shared" si="35"/>
        <v>TP</v>
      </c>
      <c r="B320" s="306">
        <f t="shared" si="36"/>
        <v>102</v>
      </c>
      <c r="C320" s="189" t="s">
        <v>970</v>
      </c>
      <c r="D320" s="305"/>
      <c r="E320" s="8"/>
      <c r="F320" s="8"/>
      <c r="G320" s="25">
        <f t="array" ref="G320">SUM(IF("155"&amp;C320=KHN&amp;MH,SL))</f>
        <v>0</v>
      </c>
      <c r="H320" s="25">
        <f t="array" ref="H320">SUM(IF("155"&amp;C320=KHN&amp;MH,TH))</f>
        <v>0</v>
      </c>
      <c r="I320" s="25">
        <f t="array" ref="I320">SUM(IF("155"&amp;C320=KHC&amp;MH,SL))</f>
        <v>0</v>
      </c>
      <c r="J320" s="25">
        <f t="array" ref="J320">SUM(IF("155"&amp;C320=KHC&amp;MH,TH))</f>
        <v>0</v>
      </c>
      <c r="K320" s="8">
        <f t="shared" si="37"/>
        <v>0</v>
      </c>
      <c r="L320" s="8">
        <f t="shared" si="38"/>
        <v>0</v>
      </c>
      <c r="M320" s="293"/>
    </row>
    <row r="321" spans="1:13" ht="19.5" customHeight="1">
      <c r="A321" s="293" t="str">
        <f t="shared" si="35"/>
        <v>TP</v>
      </c>
      <c r="B321" s="306">
        <f t="shared" si="36"/>
        <v>103</v>
      </c>
      <c r="C321" s="189" t="s">
        <v>975</v>
      </c>
      <c r="D321" s="305"/>
      <c r="E321" s="8"/>
      <c r="F321" s="8"/>
      <c r="G321" s="25">
        <f t="array" ref="G321">SUM(IF("155"&amp;C321=KHN&amp;MH,SL))</f>
        <v>0</v>
      </c>
      <c r="H321" s="25">
        <f t="array" ref="H321">SUM(IF("155"&amp;C321=KHN&amp;MH,TH))</f>
        <v>0</v>
      </c>
      <c r="I321" s="25">
        <f t="array" ref="I321">SUM(IF("155"&amp;C321=KHC&amp;MH,SL))</f>
        <v>0</v>
      </c>
      <c r="J321" s="25">
        <f t="array" ref="J321">SUM(IF("155"&amp;C321=KHC&amp;MH,TH))</f>
        <v>0</v>
      </c>
      <c r="K321" s="8">
        <f t="shared" si="37"/>
        <v>0</v>
      </c>
      <c r="L321" s="8">
        <f t="shared" si="38"/>
        <v>0</v>
      </c>
      <c r="M321" s="293"/>
    </row>
    <row r="322" spans="1:13" ht="19.5" customHeight="1">
      <c r="A322" s="293" t="str">
        <f t="shared" si="35"/>
        <v>TP</v>
      </c>
      <c r="B322" s="306">
        <f t="shared" si="36"/>
        <v>104</v>
      </c>
      <c r="C322" s="192" t="s">
        <v>838</v>
      </c>
      <c r="D322" s="305"/>
      <c r="E322" s="8"/>
      <c r="F322" s="8"/>
      <c r="G322" s="25">
        <f t="array" ref="G322">SUM(IF("155"&amp;C322=KHN&amp;MH,SL))</f>
        <v>0</v>
      </c>
      <c r="H322" s="25">
        <f t="array" ref="H322">SUM(IF("155"&amp;C322=KHN&amp;MH,TH))</f>
        <v>0</v>
      </c>
      <c r="I322" s="25">
        <f t="array" ref="I322">SUM(IF("155"&amp;C322=KHC&amp;MH,SL))</f>
        <v>0</v>
      </c>
      <c r="J322" s="25">
        <f t="array" ref="J322">SUM(IF("155"&amp;C322=KHC&amp;MH,TH))</f>
        <v>0</v>
      </c>
      <c r="K322" s="8">
        <f t="shared" si="37"/>
        <v>0</v>
      </c>
      <c r="L322" s="8">
        <f t="shared" si="38"/>
        <v>0</v>
      </c>
      <c r="M322" s="293"/>
    </row>
    <row r="323" spans="1:13" ht="19.5" customHeight="1">
      <c r="A323" s="293" t="str">
        <f t="shared" si="35"/>
        <v>TP</v>
      </c>
      <c r="B323" s="306">
        <f t="shared" si="36"/>
        <v>105</v>
      </c>
      <c r="C323" s="189" t="s">
        <v>971</v>
      </c>
      <c r="D323" s="305"/>
      <c r="E323" s="8"/>
      <c r="F323" s="8"/>
      <c r="G323" s="25">
        <f t="array" ref="G323">SUM(IF("155"&amp;C323=KHN&amp;MH,SL))</f>
        <v>0</v>
      </c>
      <c r="H323" s="25">
        <f t="array" ref="H323">SUM(IF("155"&amp;C323=KHN&amp;MH,TH))</f>
        <v>0</v>
      </c>
      <c r="I323" s="25">
        <f t="array" ref="I323">SUM(IF("155"&amp;C323=KHC&amp;MH,SL))</f>
        <v>0</v>
      </c>
      <c r="J323" s="25">
        <f t="array" ref="J323">SUM(IF("155"&amp;C323=KHC&amp;MH,TH))</f>
        <v>0</v>
      </c>
      <c r="K323" s="8">
        <f t="shared" si="37"/>
        <v>0</v>
      </c>
      <c r="L323" s="8">
        <f t="shared" si="38"/>
        <v>0</v>
      </c>
      <c r="M323" s="293"/>
    </row>
    <row r="324" spans="1:13" ht="19.5" customHeight="1">
      <c r="A324" s="293" t="str">
        <f t="shared" si="35"/>
        <v>TP</v>
      </c>
      <c r="B324" s="306">
        <f t="shared" si="36"/>
        <v>106</v>
      </c>
      <c r="C324" s="189" t="s">
        <v>969</v>
      </c>
      <c r="D324" s="305"/>
      <c r="E324" s="8"/>
      <c r="F324" s="8"/>
      <c r="G324" s="25">
        <f t="array" ref="G324">SUM(IF("155"&amp;C324=KHN&amp;MH,SL))</f>
        <v>0</v>
      </c>
      <c r="H324" s="25">
        <f t="array" ref="H324">SUM(IF("155"&amp;C324=KHN&amp;MH,TH))</f>
        <v>0</v>
      </c>
      <c r="I324" s="25">
        <f t="array" ref="I324">SUM(IF("155"&amp;C324=KHC&amp;MH,SL))</f>
        <v>0</v>
      </c>
      <c r="J324" s="25">
        <f t="array" ref="J324">SUM(IF("155"&amp;C324=KHC&amp;MH,TH))</f>
        <v>0</v>
      </c>
      <c r="K324" s="8">
        <f t="shared" si="37"/>
        <v>0</v>
      </c>
      <c r="L324" s="8">
        <f t="shared" si="38"/>
        <v>0</v>
      </c>
      <c r="M324" s="293"/>
    </row>
    <row r="325" spans="1:13" ht="19.5" customHeight="1">
      <c r="A325" s="293" t="str">
        <f t="shared" si="35"/>
        <v>TP</v>
      </c>
      <c r="B325" s="306">
        <f t="shared" si="36"/>
        <v>107</v>
      </c>
      <c r="C325" s="189" t="s">
        <v>984</v>
      </c>
      <c r="D325" s="305"/>
      <c r="E325" s="8"/>
      <c r="F325" s="8"/>
      <c r="G325" s="25">
        <f t="array" ref="G325">SUM(IF("155"&amp;C325=KHN&amp;MH,SL))</f>
        <v>0</v>
      </c>
      <c r="H325" s="25">
        <f t="array" ref="H325">SUM(IF("155"&amp;C325=KHN&amp;MH,TH))</f>
        <v>0</v>
      </c>
      <c r="I325" s="25">
        <f t="array" ref="I325">SUM(IF("155"&amp;C325=KHC&amp;MH,SL))</f>
        <v>0</v>
      </c>
      <c r="J325" s="25">
        <f t="array" ref="J325">SUM(IF("155"&amp;C325=KHC&amp;MH,TH))</f>
        <v>0</v>
      </c>
      <c r="K325" s="8">
        <f t="shared" si="37"/>
        <v>0</v>
      </c>
      <c r="L325" s="8">
        <f t="shared" si="38"/>
        <v>0</v>
      </c>
      <c r="M325" s="293"/>
    </row>
    <row r="326" spans="1:13" ht="19.5" customHeight="1">
      <c r="A326" s="293" t="str">
        <f t="shared" si="35"/>
        <v>TP</v>
      </c>
      <c r="B326" s="306">
        <f t="shared" si="36"/>
        <v>108</v>
      </c>
      <c r="C326" s="192" t="s">
        <v>872</v>
      </c>
      <c r="D326" s="305"/>
      <c r="E326" s="8"/>
      <c r="F326" s="8"/>
      <c r="G326" s="25">
        <f t="array" ref="G326">SUM(IF("155"&amp;C326=KHN&amp;MH,SL))</f>
        <v>0</v>
      </c>
      <c r="H326" s="25">
        <f t="array" ref="H326">SUM(IF("155"&amp;C326=KHN&amp;MH,TH))</f>
        <v>0</v>
      </c>
      <c r="I326" s="25">
        <f t="array" ref="I326">SUM(IF("155"&amp;C326=KHC&amp;MH,SL))</f>
        <v>0</v>
      </c>
      <c r="J326" s="25">
        <f t="array" ref="J326">SUM(IF("155"&amp;C326=KHC&amp;MH,TH))</f>
        <v>0</v>
      </c>
      <c r="K326" s="8">
        <f t="shared" si="37"/>
        <v>0</v>
      </c>
      <c r="L326" s="8">
        <f t="shared" si="38"/>
        <v>0</v>
      </c>
      <c r="M326" s="293"/>
    </row>
    <row r="327" spans="1:13" ht="19.5" customHeight="1">
      <c r="A327" s="293" t="str">
        <f t="shared" si="35"/>
        <v>TP</v>
      </c>
      <c r="B327" s="306">
        <f t="shared" si="36"/>
        <v>109</v>
      </c>
      <c r="C327" s="189" t="s">
        <v>989</v>
      </c>
      <c r="D327" s="305"/>
      <c r="E327" s="8"/>
      <c r="F327" s="8"/>
      <c r="G327" s="25">
        <f t="array" ref="G327">SUM(IF("155"&amp;C327=KHN&amp;MH,SL))</f>
        <v>0</v>
      </c>
      <c r="H327" s="25">
        <f t="array" ref="H327">SUM(IF("155"&amp;C327=KHN&amp;MH,TH))</f>
        <v>0</v>
      </c>
      <c r="I327" s="25">
        <f t="array" ref="I327">SUM(IF("155"&amp;C327=KHC&amp;MH,SL))</f>
        <v>0</v>
      </c>
      <c r="J327" s="25">
        <f t="array" ref="J327">SUM(IF("155"&amp;C327=KHC&amp;MH,TH))</f>
        <v>0</v>
      </c>
      <c r="K327" s="8">
        <f t="shared" si="37"/>
        <v>0</v>
      </c>
      <c r="L327" s="8">
        <f t="shared" si="38"/>
        <v>0</v>
      </c>
      <c r="M327" s="293"/>
    </row>
    <row r="328" spans="1:13" ht="19.5" customHeight="1">
      <c r="A328" s="293" t="str">
        <f t="shared" si="35"/>
        <v>TP</v>
      </c>
      <c r="B328" s="306">
        <f t="shared" si="36"/>
        <v>110</v>
      </c>
      <c r="C328" s="189" t="s">
        <v>987</v>
      </c>
      <c r="D328" s="305"/>
      <c r="E328" s="8"/>
      <c r="F328" s="8"/>
      <c r="G328" s="25">
        <f t="array" ref="G328">SUM(IF("155"&amp;C328=KHN&amp;MH,SL))</f>
        <v>0</v>
      </c>
      <c r="H328" s="25">
        <f t="array" ref="H328">SUM(IF("155"&amp;C328=KHN&amp;MH,TH))</f>
        <v>0</v>
      </c>
      <c r="I328" s="25">
        <f t="array" ref="I328">SUM(IF("155"&amp;C328=KHC&amp;MH,SL))</f>
        <v>0</v>
      </c>
      <c r="J328" s="25">
        <f t="array" ref="J328">SUM(IF("155"&amp;C328=KHC&amp;MH,TH))</f>
        <v>0</v>
      </c>
      <c r="K328" s="8">
        <f t="shared" si="37"/>
        <v>0</v>
      </c>
      <c r="L328" s="8">
        <f t="shared" si="38"/>
        <v>0</v>
      </c>
      <c r="M328" s="293"/>
    </row>
    <row r="329" spans="1:13" ht="19.5" customHeight="1">
      <c r="A329" s="293" t="str">
        <f t="shared" si="35"/>
        <v>TP</v>
      </c>
      <c r="B329" s="306">
        <f t="shared" si="36"/>
        <v>111</v>
      </c>
      <c r="C329" s="192" t="s">
        <v>1028</v>
      </c>
      <c r="D329" s="305"/>
      <c r="E329" s="8"/>
      <c r="F329" s="8"/>
      <c r="G329" s="25">
        <f t="array" ref="G329">SUM(IF("155"&amp;C329=KHN&amp;MH,SL))</f>
        <v>0</v>
      </c>
      <c r="H329" s="25">
        <f t="array" ref="H329">SUM(IF("155"&amp;C329=KHN&amp;MH,TH))</f>
        <v>0</v>
      </c>
      <c r="I329" s="25">
        <f t="array" ref="I329">SUM(IF("155"&amp;C329=KHC&amp;MH,SL))</f>
        <v>0</v>
      </c>
      <c r="J329" s="25">
        <f t="array" ref="J329">SUM(IF("155"&amp;C329=KHC&amp;MH,TH))</f>
        <v>0</v>
      </c>
      <c r="K329" s="8">
        <f t="shared" si="37"/>
        <v>0</v>
      </c>
      <c r="L329" s="8">
        <f t="shared" si="38"/>
        <v>0</v>
      </c>
      <c r="M329" s="293"/>
    </row>
    <row r="330" spans="1:13" ht="19.5" customHeight="1">
      <c r="A330" s="293" t="str">
        <f t="shared" si="35"/>
        <v>TP</v>
      </c>
      <c r="B330" s="306">
        <f t="shared" si="36"/>
        <v>112</v>
      </c>
      <c r="C330" s="192" t="s">
        <v>889</v>
      </c>
      <c r="D330" s="305"/>
      <c r="E330" s="8"/>
      <c r="F330" s="8"/>
      <c r="G330" s="25">
        <f t="array" ref="G330">SUM(IF("155"&amp;C330=KHN&amp;MH,SL))</f>
        <v>0</v>
      </c>
      <c r="H330" s="25">
        <f t="array" ref="H330">SUM(IF("155"&amp;C330=KHN&amp;MH,TH))</f>
        <v>0</v>
      </c>
      <c r="I330" s="25">
        <f t="array" ref="I330">SUM(IF("155"&amp;C330=KHC&amp;MH,SL))</f>
        <v>0</v>
      </c>
      <c r="J330" s="25">
        <f t="array" ref="J330">SUM(IF("155"&amp;C330=KHC&amp;MH,TH))</f>
        <v>0</v>
      </c>
      <c r="K330" s="8">
        <f t="shared" si="37"/>
        <v>0</v>
      </c>
      <c r="L330" s="8">
        <f t="shared" si="38"/>
        <v>0</v>
      </c>
      <c r="M330" s="293"/>
    </row>
    <row r="331" spans="1:13" ht="19.5" customHeight="1">
      <c r="A331" s="293" t="str">
        <f t="shared" si="35"/>
        <v>TP</v>
      </c>
      <c r="B331" s="306">
        <f t="shared" si="36"/>
        <v>113</v>
      </c>
      <c r="C331" s="192" t="s">
        <v>866</v>
      </c>
      <c r="D331" s="305"/>
      <c r="E331" s="8"/>
      <c r="F331" s="8"/>
      <c r="G331" s="25">
        <f t="array" ref="G331">SUM(IF("155"&amp;C331=KHN&amp;MH,SL))</f>
        <v>0</v>
      </c>
      <c r="H331" s="25">
        <f t="array" ref="H331">SUM(IF("155"&amp;C331=KHN&amp;MH,TH))</f>
        <v>0</v>
      </c>
      <c r="I331" s="25">
        <f t="array" ref="I331">SUM(IF("155"&amp;C331=KHC&amp;MH,SL))</f>
        <v>0</v>
      </c>
      <c r="J331" s="25">
        <f t="array" ref="J331">SUM(IF("155"&amp;C331=KHC&amp;MH,TH))</f>
        <v>0</v>
      </c>
      <c r="K331" s="8">
        <f t="shared" si="37"/>
        <v>0</v>
      </c>
      <c r="L331" s="8">
        <f t="shared" si="38"/>
        <v>0</v>
      </c>
      <c r="M331" s="293"/>
    </row>
    <row r="332" spans="1:13" ht="19.5" customHeight="1">
      <c r="A332" s="293" t="str">
        <f t="shared" si="35"/>
        <v>TP</v>
      </c>
      <c r="B332" s="306">
        <f t="shared" si="36"/>
        <v>114</v>
      </c>
      <c r="C332" s="192" t="s">
        <v>1122</v>
      </c>
      <c r="D332" s="305"/>
      <c r="E332" s="8"/>
      <c r="F332" s="8"/>
      <c r="G332" s="25">
        <f t="array" ref="G332">SUM(IF("155"&amp;C332=KHN&amp;MH,SL))</f>
        <v>0</v>
      </c>
      <c r="H332" s="25">
        <f t="array" ref="H332">SUM(IF("155"&amp;C332=KHN&amp;MH,TH))</f>
        <v>0</v>
      </c>
      <c r="I332" s="25">
        <f t="array" ref="I332">SUM(IF("155"&amp;C332=KHC&amp;MH,SL))</f>
        <v>0</v>
      </c>
      <c r="J332" s="25">
        <f t="array" ref="J332">SUM(IF("155"&amp;C332=KHC&amp;MH,TH))</f>
        <v>0</v>
      </c>
      <c r="K332" s="8">
        <f t="shared" si="37"/>
        <v>0</v>
      </c>
      <c r="L332" s="8">
        <f t="shared" si="38"/>
        <v>0</v>
      </c>
      <c r="M332" s="293"/>
    </row>
    <row r="333" spans="1:13" ht="19.5" customHeight="1">
      <c r="A333" s="293" t="str">
        <f t="shared" si="35"/>
        <v>TP</v>
      </c>
      <c r="B333" s="306">
        <f t="shared" si="36"/>
        <v>115</v>
      </c>
      <c r="C333" s="192" t="s">
        <v>1165</v>
      </c>
      <c r="D333" s="305"/>
      <c r="E333" s="8"/>
      <c r="F333" s="8"/>
      <c r="G333" s="25">
        <f t="array" ref="G333">SUM(IF("155"&amp;C333=KHN&amp;MH,SL))</f>
        <v>0</v>
      </c>
      <c r="H333" s="25">
        <f t="array" ref="H333">SUM(IF("155"&amp;C333=KHN&amp;MH,TH))</f>
        <v>0</v>
      </c>
      <c r="I333" s="25">
        <f t="array" ref="I333">SUM(IF("155"&amp;C333=KHC&amp;MH,SL))</f>
        <v>0</v>
      </c>
      <c r="J333" s="25">
        <f t="array" ref="J333">SUM(IF("155"&amp;C333=KHC&amp;MH,TH))</f>
        <v>0</v>
      </c>
      <c r="K333" s="8">
        <f t="shared" si="37"/>
        <v>0</v>
      </c>
      <c r="L333" s="8">
        <f t="shared" si="38"/>
        <v>0</v>
      </c>
      <c r="M333" s="293"/>
    </row>
    <row r="334" spans="1:13" ht="19.5" customHeight="1">
      <c r="A334" s="293" t="str">
        <f t="shared" si="35"/>
        <v>TP</v>
      </c>
      <c r="B334" s="306">
        <f t="shared" si="36"/>
        <v>116</v>
      </c>
      <c r="C334" s="192" t="s">
        <v>1121</v>
      </c>
      <c r="D334" s="305"/>
      <c r="E334" s="8"/>
      <c r="F334" s="8"/>
      <c r="G334" s="25">
        <f t="array" ref="G334">SUM(IF("155"&amp;C334=KHN&amp;MH,SL))</f>
        <v>0</v>
      </c>
      <c r="H334" s="25">
        <f t="array" ref="H334">SUM(IF("155"&amp;C334=KHN&amp;MH,TH))</f>
        <v>0</v>
      </c>
      <c r="I334" s="25">
        <f t="array" ref="I334">SUM(IF("155"&amp;C334=KHC&amp;MH,SL))</f>
        <v>0</v>
      </c>
      <c r="J334" s="25">
        <f t="array" ref="J334">SUM(IF("155"&amp;C334=KHC&amp;MH,TH))</f>
        <v>0</v>
      </c>
      <c r="K334" s="8">
        <f t="shared" si="37"/>
        <v>0</v>
      </c>
      <c r="L334" s="8">
        <f t="shared" si="38"/>
        <v>0</v>
      </c>
      <c r="M334" s="293"/>
    </row>
    <row r="335" spans="1:13" ht="19.5" customHeight="1">
      <c r="A335" s="293" t="str">
        <f t="shared" si="35"/>
        <v>TP</v>
      </c>
      <c r="B335" s="306">
        <f t="shared" si="36"/>
        <v>117</v>
      </c>
      <c r="C335" s="192" t="s">
        <v>899</v>
      </c>
      <c r="D335" s="305"/>
      <c r="E335" s="8"/>
      <c r="F335" s="8"/>
      <c r="G335" s="25">
        <f t="array" ref="G335">SUM(IF("155"&amp;C335=KHN&amp;MH,SL))</f>
        <v>0</v>
      </c>
      <c r="H335" s="25">
        <f t="array" ref="H335">SUM(IF("155"&amp;C335=KHN&amp;MH,TH))</f>
        <v>0</v>
      </c>
      <c r="I335" s="25">
        <f t="array" ref="I335">SUM(IF("155"&amp;C335=KHC&amp;MH,SL))</f>
        <v>0</v>
      </c>
      <c r="J335" s="25">
        <f t="array" ref="J335">SUM(IF("155"&amp;C335=KHC&amp;MH,TH))</f>
        <v>0</v>
      </c>
      <c r="K335" s="8">
        <f t="shared" si="37"/>
        <v>0</v>
      </c>
      <c r="L335" s="8">
        <f t="shared" si="38"/>
        <v>0</v>
      </c>
      <c r="M335" s="293"/>
    </row>
    <row r="336" spans="1:13" ht="19.5" customHeight="1">
      <c r="A336" s="293" t="str">
        <f t="shared" si="35"/>
        <v>TP</v>
      </c>
      <c r="B336" s="306">
        <f t="shared" si="36"/>
        <v>118</v>
      </c>
      <c r="C336" s="192" t="s">
        <v>749</v>
      </c>
      <c r="D336" s="305"/>
      <c r="E336" s="8"/>
      <c r="F336" s="8"/>
      <c r="G336" s="25">
        <f t="array" ref="G336">SUM(IF("155"&amp;C336=KHN&amp;MH,SL))</f>
        <v>0</v>
      </c>
      <c r="H336" s="25">
        <f t="array" ref="H336">SUM(IF("155"&amp;C336=KHN&amp;MH,TH))</f>
        <v>0</v>
      </c>
      <c r="I336" s="25">
        <f t="array" ref="I336">SUM(IF("155"&amp;C336=KHC&amp;MH,SL))</f>
        <v>0</v>
      </c>
      <c r="J336" s="25">
        <f t="array" ref="J336">SUM(IF("155"&amp;C336=KHC&amp;MH,TH))</f>
        <v>0</v>
      </c>
      <c r="K336" s="8">
        <f t="shared" si="37"/>
        <v>0</v>
      </c>
      <c r="L336" s="8">
        <f t="shared" si="38"/>
        <v>0</v>
      </c>
      <c r="M336" s="293"/>
    </row>
    <row r="337" spans="1:13" ht="19.5" customHeight="1">
      <c r="A337" s="293" t="str">
        <f t="shared" si="35"/>
        <v>TP</v>
      </c>
      <c r="B337" s="306">
        <f t="shared" si="36"/>
        <v>119</v>
      </c>
      <c r="C337" s="192" t="s">
        <v>723</v>
      </c>
      <c r="D337" s="305"/>
      <c r="E337" s="8"/>
      <c r="F337" s="8"/>
      <c r="G337" s="25">
        <f t="array" ref="G337">SUM(IF("155"&amp;C337=KHN&amp;MH,SL))</f>
        <v>0</v>
      </c>
      <c r="H337" s="25">
        <f t="array" ref="H337">SUM(IF("155"&amp;C337=KHN&amp;MH,TH))</f>
        <v>0</v>
      </c>
      <c r="I337" s="25">
        <f t="array" ref="I337">SUM(IF("155"&amp;C337=KHC&amp;MH,SL))</f>
        <v>0</v>
      </c>
      <c r="J337" s="25">
        <f t="array" ref="J337">SUM(IF("155"&amp;C337=KHC&amp;MH,TH))</f>
        <v>0</v>
      </c>
      <c r="K337" s="8">
        <f t="shared" si="37"/>
        <v>0</v>
      </c>
      <c r="L337" s="8">
        <f t="shared" si="38"/>
        <v>0</v>
      </c>
      <c r="M337" s="293"/>
    </row>
    <row r="338" spans="1:13" ht="19.5" customHeight="1">
      <c r="A338" s="293" t="str">
        <f t="shared" si="35"/>
        <v>TP</v>
      </c>
      <c r="B338" s="306">
        <f t="shared" si="36"/>
        <v>120</v>
      </c>
      <c r="C338" s="192" t="s">
        <v>810</v>
      </c>
      <c r="D338" s="305"/>
      <c r="E338" s="8"/>
      <c r="F338" s="8"/>
      <c r="G338" s="25">
        <f t="array" ref="G338">SUM(IF("155"&amp;C338=KHN&amp;MH,SL))</f>
        <v>0</v>
      </c>
      <c r="H338" s="25">
        <f t="array" ref="H338">SUM(IF("155"&amp;C338=KHN&amp;MH,TH))</f>
        <v>0</v>
      </c>
      <c r="I338" s="25">
        <f t="array" ref="I338">SUM(IF("155"&amp;C338=KHC&amp;MH,SL))</f>
        <v>0</v>
      </c>
      <c r="J338" s="25">
        <f t="array" ref="J338">SUM(IF("155"&amp;C338=KHC&amp;MH,TH))</f>
        <v>0</v>
      </c>
      <c r="K338" s="8">
        <f t="shared" si="37"/>
        <v>0</v>
      </c>
      <c r="L338" s="8">
        <f t="shared" si="38"/>
        <v>0</v>
      </c>
      <c r="M338" s="293"/>
    </row>
    <row r="339" spans="1:13" ht="19.5" customHeight="1">
      <c r="A339" s="293" t="str">
        <f t="shared" si="35"/>
        <v>TP</v>
      </c>
      <c r="B339" s="306">
        <f t="shared" si="36"/>
        <v>121</v>
      </c>
      <c r="C339" s="192" t="s">
        <v>1006</v>
      </c>
      <c r="D339" s="305"/>
      <c r="E339" s="8"/>
      <c r="F339" s="8"/>
      <c r="G339" s="25">
        <f t="array" ref="G339">SUM(IF("155"&amp;C339=KHN&amp;MH,SL))</f>
        <v>0</v>
      </c>
      <c r="H339" s="25">
        <f t="array" ref="H339">SUM(IF("155"&amp;C339=KHN&amp;MH,TH))</f>
        <v>0</v>
      </c>
      <c r="I339" s="25">
        <f t="array" ref="I339">SUM(IF("155"&amp;C339=KHC&amp;MH,SL))</f>
        <v>0</v>
      </c>
      <c r="J339" s="25">
        <f t="array" ref="J339">SUM(IF("155"&amp;C339=KHC&amp;MH,TH))</f>
        <v>0</v>
      </c>
      <c r="K339" s="8">
        <f t="shared" si="37"/>
        <v>0</v>
      </c>
      <c r="L339" s="8">
        <f t="shared" si="38"/>
        <v>0</v>
      </c>
      <c r="M339" s="293"/>
    </row>
    <row r="340" spans="1:13" ht="19.5" customHeight="1">
      <c r="A340" s="293" t="str">
        <f t="shared" si="35"/>
        <v>TP</v>
      </c>
      <c r="B340" s="306">
        <f t="shared" si="36"/>
        <v>122</v>
      </c>
      <c r="C340" s="189" t="s">
        <v>751</v>
      </c>
      <c r="D340" s="305"/>
      <c r="E340" s="8"/>
      <c r="F340" s="8"/>
      <c r="G340" s="25">
        <f t="array" ref="G340">SUM(IF("155"&amp;C340=KHN&amp;MH,SL))</f>
        <v>0</v>
      </c>
      <c r="H340" s="25">
        <f t="array" ref="H340">SUM(IF("155"&amp;C340=KHN&amp;MH,TH))</f>
        <v>0</v>
      </c>
      <c r="I340" s="25">
        <f t="array" ref="I340">SUM(IF("155"&amp;C340=KHC&amp;MH,SL))</f>
        <v>0</v>
      </c>
      <c r="J340" s="25">
        <f t="array" ref="J340">SUM(IF("155"&amp;C340=KHC&amp;MH,TH))</f>
        <v>0</v>
      </c>
      <c r="K340" s="8">
        <f t="shared" si="37"/>
        <v>0</v>
      </c>
      <c r="L340" s="8">
        <f t="shared" si="38"/>
        <v>0</v>
      </c>
      <c r="M340" s="293"/>
    </row>
    <row r="341" spans="1:13" ht="19.5" customHeight="1">
      <c r="A341" s="293" t="str">
        <f t="shared" si="35"/>
        <v>TP</v>
      </c>
      <c r="B341" s="306">
        <f t="shared" si="36"/>
        <v>123</v>
      </c>
      <c r="C341" s="192" t="s">
        <v>871</v>
      </c>
      <c r="D341" s="305"/>
      <c r="E341" s="8"/>
      <c r="F341" s="8"/>
      <c r="G341" s="25">
        <f t="array" ref="G341">SUM(IF("155"&amp;C341=KHN&amp;MH,SL))</f>
        <v>0</v>
      </c>
      <c r="H341" s="25">
        <f t="array" ref="H341">SUM(IF("155"&amp;C341=KHN&amp;MH,TH))</f>
        <v>0</v>
      </c>
      <c r="I341" s="25">
        <f t="array" ref="I341">SUM(IF("155"&amp;C341=KHC&amp;MH,SL))</f>
        <v>0</v>
      </c>
      <c r="J341" s="25">
        <f t="array" ref="J341">SUM(IF("155"&amp;C341=KHC&amp;MH,TH))</f>
        <v>0</v>
      </c>
      <c r="K341" s="8">
        <f t="shared" si="37"/>
        <v>0</v>
      </c>
      <c r="L341" s="8">
        <f t="shared" si="38"/>
        <v>0</v>
      </c>
      <c r="M341" s="293"/>
    </row>
    <row r="342" spans="1:13" ht="19.5" customHeight="1">
      <c r="A342" s="293" t="str">
        <f t="shared" si="35"/>
        <v>TP</v>
      </c>
      <c r="B342" s="306">
        <f t="shared" si="36"/>
        <v>124</v>
      </c>
      <c r="C342" s="189" t="s">
        <v>973</v>
      </c>
      <c r="D342" s="305"/>
      <c r="E342" s="8"/>
      <c r="F342" s="8"/>
      <c r="G342" s="25">
        <f t="array" ref="G342">SUM(IF("155"&amp;C342=KHN&amp;MH,SL))</f>
        <v>0</v>
      </c>
      <c r="H342" s="25">
        <f t="array" ref="H342">SUM(IF("155"&amp;C342=KHN&amp;MH,TH))</f>
        <v>0</v>
      </c>
      <c r="I342" s="25">
        <f t="array" ref="I342">SUM(IF("155"&amp;C342=KHC&amp;MH,SL))</f>
        <v>0</v>
      </c>
      <c r="J342" s="25">
        <f t="array" ref="J342">SUM(IF("155"&amp;C342=KHC&amp;MH,TH))</f>
        <v>0</v>
      </c>
      <c r="K342" s="8">
        <f t="shared" si="37"/>
        <v>0</v>
      </c>
      <c r="L342" s="8">
        <f t="shared" si="38"/>
        <v>0</v>
      </c>
      <c r="M342" s="293"/>
    </row>
    <row r="343" spans="1:13" ht="19.5" customHeight="1">
      <c r="A343" s="293" t="str">
        <f t="shared" si="35"/>
        <v>TP</v>
      </c>
      <c r="B343" s="306">
        <f t="shared" si="36"/>
        <v>125</v>
      </c>
      <c r="C343" s="192" t="s">
        <v>920</v>
      </c>
      <c r="D343" s="305"/>
      <c r="E343" s="8"/>
      <c r="F343" s="8"/>
      <c r="G343" s="25">
        <f t="array" ref="G343">SUM(IF("155"&amp;C343=KHN&amp;MH,SL))</f>
        <v>0</v>
      </c>
      <c r="H343" s="25">
        <f t="array" ref="H343">SUM(IF("155"&amp;C343=KHN&amp;MH,TH))</f>
        <v>0</v>
      </c>
      <c r="I343" s="25">
        <f t="array" ref="I343">SUM(IF("155"&amp;C343=KHC&amp;MH,SL))</f>
        <v>0</v>
      </c>
      <c r="J343" s="25">
        <f t="array" ref="J343">SUM(IF("155"&amp;C343=KHC&amp;MH,TH))</f>
        <v>0</v>
      </c>
      <c r="K343" s="8">
        <f t="shared" si="37"/>
        <v>0</v>
      </c>
      <c r="L343" s="8">
        <f t="shared" si="38"/>
        <v>0</v>
      </c>
      <c r="M343" s="293"/>
    </row>
    <row r="344" spans="1:13" ht="19.5" customHeight="1">
      <c r="A344" s="293" t="str">
        <f t="shared" si="35"/>
        <v>TP</v>
      </c>
      <c r="B344" s="306">
        <f t="shared" si="36"/>
        <v>126</v>
      </c>
      <c r="C344" s="192" t="s">
        <v>797</v>
      </c>
      <c r="D344" s="305"/>
      <c r="E344" s="8"/>
      <c r="F344" s="8"/>
      <c r="G344" s="25">
        <f t="array" ref="G344">SUM(IF("155"&amp;C344=KHN&amp;MH,SL))</f>
        <v>0</v>
      </c>
      <c r="H344" s="25">
        <f t="array" ref="H344">SUM(IF("155"&amp;C344=KHN&amp;MH,TH))</f>
        <v>0</v>
      </c>
      <c r="I344" s="25">
        <f t="array" ref="I344">SUM(IF("155"&amp;C344=KHC&amp;MH,SL))</f>
        <v>0</v>
      </c>
      <c r="J344" s="25">
        <f t="array" ref="J344">SUM(IF("155"&amp;C344=KHC&amp;MH,TH))</f>
        <v>0</v>
      </c>
      <c r="K344" s="8">
        <f t="shared" si="37"/>
        <v>0</v>
      </c>
      <c r="L344" s="8">
        <f t="shared" si="38"/>
        <v>0</v>
      </c>
      <c r="M344" s="293"/>
    </row>
    <row r="345" spans="1:13" ht="19.5" customHeight="1">
      <c r="A345" s="293" t="str">
        <f t="shared" si="35"/>
        <v>TP</v>
      </c>
      <c r="B345" s="306">
        <f t="shared" si="36"/>
        <v>127</v>
      </c>
      <c r="C345" s="192" t="s">
        <v>1129</v>
      </c>
      <c r="D345" s="305"/>
      <c r="E345" s="8"/>
      <c r="F345" s="8"/>
      <c r="G345" s="25">
        <f t="array" ref="G345">SUM(IF("155"&amp;C345=KHN&amp;MH,SL))</f>
        <v>0</v>
      </c>
      <c r="H345" s="25">
        <f t="array" ref="H345">SUM(IF("155"&amp;C345=KHN&amp;MH,TH))</f>
        <v>0</v>
      </c>
      <c r="I345" s="25">
        <f t="array" ref="I345">SUM(IF("155"&amp;C345=KHC&amp;MH,SL))</f>
        <v>0</v>
      </c>
      <c r="J345" s="25">
        <f t="array" ref="J345">SUM(IF("155"&amp;C345=KHC&amp;MH,TH))</f>
        <v>0</v>
      </c>
      <c r="K345" s="8">
        <f t="shared" si="37"/>
        <v>0</v>
      </c>
      <c r="L345" s="8">
        <f t="shared" si="38"/>
        <v>0</v>
      </c>
      <c r="M345" s="293"/>
    </row>
    <row r="346" spans="1:13" ht="19.5" customHeight="1">
      <c r="A346" s="293" t="str">
        <f t="shared" si="35"/>
        <v>TP</v>
      </c>
      <c r="B346" s="306">
        <f t="shared" si="36"/>
        <v>128</v>
      </c>
      <c r="C346" s="192" t="s">
        <v>1136</v>
      </c>
      <c r="D346" s="305"/>
      <c r="E346" s="8"/>
      <c r="F346" s="8"/>
      <c r="G346" s="25">
        <f t="array" ref="G346">SUM(IF("155"&amp;C346=KHN&amp;MH,SL))</f>
        <v>0</v>
      </c>
      <c r="H346" s="25">
        <f t="array" ref="H346">SUM(IF("155"&amp;C346=KHN&amp;MH,TH))</f>
        <v>0</v>
      </c>
      <c r="I346" s="25">
        <f t="array" ref="I346">SUM(IF("155"&amp;C346=KHC&amp;MH,SL))</f>
        <v>0</v>
      </c>
      <c r="J346" s="25">
        <f t="array" ref="J346">SUM(IF("155"&amp;C346=KHC&amp;MH,TH))</f>
        <v>0</v>
      </c>
      <c r="K346" s="8">
        <f t="shared" si="37"/>
        <v>0</v>
      </c>
      <c r="L346" s="8">
        <f t="shared" si="38"/>
        <v>0</v>
      </c>
      <c r="M346" s="293"/>
    </row>
    <row r="347" spans="1:13" ht="19.5" customHeight="1">
      <c r="A347" s="293" t="str">
        <f t="shared" ref="A347:A378" si="39">IF(B347&lt;&gt;"","TP","")</f>
        <v>TP</v>
      </c>
      <c r="B347" s="306">
        <f t="shared" ref="B347:B378" si="40">IF(C347&lt;&gt;"",B346+1,"")</f>
        <v>129</v>
      </c>
      <c r="C347" s="192" t="s">
        <v>795</v>
      </c>
      <c r="D347" s="305"/>
      <c r="E347" s="8"/>
      <c r="F347" s="8"/>
      <c r="G347" s="25">
        <f t="array" ref="G347">SUM(IF("155"&amp;C347=KHN&amp;MH,SL))</f>
        <v>0</v>
      </c>
      <c r="H347" s="25">
        <f t="array" ref="H347">SUM(IF("155"&amp;C347=KHN&amp;MH,TH))</f>
        <v>0</v>
      </c>
      <c r="I347" s="25">
        <f t="array" ref="I347">SUM(IF("155"&amp;C347=KHC&amp;MH,SL))</f>
        <v>0</v>
      </c>
      <c r="J347" s="25">
        <f t="array" ref="J347">SUM(IF("155"&amp;C347=KHC&amp;MH,TH))</f>
        <v>0</v>
      </c>
      <c r="K347" s="8">
        <f t="shared" ref="K347:K379" si="41">E347+G347-I347</f>
        <v>0</v>
      </c>
      <c r="L347" s="8">
        <f t="shared" ref="L347:L379" si="42">F347+H347-J347</f>
        <v>0</v>
      </c>
      <c r="M347" s="293"/>
    </row>
    <row r="348" spans="1:13" ht="19.5" customHeight="1">
      <c r="A348" s="293" t="str">
        <f t="shared" si="39"/>
        <v>TP</v>
      </c>
      <c r="B348" s="306">
        <f t="shared" si="40"/>
        <v>130</v>
      </c>
      <c r="C348" s="192" t="s">
        <v>731</v>
      </c>
      <c r="D348" s="305"/>
      <c r="E348" s="8"/>
      <c r="F348" s="8"/>
      <c r="G348" s="25">
        <f t="array" ref="G348">SUM(IF("155"&amp;C348=KHN&amp;MH,SL))</f>
        <v>0</v>
      </c>
      <c r="H348" s="25">
        <f t="array" ref="H348">SUM(IF("155"&amp;C348=KHN&amp;MH,TH))</f>
        <v>0</v>
      </c>
      <c r="I348" s="25">
        <f t="array" ref="I348">SUM(IF("155"&amp;C348=KHC&amp;MH,SL))</f>
        <v>0</v>
      </c>
      <c r="J348" s="25">
        <f t="array" ref="J348">SUM(IF("155"&amp;C348=KHC&amp;MH,TH))</f>
        <v>0</v>
      </c>
      <c r="K348" s="8">
        <f t="shared" si="41"/>
        <v>0</v>
      </c>
      <c r="L348" s="8">
        <f t="shared" si="42"/>
        <v>0</v>
      </c>
      <c r="M348" s="293"/>
    </row>
    <row r="349" spans="1:13" ht="19.5" customHeight="1">
      <c r="A349" s="293" t="str">
        <f t="shared" si="39"/>
        <v>TP</v>
      </c>
      <c r="B349" s="306">
        <f t="shared" si="40"/>
        <v>131</v>
      </c>
      <c r="C349" s="189" t="s">
        <v>991</v>
      </c>
      <c r="D349" s="305"/>
      <c r="E349" s="8"/>
      <c r="F349" s="8"/>
      <c r="G349" s="25">
        <f t="array" ref="G349">SUM(IF("155"&amp;C349=KHN&amp;MH,SL))</f>
        <v>0</v>
      </c>
      <c r="H349" s="25">
        <f t="array" ref="H349">SUM(IF("155"&amp;C349=KHN&amp;MH,TH))</f>
        <v>0</v>
      </c>
      <c r="I349" s="25">
        <f t="array" ref="I349">SUM(IF("155"&amp;C349=KHC&amp;MH,SL))</f>
        <v>0</v>
      </c>
      <c r="J349" s="25">
        <f t="array" ref="J349">SUM(IF("155"&amp;C349=KHC&amp;MH,TH))</f>
        <v>0</v>
      </c>
      <c r="K349" s="8">
        <f t="shared" si="41"/>
        <v>0</v>
      </c>
      <c r="L349" s="8">
        <f t="shared" si="42"/>
        <v>0</v>
      </c>
      <c r="M349" s="293"/>
    </row>
    <row r="350" spans="1:13" ht="19.5" customHeight="1">
      <c r="A350" s="293" t="str">
        <f t="shared" si="39"/>
        <v>TP</v>
      </c>
      <c r="B350" s="306">
        <f t="shared" si="40"/>
        <v>132</v>
      </c>
      <c r="C350" s="192" t="s">
        <v>771</v>
      </c>
      <c r="D350" s="305"/>
      <c r="E350" s="8"/>
      <c r="F350" s="8"/>
      <c r="G350" s="25">
        <f t="array" ref="G350">SUM(IF("155"&amp;C350=KHN&amp;MH,SL))</f>
        <v>0</v>
      </c>
      <c r="H350" s="25">
        <f t="array" ref="H350">SUM(IF("155"&amp;C350=KHN&amp;MH,TH))</f>
        <v>0</v>
      </c>
      <c r="I350" s="25">
        <f t="array" ref="I350">SUM(IF("155"&amp;C350=KHC&amp;MH,SL))</f>
        <v>0</v>
      </c>
      <c r="J350" s="25">
        <f t="array" ref="J350">SUM(IF("155"&amp;C350=KHC&amp;MH,TH))</f>
        <v>0</v>
      </c>
      <c r="K350" s="8">
        <f t="shared" si="41"/>
        <v>0</v>
      </c>
      <c r="L350" s="8">
        <f t="shared" si="42"/>
        <v>0</v>
      </c>
      <c r="M350" s="293"/>
    </row>
    <row r="351" spans="1:13" ht="19.5" customHeight="1">
      <c r="A351" s="293" t="str">
        <f t="shared" si="39"/>
        <v>TP</v>
      </c>
      <c r="B351" s="306">
        <f t="shared" si="40"/>
        <v>133</v>
      </c>
      <c r="C351" s="192" t="s">
        <v>1009</v>
      </c>
      <c r="D351" s="305"/>
      <c r="E351" s="8"/>
      <c r="F351" s="8"/>
      <c r="G351" s="25">
        <f t="array" ref="G351">SUM(IF("155"&amp;C351=KHN&amp;MH,SL))</f>
        <v>0</v>
      </c>
      <c r="H351" s="25">
        <f t="array" ref="H351">SUM(IF("155"&amp;C351=KHN&amp;MH,TH))</f>
        <v>0</v>
      </c>
      <c r="I351" s="25">
        <f t="array" ref="I351">SUM(IF("155"&amp;C351=KHC&amp;MH,SL))</f>
        <v>0</v>
      </c>
      <c r="J351" s="25">
        <f t="array" ref="J351">SUM(IF("155"&amp;C351=KHC&amp;MH,TH))</f>
        <v>0</v>
      </c>
      <c r="K351" s="8">
        <f t="shared" si="41"/>
        <v>0</v>
      </c>
      <c r="L351" s="8">
        <f t="shared" si="42"/>
        <v>0</v>
      </c>
      <c r="M351" s="293"/>
    </row>
    <row r="352" spans="1:13" ht="19.5" customHeight="1">
      <c r="A352" s="293" t="str">
        <f t="shared" si="39"/>
        <v>TP</v>
      </c>
      <c r="B352" s="306">
        <f t="shared" si="40"/>
        <v>134</v>
      </c>
      <c r="C352" s="192" t="s">
        <v>847</v>
      </c>
      <c r="D352" s="305"/>
      <c r="E352" s="8"/>
      <c r="F352" s="8"/>
      <c r="G352" s="25">
        <f t="array" ref="G352">SUM(IF("155"&amp;C352=KHN&amp;MH,SL))</f>
        <v>0</v>
      </c>
      <c r="H352" s="25">
        <f t="array" ref="H352">SUM(IF("155"&amp;C352=KHN&amp;MH,TH))</f>
        <v>0</v>
      </c>
      <c r="I352" s="25">
        <f t="array" ref="I352">SUM(IF("155"&amp;C352=KHC&amp;MH,SL))</f>
        <v>0</v>
      </c>
      <c r="J352" s="25">
        <f t="array" ref="J352">SUM(IF("155"&amp;C352=KHC&amp;MH,TH))</f>
        <v>0</v>
      </c>
      <c r="K352" s="8">
        <f t="shared" si="41"/>
        <v>0</v>
      </c>
      <c r="L352" s="8">
        <f t="shared" si="42"/>
        <v>0</v>
      </c>
      <c r="M352" s="293"/>
    </row>
    <row r="353" spans="1:13" ht="19.5" customHeight="1">
      <c r="A353" s="293" t="str">
        <f t="shared" si="39"/>
        <v>TP</v>
      </c>
      <c r="B353" s="306">
        <f t="shared" si="40"/>
        <v>135</v>
      </c>
      <c r="C353" s="189" t="s">
        <v>974</v>
      </c>
      <c r="D353" s="305"/>
      <c r="E353" s="8"/>
      <c r="F353" s="8"/>
      <c r="G353" s="25">
        <f t="array" ref="G353">SUM(IF("155"&amp;C353=KHN&amp;MH,SL))</f>
        <v>0</v>
      </c>
      <c r="H353" s="25">
        <f t="array" ref="H353">SUM(IF("155"&amp;C353=KHN&amp;MH,TH))</f>
        <v>0</v>
      </c>
      <c r="I353" s="25">
        <f t="array" ref="I353">SUM(IF("155"&amp;C353=KHC&amp;MH,SL))</f>
        <v>0</v>
      </c>
      <c r="J353" s="25">
        <f t="array" ref="J353">SUM(IF("155"&amp;C353=KHC&amp;MH,TH))</f>
        <v>0</v>
      </c>
      <c r="K353" s="8">
        <f t="shared" si="41"/>
        <v>0</v>
      </c>
      <c r="L353" s="8">
        <f t="shared" si="42"/>
        <v>0</v>
      </c>
      <c r="M353" s="293"/>
    </row>
    <row r="354" spans="1:13" ht="19.5" customHeight="1">
      <c r="A354" s="293" t="str">
        <f t="shared" si="39"/>
        <v>TP</v>
      </c>
      <c r="B354" s="306">
        <f t="shared" si="40"/>
        <v>136</v>
      </c>
      <c r="C354" s="192" t="s">
        <v>817</v>
      </c>
      <c r="D354" s="305"/>
      <c r="E354" s="8"/>
      <c r="F354" s="8"/>
      <c r="G354" s="25">
        <f t="array" ref="G354">SUM(IF("155"&amp;C354=KHN&amp;MH,SL))</f>
        <v>0</v>
      </c>
      <c r="H354" s="25">
        <f t="array" ref="H354">SUM(IF("155"&amp;C354=KHN&amp;MH,TH))</f>
        <v>0</v>
      </c>
      <c r="I354" s="25">
        <f t="array" ref="I354">SUM(IF("155"&amp;C354=KHC&amp;MH,SL))</f>
        <v>0</v>
      </c>
      <c r="J354" s="25">
        <f t="array" ref="J354">SUM(IF("155"&amp;C354=KHC&amp;MH,TH))</f>
        <v>0</v>
      </c>
      <c r="K354" s="8">
        <f t="shared" si="41"/>
        <v>0</v>
      </c>
      <c r="L354" s="8">
        <f t="shared" si="42"/>
        <v>0</v>
      </c>
      <c r="M354" s="293"/>
    </row>
    <row r="355" spans="1:13" ht="19.5" customHeight="1">
      <c r="A355" s="293" t="str">
        <f t="shared" si="39"/>
        <v>TP</v>
      </c>
      <c r="B355" s="306">
        <f t="shared" si="40"/>
        <v>137</v>
      </c>
      <c r="C355" s="192" t="s">
        <v>780</v>
      </c>
      <c r="D355" s="305"/>
      <c r="E355" s="8"/>
      <c r="F355" s="8"/>
      <c r="G355" s="25">
        <f t="array" ref="G355">SUM(IF("155"&amp;C355=KHN&amp;MH,SL))</f>
        <v>0</v>
      </c>
      <c r="H355" s="25">
        <f t="array" ref="H355">SUM(IF("155"&amp;C355=KHN&amp;MH,TH))</f>
        <v>0</v>
      </c>
      <c r="I355" s="25">
        <f t="array" ref="I355">SUM(IF("155"&amp;C355=KHC&amp;MH,SL))</f>
        <v>0</v>
      </c>
      <c r="J355" s="25">
        <f t="array" ref="J355">SUM(IF("155"&amp;C355=KHC&amp;MH,TH))</f>
        <v>0</v>
      </c>
      <c r="K355" s="8">
        <f t="shared" si="41"/>
        <v>0</v>
      </c>
      <c r="L355" s="8">
        <f t="shared" si="42"/>
        <v>0</v>
      </c>
      <c r="M355" s="293"/>
    </row>
    <row r="356" spans="1:13" ht="19.5" customHeight="1">
      <c r="A356" s="293" t="str">
        <f t="shared" si="39"/>
        <v>TP</v>
      </c>
      <c r="B356" s="306">
        <f t="shared" si="40"/>
        <v>138</v>
      </c>
      <c r="C356" s="192" t="s">
        <v>727</v>
      </c>
      <c r="D356" s="305"/>
      <c r="E356" s="8"/>
      <c r="F356" s="8"/>
      <c r="G356" s="25">
        <f t="array" ref="G356">SUM(IF("155"&amp;C356=KHN&amp;MH,SL))</f>
        <v>0</v>
      </c>
      <c r="H356" s="25">
        <f t="array" ref="H356">SUM(IF("155"&amp;C356=KHN&amp;MH,TH))</f>
        <v>0</v>
      </c>
      <c r="I356" s="25">
        <f t="array" ref="I356">SUM(IF("155"&amp;C356=KHC&amp;MH,SL))</f>
        <v>0</v>
      </c>
      <c r="J356" s="25">
        <f t="array" ref="J356">SUM(IF("155"&amp;C356=KHC&amp;MH,TH))</f>
        <v>0</v>
      </c>
      <c r="K356" s="8">
        <f t="shared" si="41"/>
        <v>0</v>
      </c>
      <c r="L356" s="8">
        <f t="shared" si="42"/>
        <v>0</v>
      </c>
      <c r="M356" s="293"/>
    </row>
    <row r="357" spans="1:13" ht="19.5" customHeight="1">
      <c r="A357" s="293" t="str">
        <f t="shared" si="39"/>
        <v>TP</v>
      </c>
      <c r="B357" s="306">
        <f t="shared" si="40"/>
        <v>139</v>
      </c>
      <c r="C357" s="192" t="s">
        <v>876</v>
      </c>
      <c r="D357" s="305"/>
      <c r="E357" s="8"/>
      <c r="F357" s="8"/>
      <c r="G357" s="25">
        <f t="array" ref="G357">SUM(IF("155"&amp;C357=KHN&amp;MH,SL))</f>
        <v>0</v>
      </c>
      <c r="H357" s="25">
        <f t="array" ref="H357">SUM(IF("155"&amp;C357=KHN&amp;MH,TH))</f>
        <v>0</v>
      </c>
      <c r="I357" s="25">
        <f t="array" ref="I357">SUM(IF("155"&amp;C357=KHC&amp;MH,SL))</f>
        <v>0</v>
      </c>
      <c r="J357" s="25">
        <f t="array" ref="J357">SUM(IF("155"&amp;C357=KHC&amp;MH,TH))</f>
        <v>0</v>
      </c>
      <c r="K357" s="8">
        <f t="shared" si="41"/>
        <v>0</v>
      </c>
      <c r="L357" s="8">
        <f t="shared" si="42"/>
        <v>0</v>
      </c>
      <c r="M357" s="293"/>
    </row>
    <row r="358" spans="1:13" ht="19.5" customHeight="1">
      <c r="A358" s="293" t="str">
        <f t="shared" si="39"/>
        <v>TP</v>
      </c>
      <c r="B358" s="306">
        <f t="shared" si="40"/>
        <v>140</v>
      </c>
      <c r="C358" s="192" t="s">
        <v>861</v>
      </c>
      <c r="D358" s="305"/>
      <c r="E358" s="8"/>
      <c r="F358" s="8"/>
      <c r="G358" s="25">
        <f t="array" ref="G358">SUM(IF("155"&amp;C358=KHN&amp;MH,SL))</f>
        <v>0</v>
      </c>
      <c r="H358" s="25">
        <f t="array" ref="H358">SUM(IF("155"&amp;C358=KHN&amp;MH,TH))</f>
        <v>0</v>
      </c>
      <c r="I358" s="25">
        <f t="array" ref="I358">SUM(IF("155"&amp;C358=KHC&amp;MH,SL))</f>
        <v>0</v>
      </c>
      <c r="J358" s="25">
        <f t="array" ref="J358">SUM(IF("155"&amp;C358=KHC&amp;MH,TH))</f>
        <v>0</v>
      </c>
      <c r="K358" s="8">
        <f t="shared" si="41"/>
        <v>0</v>
      </c>
      <c r="L358" s="8">
        <f t="shared" si="42"/>
        <v>0</v>
      </c>
      <c r="M358" s="293"/>
    </row>
    <row r="359" spans="1:13" ht="19.5" customHeight="1">
      <c r="A359" s="293" t="str">
        <f t="shared" si="39"/>
        <v>TP</v>
      </c>
      <c r="B359" s="306">
        <f t="shared" si="40"/>
        <v>141</v>
      </c>
      <c r="C359" s="192" t="s">
        <v>928</v>
      </c>
      <c r="D359" s="305"/>
      <c r="E359" s="8"/>
      <c r="F359" s="8"/>
      <c r="G359" s="25">
        <f t="array" ref="G359">SUM(IF("155"&amp;C359=KHN&amp;MH,SL))</f>
        <v>0</v>
      </c>
      <c r="H359" s="25">
        <f t="array" ref="H359">SUM(IF("155"&amp;C359=KHN&amp;MH,TH))</f>
        <v>0</v>
      </c>
      <c r="I359" s="25">
        <f t="array" ref="I359">SUM(IF("155"&amp;C359=KHC&amp;MH,SL))</f>
        <v>0</v>
      </c>
      <c r="J359" s="25">
        <f t="array" ref="J359">SUM(IF("155"&amp;C359=KHC&amp;MH,TH))</f>
        <v>0</v>
      </c>
      <c r="K359" s="8">
        <f t="shared" si="41"/>
        <v>0</v>
      </c>
      <c r="L359" s="8">
        <f t="shared" si="42"/>
        <v>0</v>
      </c>
      <c r="M359" s="293"/>
    </row>
    <row r="360" spans="1:13" ht="19.5" customHeight="1">
      <c r="A360" s="293" t="str">
        <f t="shared" si="39"/>
        <v>TP</v>
      </c>
      <c r="B360" s="306">
        <f t="shared" si="40"/>
        <v>142</v>
      </c>
      <c r="C360" s="192" t="s">
        <v>853</v>
      </c>
      <c r="D360" s="305"/>
      <c r="E360" s="8"/>
      <c r="F360" s="8"/>
      <c r="G360" s="25">
        <f t="array" ref="G360">SUM(IF("155"&amp;C360=KHN&amp;MH,SL))</f>
        <v>0</v>
      </c>
      <c r="H360" s="25">
        <f t="array" ref="H360">SUM(IF("155"&amp;C360=KHN&amp;MH,TH))</f>
        <v>0</v>
      </c>
      <c r="I360" s="25">
        <f t="array" ref="I360">SUM(IF("155"&amp;C360=KHC&amp;MH,SL))</f>
        <v>0</v>
      </c>
      <c r="J360" s="25">
        <f t="array" ref="J360">SUM(IF("155"&amp;C360=KHC&amp;MH,TH))</f>
        <v>0</v>
      </c>
      <c r="K360" s="8">
        <f t="shared" si="41"/>
        <v>0</v>
      </c>
      <c r="L360" s="8">
        <f t="shared" si="42"/>
        <v>0</v>
      </c>
      <c r="M360" s="293"/>
    </row>
    <row r="361" spans="1:13" ht="19.5" customHeight="1">
      <c r="A361" s="293" t="str">
        <f t="shared" si="39"/>
        <v>TP</v>
      </c>
      <c r="B361" s="306">
        <f t="shared" si="40"/>
        <v>143</v>
      </c>
      <c r="C361" s="189" t="s">
        <v>747</v>
      </c>
      <c r="D361" s="305"/>
      <c r="E361" s="8"/>
      <c r="F361" s="8"/>
      <c r="G361" s="25">
        <f t="array" ref="G361">SUM(IF("155"&amp;C361=KHN&amp;MH,SL))</f>
        <v>0</v>
      </c>
      <c r="H361" s="25">
        <f t="array" ref="H361">SUM(IF("155"&amp;C361=KHN&amp;MH,TH))</f>
        <v>0</v>
      </c>
      <c r="I361" s="25">
        <f t="array" ref="I361">SUM(IF("155"&amp;C361=KHC&amp;MH,SL))</f>
        <v>0</v>
      </c>
      <c r="J361" s="25">
        <f t="array" ref="J361">SUM(IF("155"&amp;C361=KHC&amp;MH,TH))</f>
        <v>0</v>
      </c>
      <c r="K361" s="8">
        <f t="shared" si="41"/>
        <v>0</v>
      </c>
      <c r="L361" s="8">
        <f t="shared" si="42"/>
        <v>0</v>
      </c>
      <c r="M361" s="293"/>
    </row>
    <row r="362" spans="1:13" ht="19.5" customHeight="1">
      <c r="A362" s="293" t="str">
        <f t="shared" si="39"/>
        <v>TP</v>
      </c>
      <c r="B362" s="306">
        <f t="shared" si="40"/>
        <v>144</v>
      </c>
      <c r="C362" s="189" t="s">
        <v>977</v>
      </c>
      <c r="D362" s="305"/>
      <c r="E362" s="8"/>
      <c r="F362" s="8"/>
      <c r="G362" s="25">
        <f t="array" ref="G362">SUM(IF("155"&amp;C362=KHN&amp;MH,SL))</f>
        <v>0</v>
      </c>
      <c r="H362" s="25">
        <f t="array" ref="H362">SUM(IF("155"&amp;C362=KHN&amp;MH,TH))</f>
        <v>0</v>
      </c>
      <c r="I362" s="25">
        <f t="array" ref="I362">SUM(IF("155"&amp;C362=KHC&amp;MH,SL))</f>
        <v>0</v>
      </c>
      <c r="J362" s="25">
        <f t="array" ref="J362">SUM(IF("155"&amp;C362=KHC&amp;MH,TH))</f>
        <v>0</v>
      </c>
      <c r="K362" s="8">
        <f t="shared" si="41"/>
        <v>0</v>
      </c>
      <c r="L362" s="8">
        <f t="shared" si="42"/>
        <v>0</v>
      </c>
      <c r="M362" s="293"/>
    </row>
    <row r="363" spans="1:13" ht="19.5" customHeight="1">
      <c r="A363" s="293" t="str">
        <f t="shared" si="39"/>
        <v>TP</v>
      </c>
      <c r="B363" s="306">
        <f t="shared" si="40"/>
        <v>145</v>
      </c>
      <c r="C363" s="189" t="s">
        <v>978</v>
      </c>
      <c r="D363" s="305"/>
      <c r="E363" s="8"/>
      <c r="F363" s="8"/>
      <c r="G363" s="25">
        <f t="array" ref="G363">SUM(IF("155"&amp;C363=KHN&amp;MH,SL))</f>
        <v>0</v>
      </c>
      <c r="H363" s="25">
        <f t="array" ref="H363">SUM(IF("155"&amp;C363=KHN&amp;MH,TH))</f>
        <v>0</v>
      </c>
      <c r="I363" s="25">
        <f t="array" ref="I363">SUM(IF("155"&amp;C363=KHC&amp;MH,SL))</f>
        <v>0</v>
      </c>
      <c r="J363" s="25">
        <f t="array" ref="J363">SUM(IF("155"&amp;C363=KHC&amp;MH,TH))</f>
        <v>0</v>
      </c>
      <c r="K363" s="8">
        <f t="shared" si="41"/>
        <v>0</v>
      </c>
      <c r="L363" s="8">
        <f t="shared" si="42"/>
        <v>0</v>
      </c>
      <c r="M363" s="293"/>
    </row>
    <row r="364" spans="1:13" ht="19.5" customHeight="1">
      <c r="A364" s="293" t="str">
        <f t="shared" si="39"/>
        <v>TP</v>
      </c>
      <c r="B364" s="306">
        <f t="shared" si="40"/>
        <v>146</v>
      </c>
      <c r="C364" s="192" t="s">
        <v>844</v>
      </c>
      <c r="D364" s="305"/>
      <c r="E364" s="8"/>
      <c r="F364" s="8"/>
      <c r="G364" s="25">
        <f t="array" ref="G364">SUM(IF("155"&amp;C364=KHN&amp;MH,SL))</f>
        <v>0</v>
      </c>
      <c r="H364" s="25">
        <f t="array" ref="H364">SUM(IF("155"&amp;C364=KHN&amp;MH,TH))</f>
        <v>0</v>
      </c>
      <c r="I364" s="25">
        <f t="array" ref="I364">SUM(IF("155"&amp;C364=KHC&amp;MH,SL))</f>
        <v>0</v>
      </c>
      <c r="J364" s="25">
        <f t="array" ref="J364">SUM(IF("155"&amp;C364=KHC&amp;MH,TH))</f>
        <v>0</v>
      </c>
      <c r="K364" s="8">
        <f t="shared" si="41"/>
        <v>0</v>
      </c>
      <c r="L364" s="8">
        <f t="shared" si="42"/>
        <v>0</v>
      </c>
      <c r="M364" s="293"/>
    </row>
    <row r="365" spans="1:13" ht="19.5" customHeight="1">
      <c r="A365" s="293" t="str">
        <f t="shared" si="39"/>
        <v>TP</v>
      </c>
      <c r="B365" s="306">
        <f t="shared" si="40"/>
        <v>147</v>
      </c>
      <c r="C365" s="189" t="s">
        <v>979</v>
      </c>
      <c r="D365" s="305"/>
      <c r="E365" s="8"/>
      <c r="F365" s="8"/>
      <c r="G365" s="25">
        <f t="array" ref="G365">SUM(IF("155"&amp;C365=KHN&amp;MH,SL))</f>
        <v>0</v>
      </c>
      <c r="H365" s="25">
        <f t="array" ref="H365">SUM(IF("155"&amp;C365=KHN&amp;MH,TH))</f>
        <v>0</v>
      </c>
      <c r="I365" s="25">
        <f t="array" ref="I365">SUM(IF("155"&amp;C365=KHC&amp;MH,SL))</f>
        <v>0</v>
      </c>
      <c r="J365" s="25">
        <f t="array" ref="J365">SUM(IF("155"&amp;C365=KHC&amp;MH,TH))</f>
        <v>0</v>
      </c>
      <c r="K365" s="8">
        <f t="shared" si="41"/>
        <v>0</v>
      </c>
      <c r="L365" s="8">
        <f t="shared" si="42"/>
        <v>0</v>
      </c>
      <c r="M365" s="293"/>
    </row>
    <row r="366" spans="1:13" ht="19.5" customHeight="1">
      <c r="A366" s="293" t="str">
        <f t="shared" si="39"/>
        <v>TP</v>
      </c>
      <c r="B366" s="306">
        <f t="shared" si="40"/>
        <v>148</v>
      </c>
      <c r="C366" s="192" t="s">
        <v>851</v>
      </c>
      <c r="D366" s="305"/>
      <c r="E366" s="8"/>
      <c r="F366" s="8"/>
      <c r="G366" s="25">
        <f t="array" ref="G366">SUM(IF("155"&amp;C366=KHN&amp;MH,SL))</f>
        <v>0</v>
      </c>
      <c r="H366" s="25">
        <f t="array" ref="H366">SUM(IF("155"&amp;C366=KHN&amp;MH,TH))</f>
        <v>0</v>
      </c>
      <c r="I366" s="25">
        <f t="array" ref="I366">SUM(IF("155"&amp;C366=KHC&amp;MH,SL))</f>
        <v>0</v>
      </c>
      <c r="J366" s="25">
        <f t="array" ref="J366">SUM(IF("155"&amp;C366=KHC&amp;MH,TH))</f>
        <v>0</v>
      </c>
      <c r="K366" s="8">
        <f t="shared" si="41"/>
        <v>0</v>
      </c>
      <c r="L366" s="8">
        <f t="shared" si="42"/>
        <v>0</v>
      </c>
      <c r="M366" s="293"/>
    </row>
    <row r="367" spans="1:13" ht="19.5" customHeight="1">
      <c r="A367" s="293" t="str">
        <f t="shared" si="39"/>
        <v>TP</v>
      </c>
      <c r="B367" s="306">
        <f t="shared" si="40"/>
        <v>149</v>
      </c>
      <c r="C367" s="189" t="s">
        <v>744</v>
      </c>
      <c r="D367" s="305"/>
      <c r="E367" s="8"/>
      <c r="F367" s="8"/>
      <c r="G367" s="25">
        <f t="array" ref="G367">SUM(IF("155"&amp;C367=KHN&amp;MH,SL))</f>
        <v>0</v>
      </c>
      <c r="H367" s="25">
        <f t="array" ref="H367">SUM(IF("155"&amp;C367=KHN&amp;MH,TH))</f>
        <v>0</v>
      </c>
      <c r="I367" s="25">
        <f t="array" ref="I367">SUM(IF("155"&amp;C367=KHC&amp;MH,SL))</f>
        <v>0</v>
      </c>
      <c r="J367" s="25">
        <f t="array" ref="J367">SUM(IF("155"&amp;C367=KHC&amp;MH,TH))</f>
        <v>0</v>
      </c>
      <c r="K367" s="8">
        <f t="shared" si="41"/>
        <v>0</v>
      </c>
      <c r="L367" s="8">
        <f t="shared" si="42"/>
        <v>0</v>
      </c>
      <c r="M367" s="293"/>
    </row>
    <row r="368" spans="1:13" ht="19.5" customHeight="1">
      <c r="A368" s="293" t="str">
        <f t="shared" si="39"/>
        <v>TP</v>
      </c>
      <c r="B368" s="306">
        <f t="shared" si="40"/>
        <v>150</v>
      </c>
      <c r="C368" s="192" t="s">
        <v>1010</v>
      </c>
      <c r="D368" s="305"/>
      <c r="E368" s="8"/>
      <c r="F368" s="8"/>
      <c r="G368" s="25">
        <f t="array" ref="G368">SUM(IF("155"&amp;C368=KHN&amp;MH,SL))</f>
        <v>0</v>
      </c>
      <c r="H368" s="25">
        <f t="array" ref="H368">SUM(IF("155"&amp;C368=KHN&amp;MH,TH))</f>
        <v>0</v>
      </c>
      <c r="I368" s="25">
        <f t="array" ref="I368">SUM(IF("155"&amp;C368=KHC&amp;MH,SL))</f>
        <v>0</v>
      </c>
      <c r="J368" s="25">
        <f t="array" ref="J368">SUM(IF("155"&amp;C368=KHC&amp;MH,TH))</f>
        <v>0</v>
      </c>
      <c r="K368" s="8">
        <f t="shared" si="41"/>
        <v>0</v>
      </c>
      <c r="L368" s="8">
        <f t="shared" si="42"/>
        <v>0</v>
      </c>
      <c r="M368" s="293"/>
    </row>
    <row r="369" spans="1:13" ht="19.5" customHeight="1">
      <c r="A369" s="293" t="str">
        <f t="shared" si="39"/>
        <v>TP</v>
      </c>
      <c r="B369" s="306">
        <f t="shared" si="40"/>
        <v>151</v>
      </c>
      <c r="C369" s="192" t="s">
        <v>764</v>
      </c>
      <c r="D369" s="305"/>
      <c r="E369" s="8"/>
      <c r="F369" s="8"/>
      <c r="G369" s="25">
        <f t="array" ref="G369">SUM(IF("155"&amp;C369=KHN&amp;MH,SL))</f>
        <v>0</v>
      </c>
      <c r="H369" s="25">
        <f t="array" ref="H369">SUM(IF("155"&amp;C369=KHN&amp;MH,TH))</f>
        <v>0</v>
      </c>
      <c r="I369" s="25">
        <f t="array" ref="I369">SUM(IF("155"&amp;C369=KHC&amp;MH,SL))</f>
        <v>0</v>
      </c>
      <c r="J369" s="25">
        <f t="array" ref="J369">SUM(IF("155"&amp;C369=KHC&amp;MH,TH))</f>
        <v>0</v>
      </c>
      <c r="K369" s="8">
        <f t="shared" si="41"/>
        <v>0</v>
      </c>
      <c r="L369" s="8">
        <f t="shared" si="42"/>
        <v>0</v>
      </c>
      <c r="M369" s="293"/>
    </row>
    <row r="370" spans="1:13" ht="19.5" customHeight="1">
      <c r="A370" s="293" t="str">
        <f t="shared" si="39"/>
        <v>TP</v>
      </c>
      <c r="B370" s="306">
        <f t="shared" si="40"/>
        <v>152</v>
      </c>
      <c r="C370" s="192" t="s">
        <v>775</v>
      </c>
      <c r="D370" s="305"/>
      <c r="E370" s="8"/>
      <c r="F370" s="8"/>
      <c r="G370" s="25">
        <f t="array" ref="G370">SUM(IF("155"&amp;C370=KHN&amp;MH,SL))</f>
        <v>0</v>
      </c>
      <c r="H370" s="25">
        <f t="array" ref="H370">SUM(IF("155"&amp;C370=KHN&amp;MH,TH))</f>
        <v>0</v>
      </c>
      <c r="I370" s="25">
        <f t="array" ref="I370">SUM(IF("155"&amp;C370=KHC&amp;MH,SL))</f>
        <v>0</v>
      </c>
      <c r="J370" s="25">
        <f t="array" ref="J370">SUM(IF("155"&amp;C370=KHC&amp;MH,TH))</f>
        <v>0</v>
      </c>
      <c r="K370" s="8">
        <f t="shared" si="41"/>
        <v>0</v>
      </c>
      <c r="L370" s="8">
        <f t="shared" si="42"/>
        <v>0</v>
      </c>
      <c r="M370" s="293"/>
    </row>
    <row r="371" spans="1:13" ht="19.5" customHeight="1">
      <c r="A371" s="293" t="str">
        <f t="shared" si="39"/>
        <v>TP</v>
      </c>
      <c r="B371" s="306">
        <f t="shared" si="40"/>
        <v>153</v>
      </c>
      <c r="C371" s="192" t="s">
        <v>778</v>
      </c>
      <c r="D371" s="305"/>
      <c r="E371" s="8"/>
      <c r="F371" s="8"/>
      <c r="G371" s="25">
        <f t="array" ref="G371">SUM(IF("155"&amp;C371=KHN&amp;MH,SL))</f>
        <v>0</v>
      </c>
      <c r="H371" s="25">
        <f t="array" ref="H371">SUM(IF("155"&amp;C371=KHN&amp;MH,TH))</f>
        <v>0</v>
      </c>
      <c r="I371" s="25">
        <f t="array" ref="I371">SUM(IF("155"&amp;C371=KHC&amp;MH,SL))</f>
        <v>0</v>
      </c>
      <c r="J371" s="25">
        <f t="array" ref="J371">SUM(IF("155"&amp;C371=KHC&amp;MH,TH))</f>
        <v>0</v>
      </c>
      <c r="K371" s="8">
        <f t="shared" si="41"/>
        <v>0</v>
      </c>
      <c r="L371" s="8">
        <f t="shared" si="42"/>
        <v>0</v>
      </c>
      <c r="M371" s="293"/>
    </row>
    <row r="372" spans="1:13" ht="19.5" customHeight="1">
      <c r="A372" s="293" t="str">
        <f t="shared" si="39"/>
        <v>TP</v>
      </c>
      <c r="B372" s="306">
        <f t="shared" si="40"/>
        <v>154</v>
      </c>
      <c r="C372" s="189" t="s">
        <v>976</v>
      </c>
      <c r="D372" s="305"/>
      <c r="E372" s="8"/>
      <c r="F372" s="8"/>
      <c r="G372" s="25">
        <f t="array" ref="G372">SUM(IF("155"&amp;C372=KHN&amp;MH,SL))</f>
        <v>0</v>
      </c>
      <c r="H372" s="25">
        <f t="array" ref="H372">SUM(IF("155"&amp;C372=KHN&amp;MH,TH))</f>
        <v>0</v>
      </c>
      <c r="I372" s="25">
        <f t="array" ref="I372">SUM(IF("155"&amp;C372=KHC&amp;MH,SL))</f>
        <v>0</v>
      </c>
      <c r="J372" s="25">
        <f t="array" ref="J372">SUM(IF("155"&amp;C372=KHC&amp;MH,TH))</f>
        <v>0</v>
      </c>
      <c r="K372" s="8">
        <f t="shared" si="41"/>
        <v>0</v>
      </c>
      <c r="L372" s="8">
        <f t="shared" si="42"/>
        <v>0</v>
      </c>
      <c r="M372" s="293"/>
    </row>
    <row r="373" spans="1:13" ht="19.5" customHeight="1">
      <c r="A373" s="293" t="str">
        <f t="shared" si="39"/>
        <v>TP</v>
      </c>
      <c r="B373" s="306">
        <f t="shared" si="40"/>
        <v>155</v>
      </c>
      <c r="C373" s="192" t="s">
        <v>869</v>
      </c>
      <c r="D373" s="305"/>
      <c r="E373" s="8"/>
      <c r="F373" s="8"/>
      <c r="G373" s="25">
        <f t="array" ref="G373">SUM(IF("155"&amp;C373=KHN&amp;MH,SL))</f>
        <v>0</v>
      </c>
      <c r="H373" s="25">
        <f t="array" ref="H373">SUM(IF("155"&amp;C373=KHN&amp;MH,TH))</f>
        <v>0</v>
      </c>
      <c r="I373" s="25">
        <f t="array" ref="I373">SUM(IF("155"&amp;C373=KHC&amp;MH,SL))</f>
        <v>0</v>
      </c>
      <c r="J373" s="25">
        <f t="array" ref="J373">SUM(IF("155"&amp;C373=KHC&amp;MH,TH))</f>
        <v>0</v>
      </c>
      <c r="K373" s="8">
        <f t="shared" si="41"/>
        <v>0</v>
      </c>
      <c r="L373" s="8">
        <f t="shared" si="42"/>
        <v>0</v>
      </c>
      <c r="M373" s="293"/>
    </row>
    <row r="374" spans="1:13" ht="19.5" customHeight="1">
      <c r="A374" s="293" t="str">
        <f t="shared" si="39"/>
        <v>TP</v>
      </c>
      <c r="B374" s="306">
        <f t="shared" si="40"/>
        <v>156</v>
      </c>
      <c r="C374" s="192" t="s">
        <v>843</v>
      </c>
      <c r="D374" s="305"/>
      <c r="E374" s="8"/>
      <c r="F374" s="8"/>
      <c r="G374" s="25">
        <f t="array" ref="G374">SUM(IF("155"&amp;C374=KHN&amp;MH,SL))</f>
        <v>0</v>
      </c>
      <c r="H374" s="25">
        <f t="array" ref="H374">SUM(IF("155"&amp;C374=KHN&amp;MH,TH))</f>
        <v>0</v>
      </c>
      <c r="I374" s="25">
        <f t="array" ref="I374">SUM(IF("155"&amp;C374=KHC&amp;MH,SL))</f>
        <v>0</v>
      </c>
      <c r="J374" s="25">
        <f t="array" ref="J374">SUM(IF("155"&amp;C374=KHC&amp;MH,TH))</f>
        <v>0</v>
      </c>
      <c r="K374" s="8">
        <f t="shared" si="41"/>
        <v>0</v>
      </c>
      <c r="L374" s="8">
        <f t="shared" si="42"/>
        <v>0</v>
      </c>
      <c r="M374" s="293"/>
    </row>
    <row r="375" spans="1:13" ht="19.5" customHeight="1">
      <c r="A375" s="293" t="str">
        <f t="shared" si="39"/>
        <v>TP</v>
      </c>
      <c r="B375" s="306">
        <f t="shared" si="40"/>
        <v>157</v>
      </c>
      <c r="C375" s="192" t="s">
        <v>867</v>
      </c>
      <c r="D375" s="305"/>
      <c r="E375" s="8"/>
      <c r="F375" s="8"/>
      <c r="G375" s="25">
        <f t="array" ref="G375">SUM(IF("155"&amp;C375=KHN&amp;MH,SL))</f>
        <v>0</v>
      </c>
      <c r="H375" s="25">
        <f t="array" ref="H375">SUM(IF("155"&amp;C375=KHN&amp;MH,TH))</f>
        <v>0</v>
      </c>
      <c r="I375" s="25">
        <f t="array" ref="I375">SUM(IF("155"&amp;C375=KHC&amp;MH,SL))</f>
        <v>0</v>
      </c>
      <c r="J375" s="25">
        <f t="array" ref="J375">SUM(IF("155"&amp;C375=KHC&amp;MH,TH))</f>
        <v>0</v>
      </c>
      <c r="K375" s="8">
        <f t="shared" si="41"/>
        <v>0</v>
      </c>
      <c r="L375" s="8">
        <f t="shared" si="42"/>
        <v>0</v>
      </c>
      <c r="M375" s="293"/>
    </row>
    <row r="376" spans="1:13" ht="19.5" customHeight="1">
      <c r="A376" s="293" t="str">
        <f t="shared" si="39"/>
        <v>TP</v>
      </c>
      <c r="B376" s="306">
        <f t="shared" si="40"/>
        <v>158</v>
      </c>
      <c r="C376" s="192" t="s">
        <v>840</v>
      </c>
      <c r="D376" s="305"/>
      <c r="E376" s="8"/>
      <c r="F376" s="8"/>
      <c r="G376" s="25">
        <f t="array" ref="G376">SUM(IF("155"&amp;C376=KHN&amp;MH,SL))</f>
        <v>0</v>
      </c>
      <c r="H376" s="25">
        <f t="array" ref="H376">SUM(IF("155"&amp;C376=KHN&amp;MH,TH))</f>
        <v>0</v>
      </c>
      <c r="I376" s="25">
        <f t="array" ref="I376">SUM(IF("155"&amp;C376=KHC&amp;MH,SL))</f>
        <v>0</v>
      </c>
      <c r="J376" s="25">
        <f t="array" ref="J376">SUM(IF("155"&amp;C376=KHC&amp;MH,TH))</f>
        <v>0</v>
      </c>
      <c r="K376" s="8">
        <f t="shared" si="41"/>
        <v>0</v>
      </c>
      <c r="L376" s="8">
        <f t="shared" si="42"/>
        <v>0</v>
      </c>
      <c r="M376" s="293"/>
    </row>
    <row r="377" spans="1:13" ht="19.5" customHeight="1">
      <c r="A377" s="293" t="str">
        <f t="shared" si="39"/>
        <v>TP</v>
      </c>
      <c r="B377" s="306">
        <f t="shared" si="40"/>
        <v>159</v>
      </c>
      <c r="C377" s="192" t="s">
        <v>483</v>
      </c>
      <c r="D377" s="305"/>
      <c r="E377" s="8"/>
      <c r="F377" s="8"/>
      <c r="G377" s="25">
        <f t="array" ref="G377">SUM(IF("155"&amp;C377=KHN&amp;MH,SL))</f>
        <v>0</v>
      </c>
      <c r="H377" s="25">
        <f t="array" ref="H377">SUM(IF("155"&amp;C377=KHN&amp;MH,TH))</f>
        <v>0</v>
      </c>
      <c r="I377" s="25">
        <f t="array" ref="I377">SUM(IF("155"&amp;C377=KHC&amp;MH,SL))</f>
        <v>0</v>
      </c>
      <c r="J377" s="25">
        <f t="array" ref="J377">SUM(IF("155"&amp;C377=KHC&amp;MH,TH))</f>
        <v>0</v>
      </c>
      <c r="K377" s="8">
        <f t="shared" si="41"/>
        <v>0</v>
      </c>
      <c r="L377" s="8">
        <f t="shared" si="42"/>
        <v>0</v>
      </c>
      <c r="M377" s="293"/>
    </row>
    <row r="378" spans="1:13" ht="19.5" customHeight="1">
      <c r="A378" s="293" t="str">
        <f t="shared" si="39"/>
        <v>TP</v>
      </c>
      <c r="B378" s="306">
        <f t="shared" si="40"/>
        <v>160</v>
      </c>
      <c r="C378" s="192" t="s">
        <v>1038</v>
      </c>
      <c r="D378" s="305"/>
      <c r="E378" s="8"/>
      <c r="F378" s="8"/>
      <c r="G378" s="25">
        <f t="array" ref="G378">SUM(IF("155"&amp;C378=KHN&amp;MH,SL))</f>
        <v>0</v>
      </c>
      <c r="H378" s="25">
        <f t="array" ref="H378">SUM(IF("155"&amp;C378=KHN&amp;MH,TH))</f>
        <v>0</v>
      </c>
      <c r="I378" s="25">
        <f t="array" ref="I378">SUM(IF("155"&amp;C378=KHC&amp;MH,SL))</f>
        <v>0</v>
      </c>
      <c r="J378" s="25">
        <f t="array" ref="J378">SUM(IF("155"&amp;C378=KHC&amp;MH,TH))</f>
        <v>0</v>
      </c>
      <c r="K378" s="8">
        <f t="shared" si="41"/>
        <v>0</v>
      </c>
      <c r="L378" s="8">
        <f t="shared" si="42"/>
        <v>0</v>
      </c>
      <c r="M378" s="293"/>
    </row>
    <row r="379" spans="1:13" ht="19.5" customHeight="1">
      <c r="A379" s="293" t="str">
        <f t="shared" ref="A379" si="43">IF(B379&lt;&gt;"","TP","")</f>
        <v>TP</v>
      </c>
      <c r="B379" s="306">
        <f t="shared" ref="B379" si="44">IF(C379&lt;&gt;"",B378+1,"")</f>
        <v>161</v>
      </c>
      <c r="C379" s="192" t="s">
        <v>905</v>
      </c>
      <c r="D379" s="305"/>
      <c r="E379" s="8"/>
      <c r="F379" s="8"/>
      <c r="G379" s="25">
        <f t="array" ref="G379">SUM(IF("155"&amp;C379=KHN&amp;MH,SL))</f>
        <v>0</v>
      </c>
      <c r="H379" s="25">
        <f t="array" ref="H379">SUM(IF("155"&amp;C379=KHN&amp;MH,TH))</f>
        <v>0</v>
      </c>
      <c r="I379" s="25">
        <f t="array" ref="I379">SUM(IF("155"&amp;C379=KHC&amp;MH,SL))</f>
        <v>0</v>
      </c>
      <c r="J379" s="25">
        <f t="array" ref="J379">SUM(IF("155"&amp;C379=KHC&amp;MH,TH))</f>
        <v>0</v>
      </c>
      <c r="K379" s="8">
        <f t="shared" si="41"/>
        <v>0</v>
      </c>
      <c r="L379" s="8">
        <f t="shared" si="42"/>
        <v>0</v>
      </c>
      <c r="M379" s="293"/>
    </row>
    <row r="380" spans="1:13" ht="18.75" customHeight="1">
      <c r="A380" s="293" t="str">
        <f t="shared" ref="A380:A381" si="45">IF(B380&lt;&gt;"","TP","")</f>
        <v/>
      </c>
      <c r="B380" s="306" t="str">
        <f>IF(C380&lt;&gt;"",#REF!+1,"")</f>
        <v/>
      </c>
      <c r="C380" s="308"/>
      <c r="D380" s="303"/>
      <c r="E380" s="8"/>
      <c r="F380" s="8"/>
      <c r="G380" s="304"/>
      <c r="H380" s="304"/>
      <c r="I380" s="304"/>
      <c r="J380" s="304"/>
      <c r="K380" s="304"/>
      <c r="L380" s="304"/>
      <c r="M380" s="293"/>
    </row>
    <row r="381" spans="1:13" ht="19.5" customHeight="1">
      <c r="A381" s="293" t="str">
        <f t="shared" si="45"/>
        <v/>
      </c>
      <c r="B381" s="292"/>
      <c r="C381" s="301" t="s">
        <v>201</v>
      </c>
      <c r="D381" s="292"/>
      <c r="E381" s="13">
        <f t="shared" ref="E381:L381" si="46">SUM(E219:E380)</f>
        <v>0</v>
      </c>
      <c r="F381" s="13">
        <f t="shared" si="46"/>
        <v>0</v>
      </c>
      <c r="G381" s="13">
        <f t="shared" si="46"/>
        <v>0</v>
      </c>
      <c r="H381" s="13">
        <f t="shared" si="46"/>
        <v>0</v>
      </c>
      <c r="I381" s="13">
        <f t="shared" si="46"/>
        <v>0</v>
      </c>
      <c r="J381" s="13">
        <f t="shared" si="46"/>
        <v>0</v>
      </c>
      <c r="K381" s="13">
        <f t="shared" si="46"/>
        <v>0</v>
      </c>
      <c r="L381" s="13">
        <f t="shared" si="46"/>
        <v>0</v>
      </c>
      <c r="M381" s="293"/>
    </row>
    <row r="382" spans="1:13" ht="18.75" customHeight="1">
      <c r="A382" s="293"/>
      <c r="B382" s="479"/>
      <c r="C382" s="479"/>
      <c r="D382" s="478"/>
      <c r="E382" s="480"/>
      <c r="F382" s="480">
        <f>F381-CDPS!C23</f>
        <v>0</v>
      </c>
      <c r="G382" s="480"/>
      <c r="H382" s="480">
        <f>H381-CDPS!E23</f>
        <v>0</v>
      </c>
      <c r="I382" s="480"/>
      <c r="J382" s="480">
        <f>J381-CDPS!F23</f>
        <v>0</v>
      </c>
      <c r="K382" s="480"/>
      <c r="L382" s="480">
        <f>L381-CDPS!H23</f>
        <v>0</v>
      </c>
      <c r="M382" s="307"/>
    </row>
    <row r="383" spans="1:13" ht="18.75" customHeight="1"/>
    <row r="384" spans="1:13" ht="19.5" customHeight="1"/>
    <row r="385" spans="3:12" ht="19.5" customHeight="1">
      <c r="C385" s="973"/>
      <c r="D385" s="973"/>
      <c r="E385" s="973"/>
      <c r="F385" s="877"/>
      <c r="G385" s="877"/>
      <c r="H385" s="877"/>
      <c r="I385" s="877"/>
      <c r="J385" s="973" t="s">
        <v>494</v>
      </c>
      <c r="K385" s="973"/>
      <c r="L385" s="973"/>
    </row>
    <row r="386" spans="3:12" ht="19.5" customHeight="1">
      <c r="C386" s="878"/>
      <c r="D386" s="878"/>
      <c r="E386" s="878"/>
      <c r="F386" s="973"/>
      <c r="G386" s="973"/>
      <c r="H386" s="973"/>
      <c r="I386" s="877"/>
      <c r="J386" s="973" t="s">
        <v>109</v>
      </c>
      <c r="K386" s="973"/>
      <c r="L386" s="973"/>
    </row>
    <row r="387" spans="3:12" ht="19.5" customHeight="1">
      <c r="C387" s="878"/>
      <c r="D387" s="878"/>
      <c r="E387" s="878"/>
      <c r="F387" s="973"/>
      <c r="G387" s="973"/>
      <c r="H387" s="973"/>
      <c r="I387" s="288"/>
      <c r="J387" s="973" t="s">
        <v>136</v>
      </c>
      <c r="K387" s="973"/>
      <c r="L387" s="973"/>
    </row>
    <row r="388" spans="3:12" ht="20.25" customHeight="1"/>
    <row r="389" spans="3:12" ht="20.25" customHeight="1"/>
    <row r="390" spans="3:12" ht="20.25" customHeight="1"/>
    <row r="391" spans="3:12" ht="20.25" customHeight="1"/>
    <row r="392" spans="3:12" ht="20.25" customHeight="1"/>
    <row r="393" spans="3:12" ht="20.25" customHeight="1"/>
    <row r="394" spans="3:12" ht="20.25" customHeight="1"/>
    <row r="395" spans="3:12" ht="19.5" customHeight="1"/>
    <row r="396" spans="3:12" ht="19.5" customHeight="1"/>
    <row r="397" spans="3:12" ht="19.5" customHeight="1"/>
    <row r="398" spans="3:12" ht="19.5" customHeight="1"/>
    <row r="399" spans="3:12" ht="19.5" customHeight="1"/>
    <row r="400" spans="3:12" ht="19.5" customHeight="1"/>
    <row r="401" ht="19.5" customHeight="1"/>
    <row r="402" ht="19.5" customHeight="1"/>
    <row r="403" ht="19.5" customHeight="1"/>
    <row r="404" ht="19.5" customHeight="1"/>
    <row r="405" ht="19.5" customHeight="1"/>
    <row r="406" ht="19.5" customHeight="1"/>
    <row r="407" ht="19.5" customHeight="1"/>
    <row r="408" ht="19.5" customHeight="1"/>
    <row r="409" ht="19.5" customHeight="1"/>
    <row r="410" ht="19.5" customHeight="1"/>
    <row r="411" ht="19.5" customHeight="1"/>
    <row r="412" ht="19.5" customHeight="1"/>
    <row r="413" ht="19.5" customHeight="1"/>
  </sheetData>
  <autoFilter ref="A11:N382"/>
  <sortState ref="A104:N264">
    <sortCondition ref="C104:C264"/>
  </sortState>
  <mergeCells count="20">
    <mergeCell ref="C7:L7"/>
    <mergeCell ref="F387:H387"/>
    <mergeCell ref="J387:L387"/>
    <mergeCell ref="C385:E385"/>
    <mergeCell ref="J385:L385"/>
    <mergeCell ref="F386:H386"/>
    <mergeCell ref="J386:L386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312" customWidth="1"/>
    <col min="2" max="2" width="29.7109375" style="312" customWidth="1"/>
    <col min="3" max="3" width="5.7109375" style="312" customWidth="1"/>
    <col min="4" max="4" width="6.7109375" style="312" customWidth="1"/>
    <col min="5" max="5" width="12.7109375" style="312" customWidth="1"/>
    <col min="6" max="6" width="9.85546875" style="312" customWidth="1"/>
    <col min="7" max="7" width="11" style="312" customWidth="1"/>
    <col min="8" max="8" width="14" style="312" customWidth="1"/>
    <col min="9" max="9" width="4.28515625" style="312" customWidth="1"/>
    <col min="10" max="10" width="7.5703125" style="312" customWidth="1"/>
    <col min="11" max="11" width="3.140625" style="312" customWidth="1"/>
    <col min="12" max="12" width="5.7109375" style="312" customWidth="1"/>
    <col min="13" max="13" width="2.7109375" style="312" customWidth="1"/>
    <col min="14" max="14" width="4" style="312" customWidth="1"/>
    <col min="15" max="15" width="3.7109375" style="312" customWidth="1"/>
    <col min="16" max="16384" width="9.140625" style="312"/>
  </cols>
  <sheetData>
    <row r="1" spans="1:17" ht="5.25" hidden="1" customHeight="1"/>
    <row r="2" spans="1:17" s="673" customFormat="1" ht="12" customHeight="1">
      <c r="A2" s="672" t="str">
        <f>TH!A1</f>
        <v>Đơn vị: CÔNG TY TNHH SX TM KIM DUNG PHÁT</v>
      </c>
      <c r="G2" s="674" t="str">
        <f>+IF(LEFT($D$7,1)="N","Mẫu số 01 - VT","Mẫu số 02 - VT")</f>
        <v>Mẫu số 02 - VT</v>
      </c>
    </row>
    <row r="3" spans="1:17" s="673" customFormat="1" ht="12" customHeight="1">
      <c r="A3" s="675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674" t="s">
        <v>104</v>
      </c>
      <c r="O3" s="676"/>
      <c r="P3" s="677">
        <f>IF(J5="Quý I",1,IF(J5="Quý II",4,IF(J5="Quý III",7,IF(J5="Quý IV",10,""))))</f>
        <v>10</v>
      </c>
      <c r="Q3" s="677">
        <f>IF(J5="Quý I",3,IF(J5="Quý II",6,IF(J5="Quý III",9,IF(J5="Quý IV",12,""))))</f>
        <v>12</v>
      </c>
    </row>
    <row r="4" spans="1:17" s="673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678"/>
      <c r="M4" s="679"/>
      <c r="N4" s="674" t="s">
        <v>105</v>
      </c>
      <c r="O4" s="676"/>
    </row>
    <row r="5" spans="1:17" ht="18" customHeight="1" thickBot="1">
      <c r="D5" s="316" t="str">
        <f>+IF(LEFT($L$5,1)="N","PHIẾU NHẬP KHO","PHIẾU XUẤT KHO")</f>
        <v>PHIẾU XUẤT KHO</v>
      </c>
      <c r="J5" s="669" t="s">
        <v>486</v>
      </c>
      <c r="K5" s="317"/>
      <c r="L5" s="670" t="s">
        <v>489</v>
      </c>
      <c r="M5" s="318"/>
      <c r="N5" s="671">
        <v>2</v>
      </c>
      <c r="O5" s="313"/>
      <c r="P5" s="313"/>
    </row>
    <row r="6" spans="1:17" ht="10.5" customHeight="1">
      <c r="D6" s="681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1  tháng  10  năm  2013</v>
      </c>
      <c r="E6" s="682"/>
      <c r="M6" s="315"/>
      <c r="O6" s="313"/>
    </row>
    <row r="7" spans="1:17" ht="10.5" customHeight="1">
      <c r="C7" s="683" t="str">
        <f xml:space="preserve"> "Số:"</f>
        <v>Số:</v>
      </c>
      <c r="D7" s="684" t="str">
        <f xml:space="preserve"> RIGHT($L$5,2)&amp;"/"&amp;LEFT($L$5,1)&amp;IF($N$5&gt;=10,$N$5,"0"&amp;$N$5)</f>
        <v>TP/X02</v>
      </c>
      <c r="G7" s="312" t="str">
        <f ca="1">"Nợ:  "&amp;IF(ROWS($1:1)&gt;COUNT(Dong10),"",OFFSET(TH!L$1,SMALL(Dong10,ROWS($1:1)),))</f>
        <v>Nợ:  131</v>
      </c>
      <c r="M7" s="315"/>
      <c r="O7" s="313"/>
    </row>
    <row r="8" spans="1:17" ht="10.5" customHeight="1">
      <c r="D8" s="71"/>
      <c r="G8" s="312" t="str">
        <f ca="1">"Có:  "&amp;IF(ROWS($1:1)&gt;COUNT(Dong10),"",OFFSET(TH!M$1,SMALL(Dong10,ROWS($1:1)),))</f>
        <v>Có:  5112</v>
      </c>
      <c r="M8" s="315"/>
      <c r="O8" s="685"/>
    </row>
    <row r="9" spans="1:17" ht="11.25" customHeight="1">
      <c r="A9" s="312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CP TP QT Long Phụng                                         Địa chỉ (bộ phận) :     Sản Xuất </v>
      </c>
      <c r="M9" s="315"/>
    </row>
    <row r="10" spans="1:17" ht="11.25" customHeight="1">
      <c r="A10" s="312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12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12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14" t="s">
        <v>35</v>
      </c>
      <c r="B14" s="1014" t="s">
        <v>202</v>
      </c>
      <c r="C14" s="1014" t="s">
        <v>203</v>
      </c>
      <c r="D14" s="1014" t="s">
        <v>194</v>
      </c>
      <c r="E14" s="1016" t="s">
        <v>204</v>
      </c>
      <c r="F14" s="1016"/>
      <c r="G14" s="1014" t="s">
        <v>205</v>
      </c>
      <c r="H14" s="1014" t="s">
        <v>206</v>
      </c>
    </row>
    <row r="15" spans="1:17" ht="12.75" customHeight="1">
      <c r="A15" s="1015"/>
      <c r="B15" s="1015"/>
      <c r="C15" s="1015"/>
      <c r="D15" s="1015"/>
      <c r="E15" s="686" t="s">
        <v>207</v>
      </c>
      <c r="F15" s="686" t="str">
        <f>IF(LEFT($D$7,1)="N","Thực nhập","Thực xuất")</f>
        <v>Thực xuất</v>
      </c>
      <c r="G15" s="1015"/>
      <c r="H15" s="1015"/>
    </row>
    <row r="16" spans="1:17" s="71" customFormat="1" ht="8.25" customHeight="1">
      <c r="A16" s="687" t="s">
        <v>2</v>
      </c>
      <c r="B16" s="687" t="s">
        <v>3</v>
      </c>
      <c r="C16" s="687" t="s">
        <v>4</v>
      </c>
      <c r="D16" s="687" t="s">
        <v>5</v>
      </c>
      <c r="E16" s="687">
        <v>1</v>
      </c>
      <c r="F16" s="687">
        <v>2</v>
      </c>
      <c r="G16" s="687">
        <v>3</v>
      </c>
      <c r="H16" s="687">
        <v>4</v>
      </c>
    </row>
    <row r="17" spans="1:8" ht="11.25" customHeight="1">
      <c r="A17" s="688">
        <f ca="1">IF(B17="","",ROW()-16)</f>
        <v>1</v>
      </c>
      <c r="B17" s="689" t="str">
        <f ca="1">IF(ROWS($1:1)&gt;COUNT(Dong10),"",OFFSET(TH!F$1,SMALL(Dong10,ROWS($1:1)),))</f>
        <v>Thùng (29.5x24x19)</v>
      </c>
      <c r="C17" s="690"/>
      <c r="D17" s="691">
        <f ca="1">IF(ISNA(VLOOKUP(B17,NXT!$C$12:$D$380,2,0)),"",VLOOKUP(B17,NXT!$C$12:$D$380,2,0))</f>
        <v>0</v>
      </c>
      <c r="E17" s="692"/>
      <c r="F17" s="693">
        <f ca="1">IF(ROWS($1:1)&gt;COUNT(Dong10),"",OFFSET(TH!I$1,SMALL(Dong10,ROWS($1:1)),))</f>
        <v>1554</v>
      </c>
      <c r="G17" s="693">
        <f ca="1">IF(ROWS($1:1)&gt;COUNT(Dong10),"",OFFSET(TH!J$1,SMALL(Dong10,ROWS($1:1)),))</f>
        <v>4650</v>
      </c>
      <c r="H17" s="692">
        <f ca="1">IF(F17&lt;&gt;"",ROUND(F17*G17,0),0)</f>
        <v>7226100</v>
      </c>
    </row>
    <row r="18" spans="1:8" ht="11.25" customHeight="1">
      <c r="A18" s="688">
        <f t="shared" ref="A18:A20" ca="1" si="0">IF(B18="","",A17+1)</f>
        <v>2</v>
      </c>
      <c r="B18" s="689" t="str">
        <f ca="1">IF(ROWS($1:2)&gt;COUNT(Dong10),"",OFFSET(TH!F$1,SMALL(Dong10,ROWS($1:2)),))</f>
        <v>Thùng (58x38x18)</v>
      </c>
      <c r="C18" s="690"/>
      <c r="D18" s="691">
        <f ca="1">IF(ISNA(VLOOKUP(B18,NXT!$C$12:$D$380,2,0)),"",VLOOKUP(B18,NXT!$C$12:$D$380,2,0))</f>
        <v>0</v>
      </c>
      <c r="E18" s="692"/>
      <c r="F18" s="693">
        <f ca="1">IF(ROWS($1:2)&gt;COUNT(Dong10),"",OFFSET(TH!I$1,SMALL(Dong10,ROWS($1:2)),))</f>
        <v>525</v>
      </c>
      <c r="G18" s="693">
        <f ca="1">IF(ROWS($1:2)&gt;COUNT(Dong10),"",OFFSET(TH!J$1,SMALL(Dong10,ROWS($1:2)),))</f>
        <v>12000</v>
      </c>
      <c r="H18" s="692">
        <f t="shared" ref="H18:H24" ca="1" si="1">IF(F18&lt;&gt;"",ROUND(F18*G18,0),0)</f>
        <v>6300000</v>
      </c>
    </row>
    <row r="19" spans="1:8" ht="11.25" customHeight="1">
      <c r="A19" s="688" t="str">
        <f t="shared" ca="1" si="0"/>
        <v/>
      </c>
      <c r="B19" s="689" t="str">
        <f ca="1">IF(ROWS($1:3)&gt;COUNT(Dong10),"",OFFSET(TH!F$1,SMALL(Dong10,ROWS($1:3)),))</f>
        <v/>
      </c>
      <c r="C19" s="690"/>
      <c r="D19" s="691" t="str">
        <f ca="1">IF(ISNA(VLOOKUP(B19,NXT!$C$12:$D$380,2,0)),"",VLOOKUP(B19,NXT!$C$12:$D$380,2,0))</f>
        <v/>
      </c>
      <c r="E19" s="692"/>
      <c r="F19" s="693" t="str">
        <f ca="1">IF(ROWS($1:3)&gt;COUNT(Dong10),"",OFFSET(TH!I$1,SMALL(Dong10,ROWS($1:3)),))</f>
        <v/>
      </c>
      <c r="G19" s="693" t="str">
        <f ca="1">IF(ROWS($1:3)&gt;COUNT(Dong10),"",OFFSET(TH!J$1,SMALL(Dong10,ROWS($1:3)),))</f>
        <v/>
      </c>
      <c r="H19" s="692">
        <f t="shared" ca="1" si="1"/>
        <v>0</v>
      </c>
    </row>
    <row r="20" spans="1:8" ht="11.25" customHeight="1">
      <c r="A20" s="688" t="str">
        <f t="shared" ca="1" si="0"/>
        <v/>
      </c>
      <c r="B20" s="689" t="str">
        <f ca="1">IF(ROWS($1:4)&gt;COUNT(Dong10),"",OFFSET(TH!F$1,SMALL(Dong10,ROWS($1:4)),))</f>
        <v/>
      </c>
      <c r="C20" s="690"/>
      <c r="D20" s="691" t="str">
        <f ca="1">IF(ISNA(VLOOKUP(B20,NXT!$C$12:$D$380,2,0)),"",VLOOKUP(B20,NXT!$C$12:$D$380,2,0))</f>
        <v/>
      </c>
      <c r="E20" s="692"/>
      <c r="F20" s="693" t="str">
        <f ca="1">IF(ROWS($1:4)&gt;COUNT(Dong10),"",OFFSET(TH!I$1,SMALL(Dong10,ROWS($1:4)),))</f>
        <v/>
      </c>
      <c r="G20" s="693" t="str">
        <f ca="1">IF(ROWS($1:4)&gt;COUNT(Dong10),"",OFFSET(TH!J$1,SMALL(Dong10,ROWS($1:4)),))</f>
        <v/>
      </c>
      <c r="H20" s="692">
        <f t="shared" ca="1" si="1"/>
        <v>0</v>
      </c>
    </row>
    <row r="21" spans="1:8" ht="11.25" customHeight="1">
      <c r="A21" s="688" t="str">
        <f t="shared" ref="A21:A23" ca="1" si="2">IF(B21="","",A20+1)</f>
        <v/>
      </c>
      <c r="B21" s="689" t="str">
        <f ca="1">IF(ROWS($1:5)&gt;COUNT(Dong10),"",OFFSET(TH!F$1,SMALL(Dong10,ROWS($1:5)),))</f>
        <v/>
      </c>
      <c r="C21" s="690"/>
      <c r="D21" s="691" t="str">
        <f ca="1">IF(ISNA(VLOOKUP(B21,NXT!$C$12:$D$380,2,0)),"",VLOOKUP(B21,NXT!$C$12:$D$380,2,0))</f>
        <v/>
      </c>
      <c r="E21" s="692"/>
      <c r="F21" s="693" t="str">
        <f ca="1">IF(ROWS($1:5)&gt;COUNT(Dong10),"",OFFSET(TH!I$1,SMALL(Dong10,ROWS($1:5)),))</f>
        <v/>
      </c>
      <c r="G21" s="693" t="str">
        <f ca="1">IF(ROWS($1:5)&gt;COUNT(Dong10),"",OFFSET(TH!J$1,SMALL(Dong10,ROWS($1:5)),))</f>
        <v/>
      </c>
      <c r="H21" s="692">
        <f t="shared" ca="1" si="1"/>
        <v>0</v>
      </c>
    </row>
    <row r="22" spans="1:8" ht="11.25" customHeight="1">
      <c r="A22" s="688" t="str">
        <f t="shared" ca="1" si="2"/>
        <v/>
      </c>
      <c r="B22" s="689" t="str">
        <f ca="1">IF(ROWS($1:6)&gt;COUNT(Dong10),"",OFFSET(TH!F$1,SMALL(Dong10,ROWS($1:6)),))</f>
        <v/>
      </c>
      <c r="C22" s="690"/>
      <c r="D22" s="691" t="str">
        <f ca="1">IF(ISNA(VLOOKUP(B22,NXT!$C$12:$D$380,2,0)),"",VLOOKUP(B22,NXT!$C$12:$D$380,2,0))</f>
        <v/>
      </c>
      <c r="E22" s="692"/>
      <c r="F22" s="693" t="str">
        <f ca="1">IF(ROWS($1:6)&gt;COUNT(Dong10),"",OFFSET(TH!I$1,SMALL(Dong10,ROWS($1:6)),))</f>
        <v/>
      </c>
      <c r="G22" s="693" t="str">
        <f ca="1">IF(ROWS($1:6)&gt;COUNT(Dong10),"",OFFSET(TH!J$1,SMALL(Dong10,ROWS($1:6)),))</f>
        <v/>
      </c>
      <c r="H22" s="692">
        <f t="shared" ca="1" si="1"/>
        <v>0</v>
      </c>
    </row>
    <row r="23" spans="1:8" ht="11.25" customHeight="1">
      <c r="A23" s="688" t="str">
        <f t="shared" ca="1" si="2"/>
        <v/>
      </c>
      <c r="B23" s="689" t="str">
        <f ca="1">IF(ROWS($1:7)&gt;COUNT(Dong10),"",OFFSET(TH!F$1,SMALL(Dong10,ROWS($1:7)),))</f>
        <v/>
      </c>
      <c r="C23" s="690"/>
      <c r="D23" s="691" t="str">
        <f ca="1">IF(ISNA(VLOOKUP(B23,NXT!$C$12:$D$380,2,0)),"",VLOOKUP(B23,NXT!$C$12:$D$380,2,0))</f>
        <v/>
      </c>
      <c r="E23" s="692"/>
      <c r="F23" s="693" t="str">
        <f ca="1">IF(ROWS($1:7)&gt;COUNT(Dong10),"",OFFSET(TH!I$1,SMALL(Dong10,ROWS($1:7)),))</f>
        <v/>
      </c>
      <c r="G23" s="693" t="str">
        <f ca="1">IF(ROWS($1:7)&gt;COUNT(Dong10),"",OFFSET(TH!J$1,SMALL(Dong10,ROWS($1:7)),))</f>
        <v/>
      </c>
      <c r="H23" s="692">
        <f t="shared" ca="1" si="1"/>
        <v>0</v>
      </c>
    </row>
    <row r="24" spans="1:8" ht="11.25" customHeight="1">
      <c r="A24" s="688" t="str">
        <f t="shared" ref="A24" ca="1" si="3">IF(B24="","",A23+1)</f>
        <v/>
      </c>
      <c r="B24" s="689" t="str">
        <f ca="1">IF(ROWS($1:8)&gt;COUNT(Dong10),"",OFFSET(TH!F$1,SMALL(Dong10,ROWS($1:8)),))</f>
        <v/>
      </c>
      <c r="C24" s="690"/>
      <c r="D24" s="691" t="str">
        <f ca="1">IF(ISNA(VLOOKUP(B24,NXT!$C$12:$D$380,2,0)),"",VLOOKUP(B24,NXT!$C$12:$D$380,2,0))</f>
        <v/>
      </c>
      <c r="E24" s="692"/>
      <c r="F24" s="693" t="str">
        <f ca="1">IF(ROWS($1:8)&gt;COUNT(Dong10),"",OFFSET(TH!I$1,SMALL(Dong10,ROWS($1:8)),))</f>
        <v/>
      </c>
      <c r="G24" s="693" t="str">
        <f ca="1">IF(ROWS($1:8)&gt;COUNT(Dong10),"",OFFSET(TH!J$1,SMALL(Dong10,ROWS($1:8)),))</f>
        <v/>
      </c>
      <c r="H24" s="692">
        <f t="shared" ca="1" si="1"/>
        <v>0</v>
      </c>
    </row>
    <row r="25" spans="1:8" ht="11.25" customHeight="1">
      <c r="A25" s="688" t="str">
        <f t="shared" ref="A25" ca="1" si="4">IF(B25="","",A24+1)</f>
        <v/>
      </c>
      <c r="B25" s="689" t="str">
        <f ca="1">IF(ROWS($1:9)&gt;COUNT(Dong10),"",OFFSET(TH!F$1,SMALL(Dong10,ROWS($1:9)),))</f>
        <v/>
      </c>
      <c r="C25" s="690"/>
      <c r="D25" s="691" t="str">
        <f ca="1">IF(ISNA(VLOOKUP(B25,NXT!$C$12:$D$380,2,0)),"",VLOOKUP(B25,NXT!$C$12:$D$380,2,0))</f>
        <v/>
      </c>
      <c r="E25" s="692"/>
      <c r="F25" s="693" t="str">
        <f ca="1">IF(ROWS($1:9)&gt;COUNT(Dong10),"",OFFSET(TH!I$1,SMALL(Dong10,ROWS($1:9)),))</f>
        <v/>
      </c>
      <c r="G25" s="693" t="str">
        <f ca="1">IF(ROWS($1:9)&gt;COUNT(Dong10),"",OFFSET(TH!J$1,SMALL(Dong10,ROWS($1:9)),))</f>
        <v/>
      </c>
      <c r="H25" s="692">
        <f t="shared" ref="H25" ca="1" si="5">IF(F25&lt;&gt;"",ROUND(F25*G25,0),0)</f>
        <v>0</v>
      </c>
    </row>
    <row r="26" spans="1:8" ht="11.25" customHeight="1">
      <c r="A26" s="688"/>
      <c r="B26" s="689"/>
      <c r="C26" s="690"/>
      <c r="D26" s="691"/>
      <c r="E26" s="692"/>
      <c r="F26" s="693"/>
      <c r="G26" s="694"/>
      <c r="H26" s="692"/>
    </row>
    <row r="27" spans="1:8" ht="11.25" customHeight="1">
      <c r="A27" s="1016" t="s">
        <v>208</v>
      </c>
      <c r="B27" s="1016"/>
      <c r="C27" s="695"/>
      <c r="D27" s="695"/>
      <c r="E27" s="696"/>
      <c r="F27" s="696"/>
      <c r="G27" s="696"/>
      <c r="H27" s="696">
        <f ca="1">SUM(H17:H26)</f>
        <v>13526100</v>
      </c>
    </row>
    <row r="28" spans="1:8" ht="3" customHeight="1">
      <c r="A28" s="697"/>
      <c r="B28" s="697"/>
      <c r="C28" s="315"/>
      <c r="D28" s="315"/>
      <c r="E28" s="698"/>
      <c r="F28" s="698"/>
      <c r="G28" s="698"/>
      <c r="H28" s="698"/>
    </row>
    <row r="29" spans="1:8" ht="11.25" customHeight="1">
      <c r="A29" s="312" t="e">
        <f ca="1">"Tổng số tiền (viết bằng chữ):  "&amp;[3]!VND(H27, TRUE)</f>
        <v>#NAME?</v>
      </c>
    </row>
    <row r="30" spans="1:8" ht="11.25" customHeight="1">
      <c r="A30" s="312" t="str">
        <f ca="1">"Số chứng từ gốc kèm theo :  "&amp;IF(ROWS($1:1)&gt;COUNT(Dong10),"",IF(OFFSET(TH!G$1,SMALL(Dong10,ROWS($1:1)),)="","","HĐ "&amp;OFFSET(TH!G$1,SMALL(Dong10,ROWS($1:1)),)))</f>
        <v>Số chứng từ gốc kèm theo :  HĐ 0000422</v>
      </c>
    </row>
    <row r="31" spans="1:8" ht="11.25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1  tháng  10  năm  2013</v>
      </c>
    </row>
    <row r="32" spans="1:8" s="314" customFormat="1" ht="11.25" customHeight="1">
      <c r="A32" s="699" t="s">
        <v>209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84" t="s">
        <v>210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84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80" customFormat="1" ht="11.25" customHeight="1"/>
    <row r="39" spans="1:8" ht="11.25" customHeight="1">
      <c r="A39" s="320"/>
      <c r="F39" s="321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78" sqref="J78:M78"/>
    </sheetView>
  </sheetViews>
  <sheetFormatPr defaultColWidth="23.85546875" defaultRowHeight="15"/>
  <cols>
    <col min="1" max="1" width="4.28515625" style="323" customWidth="1"/>
    <col min="2" max="2" width="8.5703125" style="323" customWidth="1"/>
    <col min="3" max="3" width="11" style="323" customWidth="1"/>
    <col min="4" max="4" width="41.7109375" style="323" customWidth="1"/>
    <col min="5" max="5" width="8" style="336" customWidth="1"/>
    <col min="6" max="6" width="8.85546875" style="323" customWidth="1"/>
    <col min="7" max="7" width="9" style="323" customWidth="1"/>
    <col min="8" max="8" width="14.140625" style="323" customWidth="1"/>
    <col min="9" max="9" width="8.85546875" style="323" customWidth="1"/>
    <col min="10" max="10" width="13.42578125" style="323" customWidth="1"/>
    <col min="11" max="11" width="10.140625" style="323" customWidth="1"/>
    <col min="12" max="12" width="13" style="323" customWidth="1"/>
    <col min="13" max="13" width="7.140625" style="323" customWidth="1"/>
    <col min="14" max="14" width="2" style="323" customWidth="1"/>
    <col min="15" max="15" width="5.5703125" style="323" customWidth="1"/>
    <col min="16" max="16" width="4.42578125" style="323" customWidth="1"/>
    <col min="17" max="16384" width="23.85546875" style="323"/>
  </cols>
  <sheetData>
    <row r="1" spans="1:17">
      <c r="A1" s="322" t="s">
        <v>211</v>
      </c>
      <c r="E1" s="323"/>
      <c r="O1" s="324"/>
    </row>
    <row r="2" spans="1:17" s="263" customFormat="1" ht="16.5" customHeight="1">
      <c r="B2" s="325" t="str">
        <f>TH!A1</f>
        <v>Đơn vị: CÔNG TY TNHH SX TM KIM DUNG PHÁT</v>
      </c>
      <c r="C2" s="326"/>
      <c r="D2" s="327"/>
      <c r="E2" s="328"/>
      <c r="F2" s="2"/>
      <c r="J2" s="1024" t="s">
        <v>212</v>
      </c>
      <c r="K2" s="1024"/>
      <c r="L2" s="1024"/>
      <c r="M2" s="1024"/>
      <c r="N2" s="329"/>
    </row>
    <row r="3" spans="1:17" s="263" customFormat="1" ht="16.5" customHeight="1">
      <c r="B3" s="620" t="str">
        <f>TH!A2</f>
        <v>Địa chỉ: 1A227/1 Ấp 1, Phạm Văn Hai, Bình Chánh, TPHCM</v>
      </c>
      <c r="C3" s="325"/>
      <c r="D3" s="325"/>
      <c r="E3" s="330"/>
      <c r="F3" s="325"/>
      <c r="J3" s="1025" t="e">
        <f ca="1">IF(YEAR($C$14)&gt;=2015,"(Ban hành theo Thông tư số 200/2014/TT-BTC 
 Ngày 22/12/2014 của Bộ Tài chính)","(Ban hành kèm theo QĐ 48/2006/QĐ-BTC ngày 24/09/2006 của Bộ trưởng BTC)")</f>
        <v>#VALUE!</v>
      </c>
      <c r="K3" s="1025"/>
      <c r="L3" s="1025"/>
      <c r="M3" s="1025"/>
      <c r="N3" s="331"/>
    </row>
    <row r="4" spans="1:17" s="263" customFormat="1" ht="16.5" customHeight="1">
      <c r="B4" s="325"/>
      <c r="C4" s="325"/>
      <c r="D4" s="325"/>
      <c r="E4" s="330"/>
      <c r="F4" s="325"/>
      <c r="J4" s="1025"/>
      <c r="K4" s="1025"/>
      <c r="L4" s="1025"/>
      <c r="M4" s="1025"/>
      <c r="N4" s="331"/>
    </row>
    <row r="5" spans="1:17" ht="18.75" customHeight="1">
      <c r="B5" s="1026" t="s">
        <v>213</v>
      </c>
      <c r="C5" s="1026"/>
      <c r="D5" s="1026"/>
      <c r="E5" s="1026"/>
      <c r="F5" s="1026"/>
      <c r="G5" s="1026"/>
      <c r="H5" s="1026"/>
      <c r="I5" s="1026"/>
      <c r="J5" s="1026"/>
      <c r="K5" s="1026"/>
      <c r="L5" s="1026"/>
      <c r="M5" s="1026"/>
      <c r="N5" s="332"/>
    </row>
    <row r="6" spans="1:17" s="333" customFormat="1" ht="12.75">
      <c r="B6" s="1027" t="s">
        <v>214</v>
      </c>
      <c r="C6" s="1027"/>
      <c r="D6" s="1027"/>
      <c r="E6" s="1027"/>
      <c r="F6" s="1027"/>
      <c r="G6" s="1027"/>
      <c r="H6" s="1027"/>
      <c r="I6" s="1027"/>
      <c r="J6" s="1027"/>
      <c r="K6" s="1027"/>
      <c r="L6" s="1027"/>
      <c r="M6" s="1027"/>
      <c r="N6" s="334"/>
    </row>
    <row r="7" spans="1:17">
      <c r="C7" s="335"/>
      <c r="D7" s="335"/>
      <c r="F7" s="337" t="s">
        <v>278</v>
      </c>
      <c r="G7" s="467" t="str">
        <f>IF($O$10="VL","1522",IF($O$10="NL","1521",IF($O$10="TP","155","")))</f>
        <v>1521</v>
      </c>
      <c r="H7" s="337" t="s">
        <v>215</v>
      </c>
      <c r="I7" s="335" t="str">
        <f>IF($O$10="NL","Nguyên Liệu",IF($O$10="TP","Thành Phẩm",IF($O$10="VL","Vật Liệu","")))</f>
        <v>Nguyên Liệu</v>
      </c>
      <c r="J7" s="335"/>
      <c r="K7" s="335"/>
      <c r="L7" s="335"/>
      <c r="M7" s="335"/>
      <c r="N7" s="336"/>
    </row>
    <row r="8" spans="1:17">
      <c r="B8" s="336"/>
      <c r="C8" s="335"/>
      <c r="D8" s="335"/>
      <c r="F8" s="336" t="s">
        <v>216</v>
      </c>
      <c r="H8" s="335"/>
      <c r="I8" s="335"/>
      <c r="J8" s="1028" t="s">
        <v>373</v>
      </c>
      <c r="K8" s="1028"/>
      <c r="L8" s="1028"/>
      <c r="M8" s="335"/>
      <c r="N8" s="335"/>
    </row>
    <row r="9" spans="1:17">
      <c r="D9" s="338"/>
      <c r="E9" s="339"/>
      <c r="F9" s="338"/>
      <c r="G9" s="338"/>
      <c r="H9" s="338"/>
      <c r="I9" s="338"/>
      <c r="J9" s="338"/>
      <c r="K9" s="338" t="s">
        <v>123</v>
      </c>
      <c r="M9" s="340"/>
      <c r="N9" s="341"/>
    </row>
    <row r="10" spans="1:17" ht="15.75" customHeight="1">
      <c r="A10" s="1018" t="s">
        <v>35</v>
      </c>
      <c r="B10" s="1019" t="s">
        <v>1</v>
      </c>
      <c r="C10" s="1019"/>
      <c r="D10" s="1020" t="s">
        <v>0</v>
      </c>
      <c r="E10" s="1020" t="s">
        <v>217</v>
      </c>
      <c r="F10" s="1020" t="s">
        <v>205</v>
      </c>
      <c r="G10" s="1022" t="s">
        <v>218</v>
      </c>
      <c r="H10" s="1023"/>
      <c r="I10" s="1022" t="s">
        <v>219</v>
      </c>
      <c r="J10" s="1023"/>
      <c r="K10" s="1022" t="s">
        <v>220</v>
      </c>
      <c r="L10" s="1023"/>
      <c r="M10" s="1020" t="s">
        <v>127</v>
      </c>
      <c r="N10" s="342"/>
      <c r="O10" s="343" t="s">
        <v>211</v>
      </c>
    </row>
    <row r="11" spans="1:17" ht="31.5" customHeight="1">
      <c r="A11" s="1018"/>
      <c r="B11" s="344" t="s">
        <v>15</v>
      </c>
      <c r="C11" s="344" t="s">
        <v>32</v>
      </c>
      <c r="D11" s="1020"/>
      <c r="E11" s="1020"/>
      <c r="F11" s="1020"/>
      <c r="G11" s="344" t="s">
        <v>204</v>
      </c>
      <c r="H11" s="344" t="s">
        <v>206</v>
      </c>
      <c r="I11" s="344" t="s">
        <v>204</v>
      </c>
      <c r="J11" s="344" t="s">
        <v>206</v>
      </c>
      <c r="K11" s="344" t="s">
        <v>204</v>
      </c>
      <c r="L11" s="344" t="s">
        <v>206</v>
      </c>
      <c r="M11" s="1020"/>
      <c r="N11" s="342"/>
    </row>
    <row r="12" spans="1:17" s="336" customFormat="1">
      <c r="A12" s="345"/>
      <c r="B12" s="346" t="s">
        <v>2</v>
      </c>
      <c r="C12" s="347" t="s">
        <v>3</v>
      </c>
      <c r="D12" s="347" t="s">
        <v>4</v>
      </c>
      <c r="E12" s="346" t="s">
        <v>5</v>
      </c>
      <c r="F12" s="346">
        <v>1</v>
      </c>
      <c r="G12" s="346">
        <v>2</v>
      </c>
      <c r="H12" s="346" t="s">
        <v>222</v>
      </c>
      <c r="I12" s="346">
        <v>4</v>
      </c>
      <c r="J12" s="346" t="s">
        <v>223</v>
      </c>
      <c r="K12" s="346">
        <v>6</v>
      </c>
      <c r="L12" s="346" t="s">
        <v>224</v>
      </c>
      <c r="M12" s="346"/>
      <c r="N12" s="348"/>
    </row>
    <row r="13" spans="1:17">
      <c r="A13" s="349"/>
      <c r="B13" s="349"/>
      <c r="C13" s="349"/>
      <c r="D13" s="350" t="s">
        <v>144</v>
      </c>
      <c r="E13" s="351"/>
      <c r="F13" s="352"/>
      <c r="G13" s="352"/>
      <c r="H13" s="352"/>
      <c r="I13" s="352"/>
      <c r="J13" s="352"/>
      <c r="K13" s="353" t="e">
        <f>VLOOKUP($J$8,NXT!$C$12:$L$380,3,0)</f>
        <v>#N/A</v>
      </c>
      <c r="L13" s="353" t="e">
        <f>VLOOKUP($J$8,NXT!$C$12:$L$380,4,0)</f>
        <v>#N/A</v>
      </c>
      <c r="M13" s="352"/>
      <c r="N13" s="348"/>
    </row>
    <row r="14" spans="1:17">
      <c r="A14" s="319" t="str">
        <f ca="1">IF(B14="","",ROW()-13)</f>
        <v/>
      </c>
      <c r="B14" s="354" t="str">
        <f ca="1">IF(ROWS($1:1)&gt;COUNT(Dong11),"",OFFSET(TH!D$1,SMALL(Dong11,ROWS($1:1)),))</f>
        <v/>
      </c>
      <c r="C14" s="355" t="str">
        <f ca="1">IF(ROWS($1:1)&gt;COUNT(Dong11),"",OFFSET(TH!E$1,SMALL(Dong11,ROWS($1:1)),))</f>
        <v/>
      </c>
      <c r="D14" s="356" t="str">
        <f ca="1">IF(ROWS($1:1)&gt;COUNT(Dong11),"",OFFSET(TH!H$1,SMALL(Dong11,ROWS($1:1)),))</f>
        <v/>
      </c>
      <c r="E14" s="354" t="str">
        <f ca="1">IF(ROWS($1:1)&gt;COUNT(Dong11),"",IF(OFFSET(TH!L$1,SMALL(Dong11,ROWS($1:1)),)=$G$7,OFFSET(TH!M$1,SMALL(Dong11,ROWS($1:1)),),OFFSET(TH!L$1,SMALL(Dong11,ROWS($1:1)),)))</f>
        <v/>
      </c>
      <c r="F14" s="357">
        <f ca="1">IF(ROWS($1:1)&gt;COUNT(Dong11),0,OFFSET(TH!J$1,SMALL(Dong11,ROWS($1:1)),))</f>
        <v>0</v>
      </c>
      <c r="G14" s="357">
        <f ca="1">IF(ROWS($1:1)&gt;COUNT(Dong11),0,IF(MID(OFFSET(TH!D$1,SMALL(Dong11,ROWS($1:1)),),4,1)="N",OFFSET(TH!I$1,SMALL(Dong11,ROWS($1:1)),),0))</f>
        <v>0</v>
      </c>
      <c r="H14" s="358">
        <f ca="1">ROUND(F14*G14,0)</f>
        <v>0</v>
      </c>
      <c r="I14" s="357">
        <f ca="1">IF(ROWS($1:1)&gt;COUNT(Dong11),0,IF(MID(OFFSET(TH!D$1,SMALL(Dong11,ROWS($1:1)),),4,1)="X",OFFSET(TH!I$1,SMALL(Dong11,ROWS($1:1)),),0))</f>
        <v>0</v>
      </c>
      <c r="J14" s="358">
        <f ca="1">ROUND(F14*I14,0)</f>
        <v>0</v>
      </c>
      <c r="K14" s="358">
        <f ca="1">IF(D14&lt;&gt;"",K13+G14-I14,0)</f>
        <v>0</v>
      </c>
      <c r="L14" s="358">
        <f ca="1">IF(D14&lt;&gt;"",L13+H14-J14,0)</f>
        <v>0</v>
      </c>
      <c r="M14" s="358"/>
      <c r="N14" s="348"/>
    </row>
    <row r="15" spans="1:17">
      <c r="A15" s="319" t="str">
        <f t="shared" ref="A15:A24" ca="1" si="0">IF(B15="","",A14+1)</f>
        <v/>
      </c>
      <c r="B15" s="354" t="str">
        <f ca="1">IF(ROWS($1:2)&gt;COUNT(Dong11),"",OFFSET(TH!D$1,SMALL(Dong11,ROWS($1:2)),))</f>
        <v/>
      </c>
      <c r="C15" s="355" t="str">
        <f ca="1">IF(ROWS($1:2)&gt;COUNT(Dong11),"",OFFSET(TH!E$1,SMALL(Dong11,ROWS($1:2)),))</f>
        <v/>
      </c>
      <c r="D15" s="356" t="str">
        <f ca="1">IF(ROWS($1:2)&gt;COUNT(Dong11),"",OFFSET(TH!H$1,SMALL(Dong11,ROWS($1:2)),))</f>
        <v/>
      </c>
      <c r="E15" s="354" t="str">
        <f ca="1">IF(ROWS($1:2)&gt;COUNT(Dong11),"",IF(OFFSET(TH!L$1,SMALL(Dong11,ROWS($1:2)),)=$G$7,OFFSET(TH!M$1,SMALL(Dong11,ROWS($1:2)),),OFFSET(TH!L$1,SMALL(Dong11,ROWS($1:2)),)))</f>
        <v/>
      </c>
      <c r="F15" s="357">
        <f ca="1">IF(ROWS($1:2)&gt;COUNT(Dong11),0,OFFSET(TH!J$1,SMALL(Dong11,ROWS($1:2)),))</f>
        <v>0</v>
      </c>
      <c r="G15" s="357">
        <f ca="1">IF(ROWS($1:2)&gt;COUNT(Dong11),0,IF(MID(OFFSET(TH!D$1,SMALL(Dong11,ROWS($1:2)),),4,1)="N",OFFSET(TH!I$1,SMALL(Dong11,ROWS($1:2)),),0))</f>
        <v>0</v>
      </c>
      <c r="H15" s="358">
        <f t="shared" ref="H15:H24" ca="1" si="1">ROUND(F15*G15,0)</f>
        <v>0</v>
      </c>
      <c r="I15" s="357">
        <f ca="1">IF(ROWS($1:2)&gt;COUNT(Dong11),0,IF(MID(OFFSET(TH!D$1,SMALL(Dong11,ROWS($1:2)),),4,1)="X",OFFSET(TH!I$1,SMALL(Dong11,ROWS($1:2)),),0))</f>
        <v>0</v>
      </c>
      <c r="J15" s="358">
        <f t="shared" ref="J15:J24" ca="1" si="2">ROUND(F15*I15,0)</f>
        <v>0</v>
      </c>
      <c r="K15" s="358">
        <f t="shared" ref="K15:K24" ca="1" si="3">IF(D15&lt;&gt;"",K14+G15-I15,0)</f>
        <v>0</v>
      </c>
      <c r="L15" s="358">
        <f t="shared" ref="L15:L24" ca="1" si="4">IF(D15&lt;&gt;"",L14+H15-J15,0)</f>
        <v>0</v>
      </c>
      <c r="M15" s="358"/>
      <c r="N15" s="348"/>
      <c r="Q15" s="359"/>
    </row>
    <row r="16" spans="1:17">
      <c r="A16" s="319" t="str">
        <f t="shared" ca="1" si="0"/>
        <v/>
      </c>
      <c r="B16" s="354" t="str">
        <f ca="1">IF(ROWS($1:3)&gt;COUNT(Dong11),"",OFFSET(TH!D$1,SMALL(Dong11,ROWS($1:3)),))</f>
        <v/>
      </c>
      <c r="C16" s="355" t="str">
        <f ca="1">IF(ROWS($1:3)&gt;COUNT(Dong11),"",OFFSET(TH!E$1,SMALL(Dong11,ROWS($1:3)),))</f>
        <v/>
      </c>
      <c r="D16" s="356" t="str">
        <f ca="1">IF(ROWS($1:3)&gt;COUNT(Dong11),"",OFFSET(TH!H$1,SMALL(Dong11,ROWS($1:3)),))</f>
        <v/>
      </c>
      <c r="E16" s="354" t="str">
        <f ca="1">IF(ROWS($1:3)&gt;COUNT(Dong11),"",IF(OFFSET(TH!L$1,SMALL(Dong11,ROWS($1:3)),)=$G$7,OFFSET(TH!M$1,SMALL(Dong11,ROWS($1:3)),),OFFSET(TH!L$1,SMALL(Dong11,ROWS($1:3)),)))</f>
        <v/>
      </c>
      <c r="F16" s="357">
        <f ca="1">IF(ROWS($1:3)&gt;COUNT(Dong11),0,OFFSET(TH!J$1,SMALL(Dong11,ROWS($1:3)),))</f>
        <v>0</v>
      </c>
      <c r="G16" s="357">
        <f ca="1">IF(ROWS($1:3)&gt;COUNT(Dong11),0,IF(MID(OFFSET(TH!D$1,SMALL(Dong11,ROWS($1:3)),),4,1)="N",OFFSET(TH!I$1,SMALL(Dong11,ROWS($1:3)),),0))</f>
        <v>0</v>
      </c>
      <c r="H16" s="358">
        <f t="shared" ca="1" si="1"/>
        <v>0</v>
      </c>
      <c r="I16" s="357">
        <f ca="1">IF(ROWS($1:3)&gt;COUNT(Dong11),0,IF(MID(OFFSET(TH!D$1,SMALL(Dong11,ROWS($1:3)),),4,1)="X",OFFSET(TH!I$1,SMALL(Dong11,ROWS($1:3)),),0))</f>
        <v>0</v>
      </c>
      <c r="J16" s="358">
        <f t="shared" ca="1" si="2"/>
        <v>0</v>
      </c>
      <c r="K16" s="358">
        <f t="shared" ca="1" si="3"/>
        <v>0</v>
      </c>
      <c r="L16" s="358">
        <f t="shared" ca="1" si="4"/>
        <v>0</v>
      </c>
      <c r="M16" s="358"/>
      <c r="N16" s="348"/>
    </row>
    <row r="17" spans="1:16">
      <c r="A17" s="319" t="str">
        <f t="shared" ca="1" si="0"/>
        <v/>
      </c>
      <c r="B17" s="354" t="str">
        <f ca="1">IF(ROWS($1:4)&gt;COUNT(Dong11),"",OFFSET(TH!D$1,SMALL(Dong11,ROWS($1:4)),))</f>
        <v/>
      </c>
      <c r="C17" s="355" t="str">
        <f ca="1">IF(ROWS($1:4)&gt;COUNT(Dong11),"",OFFSET(TH!E$1,SMALL(Dong11,ROWS($1:4)),))</f>
        <v/>
      </c>
      <c r="D17" s="356" t="str">
        <f ca="1">IF(ROWS($1:4)&gt;COUNT(Dong11),"",OFFSET(TH!H$1,SMALL(Dong11,ROWS($1:4)),))</f>
        <v/>
      </c>
      <c r="E17" s="354" t="str">
        <f ca="1">IF(ROWS($1:4)&gt;COUNT(Dong11),"",IF(OFFSET(TH!L$1,SMALL(Dong11,ROWS($1:4)),)=$G$7,OFFSET(TH!M$1,SMALL(Dong11,ROWS($1:4)),),OFFSET(TH!L$1,SMALL(Dong11,ROWS($1:4)),)))</f>
        <v/>
      </c>
      <c r="F17" s="357">
        <f ca="1">IF(ROWS($1:4)&gt;COUNT(Dong11),0,OFFSET(TH!J$1,SMALL(Dong11,ROWS($1:4)),))</f>
        <v>0</v>
      </c>
      <c r="G17" s="357">
        <f ca="1">IF(ROWS($1:4)&gt;COUNT(Dong11),0,IF(MID(OFFSET(TH!D$1,SMALL(Dong11,ROWS($1:4)),),4,1)="N",OFFSET(TH!I$1,SMALL(Dong11,ROWS($1:4)),),0))</f>
        <v>0</v>
      </c>
      <c r="H17" s="358">
        <f t="shared" ca="1" si="1"/>
        <v>0</v>
      </c>
      <c r="I17" s="357">
        <f ca="1">IF(ROWS($1:4)&gt;COUNT(Dong11),0,IF(MID(OFFSET(TH!D$1,SMALL(Dong11,ROWS($1:4)),),4,1)="X",OFFSET(TH!I$1,SMALL(Dong11,ROWS($1:4)),),0))</f>
        <v>0</v>
      </c>
      <c r="J17" s="358">
        <f t="shared" ca="1" si="2"/>
        <v>0</v>
      </c>
      <c r="K17" s="358">
        <f t="shared" ca="1" si="3"/>
        <v>0</v>
      </c>
      <c r="L17" s="358">
        <f t="shared" ca="1" si="4"/>
        <v>0</v>
      </c>
      <c r="M17" s="358"/>
      <c r="N17" s="348"/>
      <c r="P17" s="360"/>
    </row>
    <row r="18" spans="1:16">
      <c r="A18" s="319" t="str">
        <f t="shared" ca="1" si="0"/>
        <v/>
      </c>
      <c r="B18" s="354" t="str">
        <f ca="1">IF(ROWS($1:5)&gt;COUNT(Dong11),"",OFFSET(TH!D$1,SMALL(Dong11,ROWS($1:5)),))</f>
        <v/>
      </c>
      <c r="C18" s="355" t="str">
        <f ca="1">IF(ROWS($1:5)&gt;COUNT(Dong11),"",OFFSET(TH!E$1,SMALL(Dong11,ROWS($1:5)),))</f>
        <v/>
      </c>
      <c r="D18" s="356" t="str">
        <f ca="1">IF(ROWS($1:5)&gt;COUNT(Dong11),"",OFFSET(TH!H$1,SMALL(Dong11,ROWS($1:5)),))</f>
        <v/>
      </c>
      <c r="E18" s="354" t="str">
        <f ca="1">IF(ROWS($1:5)&gt;COUNT(Dong11),"",IF(OFFSET(TH!L$1,SMALL(Dong11,ROWS($1:5)),)=$G$7,OFFSET(TH!M$1,SMALL(Dong11,ROWS($1:5)),),OFFSET(TH!L$1,SMALL(Dong11,ROWS($1:5)),)))</f>
        <v/>
      </c>
      <c r="F18" s="357">
        <f ca="1">IF(ROWS($1:5)&gt;COUNT(Dong11),0,OFFSET(TH!J$1,SMALL(Dong11,ROWS($1:5)),))</f>
        <v>0</v>
      </c>
      <c r="G18" s="357">
        <f ca="1">IF(ROWS($1:5)&gt;COUNT(Dong11),0,IF(MID(OFFSET(TH!D$1,SMALL(Dong11,ROWS($1:5)),),4,1)="N",OFFSET(TH!I$1,SMALL(Dong11,ROWS($1:5)),),0))</f>
        <v>0</v>
      </c>
      <c r="H18" s="358">
        <f t="shared" ca="1" si="1"/>
        <v>0</v>
      </c>
      <c r="I18" s="357">
        <f ca="1">IF(ROWS($1:5)&gt;COUNT(Dong11),0,IF(MID(OFFSET(TH!D$1,SMALL(Dong11,ROWS($1:5)),),4,1)="X",OFFSET(TH!I$1,SMALL(Dong11,ROWS($1:5)),),0))</f>
        <v>0</v>
      </c>
      <c r="J18" s="358">
        <f t="shared" ca="1" si="2"/>
        <v>0</v>
      </c>
      <c r="K18" s="358">
        <f t="shared" ca="1" si="3"/>
        <v>0</v>
      </c>
      <c r="L18" s="358">
        <f t="shared" ca="1" si="4"/>
        <v>0</v>
      </c>
      <c r="M18" s="358"/>
      <c r="N18" s="348"/>
    </row>
    <row r="19" spans="1:16">
      <c r="A19" s="319" t="str">
        <f t="shared" ca="1" si="0"/>
        <v/>
      </c>
      <c r="B19" s="354" t="str">
        <f ca="1">IF(ROWS($1:6)&gt;COUNT(Dong11),"",OFFSET(TH!D$1,SMALL(Dong11,ROWS($1:6)),))</f>
        <v/>
      </c>
      <c r="C19" s="355" t="str">
        <f ca="1">IF(ROWS($1:6)&gt;COUNT(Dong11),"",OFFSET(TH!E$1,SMALL(Dong11,ROWS($1:6)),))</f>
        <v/>
      </c>
      <c r="D19" s="356" t="str">
        <f ca="1">IF(ROWS($1:6)&gt;COUNT(Dong11),"",OFFSET(TH!H$1,SMALL(Dong11,ROWS($1:6)),))</f>
        <v/>
      </c>
      <c r="E19" s="354" t="str">
        <f ca="1">IF(ROWS($1:6)&gt;COUNT(Dong11),"",IF(OFFSET(TH!L$1,SMALL(Dong11,ROWS($1:6)),)=$G$7,OFFSET(TH!M$1,SMALL(Dong11,ROWS($1:6)),),OFFSET(TH!L$1,SMALL(Dong11,ROWS($1:6)),)))</f>
        <v/>
      </c>
      <c r="F19" s="357">
        <f ca="1">IF(ROWS($1:6)&gt;COUNT(Dong11),0,OFFSET(TH!J$1,SMALL(Dong11,ROWS($1:6)),))</f>
        <v>0</v>
      </c>
      <c r="G19" s="357">
        <f ca="1">IF(ROWS($1:6)&gt;COUNT(Dong11),0,IF(MID(OFFSET(TH!D$1,SMALL(Dong11,ROWS($1:6)),),4,1)="N",OFFSET(TH!I$1,SMALL(Dong11,ROWS($1:6)),),0))</f>
        <v>0</v>
      </c>
      <c r="H19" s="358">
        <f t="shared" ca="1" si="1"/>
        <v>0</v>
      </c>
      <c r="I19" s="357">
        <f ca="1">IF(ROWS($1:6)&gt;COUNT(Dong11),0,IF(MID(OFFSET(TH!D$1,SMALL(Dong11,ROWS($1:6)),),4,1)="X",OFFSET(TH!I$1,SMALL(Dong11,ROWS($1:6)),),0))</f>
        <v>0</v>
      </c>
      <c r="J19" s="358">
        <f t="shared" ca="1" si="2"/>
        <v>0</v>
      </c>
      <c r="K19" s="358">
        <f t="shared" ca="1" si="3"/>
        <v>0</v>
      </c>
      <c r="L19" s="358">
        <f t="shared" ca="1" si="4"/>
        <v>0</v>
      </c>
      <c r="M19" s="358"/>
      <c r="N19" s="348"/>
    </row>
    <row r="20" spans="1:16">
      <c r="A20" s="319" t="str">
        <f t="shared" ca="1" si="0"/>
        <v/>
      </c>
      <c r="B20" s="354" t="str">
        <f ca="1">IF(ROWS($1:7)&gt;COUNT(Dong11),"",OFFSET(TH!D$1,SMALL(Dong11,ROWS($1:7)),))</f>
        <v/>
      </c>
      <c r="C20" s="355" t="str">
        <f ca="1">IF(ROWS($1:7)&gt;COUNT(Dong11),"",OFFSET(TH!E$1,SMALL(Dong11,ROWS($1:7)),))</f>
        <v/>
      </c>
      <c r="D20" s="356" t="str">
        <f ca="1">IF(ROWS($1:7)&gt;COUNT(Dong11),"",OFFSET(TH!H$1,SMALL(Dong11,ROWS($1:7)),))</f>
        <v/>
      </c>
      <c r="E20" s="354" t="str">
        <f ca="1">IF(ROWS($1:7)&gt;COUNT(Dong11),"",IF(OFFSET(TH!L$1,SMALL(Dong11,ROWS($1:7)),)=$G$7,OFFSET(TH!M$1,SMALL(Dong11,ROWS($1:7)),),OFFSET(TH!L$1,SMALL(Dong11,ROWS($1:7)),)))</f>
        <v/>
      </c>
      <c r="F20" s="357">
        <f ca="1">IF(ROWS($1:7)&gt;COUNT(Dong11),0,OFFSET(TH!J$1,SMALL(Dong11,ROWS($1:7)),))</f>
        <v>0</v>
      </c>
      <c r="G20" s="357">
        <f ca="1">IF(ROWS($1:7)&gt;COUNT(Dong11),0,IF(MID(OFFSET(TH!D$1,SMALL(Dong11,ROWS($1:7)),),4,1)="N",OFFSET(TH!I$1,SMALL(Dong11,ROWS($1:7)),),0))</f>
        <v>0</v>
      </c>
      <c r="H20" s="358">
        <f t="shared" ca="1" si="1"/>
        <v>0</v>
      </c>
      <c r="I20" s="357">
        <f ca="1">IF(ROWS($1:7)&gt;COUNT(Dong11),0,IF(MID(OFFSET(TH!D$1,SMALL(Dong11,ROWS($1:7)),),4,1)="X",OFFSET(TH!I$1,SMALL(Dong11,ROWS($1:7)),),0))</f>
        <v>0</v>
      </c>
      <c r="J20" s="358">
        <f t="shared" ca="1" si="2"/>
        <v>0</v>
      </c>
      <c r="K20" s="358">
        <f t="shared" ca="1" si="3"/>
        <v>0</v>
      </c>
      <c r="L20" s="358">
        <f t="shared" ca="1" si="4"/>
        <v>0</v>
      </c>
      <c r="M20" s="358"/>
      <c r="N20" s="348"/>
    </row>
    <row r="21" spans="1:16">
      <c r="A21" s="319" t="str">
        <f t="shared" ca="1" si="0"/>
        <v/>
      </c>
      <c r="B21" s="354" t="str">
        <f ca="1">IF(ROWS($1:8)&gt;COUNT(Dong11),"",OFFSET(TH!D$1,SMALL(Dong11,ROWS($1:8)),))</f>
        <v/>
      </c>
      <c r="C21" s="355" t="str">
        <f ca="1">IF(ROWS($1:8)&gt;COUNT(Dong11),"",OFFSET(TH!E$1,SMALL(Dong11,ROWS($1:8)),))</f>
        <v/>
      </c>
      <c r="D21" s="356" t="str">
        <f ca="1">IF(ROWS($1:8)&gt;COUNT(Dong11),"",OFFSET(TH!H$1,SMALL(Dong11,ROWS($1:8)),))</f>
        <v/>
      </c>
      <c r="E21" s="354" t="str">
        <f ca="1">IF(ROWS($1:8)&gt;COUNT(Dong11),"",IF(OFFSET(TH!L$1,SMALL(Dong11,ROWS($1:8)),)=$G$7,OFFSET(TH!M$1,SMALL(Dong11,ROWS($1:8)),),OFFSET(TH!L$1,SMALL(Dong11,ROWS($1:8)),)))</f>
        <v/>
      </c>
      <c r="F21" s="357">
        <f ca="1">IF(ROWS($1:8)&gt;COUNT(Dong11),0,OFFSET(TH!J$1,SMALL(Dong11,ROWS($1:8)),))</f>
        <v>0</v>
      </c>
      <c r="G21" s="357">
        <f ca="1">IF(ROWS($1:8)&gt;COUNT(Dong11),0,IF(MID(OFFSET(TH!D$1,SMALL(Dong11,ROWS($1:8)),),4,1)="N",OFFSET(TH!I$1,SMALL(Dong11,ROWS($1:8)),),0))</f>
        <v>0</v>
      </c>
      <c r="H21" s="358">
        <f t="shared" ca="1" si="1"/>
        <v>0</v>
      </c>
      <c r="I21" s="357">
        <f ca="1">IF(ROWS($1:8)&gt;COUNT(Dong11),0,IF(MID(OFFSET(TH!D$1,SMALL(Dong11,ROWS($1:8)),),4,1)="X",OFFSET(TH!I$1,SMALL(Dong11,ROWS($1:8)),),0))</f>
        <v>0</v>
      </c>
      <c r="J21" s="358">
        <f t="shared" ca="1" si="2"/>
        <v>0</v>
      </c>
      <c r="K21" s="358">
        <f t="shared" ca="1" si="3"/>
        <v>0</v>
      </c>
      <c r="L21" s="358">
        <f t="shared" ca="1" si="4"/>
        <v>0</v>
      </c>
      <c r="M21" s="358"/>
      <c r="N21" s="348"/>
    </row>
    <row r="22" spans="1:16">
      <c r="A22" s="319" t="str">
        <f t="shared" ca="1" si="0"/>
        <v/>
      </c>
      <c r="B22" s="354" t="str">
        <f ca="1">IF(ROWS($1:9)&gt;COUNT(Dong11),"",OFFSET(TH!D$1,SMALL(Dong11,ROWS($1:9)),))</f>
        <v/>
      </c>
      <c r="C22" s="355" t="str">
        <f ca="1">IF(ROWS($1:9)&gt;COUNT(Dong11),"",OFFSET(TH!E$1,SMALL(Dong11,ROWS($1:9)),))</f>
        <v/>
      </c>
      <c r="D22" s="356" t="str">
        <f ca="1">IF(ROWS($1:9)&gt;COUNT(Dong11),"",OFFSET(TH!H$1,SMALL(Dong11,ROWS($1:9)),))</f>
        <v/>
      </c>
      <c r="E22" s="354" t="str">
        <f ca="1">IF(ROWS($1:9)&gt;COUNT(Dong11),"",IF(OFFSET(TH!L$1,SMALL(Dong11,ROWS($1:9)),)=$G$7,OFFSET(TH!M$1,SMALL(Dong11,ROWS($1:9)),),OFFSET(TH!L$1,SMALL(Dong11,ROWS($1:9)),)))</f>
        <v/>
      </c>
      <c r="F22" s="357">
        <f ca="1">IF(ROWS($1:9)&gt;COUNT(Dong11),0,OFFSET(TH!J$1,SMALL(Dong11,ROWS($1:9)),))</f>
        <v>0</v>
      </c>
      <c r="G22" s="357">
        <f ca="1">IF(ROWS($1:9)&gt;COUNT(Dong11),0,IF(MID(OFFSET(TH!D$1,SMALL(Dong11,ROWS($1:9)),),4,1)="N",OFFSET(TH!I$1,SMALL(Dong11,ROWS($1:9)),),0))</f>
        <v>0</v>
      </c>
      <c r="H22" s="358">
        <f t="shared" ca="1" si="1"/>
        <v>0</v>
      </c>
      <c r="I22" s="357">
        <f ca="1">IF(ROWS($1:9)&gt;COUNT(Dong11),0,IF(MID(OFFSET(TH!D$1,SMALL(Dong11,ROWS($1:9)),),4,1)="X",OFFSET(TH!I$1,SMALL(Dong11,ROWS($1:9)),),0))</f>
        <v>0</v>
      </c>
      <c r="J22" s="358">
        <f t="shared" ca="1" si="2"/>
        <v>0</v>
      </c>
      <c r="K22" s="358">
        <f t="shared" ca="1" si="3"/>
        <v>0</v>
      </c>
      <c r="L22" s="358">
        <f t="shared" ca="1" si="4"/>
        <v>0</v>
      </c>
      <c r="M22" s="358"/>
      <c r="N22" s="348"/>
    </row>
    <row r="23" spans="1:16">
      <c r="A23" s="319" t="str">
        <f t="shared" ca="1" si="0"/>
        <v/>
      </c>
      <c r="B23" s="354" t="str">
        <f ca="1">IF(ROWS($1:10)&gt;COUNT(Dong11),"",OFFSET(TH!D$1,SMALL(Dong11,ROWS($1:10)),))</f>
        <v/>
      </c>
      <c r="C23" s="355" t="str">
        <f ca="1">IF(ROWS($1:10)&gt;COUNT(Dong11),"",OFFSET(TH!E$1,SMALL(Dong11,ROWS($1:10)),))</f>
        <v/>
      </c>
      <c r="D23" s="356" t="str">
        <f ca="1">IF(ROWS($1:10)&gt;COUNT(Dong11),"",OFFSET(TH!H$1,SMALL(Dong11,ROWS($1:10)),))</f>
        <v/>
      </c>
      <c r="E23" s="354" t="str">
        <f ca="1">IF(ROWS($1:10)&gt;COUNT(Dong11),"",IF(OFFSET(TH!L$1,SMALL(Dong11,ROWS($1:10)),)=$G$7,OFFSET(TH!M$1,SMALL(Dong11,ROWS($1:10)),),OFFSET(TH!L$1,SMALL(Dong11,ROWS($1:10)),)))</f>
        <v/>
      </c>
      <c r="F23" s="357">
        <f ca="1">IF(ROWS($1:10)&gt;COUNT(Dong11),0,OFFSET(TH!J$1,SMALL(Dong11,ROWS($1:10)),))</f>
        <v>0</v>
      </c>
      <c r="G23" s="357">
        <f ca="1">IF(ROWS($1:10)&gt;COUNT(Dong11),0,IF(MID(OFFSET(TH!D$1,SMALL(Dong11,ROWS($1:10)),),4,1)="N",OFFSET(TH!I$1,SMALL(Dong11,ROWS($1:10)),),0))</f>
        <v>0</v>
      </c>
      <c r="H23" s="358">
        <f t="shared" ca="1" si="1"/>
        <v>0</v>
      </c>
      <c r="I23" s="357">
        <f ca="1">IF(ROWS($1:10)&gt;COUNT(Dong11),0,IF(MID(OFFSET(TH!D$1,SMALL(Dong11,ROWS($1:10)),),4,1)="X",OFFSET(TH!I$1,SMALL(Dong11,ROWS($1:10)),),0))</f>
        <v>0</v>
      </c>
      <c r="J23" s="358">
        <f t="shared" ca="1" si="2"/>
        <v>0</v>
      </c>
      <c r="K23" s="358">
        <f t="shared" ca="1" si="3"/>
        <v>0</v>
      </c>
      <c r="L23" s="358">
        <f t="shared" ca="1" si="4"/>
        <v>0</v>
      </c>
      <c r="M23" s="358"/>
      <c r="N23" s="348"/>
    </row>
    <row r="24" spans="1:16">
      <c r="A24" s="319" t="str">
        <f t="shared" ca="1" si="0"/>
        <v/>
      </c>
      <c r="B24" s="354" t="str">
        <f ca="1">IF(ROWS($1:11)&gt;COUNT(Dong11),"",OFFSET(TH!D$1,SMALL(Dong11,ROWS($1:11)),))</f>
        <v/>
      </c>
      <c r="C24" s="355" t="str">
        <f ca="1">IF(ROWS($1:11)&gt;COUNT(Dong11),"",OFFSET(TH!E$1,SMALL(Dong11,ROWS($1:11)),))</f>
        <v/>
      </c>
      <c r="D24" s="356" t="str">
        <f ca="1">IF(ROWS($1:11)&gt;COUNT(Dong11),"",OFFSET(TH!H$1,SMALL(Dong11,ROWS($1:11)),))</f>
        <v/>
      </c>
      <c r="E24" s="354" t="str">
        <f ca="1">IF(ROWS($1:11)&gt;COUNT(Dong11),"",IF(OFFSET(TH!L$1,SMALL(Dong11,ROWS($1:11)),)=$G$7,OFFSET(TH!M$1,SMALL(Dong11,ROWS($1:11)),),OFFSET(TH!L$1,SMALL(Dong11,ROWS($1:11)),)))</f>
        <v/>
      </c>
      <c r="F24" s="357">
        <f ca="1">IF(ROWS($1:11)&gt;COUNT(Dong11),0,OFFSET(TH!J$1,SMALL(Dong11,ROWS($1:11)),))</f>
        <v>0</v>
      </c>
      <c r="G24" s="357">
        <f ca="1">IF(ROWS($1:11)&gt;COUNT(Dong11),0,IF(MID(OFFSET(TH!D$1,SMALL(Dong11,ROWS($1:11)),),4,1)="N",OFFSET(TH!I$1,SMALL(Dong11,ROWS($1:11)),),0))</f>
        <v>0</v>
      </c>
      <c r="H24" s="358">
        <f t="shared" ca="1" si="1"/>
        <v>0</v>
      </c>
      <c r="I24" s="357">
        <f ca="1">IF(ROWS($1:11)&gt;COUNT(Dong11),0,IF(MID(OFFSET(TH!D$1,SMALL(Dong11,ROWS($1:11)),),4,1)="X",OFFSET(TH!I$1,SMALL(Dong11,ROWS($1:11)),),0))</f>
        <v>0</v>
      </c>
      <c r="J24" s="358">
        <f t="shared" ca="1" si="2"/>
        <v>0</v>
      </c>
      <c r="K24" s="358">
        <f t="shared" ca="1" si="3"/>
        <v>0</v>
      </c>
      <c r="L24" s="358">
        <f t="shared" ca="1" si="4"/>
        <v>0</v>
      </c>
      <c r="M24" s="358"/>
      <c r="N24" s="348"/>
    </row>
    <row r="25" spans="1:16">
      <c r="A25" s="319" t="str">
        <f t="shared" ref="A25:A38" ca="1" si="5">IF(B25="","",A24+1)</f>
        <v/>
      </c>
      <c r="B25" s="354" t="str">
        <f ca="1">IF(ROWS($1:12)&gt;COUNT(Dong11),"",OFFSET(TH!D$1,SMALL(Dong11,ROWS($1:12)),))</f>
        <v/>
      </c>
      <c r="C25" s="355" t="str">
        <f ca="1">IF(ROWS($1:12)&gt;COUNT(Dong11),"",OFFSET(TH!E$1,SMALL(Dong11,ROWS($1:12)),))</f>
        <v/>
      </c>
      <c r="D25" s="356" t="str">
        <f ca="1">IF(ROWS($1:12)&gt;COUNT(Dong11),"",OFFSET(TH!H$1,SMALL(Dong11,ROWS($1:12)),))</f>
        <v/>
      </c>
      <c r="E25" s="354" t="str">
        <f ca="1">IF(ROWS($1:12)&gt;COUNT(Dong11),"",IF(OFFSET(TH!L$1,SMALL(Dong11,ROWS($1:12)),)=$G$7,OFFSET(TH!M$1,SMALL(Dong11,ROWS($1:12)),),OFFSET(TH!L$1,SMALL(Dong11,ROWS($1:12)),)))</f>
        <v/>
      </c>
      <c r="F25" s="357">
        <f ca="1">IF(ROWS($1:12)&gt;COUNT(Dong11),0,OFFSET(TH!J$1,SMALL(Dong11,ROWS($1:12)),))</f>
        <v>0</v>
      </c>
      <c r="G25" s="357">
        <f ca="1">IF(ROWS($1:12)&gt;COUNT(Dong11),0,IF(MID(OFFSET(TH!D$1,SMALL(Dong11,ROWS($1:12)),),4,1)="N",OFFSET(TH!I$1,SMALL(Dong11,ROWS($1:12)),),0))</f>
        <v>0</v>
      </c>
      <c r="H25" s="358">
        <f t="shared" ref="H25:H38" ca="1" si="6">ROUND(F25*G25,0)</f>
        <v>0</v>
      </c>
      <c r="I25" s="357">
        <f ca="1">IF(ROWS($1:12)&gt;COUNT(Dong11),0,IF(MID(OFFSET(TH!D$1,SMALL(Dong11,ROWS($1:12)),),4,1)="X",OFFSET(TH!I$1,SMALL(Dong11,ROWS($1:12)),),0))</f>
        <v>0</v>
      </c>
      <c r="J25" s="358">
        <f t="shared" ref="J25:J38" ca="1" si="7">ROUND(F25*I25,0)</f>
        <v>0</v>
      </c>
      <c r="K25" s="358">
        <f t="shared" ref="K25:K38" ca="1" si="8">IF(D25&lt;&gt;"",K24+G25-I25,0)</f>
        <v>0</v>
      </c>
      <c r="L25" s="358">
        <f t="shared" ref="L25:L38" ca="1" si="9">IF(D25&lt;&gt;"",L24+H25-J25,0)</f>
        <v>0</v>
      </c>
      <c r="M25" s="358"/>
      <c r="N25" s="348"/>
    </row>
    <row r="26" spans="1:16">
      <c r="A26" s="319" t="str">
        <f t="shared" ca="1" si="5"/>
        <v/>
      </c>
      <c r="B26" s="354" t="str">
        <f ca="1">IF(ROWS($1:13)&gt;COUNT(Dong11),"",OFFSET(TH!D$1,SMALL(Dong11,ROWS($1:13)),))</f>
        <v/>
      </c>
      <c r="C26" s="355" t="str">
        <f ca="1">IF(ROWS($1:13)&gt;COUNT(Dong11),"",OFFSET(TH!E$1,SMALL(Dong11,ROWS($1:13)),))</f>
        <v/>
      </c>
      <c r="D26" s="356" t="str">
        <f ca="1">IF(ROWS($1:13)&gt;COUNT(Dong11),"",OFFSET(TH!H$1,SMALL(Dong11,ROWS($1:13)),))</f>
        <v/>
      </c>
      <c r="E26" s="354" t="str">
        <f ca="1">IF(ROWS($1:13)&gt;COUNT(Dong11),"",IF(OFFSET(TH!L$1,SMALL(Dong11,ROWS($1:13)),)=$G$7,OFFSET(TH!M$1,SMALL(Dong11,ROWS($1:13)),),OFFSET(TH!L$1,SMALL(Dong11,ROWS($1:13)),)))</f>
        <v/>
      </c>
      <c r="F26" s="357">
        <f ca="1">IF(ROWS($1:13)&gt;COUNT(Dong11),0,OFFSET(TH!J$1,SMALL(Dong11,ROWS($1:13)),))</f>
        <v>0</v>
      </c>
      <c r="G26" s="357">
        <f ca="1">IF(ROWS($1:13)&gt;COUNT(Dong11),0,IF(MID(OFFSET(TH!D$1,SMALL(Dong11,ROWS($1:13)),),4,1)="N",OFFSET(TH!I$1,SMALL(Dong11,ROWS($1:13)),),0))</f>
        <v>0</v>
      </c>
      <c r="H26" s="358">
        <f t="shared" ca="1" si="6"/>
        <v>0</v>
      </c>
      <c r="I26" s="357">
        <f ca="1">IF(ROWS($1:13)&gt;COUNT(Dong11),0,IF(MID(OFFSET(TH!D$1,SMALL(Dong11,ROWS($1:13)),),4,1)="X",OFFSET(TH!I$1,SMALL(Dong11,ROWS($1:13)),),0))</f>
        <v>0</v>
      </c>
      <c r="J26" s="358">
        <f t="shared" ca="1" si="7"/>
        <v>0</v>
      </c>
      <c r="K26" s="358">
        <f t="shared" ca="1" si="8"/>
        <v>0</v>
      </c>
      <c r="L26" s="358">
        <f t="shared" ca="1" si="9"/>
        <v>0</v>
      </c>
      <c r="M26" s="358"/>
      <c r="N26" s="348"/>
    </row>
    <row r="27" spans="1:16">
      <c r="A27" s="319" t="str">
        <f t="shared" ca="1" si="5"/>
        <v/>
      </c>
      <c r="B27" s="354" t="str">
        <f ca="1">IF(ROWS($1:14)&gt;COUNT(Dong11),"",OFFSET(TH!D$1,SMALL(Dong11,ROWS($1:14)),))</f>
        <v/>
      </c>
      <c r="C27" s="355" t="str">
        <f ca="1">IF(ROWS($1:14)&gt;COUNT(Dong11),"",OFFSET(TH!E$1,SMALL(Dong11,ROWS($1:14)),))</f>
        <v/>
      </c>
      <c r="D27" s="356" t="str">
        <f ca="1">IF(ROWS($1:14)&gt;COUNT(Dong11),"",OFFSET(TH!H$1,SMALL(Dong11,ROWS($1:14)),))</f>
        <v/>
      </c>
      <c r="E27" s="354" t="str">
        <f ca="1">IF(ROWS($1:14)&gt;COUNT(Dong11),"",IF(OFFSET(TH!L$1,SMALL(Dong11,ROWS($1:14)),)=$G$7,OFFSET(TH!M$1,SMALL(Dong11,ROWS($1:14)),),OFFSET(TH!L$1,SMALL(Dong11,ROWS($1:14)),)))</f>
        <v/>
      </c>
      <c r="F27" s="357">
        <f ca="1">IF(ROWS($1:14)&gt;COUNT(Dong11),0,OFFSET(TH!J$1,SMALL(Dong11,ROWS($1:14)),))</f>
        <v>0</v>
      </c>
      <c r="G27" s="357">
        <f ca="1">IF(ROWS($1:14)&gt;COUNT(Dong11),0,IF(MID(OFFSET(TH!D$1,SMALL(Dong11,ROWS($1:14)),),4,1)="N",OFFSET(TH!I$1,SMALL(Dong11,ROWS($1:14)),),0))</f>
        <v>0</v>
      </c>
      <c r="H27" s="358">
        <f t="shared" ca="1" si="6"/>
        <v>0</v>
      </c>
      <c r="I27" s="357">
        <f ca="1">IF(ROWS($1:14)&gt;COUNT(Dong11),0,IF(MID(OFFSET(TH!D$1,SMALL(Dong11,ROWS($1:14)),),4,1)="X",OFFSET(TH!I$1,SMALL(Dong11,ROWS($1:14)),),0))</f>
        <v>0</v>
      </c>
      <c r="J27" s="358">
        <f t="shared" ca="1" si="7"/>
        <v>0</v>
      </c>
      <c r="K27" s="358">
        <f t="shared" ca="1" si="8"/>
        <v>0</v>
      </c>
      <c r="L27" s="358">
        <f t="shared" ca="1" si="9"/>
        <v>0</v>
      </c>
      <c r="M27" s="358"/>
      <c r="N27" s="348"/>
    </row>
    <row r="28" spans="1:16">
      <c r="A28" s="319" t="str">
        <f t="shared" ca="1" si="5"/>
        <v/>
      </c>
      <c r="B28" s="354" t="str">
        <f ca="1">IF(ROWS($1:15)&gt;COUNT(Dong11),"",OFFSET(TH!D$1,SMALL(Dong11,ROWS($1:15)),))</f>
        <v/>
      </c>
      <c r="C28" s="355" t="str">
        <f ca="1">IF(ROWS($1:15)&gt;COUNT(Dong11),"",OFFSET(TH!E$1,SMALL(Dong11,ROWS($1:15)),))</f>
        <v/>
      </c>
      <c r="D28" s="356" t="str">
        <f ca="1">IF(ROWS($1:15)&gt;COUNT(Dong11),"",OFFSET(TH!H$1,SMALL(Dong11,ROWS($1:15)),))</f>
        <v/>
      </c>
      <c r="E28" s="354" t="str">
        <f ca="1">IF(ROWS($1:15)&gt;COUNT(Dong11),"",IF(OFFSET(TH!L$1,SMALL(Dong11,ROWS($1:15)),)=$G$7,OFFSET(TH!M$1,SMALL(Dong11,ROWS($1:15)),),OFFSET(TH!L$1,SMALL(Dong11,ROWS($1:15)),)))</f>
        <v/>
      </c>
      <c r="F28" s="357">
        <f ca="1">IF(ROWS($1:15)&gt;COUNT(Dong11),0,OFFSET(TH!J$1,SMALL(Dong11,ROWS($1:15)),))</f>
        <v>0</v>
      </c>
      <c r="G28" s="357">
        <f ca="1">IF(ROWS($1:15)&gt;COUNT(Dong11),0,IF(MID(OFFSET(TH!D$1,SMALL(Dong11,ROWS($1:15)),),4,1)="N",OFFSET(TH!I$1,SMALL(Dong11,ROWS($1:15)),),0))</f>
        <v>0</v>
      </c>
      <c r="H28" s="358">
        <f t="shared" ca="1" si="6"/>
        <v>0</v>
      </c>
      <c r="I28" s="357">
        <f ca="1">IF(ROWS($1:15)&gt;COUNT(Dong11),0,IF(MID(OFFSET(TH!D$1,SMALL(Dong11,ROWS($1:15)),),4,1)="X",OFFSET(TH!I$1,SMALL(Dong11,ROWS($1:15)),),0))</f>
        <v>0</v>
      </c>
      <c r="J28" s="358">
        <f t="shared" ca="1" si="7"/>
        <v>0</v>
      </c>
      <c r="K28" s="358">
        <f t="shared" ca="1" si="8"/>
        <v>0</v>
      </c>
      <c r="L28" s="358">
        <f t="shared" ca="1" si="9"/>
        <v>0</v>
      </c>
      <c r="M28" s="358"/>
      <c r="N28" s="348"/>
    </row>
    <row r="29" spans="1:16">
      <c r="A29" s="319" t="str">
        <f t="shared" ca="1" si="5"/>
        <v/>
      </c>
      <c r="B29" s="354" t="str">
        <f ca="1">IF(ROWS($1:16)&gt;COUNT(Dong11),"",OFFSET(TH!D$1,SMALL(Dong11,ROWS($1:16)),))</f>
        <v/>
      </c>
      <c r="C29" s="355" t="str">
        <f ca="1">IF(ROWS($1:16)&gt;COUNT(Dong11),"",OFFSET(TH!E$1,SMALL(Dong11,ROWS($1:16)),))</f>
        <v/>
      </c>
      <c r="D29" s="356" t="str">
        <f ca="1">IF(ROWS($1:16)&gt;COUNT(Dong11),"",OFFSET(TH!H$1,SMALL(Dong11,ROWS($1:16)),))</f>
        <v/>
      </c>
      <c r="E29" s="354" t="str">
        <f ca="1">IF(ROWS($1:16)&gt;COUNT(Dong11),"",IF(OFFSET(TH!L$1,SMALL(Dong11,ROWS($1:16)),)=$G$7,OFFSET(TH!M$1,SMALL(Dong11,ROWS($1:16)),),OFFSET(TH!L$1,SMALL(Dong11,ROWS($1:16)),)))</f>
        <v/>
      </c>
      <c r="F29" s="357">
        <f ca="1">IF(ROWS($1:16)&gt;COUNT(Dong11),0,OFFSET(TH!J$1,SMALL(Dong11,ROWS($1:16)),))</f>
        <v>0</v>
      </c>
      <c r="G29" s="357">
        <f ca="1">IF(ROWS($1:16)&gt;COUNT(Dong11),0,IF(MID(OFFSET(TH!D$1,SMALL(Dong11,ROWS($1:16)),),4,1)="N",OFFSET(TH!I$1,SMALL(Dong11,ROWS($1:16)),),0))</f>
        <v>0</v>
      </c>
      <c r="H29" s="358">
        <f t="shared" ca="1" si="6"/>
        <v>0</v>
      </c>
      <c r="I29" s="357">
        <f ca="1">IF(ROWS($1:16)&gt;COUNT(Dong11),0,IF(MID(OFFSET(TH!D$1,SMALL(Dong11,ROWS($1:16)),),4,1)="X",OFFSET(TH!I$1,SMALL(Dong11,ROWS($1:16)),),0))</f>
        <v>0</v>
      </c>
      <c r="J29" s="358">
        <f t="shared" ca="1" si="7"/>
        <v>0</v>
      </c>
      <c r="K29" s="358">
        <f t="shared" ca="1" si="8"/>
        <v>0</v>
      </c>
      <c r="L29" s="358">
        <f t="shared" ca="1" si="9"/>
        <v>0</v>
      </c>
      <c r="M29" s="358"/>
      <c r="N29" s="348"/>
    </row>
    <row r="30" spans="1:16">
      <c r="A30" s="319" t="str">
        <f t="shared" ca="1" si="5"/>
        <v/>
      </c>
      <c r="B30" s="354" t="str">
        <f ca="1">IF(ROWS($1:17)&gt;COUNT(Dong11),"",OFFSET(TH!D$1,SMALL(Dong11,ROWS($1:17)),))</f>
        <v/>
      </c>
      <c r="C30" s="355" t="str">
        <f ca="1">IF(ROWS($1:17)&gt;COUNT(Dong11),"",OFFSET(TH!E$1,SMALL(Dong11,ROWS($1:17)),))</f>
        <v/>
      </c>
      <c r="D30" s="356" t="str">
        <f ca="1">IF(ROWS($1:17)&gt;COUNT(Dong11),"",OFFSET(TH!H$1,SMALL(Dong11,ROWS($1:17)),))</f>
        <v/>
      </c>
      <c r="E30" s="354" t="str">
        <f ca="1">IF(ROWS($1:17)&gt;COUNT(Dong11),"",IF(OFFSET(TH!L$1,SMALL(Dong11,ROWS($1:17)),)=$G$7,OFFSET(TH!M$1,SMALL(Dong11,ROWS($1:17)),),OFFSET(TH!L$1,SMALL(Dong11,ROWS($1:17)),)))</f>
        <v/>
      </c>
      <c r="F30" s="357">
        <f ca="1">IF(ROWS($1:17)&gt;COUNT(Dong11),0,OFFSET(TH!J$1,SMALL(Dong11,ROWS($1:17)),))</f>
        <v>0</v>
      </c>
      <c r="G30" s="357">
        <f ca="1">IF(ROWS($1:17)&gt;COUNT(Dong11),0,IF(MID(OFFSET(TH!D$1,SMALL(Dong11,ROWS($1:17)),),4,1)="N",OFFSET(TH!I$1,SMALL(Dong11,ROWS($1:17)),),0))</f>
        <v>0</v>
      </c>
      <c r="H30" s="358">
        <f t="shared" ca="1" si="6"/>
        <v>0</v>
      </c>
      <c r="I30" s="357">
        <f ca="1">IF(ROWS($1:17)&gt;COUNT(Dong11),0,IF(MID(OFFSET(TH!D$1,SMALL(Dong11,ROWS($1:17)),),4,1)="X",OFFSET(TH!I$1,SMALL(Dong11,ROWS($1:17)),),0))</f>
        <v>0</v>
      </c>
      <c r="J30" s="358">
        <f t="shared" ca="1" si="7"/>
        <v>0</v>
      </c>
      <c r="K30" s="358">
        <f t="shared" ca="1" si="8"/>
        <v>0</v>
      </c>
      <c r="L30" s="358">
        <f t="shared" ca="1" si="9"/>
        <v>0</v>
      </c>
      <c r="M30" s="358"/>
      <c r="N30" s="348"/>
    </row>
    <row r="31" spans="1:16">
      <c r="A31" s="319" t="str">
        <f t="shared" ca="1" si="5"/>
        <v/>
      </c>
      <c r="B31" s="354" t="str">
        <f ca="1">IF(ROWS($1:18)&gt;COUNT(Dong11),"",OFFSET(TH!D$1,SMALL(Dong11,ROWS($1:18)),))</f>
        <v/>
      </c>
      <c r="C31" s="355" t="str">
        <f ca="1">IF(ROWS($1:18)&gt;COUNT(Dong11),"",OFFSET(TH!E$1,SMALL(Dong11,ROWS($1:18)),))</f>
        <v/>
      </c>
      <c r="D31" s="356" t="str">
        <f ca="1">IF(ROWS($1:18)&gt;COUNT(Dong11),"",OFFSET(TH!H$1,SMALL(Dong11,ROWS($1:18)),))</f>
        <v/>
      </c>
      <c r="E31" s="354" t="str">
        <f ca="1">IF(ROWS($1:18)&gt;COUNT(Dong11),"",IF(OFFSET(TH!L$1,SMALL(Dong11,ROWS($1:18)),)=$G$7,OFFSET(TH!M$1,SMALL(Dong11,ROWS($1:18)),),OFFSET(TH!L$1,SMALL(Dong11,ROWS($1:18)),)))</f>
        <v/>
      </c>
      <c r="F31" s="357">
        <f ca="1">IF(ROWS($1:18)&gt;COUNT(Dong11),0,OFFSET(TH!J$1,SMALL(Dong11,ROWS($1:18)),))</f>
        <v>0</v>
      </c>
      <c r="G31" s="357">
        <f ca="1">IF(ROWS($1:18)&gt;COUNT(Dong11),0,IF(MID(OFFSET(TH!D$1,SMALL(Dong11,ROWS($1:18)),),4,1)="N",OFFSET(TH!I$1,SMALL(Dong11,ROWS($1:18)),),0))</f>
        <v>0</v>
      </c>
      <c r="H31" s="358">
        <f t="shared" ca="1" si="6"/>
        <v>0</v>
      </c>
      <c r="I31" s="357">
        <f ca="1">IF(ROWS($1:18)&gt;COUNT(Dong11),0,IF(MID(OFFSET(TH!D$1,SMALL(Dong11,ROWS($1:18)),),4,1)="X",OFFSET(TH!I$1,SMALL(Dong11,ROWS($1:18)),),0))</f>
        <v>0</v>
      </c>
      <c r="J31" s="358">
        <f t="shared" ca="1" si="7"/>
        <v>0</v>
      </c>
      <c r="K31" s="358">
        <f t="shared" ca="1" si="8"/>
        <v>0</v>
      </c>
      <c r="L31" s="358">
        <f t="shared" ca="1" si="9"/>
        <v>0</v>
      </c>
      <c r="M31" s="358"/>
      <c r="N31" s="348"/>
    </row>
    <row r="32" spans="1:16">
      <c r="A32" s="319" t="str">
        <f t="shared" ca="1" si="5"/>
        <v/>
      </c>
      <c r="B32" s="354" t="str">
        <f ca="1">IF(ROWS($1:19)&gt;COUNT(Dong11),"",OFFSET(TH!D$1,SMALL(Dong11,ROWS($1:19)),))</f>
        <v/>
      </c>
      <c r="C32" s="355" t="str">
        <f ca="1">IF(ROWS($1:19)&gt;COUNT(Dong11),"",OFFSET(TH!E$1,SMALL(Dong11,ROWS($1:19)),))</f>
        <v/>
      </c>
      <c r="D32" s="356" t="str">
        <f ca="1">IF(ROWS($1:19)&gt;COUNT(Dong11),"",OFFSET(TH!H$1,SMALL(Dong11,ROWS($1:19)),))</f>
        <v/>
      </c>
      <c r="E32" s="354" t="str">
        <f ca="1">IF(ROWS($1:19)&gt;COUNT(Dong11),"",IF(OFFSET(TH!L$1,SMALL(Dong11,ROWS($1:19)),)=$G$7,OFFSET(TH!M$1,SMALL(Dong11,ROWS($1:19)),),OFFSET(TH!L$1,SMALL(Dong11,ROWS($1:19)),)))</f>
        <v/>
      </c>
      <c r="F32" s="357">
        <f ca="1">IF(ROWS($1:19)&gt;COUNT(Dong11),0,OFFSET(TH!J$1,SMALL(Dong11,ROWS($1:19)),))</f>
        <v>0</v>
      </c>
      <c r="G32" s="357">
        <f ca="1">IF(ROWS($1:19)&gt;COUNT(Dong11),0,IF(MID(OFFSET(TH!D$1,SMALL(Dong11,ROWS($1:19)),),4,1)="N",OFFSET(TH!I$1,SMALL(Dong11,ROWS($1:19)),),0))</f>
        <v>0</v>
      </c>
      <c r="H32" s="358">
        <f t="shared" ca="1" si="6"/>
        <v>0</v>
      </c>
      <c r="I32" s="357">
        <f ca="1">IF(ROWS($1:19)&gt;COUNT(Dong11),0,IF(MID(OFFSET(TH!D$1,SMALL(Dong11,ROWS($1:19)),),4,1)="X",OFFSET(TH!I$1,SMALL(Dong11,ROWS($1:19)),),0))</f>
        <v>0</v>
      </c>
      <c r="J32" s="358">
        <f t="shared" ca="1" si="7"/>
        <v>0</v>
      </c>
      <c r="K32" s="358">
        <f t="shared" ca="1" si="8"/>
        <v>0</v>
      </c>
      <c r="L32" s="358">
        <f t="shared" ca="1" si="9"/>
        <v>0</v>
      </c>
      <c r="M32" s="358"/>
      <c r="N32" s="348"/>
    </row>
    <row r="33" spans="1:14">
      <c r="A33" s="319" t="str">
        <f t="shared" ca="1" si="5"/>
        <v/>
      </c>
      <c r="B33" s="354" t="str">
        <f ca="1">IF(ROWS($1:20)&gt;COUNT(Dong11),"",OFFSET(TH!D$1,SMALL(Dong11,ROWS($1:20)),))</f>
        <v/>
      </c>
      <c r="C33" s="355" t="str">
        <f ca="1">IF(ROWS($1:20)&gt;COUNT(Dong11),"",OFFSET(TH!E$1,SMALL(Dong11,ROWS($1:20)),))</f>
        <v/>
      </c>
      <c r="D33" s="356" t="str">
        <f ca="1">IF(ROWS($1:20)&gt;COUNT(Dong11),"",OFFSET(TH!H$1,SMALL(Dong11,ROWS($1:20)),))</f>
        <v/>
      </c>
      <c r="E33" s="354" t="str">
        <f ca="1">IF(ROWS($1:20)&gt;COUNT(Dong11),"",IF(OFFSET(TH!L$1,SMALL(Dong11,ROWS($1:20)),)=$G$7,OFFSET(TH!M$1,SMALL(Dong11,ROWS($1:20)),),OFFSET(TH!L$1,SMALL(Dong11,ROWS($1:20)),)))</f>
        <v/>
      </c>
      <c r="F33" s="357">
        <f ca="1">IF(ROWS($1:20)&gt;COUNT(Dong11),0,OFFSET(TH!J$1,SMALL(Dong11,ROWS($1:20)),))</f>
        <v>0</v>
      </c>
      <c r="G33" s="357">
        <f ca="1">IF(ROWS($1:20)&gt;COUNT(Dong11),0,IF(MID(OFFSET(TH!D$1,SMALL(Dong11,ROWS($1:20)),),4,1)="N",OFFSET(TH!I$1,SMALL(Dong11,ROWS($1:20)),),0))</f>
        <v>0</v>
      </c>
      <c r="H33" s="358">
        <f t="shared" ca="1" si="6"/>
        <v>0</v>
      </c>
      <c r="I33" s="357">
        <f ca="1">IF(ROWS($1:20)&gt;COUNT(Dong11),0,IF(MID(OFFSET(TH!D$1,SMALL(Dong11,ROWS($1:20)),),4,1)="X",OFFSET(TH!I$1,SMALL(Dong11,ROWS($1:20)),),0))</f>
        <v>0</v>
      </c>
      <c r="J33" s="358">
        <f t="shared" ca="1" si="7"/>
        <v>0</v>
      </c>
      <c r="K33" s="358">
        <f t="shared" ca="1" si="8"/>
        <v>0</v>
      </c>
      <c r="L33" s="358">
        <f t="shared" ca="1" si="9"/>
        <v>0</v>
      </c>
      <c r="M33" s="358"/>
      <c r="N33" s="348"/>
    </row>
    <row r="34" spans="1:14">
      <c r="A34" s="319" t="str">
        <f t="shared" ca="1" si="5"/>
        <v/>
      </c>
      <c r="B34" s="354" t="str">
        <f ca="1">IF(ROWS($1:21)&gt;COUNT(Dong11),"",OFFSET(TH!D$1,SMALL(Dong11,ROWS($1:21)),))</f>
        <v/>
      </c>
      <c r="C34" s="355" t="str">
        <f ca="1">IF(ROWS($1:21)&gt;COUNT(Dong11),"",OFFSET(TH!E$1,SMALL(Dong11,ROWS($1:21)),))</f>
        <v/>
      </c>
      <c r="D34" s="356" t="str">
        <f ca="1">IF(ROWS($1:21)&gt;COUNT(Dong11),"",OFFSET(TH!H$1,SMALL(Dong11,ROWS($1:21)),))</f>
        <v/>
      </c>
      <c r="E34" s="354" t="str">
        <f ca="1">IF(ROWS($1:21)&gt;COUNT(Dong11),"",IF(OFFSET(TH!L$1,SMALL(Dong11,ROWS($1:21)),)=$G$7,OFFSET(TH!M$1,SMALL(Dong11,ROWS($1:21)),),OFFSET(TH!L$1,SMALL(Dong11,ROWS($1:21)),)))</f>
        <v/>
      </c>
      <c r="F34" s="357">
        <f ca="1">IF(ROWS($1:21)&gt;COUNT(Dong11),0,OFFSET(TH!J$1,SMALL(Dong11,ROWS($1:21)),))</f>
        <v>0</v>
      </c>
      <c r="G34" s="357">
        <f ca="1">IF(ROWS($1:21)&gt;COUNT(Dong11),0,IF(MID(OFFSET(TH!D$1,SMALL(Dong11,ROWS($1:21)),),4,1)="N",OFFSET(TH!I$1,SMALL(Dong11,ROWS($1:21)),),0))</f>
        <v>0</v>
      </c>
      <c r="H34" s="358">
        <f t="shared" ca="1" si="6"/>
        <v>0</v>
      </c>
      <c r="I34" s="357">
        <f ca="1">IF(ROWS($1:21)&gt;COUNT(Dong11),0,IF(MID(OFFSET(TH!D$1,SMALL(Dong11,ROWS($1:21)),),4,1)="X",OFFSET(TH!I$1,SMALL(Dong11,ROWS($1:21)),),0))</f>
        <v>0</v>
      </c>
      <c r="J34" s="358">
        <f t="shared" ca="1" si="7"/>
        <v>0</v>
      </c>
      <c r="K34" s="358">
        <f t="shared" ca="1" si="8"/>
        <v>0</v>
      </c>
      <c r="L34" s="358">
        <f t="shared" ca="1" si="9"/>
        <v>0</v>
      </c>
      <c r="M34" s="358"/>
      <c r="N34" s="348"/>
    </row>
    <row r="35" spans="1:14">
      <c r="A35" s="319" t="str">
        <f t="shared" ca="1" si="5"/>
        <v/>
      </c>
      <c r="B35" s="354" t="str">
        <f ca="1">IF(ROWS($1:22)&gt;COUNT(Dong11),"",OFFSET(TH!D$1,SMALL(Dong11,ROWS($1:22)),))</f>
        <v/>
      </c>
      <c r="C35" s="355" t="str">
        <f ca="1">IF(ROWS($1:22)&gt;COUNT(Dong11),"",OFFSET(TH!E$1,SMALL(Dong11,ROWS($1:22)),))</f>
        <v/>
      </c>
      <c r="D35" s="356" t="str">
        <f ca="1">IF(ROWS($1:22)&gt;COUNT(Dong11),"",OFFSET(TH!H$1,SMALL(Dong11,ROWS($1:22)),))</f>
        <v/>
      </c>
      <c r="E35" s="354" t="str">
        <f ca="1">IF(ROWS($1:22)&gt;COUNT(Dong11),"",IF(OFFSET(TH!L$1,SMALL(Dong11,ROWS($1:22)),)=$G$7,OFFSET(TH!M$1,SMALL(Dong11,ROWS($1:22)),),OFFSET(TH!L$1,SMALL(Dong11,ROWS($1:22)),)))</f>
        <v/>
      </c>
      <c r="F35" s="357">
        <f ca="1">IF(ROWS($1:22)&gt;COUNT(Dong11),0,OFFSET(TH!J$1,SMALL(Dong11,ROWS($1:22)),))</f>
        <v>0</v>
      </c>
      <c r="G35" s="357">
        <f ca="1">IF(ROWS($1:22)&gt;COUNT(Dong11),0,IF(MID(OFFSET(TH!D$1,SMALL(Dong11,ROWS($1:22)),),4,1)="N",OFFSET(TH!I$1,SMALL(Dong11,ROWS($1:22)),),0))</f>
        <v>0</v>
      </c>
      <c r="H35" s="358">
        <f t="shared" ca="1" si="6"/>
        <v>0</v>
      </c>
      <c r="I35" s="357">
        <f ca="1">IF(ROWS($1:22)&gt;COUNT(Dong11),0,IF(MID(OFFSET(TH!D$1,SMALL(Dong11,ROWS($1:22)),),4,1)="X",OFFSET(TH!I$1,SMALL(Dong11,ROWS($1:22)),),0))</f>
        <v>0</v>
      </c>
      <c r="J35" s="358">
        <f t="shared" ca="1" si="7"/>
        <v>0</v>
      </c>
      <c r="K35" s="358">
        <f t="shared" ca="1" si="8"/>
        <v>0</v>
      </c>
      <c r="L35" s="358">
        <f t="shared" ca="1" si="9"/>
        <v>0</v>
      </c>
      <c r="M35" s="358"/>
      <c r="N35" s="348"/>
    </row>
    <row r="36" spans="1:14">
      <c r="A36" s="319" t="str">
        <f t="shared" ca="1" si="5"/>
        <v/>
      </c>
      <c r="B36" s="354" t="str">
        <f ca="1">IF(ROWS($1:23)&gt;COUNT(Dong11),"",OFFSET(TH!D$1,SMALL(Dong11,ROWS($1:23)),))</f>
        <v/>
      </c>
      <c r="C36" s="355" t="str">
        <f ca="1">IF(ROWS($1:23)&gt;COUNT(Dong11),"",OFFSET(TH!E$1,SMALL(Dong11,ROWS($1:23)),))</f>
        <v/>
      </c>
      <c r="D36" s="356" t="str">
        <f ca="1">IF(ROWS($1:23)&gt;COUNT(Dong11),"",OFFSET(TH!H$1,SMALL(Dong11,ROWS($1:23)),))</f>
        <v/>
      </c>
      <c r="E36" s="354" t="str">
        <f ca="1">IF(ROWS($1:23)&gt;COUNT(Dong11),"",IF(OFFSET(TH!L$1,SMALL(Dong11,ROWS($1:23)),)=$G$7,OFFSET(TH!M$1,SMALL(Dong11,ROWS($1:23)),),OFFSET(TH!L$1,SMALL(Dong11,ROWS($1:23)),)))</f>
        <v/>
      </c>
      <c r="F36" s="357">
        <f ca="1">IF(ROWS($1:23)&gt;COUNT(Dong11),0,OFFSET(TH!J$1,SMALL(Dong11,ROWS($1:23)),))</f>
        <v>0</v>
      </c>
      <c r="G36" s="357">
        <f ca="1">IF(ROWS($1:23)&gt;COUNT(Dong11),0,IF(MID(OFFSET(TH!D$1,SMALL(Dong11,ROWS($1:23)),),4,1)="N",OFFSET(TH!I$1,SMALL(Dong11,ROWS($1:23)),),0))</f>
        <v>0</v>
      </c>
      <c r="H36" s="358">
        <f t="shared" ca="1" si="6"/>
        <v>0</v>
      </c>
      <c r="I36" s="357">
        <f ca="1">IF(ROWS($1:23)&gt;COUNT(Dong11),0,IF(MID(OFFSET(TH!D$1,SMALL(Dong11,ROWS($1:23)),),4,1)="X",OFFSET(TH!I$1,SMALL(Dong11,ROWS($1:23)),),0))</f>
        <v>0</v>
      </c>
      <c r="J36" s="358">
        <f t="shared" ca="1" si="7"/>
        <v>0</v>
      </c>
      <c r="K36" s="358">
        <f t="shared" ca="1" si="8"/>
        <v>0</v>
      </c>
      <c r="L36" s="358">
        <f t="shared" ca="1" si="9"/>
        <v>0</v>
      </c>
      <c r="M36" s="358"/>
      <c r="N36" s="348"/>
    </row>
    <row r="37" spans="1:14">
      <c r="A37" s="319" t="str">
        <f t="shared" ca="1" si="5"/>
        <v/>
      </c>
      <c r="B37" s="354" t="str">
        <f ca="1">IF(ROWS($1:24)&gt;COUNT(Dong11),"",OFFSET(TH!D$1,SMALL(Dong11,ROWS($1:24)),))</f>
        <v/>
      </c>
      <c r="C37" s="355" t="str">
        <f ca="1">IF(ROWS($1:24)&gt;COUNT(Dong11),"",OFFSET(TH!E$1,SMALL(Dong11,ROWS($1:24)),))</f>
        <v/>
      </c>
      <c r="D37" s="356" t="str">
        <f ca="1">IF(ROWS($1:24)&gt;COUNT(Dong11),"",OFFSET(TH!H$1,SMALL(Dong11,ROWS($1:24)),))</f>
        <v/>
      </c>
      <c r="E37" s="354" t="str">
        <f ca="1">IF(ROWS($1:24)&gt;COUNT(Dong11),"",IF(OFFSET(TH!L$1,SMALL(Dong11,ROWS($1:24)),)=$G$7,OFFSET(TH!M$1,SMALL(Dong11,ROWS($1:24)),),OFFSET(TH!L$1,SMALL(Dong11,ROWS($1:24)),)))</f>
        <v/>
      </c>
      <c r="F37" s="357">
        <f ca="1">IF(ROWS($1:24)&gt;COUNT(Dong11),0,OFFSET(TH!J$1,SMALL(Dong11,ROWS($1:24)),))</f>
        <v>0</v>
      </c>
      <c r="G37" s="357">
        <f ca="1">IF(ROWS($1:24)&gt;COUNT(Dong11),0,IF(MID(OFFSET(TH!D$1,SMALL(Dong11,ROWS($1:24)),),4,1)="N",OFFSET(TH!I$1,SMALL(Dong11,ROWS($1:24)),),0))</f>
        <v>0</v>
      </c>
      <c r="H37" s="358">
        <f t="shared" ca="1" si="6"/>
        <v>0</v>
      </c>
      <c r="I37" s="357">
        <f ca="1">IF(ROWS($1:24)&gt;COUNT(Dong11),0,IF(MID(OFFSET(TH!D$1,SMALL(Dong11,ROWS($1:24)),),4,1)="X",OFFSET(TH!I$1,SMALL(Dong11,ROWS($1:24)),),0))</f>
        <v>0</v>
      </c>
      <c r="J37" s="358">
        <f t="shared" ca="1" si="7"/>
        <v>0</v>
      </c>
      <c r="K37" s="358">
        <f t="shared" ca="1" si="8"/>
        <v>0</v>
      </c>
      <c r="L37" s="358">
        <f t="shared" ca="1" si="9"/>
        <v>0</v>
      </c>
      <c r="M37" s="358"/>
      <c r="N37" s="348"/>
    </row>
    <row r="38" spans="1:14">
      <c r="A38" s="319" t="str">
        <f t="shared" ca="1" si="5"/>
        <v/>
      </c>
      <c r="B38" s="354" t="str">
        <f ca="1">IF(ROWS($1:25)&gt;COUNT(Dong11),"",OFFSET(TH!D$1,SMALL(Dong11,ROWS($1:25)),))</f>
        <v/>
      </c>
      <c r="C38" s="355" t="str">
        <f ca="1">IF(ROWS($1:25)&gt;COUNT(Dong11),"",OFFSET(TH!E$1,SMALL(Dong11,ROWS($1:25)),))</f>
        <v/>
      </c>
      <c r="D38" s="356" t="str">
        <f ca="1">IF(ROWS($1:25)&gt;COUNT(Dong11),"",OFFSET(TH!H$1,SMALL(Dong11,ROWS($1:25)),))</f>
        <v/>
      </c>
      <c r="E38" s="354" t="str">
        <f ca="1">IF(ROWS($1:25)&gt;COUNT(Dong11),"",IF(OFFSET(TH!L$1,SMALL(Dong11,ROWS($1:25)),)=$G$7,OFFSET(TH!M$1,SMALL(Dong11,ROWS($1:25)),),OFFSET(TH!L$1,SMALL(Dong11,ROWS($1:25)),)))</f>
        <v/>
      </c>
      <c r="F38" s="357">
        <f ca="1">IF(ROWS($1:25)&gt;COUNT(Dong11),0,OFFSET(TH!J$1,SMALL(Dong11,ROWS($1:25)),))</f>
        <v>0</v>
      </c>
      <c r="G38" s="357">
        <f ca="1">IF(ROWS($1:25)&gt;COUNT(Dong11),0,IF(MID(OFFSET(TH!D$1,SMALL(Dong11,ROWS($1:25)),),4,1)="N",OFFSET(TH!I$1,SMALL(Dong11,ROWS($1:25)),),0))</f>
        <v>0</v>
      </c>
      <c r="H38" s="358">
        <f t="shared" ca="1" si="6"/>
        <v>0</v>
      </c>
      <c r="I38" s="357">
        <f ca="1">IF(ROWS($1:25)&gt;COUNT(Dong11),0,IF(MID(OFFSET(TH!D$1,SMALL(Dong11,ROWS($1:25)),),4,1)="X",OFFSET(TH!I$1,SMALL(Dong11,ROWS($1:25)),),0))</f>
        <v>0</v>
      </c>
      <c r="J38" s="358">
        <f t="shared" ca="1" si="7"/>
        <v>0</v>
      </c>
      <c r="K38" s="358">
        <f t="shared" ca="1" si="8"/>
        <v>0</v>
      </c>
      <c r="L38" s="358">
        <f t="shared" ca="1" si="9"/>
        <v>0</v>
      </c>
      <c r="M38" s="358"/>
      <c r="N38" s="348"/>
    </row>
    <row r="39" spans="1:14">
      <c r="A39" s="319" t="str">
        <f t="shared" ref="A39:A62" ca="1" si="10">IF(B39="","",A38+1)</f>
        <v/>
      </c>
      <c r="B39" s="354" t="str">
        <f ca="1">IF(ROWS($1:26)&gt;COUNT(Dong11),"",OFFSET(TH!D$1,SMALL(Dong11,ROWS($1:26)),))</f>
        <v/>
      </c>
      <c r="C39" s="355" t="str">
        <f ca="1">IF(ROWS($1:26)&gt;COUNT(Dong11),"",OFFSET(TH!E$1,SMALL(Dong11,ROWS($1:26)),))</f>
        <v/>
      </c>
      <c r="D39" s="356" t="str">
        <f ca="1">IF(ROWS($1:26)&gt;COUNT(Dong11),"",OFFSET(TH!H$1,SMALL(Dong11,ROWS($1:26)),))</f>
        <v/>
      </c>
      <c r="E39" s="354" t="str">
        <f ca="1">IF(ROWS($1:26)&gt;COUNT(Dong11),"",IF(OFFSET(TH!L$1,SMALL(Dong11,ROWS($1:26)),)=$G$7,OFFSET(TH!M$1,SMALL(Dong11,ROWS($1:26)),),OFFSET(TH!L$1,SMALL(Dong11,ROWS($1:26)),)))</f>
        <v/>
      </c>
      <c r="F39" s="357">
        <f ca="1">IF(ROWS($1:26)&gt;COUNT(Dong11),0,OFFSET(TH!J$1,SMALL(Dong11,ROWS($1:26)),))</f>
        <v>0</v>
      </c>
      <c r="G39" s="357">
        <f ca="1">IF(ROWS($1:26)&gt;COUNT(Dong11),0,IF(MID(OFFSET(TH!D$1,SMALL(Dong11,ROWS($1:26)),),4,1)="N",OFFSET(TH!I$1,SMALL(Dong11,ROWS($1:26)),),0))</f>
        <v>0</v>
      </c>
      <c r="H39" s="358">
        <f t="shared" ref="H39:H62" ca="1" si="11">ROUND(F39*G39,0)</f>
        <v>0</v>
      </c>
      <c r="I39" s="357">
        <f ca="1">IF(ROWS($1:26)&gt;COUNT(Dong11),0,IF(MID(OFFSET(TH!D$1,SMALL(Dong11,ROWS($1:26)),),4,1)="X",OFFSET(TH!I$1,SMALL(Dong11,ROWS($1:26)),),0))</f>
        <v>0</v>
      </c>
      <c r="J39" s="358">
        <f t="shared" ref="J39:J62" ca="1" si="12">ROUND(F39*I39,0)</f>
        <v>0</v>
      </c>
      <c r="K39" s="358">
        <f t="shared" ref="K39:K62" ca="1" si="13">IF(D39&lt;&gt;"",K38+G39-I39,0)</f>
        <v>0</v>
      </c>
      <c r="L39" s="358">
        <f t="shared" ref="L39:L62" ca="1" si="14">IF(D39&lt;&gt;"",L38+H39-J39,0)</f>
        <v>0</v>
      </c>
      <c r="M39" s="358"/>
      <c r="N39" s="348"/>
    </row>
    <row r="40" spans="1:14">
      <c r="A40" s="319" t="str">
        <f t="shared" ca="1" si="10"/>
        <v/>
      </c>
      <c r="B40" s="354" t="str">
        <f ca="1">IF(ROWS($1:27)&gt;COUNT(Dong11),"",OFFSET(TH!D$1,SMALL(Dong11,ROWS($1:27)),))</f>
        <v/>
      </c>
      <c r="C40" s="355" t="str">
        <f ca="1">IF(ROWS($1:27)&gt;COUNT(Dong11),"",OFFSET(TH!E$1,SMALL(Dong11,ROWS($1:27)),))</f>
        <v/>
      </c>
      <c r="D40" s="356" t="str">
        <f ca="1">IF(ROWS($1:27)&gt;COUNT(Dong11),"",OFFSET(TH!H$1,SMALL(Dong11,ROWS($1:27)),))</f>
        <v/>
      </c>
      <c r="E40" s="354" t="str">
        <f ca="1">IF(ROWS($1:27)&gt;COUNT(Dong11),"",IF(OFFSET(TH!L$1,SMALL(Dong11,ROWS($1:27)),)=$G$7,OFFSET(TH!M$1,SMALL(Dong11,ROWS($1:27)),),OFFSET(TH!L$1,SMALL(Dong11,ROWS($1:27)),)))</f>
        <v/>
      </c>
      <c r="F40" s="357">
        <f ca="1">IF(ROWS($1:27)&gt;COUNT(Dong11),0,OFFSET(TH!J$1,SMALL(Dong11,ROWS($1:27)),))</f>
        <v>0</v>
      </c>
      <c r="G40" s="357">
        <f ca="1">IF(ROWS($1:27)&gt;COUNT(Dong11),0,IF(MID(OFFSET(TH!D$1,SMALL(Dong11,ROWS($1:27)),),4,1)="N",OFFSET(TH!I$1,SMALL(Dong11,ROWS($1:27)),),0))</f>
        <v>0</v>
      </c>
      <c r="H40" s="358">
        <f t="shared" ca="1" si="11"/>
        <v>0</v>
      </c>
      <c r="I40" s="357">
        <f ca="1">IF(ROWS($1:27)&gt;COUNT(Dong11),0,IF(MID(OFFSET(TH!D$1,SMALL(Dong11,ROWS($1:27)),),4,1)="X",OFFSET(TH!I$1,SMALL(Dong11,ROWS($1:27)),),0))</f>
        <v>0</v>
      </c>
      <c r="J40" s="358">
        <f t="shared" ca="1" si="12"/>
        <v>0</v>
      </c>
      <c r="K40" s="358">
        <f t="shared" ca="1" si="13"/>
        <v>0</v>
      </c>
      <c r="L40" s="358">
        <f t="shared" ca="1" si="14"/>
        <v>0</v>
      </c>
      <c r="M40" s="358"/>
      <c r="N40" s="348"/>
    </row>
    <row r="41" spans="1:14">
      <c r="A41" s="319" t="str">
        <f t="shared" ca="1" si="10"/>
        <v/>
      </c>
      <c r="B41" s="354" t="str">
        <f ca="1">IF(ROWS($1:28)&gt;COUNT(Dong11),"",OFFSET(TH!D$1,SMALL(Dong11,ROWS($1:28)),))</f>
        <v/>
      </c>
      <c r="C41" s="355" t="str">
        <f ca="1">IF(ROWS($1:28)&gt;COUNT(Dong11),"",OFFSET(TH!E$1,SMALL(Dong11,ROWS($1:28)),))</f>
        <v/>
      </c>
      <c r="D41" s="356" t="str">
        <f ca="1">IF(ROWS($1:28)&gt;COUNT(Dong11),"",OFFSET(TH!H$1,SMALL(Dong11,ROWS($1:28)),))</f>
        <v/>
      </c>
      <c r="E41" s="354" t="str">
        <f ca="1">IF(ROWS($1:28)&gt;COUNT(Dong11),"",IF(OFFSET(TH!L$1,SMALL(Dong11,ROWS($1:28)),)=$G$7,OFFSET(TH!M$1,SMALL(Dong11,ROWS($1:28)),),OFFSET(TH!L$1,SMALL(Dong11,ROWS($1:28)),)))</f>
        <v/>
      </c>
      <c r="F41" s="357">
        <f ca="1">IF(ROWS($1:28)&gt;COUNT(Dong11),0,OFFSET(TH!J$1,SMALL(Dong11,ROWS($1:28)),))</f>
        <v>0</v>
      </c>
      <c r="G41" s="357">
        <f ca="1">IF(ROWS($1:28)&gt;COUNT(Dong11),0,IF(MID(OFFSET(TH!D$1,SMALL(Dong11,ROWS($1:28)),),4,1)="N",OFFSET(TH!I$1,SMALL(Dong11,ROWS($1:28)),),0))</f>
        <v>0</v>
      </c>
      <c r="H41" s="358">
        <f t="shared" ca="1" si="11"/>
        <v>0</v>
      </c>
      <c r="I41" s="357">
        <f ca="1">IF(ROWS($1:28)&gt;COUNT(Dong11),0,IF(MID(OFFSET(TH!D$1,SMALL(Dong11,ROWS($1:28)),),4,1)="X",OFFSET(TH!I$1,SMALL(Dong11,ROWS($1:28)),),0))</f>
        <v>0</v>
      </c>
      <c r="J41" s="358">
        <f t="shared" ca="1" si="12"/>
        <v>0</v>
      </c>
      <c r="K41" s="358">
        <f t="shared" ca="1" si="13"/>
        <v>0</v>
      </c>
      <c r="L41" s="358">
        <f t="shared" ca="1" si="14"/>
        <v>0</v>
      </c>
      <c r="M41" s="358"/>
      <c r="N41" s="348"/>
    </row>
    <row r="42" spans="1:14">
      <c r="A42" s="319" t="str">
        <f t="shared" ca="1" si="10"/>
        <v/>
      </c>
      <c r="B42" s="354" t="str">
        <f ca="1">IF(ROWS($1:29)&gt;COUNT(Dong11),"",OFFSET(TH!D$1,SMALL(Dong11,ROWS($1:29)),))</f>
        <v/>
      </c>
      <c r="C42" s="355" t="str">
        <f ca="1">IF(ROWS($1:29)&gt;COUNT(Dong11),"",OFFSET(TH!E$1,SMALL(Dong11,ROWS($1:29)),))</f>
        <v/>
      </c>
      <c r="D42" s="356" t="str">
        <f ca="1">IF(ROWS($1:29)&gt;COUNT(Dong11),"",OFFSET(TH!H$1,SMALL(Dong11,ROWS($1:29)),))</f>
        <v/>
      </c>
      <c r="E42" s="354" t="str">
        <f ca="1">IF(ROWS($1:29)&gt;COUNT(Dong11),"",IF(OFFSET(TH!L$1,SMALL(Dong11,ROWS($1:29)),)=$G$7,OFFSET(TH!M$1,SMALL(Dong11,ROWS($1:29)),),OFFSET(TH!L$1,SMALL(Dong11,ROWS($1:29)),)))</f>
        <v/>
      </c>
      <c r="F42" s="357">
        <f ca="1">IF(ROWS($1:29)&gt;COUNT(Dong11),0,OFFSET(TH!J$1,SMALL(Dong11,ROWS($1:29)),))</f>
        <v>0</v>
      </c>
      <c r="G42" s="357">
        <f ca="1">IF(ROWS($1:29)&gt;COUNT(Dong11),0,IF(MID(OFFSET(TH!D$1,SMALL(Dong11,ROWS($1:29)),),4,1)="N",OFFSET(TH!I$1,SMALL(Dong11,ROWS($1:29)),),0))</f>
        <v>0</v>
      </c>
      <c r="H42" s="358">
        <f t="shared" ca="1" si="11"/>
        <v>0</v>
      </c>
      <c r="I42" s="357">
        <f ca="1">IF(ROWS($1:29)&gt;COUNT(Dong11),0,IF(MID(OFFSET(TH!D$1,SMALL(Dong11,ROWS($1:29)),),4,1)="X",OFFSET(TH!I$1,SMALL(Dong11,ROWS($1:29)),),0))</f>
        <v>0</v>
      </c>
      <c r="J42" s="358">
        <f t="shared" ca="1" si="12"/>
        <v>0</v>
      </c>
      <c r="K42" s="358">
        <f t="shared" ca="1" si="13"/>
        <v>0</v>
      </c>
      <c r="L42" s="358">
        <f t="shared" ca="1" si="14"/>
        <v>0</v>
      </c>
      <c r="M42" s="358"/>
      <c r="N42" s="348"/>
    </row>
    <row r="43" spans="1:14">
      <c r="A43" s="319" t="str">
        <f t="shared" ca="1" si="10"/>
        <v/>
      </c>
      <c r="B43" s="354" t="str">
        <f ca="1">IF(ROWS($1:30)&gt;COUNT(Dong11),"",OFFSET(TH!D$1,SMALL(Dong11,ROWS($1:30)),))</f>
        <v/>
      </c>
      <c r="C43" s="355" t="str">
        <f ca="1">IF(ROWS($1:30)&gt;COUNT(Dong11),"",OFFSET(TH!E$1,SMALL(Dong11,ROWS($1:30)),))</f>
        <v/>
      </c>
      <c r="D43" s="356" t="str">
        <f ca="1">IF(ROWS($1:30)&gt;COUNT(Dong11),"",OFFSET(TH!H$1,SMALL(Dong11,ROWS($1:30)),))</f>
        <v/>
      </c>
      <c r="E43" s="354" t="str">
        <f ca="1">IF(ROWS($1:30)&gt;COUNT(Dong11),"",IF(OFFSET(TH!L$1,SMALL(Dong11,ROWS($1:30)),)=$G$7,OFFSET(TH!M$1,SMALL(Dong11,ROWS($1:30)),),OFFSET(TH!L$1,SMALL(Dong11,ROWS($1:30)),)))</f>
        <v/>
      </c>
      <c r="F43" s="357">
        <f ca="1">IF(ROWS($1:30)&gt;COUNT(Dong11),0,OFFSET(TH!J$1,SMALL(Dong11,ROWS($1:30)),))</f>
        <v>0</v>
      </c>
      <c r="G43" s="357">
        <f ca="1">IF(ROWS($1:30)&gt;COUNT(Dong11),0,IF(MID(OFFSET(TH!D$1,SMALL(Dong11,ROWS($1:30)),),4,1)="N",OFFSET(TH!I$1,SMALL(Dong11,ROWS($1:30)),),0))</f>
        <v>0</v>
      </c>
      <c r="H43" s="358">
        <f t="shared" ca="1" si="11"/>
        <v>0</v>
      </c>
      <c r="I43" s="357">
        <f ca="1">IF(ROWS($1:30)&gt;COUNT(Dong11),0,IF(MID(OFFSET(TH!D$1,SMALL(Dong11,ROWS($1:30)),),4,1)="X",OFFSET(TH!I$1,SMALL(Dong11,ROWS($1:30)),),0))</f>
        <v>0</v>
      </c>
      <c r="J43" s="358">
        <f t="shared" ca="1" si="12"/>
        <v>0</v>
      </c>
      <c r="K43" s="358">
        <f t="shared" ca="1" si="13"/>
        <v>0</v>
      </c>
      <c r="L43" s="358">
        <f t="shared" ca="1" si="14"/>
        <v>0</v>
      </c>
      <c r="M43" s="358"/>
      <c r="N43" s="348"/>
    </row>
    <row r="44" spans="1:14">
      <c r="A44" s="319" t="str">
        <f t="shared" ca="1" si="10"/>
        <v/>
      </c>
      <c r="B44" s="354" t="str">
        <f ca="1">IF(ROWS($1:31)&gt;COUNT(Dong11),"",OFFSET(TH!D$1,SMALL(Dong11,ROWS($1:31)),))</f>
        <v/>
      </c>
      <c r="C44" s="355" t="str">
        <f ca="1">IF(ROWS($1:31)&gt;COUNT(Dong11),"",OFFSET(TH!E$1,SMALL(Dong11,ROWS($1:31)),))</f>
        <v/>
      </c>
      <c r="D44" s="356" t="str">
        <f ca="1">IF(ROWS($1:31)&gt;COUNT(Dong11),"",OFFSET(TH!H$1,SMALL(Dong11,ROWS($1:31)),))</f>
        <v/>
      </c>
      <c r="E44" s="354" t="str">
        <f ca="1">IF(ROWS($1:31)&gt;COUNT(Dong11),"",IF(OFFSET(TH!L$1,SMALL(Dong11,ROWS($1:31)),)=$G$7,OFFSET(TH!M$1,SMALL(Dong11,ROWS($1:31)),),OFFSET(TH!L$1,SMALL(Dong11,ROWS($1:31)),)))</f>
        <v/>
      </c>
      <c r="F44" s="357">
        <f ca="1">IF(ROWS($1:31)&gt;COUNT(Dong11),0,OFFSET(TH!J$1,SMALL(Dong11,ROWS($1:31)),))</f>
        <v>0</v>
      </c>
      <c r="G44" s="357">
        <f ca="1">IF(ROWS($1:31)&gt;COUNT(Dong11),0,IF(MID(OFFSET(TH!D$1,SMALL(Dong11,ROWS($1:31)),),4,1)="N",OFFSET(TH!I$1,SMALL(Dong11,ROWS($1:31)),),0))</f>
        <v>0</v>
      </c>
      <c r="H44" s="358">
        <f t="shared" ca="1" si="11"/>
        <v>0</v>
      </c>
      <c r="I44" s="357">
        <f ca="1">IF(ROWS($1:31)&gt;COUNT(Dong11),0,IF(MID(OFFSET(TH!D$1,SMALL(Dong11,ROWS($1:31)),),4,1)="X",OFFSET(TH!I$1,SMALL(Dong11,ROWS($1:31)),),0))</f>
        <v>0</v>
      </c>
      <c r="J44" s="358">
        <f t="shared" ca="1" si="12"/>
        <v>0</v>
      </c>
      <c r="K44" s="358">
        <f t="shared" ca="1" si="13"/>
        <v>0</v>
      </c>
      <c r="L44" s="358">
        <f t="shared" ca="1" si="14"/>
        <v>0</v>
      </c>
      <c r="M44" s="358"/>
      <c r="N44" s="348"/>
    </row>
    <row r="45" spans="1:14">
      <c r="A45" s="319" t="str">
        <f t="shared" ca="1" si="10"/>
        <v/>
      </c>
      <c r="B45" s="354" t="str">
        <f ca="1">IF(ROWS($1:32)&gt;COUNT(Dong11),"",OFFSET(TH!D$1,SMALL(Dong11,ROWS($1:32)),))</f>
        <v/>
      </c>
      <c r="C45" s="355" t="str">
        <f ca="1">IF(ROWS($1:32)&gt;COUNT(Dong11),"",OFFSET(TH!E$1,SMALL(Dong11,ROWS($1:32)),))</f>
        <v/>
      </c>
      <c r="D45" s="356" t="str">
        <f ca="1">IF(ROWS($1:32)&gt;COUNT(Dong11),"",OFFSET(TH!H$1,SMALL(Dong11,ROWS($1:32)),))</f>
        <v/>
      </c>
      <c r="E45" s="354" t="str">
        <f ca="1">IF(ROWS($1:32)&gt;COUNT(Dong11),"",IF(OFFSET(TH!L$1,SMALL(Dong11,ROWS($1:32)),)=$G$7,OFFSET(TH!M$1,SMALL(Dong11,ROWS($1:32)),),OFFSET(TH!L$1,SMALL(Dong11,ROWS($1:32)),)))</f>
        <v/>
      </c>
      <c r="F45" s="357">
        <f ca="1">IF(ROWS($1:32)&gt;COUNT(Dong11),0,OFFSET(TH!J$1,SMALL(Dong11,ROWS($1:32)),))</f>
        <v>0</v>
      </c>
      <c r="G45" s="357">
        <f ca="1">IF(ROWS($1:32)&gt;COUNT(Dong11),0,IF(MID(OFFSET(TH!D$1,SMALL(Dong11,ROWS($1:32)),),4,1)="N",OFFSET(TH!I$1,SMALL(Dong11,ROWS($1:32)),),0))</f>
        <v>0</v>
      </c>
      <c r="H45" s="358">
        <f t="shared" ca="1" si="11"/>
        <v>0</v>
      </c>
      <c r="I45" s="357">
        <f ca="1">IF(ROWS($1:32)&gt;COUNT(Dong11),0,IF(MID(OFFSET(TH!D$1,SMALL(Dong11,ROWS($1:32)),),4,1)="X",OFFSET(TH!I$1,SMALL(Dong11,ROWS($1:32)),),0))</f>
        <v>0</v>
      </c>
      <c r="J45" s="358">
        <f t="shared" ca="1" si="12"/>
        <v>0</v>
      </c>
      <c r="K45" s="358">
        <f t="shared" ca="1" si="13"/>
        <v>0</v>
      </c>
      <c r="L45" s="358">
        <f t="shared" ca="1" si="14"/>
        <v>0</v>
      </c>
      <c r="M45" s="358"/>
      <c r="N45" s="348"/>
    </row>
    <row r="46" spans="1:14">
      <c r="A46" s="319" t="str">
        <f t="shared" ca="1" si="10"/>
        <v/>
      </c>
      <c r="B46" s="354" t="str">
        <f ca="1">IF(ROWS($1:33)&gt;COUNT(Dong11),"",OFFSET(TH!D$1,SMALL(Dong11,ROWS($1:33)),))</f>
        <v/>
      </c>
      <c r="C46" s="355" t="str">
        <f ca="1">IF(ROWS($1:33)&gt;COUNT(Dong11),"",OFFSET(TH!E$1,SMALL(Dong11,ROWS($1:33)),))</f>
        <v/>
      </c>
      <c r="D46" s="356" t="str">
        <f ca="1">IF(ROWS($1:33)&gt;COUNT(Dong11),"",OFFSET(TH!H$1,SMALL(Dong11,ROWS($1:33)),))</f>
        <v/>
      </c>
      <c r="E46" s="354" t="str">
        <f ca="1">IF(ROWS($1:33)&gt;COUNT(Dong11),"",IF(OFFSET(TH!L$1,SMALL(Dong11,ROWS($1:33)),)=$G$7,OFFSET(TH!M$1,SMALL(Dong11,ROWS($1:33)),),OFFSET(TH!L$1,SMALL(Dong11,ROWS($1:33)),)))</f>
        <v/>
      </c>
      <c r="F46" s="357">
        <f ca="1">IF(ROWS($1:33)&gt;COUNT(Dong11),0,OFFSET(TH!J$1,SMALL(Dong11,ROWS($1:33)),))</f>
        <v>0</v>
      </c>
      <c r="G46" s="357">
        <f ca="1">IF(ROWS($1:33)&gt;COUNT(Dong11),0,IF(MID(OFFSET(TH!D$1,SMALL(Dong11,ROWS($1:33)),),4,1)="N",OFFSET(TH!I$1,SMALL(Dong11,ROWS($1:33)),),0))</f>
        <v>0</v>
      </c>
      <c r="H46" s="358">
        <f t="shared" ca="1" si="11"/>
        <v>0</v>
      </c>
      <c r="I46" s="357">
        <f ca="1">IF(ROWS($1:33)&gt;COUNT(Dong11),0,IF(MID(OFFSET(TH!D$1,SMALL(Dong11,ROWS($1:33)),),4,1)="X",OFFSET(TH!I$1,SMALL(Dong11,ROWS($1:33)),),0))</f>
        <v>0</v>
      </c>
      <c r="J46" s="358">
        <f t="shared" ca="1" si="12"/>
        <v>0</v>
      </c>
      <c r="K46" s="358">
        <f t="shared" ca="1" si="13"/>
        <v>0</v>
      </c>
      <c r="L46" s="358">
        <f t="shared" ca="1" si="14"/>
        <v>0</v>
      </c>
      <c r="M46" s="358"/>
      <c r="N46" s="348"/>
    </row>
    <row r="47" spans="1:14">
      <c r="A47" s="319" t="str">
        <f t="shared" ca="1" si="10"/>
        <v/>
      </c>
      <c r="B47" s="354" t="str">
        <f ca="1">IF(ROWS($1:34)&gt;COUNT(Dong11),"",OFFSET(TH!D$1,SMALL(Dong11,ROWS($1:34)),))</f>
        <v/>
      </c>
      <c r="C47" s="355" t="str">
        <f ca="1">IF(ROWS($1:34)&gt;COUNT(Dong11),"",OFFSET(TH!E$1,SMALL(Dong11,ROWS($1:34)),))</f>
        <v/>
      </c>
      <c r="D47" s="356" t="str">
        <f ca="1">IF(ROWS($1:34)&gt;COUNT(Dong11),"",OFFSET(TH!H$1,SMALL(Dong11,ROWS($1:34)),))</f>
        <v/>
      </c>
      <c r="E47" s="354" t="str">
        <f ca="1">IF(ROWS($1:34)&gt;COUNT(Dong11),"",IF(OFFSET(TH!L$1,SMALL(Dong11,ROWS($1:34)),)=$G$7,OFFSET(TH!M$1,SMALL(Dong11,ROWS($1:34)),),OFFSET(TH!L$1,SMALL(Dong11,ROWS($1:34)),)))</f>
        <v/>
      </c>
      <c r="F47" s="357">
        <f ca="1">IF(ROWS($1:34)&gt;COUNT(Dong11),0,OFFSET(TH!J$1,SMALL(Dong11,ROWS($1:34)),))</f>
        <v>0</v>
      </c>
      <c r="G47" s="357">
        <f ca="1">IF(ROWS($1:34)&gt;COUNT(Dong11),0,IF(MID(OFFSET(TH!D$1,SMALL(Dong11,ROWS($1:34)),),4,1)="N",OFFSET(TH!I$1,SMALL(Dong11,ROWS($1:34)),),0))</f>
        <v>0</v>
      </c>
      <c r="H47" s="358">
        <f t="shared" ca="1" si="11"/>
        <v>0</v>
      </c>
      <c r="I47" s="357">
        <f ca="1">IF(ROWS($1:34)&gt;COUNT(Dong11),0,IF(MID(OFFSET(TH!D$1,SMALL(Dong11,ROWS($1:34)),),4,1)="X",OFFSET(TH!I$1,SMALL(Dong11,ROWS($1:34)),),0))</f>
        <v>0</v>
      </c>
      <c r="J47" s="358">
        <f t="shared" ca="1" si="12"/>
        <v>0</v>
      </c>
      <c r="K47" s="358">
        <f t="shared" ca="1" si="13"/>
        <v>0</v>
      </c>
      <c r="L47" s="358">
        <f t="shared" ca="1" si="14"/>
        <v>0</v>
      </c>
      <c r="M47" s="358"/>
      <c r="N47" s="348"/>
    </row>
    <row r="48" spans="1:14">
      <c r="A48" s="319" t="str">
        <f t="shared" ca="1" si="10"/>
        <v/>
      </c>
      <c r="B48" s="354" t="str">
        <f ca="1">IF(ROWS($1:35)&gt;COUNT(Dong11),"",OFFSET(TH!D$1,SMALL(Dong11,ROWS($1:35)),))</f>
        <v/>
      </c>
      <c r="C48" s="355" t="str">
        <f ca="1">IF(ROWS($1:35)&gt;COUNT(Dong11),"",OFFSET(TH!E$1,SMALL(Dong11,ROWS($1:35)),))</f>
        <v/>
      </c>
      <c r="D48" s="356" t="str">
        <f ca="1">IF(ROWS($1:35)&gt;COUNT(Dong11),"",OFFSET(TH!H$1,SMALL(Dong11,ROWS($1:35)),))</f>
        <v/>
      </c>
      <c r="E48" s="354" t="str">
        <f ca="1">IF(ROWS($1:35)&gt;COUNT(Dong11),"",IF(OFFSET(TH!L$1,SMALL(Dong11,ROWS($1:35)),)=$G$7,OFFSET(TH!M$1,SMALL(Dong11,ROWS($1:35)),),OFFSET(TH!L$1,SMALL(Dong11,ROWS($1:35)),)))</f>
        <v/>
      </c>
      <c r="F48" s="357">
        <f ca="1">IF(ROWS($1:35)&gt;COUNT(Dong11),0,OFFSET(TH!J$1,SMALL(Dong11,ROWS($1:35)),))</f>
        <v>0</v>
      </c>
      <c r="G48" s="357">
        <f ca="1">IF(ROWS($1:35)&gt;COUNT(Dong11),0,IF(MID(OFFSET(TH!D$1,SMALL(Dong11,ROWS($1:35)),),4,1)="N",OFFSET(TH!I$1,SMALL(Dong11,ROWS($1:35)),),0))</f>
        <v>0</v>
      </c>
      <c r="H48" s="358">
        <f t="shared" ca="1" si="11"/>
        <v>0</v>
      </c>
      <c r="I48" s="357">
        <f ca="1">IF(ROWS($1:35)&gt;COUNT(Dong11),0,IF(MID(OFFSET(TH!D$1,SMALL(Dong11,ROWS($1:35)),),4,1)="X",OFFSET(TH!I$1,SMALL(Dong11,ROWS($1:35)),),0))</f>
        <v>0</v>
      </c>
      <c r="J48" s="358">
        <f t="shared" ca="1" si="12"/>
        <v>0</v>
      </c>
      <c r="K48" s="358">
        <f t="shared" ca="1" si="13"/>
        <v>0</v>
      </c>
      <c r="L48" s="358">
        <f t="shared" ca="1" si="14"/>
        <v>0</v>
      </c>
      <c r="M48" s="358"/>
      <c r="N48" s="348"/>
    </row>
    <row r="49" spans="1:14">
      <c r="A49" s="319" t="str">
        <f t="shared" ca="1" si="10"/>
        <v/>
      </c>
      <c r="B49" s="354" t="str">
        <f ca="1">IF(ROWS($1:36)&gt;COUNT(Dong11),"",OFFSET(TH!D$1,SMALL(Dong11,ROWS($1:36)),))</f>
        <v/>
      </c>
      <c r="C49" s="355" t="str">
        <f ca="1">IF(ROWS($1:36)&gt;COUNT(Dong11),"",OFFSET(TH!E$1,SMALL(Dong11,ROWS($1:36)),))</f>
        <v/>
      </c>
      <c r="D49" s="356" t="str">
        <f ca="1">IF(ROWS($1:36)&gt;COUNT(Dong11),"",OFFSET(TH!H$1,SMALL(Dong11,ROWS($1:36)),))</f>
        <v/>
      </c>
      <c r="E49" s="354" t="str">
        <f ca="1">IF(ROWS($1:36)&gt;COUNT(Dong11),"",IF(OFFSET(TH!L$1,SMALL(Dong11,ROWS($1:36)),)=$G$7,OFFSET(TH!M$1,SMALL(Dong11,ROWS($1:36)),),OFFSET(TH!L$1,SMALL(Dong11,ROWS($1:36)),)))</f>
        <v/>
      </c>
      <c r="F49" s="357">
        <f ca="1">IF(ROWS($1:36)&gt;COUNT(Dong11),0,OFFSET(TH!J$1,SMALL(Dong11,ROWS($1:36)),))</f>
        <v>0</v>
      </c>
      <c r="G49" s="357">
        <f ca="1">IF(ROWS($1:36)&gt;COUNT(Dong11),0,IF(MID(OFFSET(TH!D$1,SMALL(Dong11,ROWS($1:36)),),4,1)="N",OFFSET(TH!I$1,SMALL(Dong11,ROWS($1:36)),),0))</f>
        <v>0</v>
      </c>
      <c r="H49" s="358">
        <f t="shared" ca="1" si="11"/>
        <v>0</v>
      </c>
      <c r="I49" s="357">
        <f ca="1">IF(ROWS($1:36)&gt;COUNT(Dong11),0,IF(MID(OFFSET(TH!D$1,SMALL(Dong11,ROWS($1:36)),),4,1)="X",OFFSET(TH!I$1,SMALL(Dong11,ROWS($1:36)),),0))</f>
        <v>0</v>
      </c>
      <c r="J49" s="358">
        <f t="shared" ca="1" si="12"/>
        <v>0</v>
      </c>
      <c r="K49" s="358">
        <f t="shared" ca="1" si="13"/>
        <v>0</v>
      </c>
      <c r="L49" s="358">
        <f t="shared" ca="1" si="14"/>
        <v>0</v>
      </c>
      <c r="M49" s="358"/>
      <c r="N49" s="348"/>
    </row>
    <row r="50" spans="1:14">
      <c r="A50" s="319" t="str">
        <f t="shared" ca="1" si="10"/>
        <v/>
      </c>
      <c r="B50" s="354" t="str">
        <f ca="1">IF(ROWS($1:37)&gt;COUNT(Dong11),"",OFFSET(TH!D$1,SMALL(Dong11,ROWS($1:37)),))</f>
        <v/>
      </c>
      <c r="C50" s="355" t="str">
        <f ca="1">IF(ROWS($1:37)&gt;COUNT(Dong11),"",OFFSET(TH!E$1,SMALL(Dong11,ROWS($1:37)),))</f>
        <v/>
      </c>
      <c r="D50" s="356" t="str">
        <f ca="1">IF(ROWS($1:37)&gt;COUNT(Dong11),"",OFFSET(TH!H$1,SMALL(Dong11,ROWS($1:37)),))</f>
        <v/>
      </c>
      <c r="E50" s="354" t="str">
        <f ca="1">IF(ROWS($1:37)&gt;COUNT(Dong11),"",IF(OFFSET(TH!L$1,SMALL(Dong11,ROWS($1:37)),)=$G$7,OFFSET(TH!M$1,SMALL(Dong11,ROWS($1:37)),),OFFSET(TH!L$1,SMALL(Dong11,ROWS($1:37)),)))</f>
        <v/>
      </c>
      <c r="F50" s="357">
        <f ca="1">IF(ROWS($1:37)&gt;COUNT(Dong11),0,OFFSET(TH!J$1,SMALL(Dong11,ROWS($1:37)),))</f>
        <v>0</v>
      </c>
      <c r="G50" s="357">
        <f ca="1">IF(ROWS($1:37)&gt;COUNT(Dong11),0,IF(MID(OFFSET(TH!D$1,SMALL(Dong11,ROWS($1:37)),),4,1)="N",OFFSET(TH!I$1,SMALL(Dong11,ROWS($1:37)),),0))</f>
        <v>0</v>
      </c>
      <c r="H50" s="358">
        <f t="shared" ca="1" si="11"/>
        <v>0</v>
      </c>
      <c r="I50" s="357">
        <f ca="1">IF(ROWS($1:37)&gt;COUNT(Dong11),0,IF(MID(OFFSET(TH!D$1,SMALL(Dong11,ROWS($1:37)),),4,1)="X",OFFSET(TH!I$1,SMALL(Dong11,ROWS($1:37)),),0))</f>
        <v>0</v>
      </c>
      <c r="J50" s="358">
        <f t="shared" ca="1" si="12"/>
        <v>0</v>
      </c>
      <c r="K50" s="358">
        <f t="shared" ca="1" si="13"/>
        <v>0</v>
      </c>
      <c r="L50" s="358">
        <f t="shared" ca="1" si="14"/>
        <v>0</v>
      </c>
      <c r="M50" s="358"/>
      <c r="N50" s="348"/>
    </row>
    <row r="51" spans="1:14">
      <c r="A51" s="319" t="str">
        <f t="shared" ca="1" si="10"/>
        <v/>
      </c>
      <c r="B51" s="354" t="str">
        <f ca="1">IF(ROWS($1:38)&gt;COUNT(Dong11),"",OFFSET(TH!D$1,SMALL(Dong11,ROWS($1:38)),))</f>
        <v/>
      </c>
      <c r="C51" s="355" t="str">
        <f ca="1">IF(ROWS($1:38)&gt;COUNT(Dong11),"",OFFSET(TH!E$1,SMALL(Dong11,ROWS($1:38)),))</f>
        <v/>
      </c>
      <c r="D51" s="356" t="str">
        <f ca="1">IF(ROWS($1:38)&gt;COUNT(Dong11),"",OFFSET(TH!H$1,SMALL(Dong11,ROWS($1:38)),))</f>
        <v/>
      </c>
      <c r="E51" s="354" t="str">
        <f ca="1">IF(ROWS($1:38)&gt;COUNT(Dong11),"",IF(OFFSET(TH!L$1,SMALL(Dong11,ROWS($1:38)),)=$G$7,OFFSET(TH!M$1,SMALL(Dong11,ROWS($1:38)),),OFFSET(TH!L$1,SMALL(Dong11,ROWS($1:38)),)))</f>
        <v/>
      </c>
      <c r="F51" s="357">
        <f ca="1">IF(ROWS($1:38)&gt;COUNT(Dong11),0,OFFSET(TH!J$1,SMALL(Dong11,ROWS($1:38)),))</f>
        <v>0</v>
      </c>
      <c r="G51" s="357">
        <f ca="1">IF(ROWS($1:38)&gt;COUNT(Dong11),0,IF(MID(OFFSET(TH!D$1,SMALL(Dong11,ROWS($1:38)),),4,1)="N",OFFSET(TH!I$1,SMALL(Dong11,ROWS($1:38)),),0))</f>
        <v>0</v>
      </c>
      <c r="H51" s="358">
        <f t="shared" ca="1" si="11"/>
        <v>0</v>
      </c>
      <c r="I51" s="357">
        <f ca="1">IF(ROWS($1:38)&gt;COUNT(Dong11),0,IF(MID(OFFSET(TH!D$1,SMALL(Dong11,ROWS($1:38)),),4,1)="X",OFFSET(TH!I$1,SMALL(Dong11,ROWS($1:38)),),0))</f>
        <v>0</v>
      </c>
      <c r="J51" s="358">
        <f t="shared" ca="1" si="12"/>
        <v>0</v>
      </c>
      <c r="K51" s="358">
        <f t="shared" ca="1" si="13"/>
        <v>0</v>
      </c>
      <c r="L51" s="358">
        <f t="shared" ca="1" si="14"/>
        <v>0</v>
      </c>
      <c r="M51" s="358"/>
      <c r="N51" s="348"/>
    </row>
    <row r="52" spans="1:14">
      <c r="A52" s="319" t="str">
        <f t="shared" ca="1" si="10"/>
        <v/>
      </c>
      <c r="B52" s="354" t="str">
        <f ca="1">IF(ROWS($1:39)&gt;COUNT(Dong11),"",OFFSET(TH!D$1,SMALL(Dong11,ROWS($1:39)),))</f>
        <v/>
      </c>
      <c r="C52" s="355" t="str">
        <f ca="1">IF(ROWS($1:39)&gt;COUNT(Dong11),"",OFFSET(TH!E$1,SMALL(Dong11,ROWS($1:39)),))</f>
        <v/>
      </c>
      <c r="D52" s="356" t="str">
        <f ca="1">IF(ROWS($1:39)&gt;COUNT(Dong11),"",OFFSET(TH!H$1,SMALL(Dong11,ROWS($1:39)),))</f>
        <v/>
      </c>
      <c r="E52" s="354" t="str">
        <f ca="1">IF(ROWS($1:39)&gt;COUNT(Dong11),"",IF(OFFSET(TH!L$1,SMALL(Dong11,ROWS($1:39)),)=$G$7,OFFSET(TH!M$1,SMALL(Dong11,ROWS($1:39)),),OFFSET(TH!L$1,SMALL(Dong11,ROWS($1:39)),)))</f>
        <v/>
      </c>
      <c r="F52" s="357">
        <f ca="1">IF(ROWS($1:39)&gt;COUNT(Dong11),0,OFFSET(TH!J$1,SMALL(Dong11,ROWS($1:39)),))</f>
        <v>0</v>
      </c>
      <c r="G52" s="357">
        <f ca="1">IF(ROWS($1:39)&gt;COUNT(Dong11),0,IF(MID(OFFSET(TH!D$1,SMALL(Dong11,ROWS($1:39)),),4,1)="N",OFFSET(TH!I$1,SMALL(Dong11,ROWS($1:39)),),0))</f>
        <v>0</v>
      </c>
      <c r="H52" s="358">
        <f t="shared" ca="1" si="11"/>
        <v>0</v>
      </c>
      <c r="I52" s="357">
        <f ca="1">IF(ROWS($1:39)&gt;COUNT(Dong11),0,IF(MID(OFFSET(TH!D$1,SMALL(Dong11,ROWS($1:39)),),4,1)="X",OFFSET(TH!I$1,SMALL(Dong11,ROWS($1:39)),),0))</f>
        <v>0</v>
      </c>
      <c r="J52" s="358">
        <f t="shared" ca="1" si="12"/>
        <v>0</v>
      </c>
      <c r="K52" s="358">
        <f t="shared" ca="1" si="13"/>
        <v>0</v>
      </c>
      <c r="L52" s="358">
        <f t="shared" ca="1" si="14"/>
        <v>0</v>
      </c>
      <c r="M52" s="358"/>
      <c r="N52" s="348"/>
    </row>
    <row r="53" spans="1:14">
      <c r="A53" s="319" t="str">
        <f t="shared" ca="1" si="10"/>
        <v/>
      </c>
      <c r="B53" s="354" t="str">
        <f ca="1">IF(ROWS($1:40)&gt;COUNT(Dong11),"",OFFSET(TH!D$1,SMALL(Dong11,ROWS($1:40)),))</f>
        <v/>
      </c>
      <c r="C53" s="355" t="str">
        <f ca="1">IF(ROWS($1:40)&gt;COUNT(Dong11),"",OFFSET(TH!E$1,SMALL(Dong11,ROWS($1:40)),))</f>
        <v/>
      </c>
      <c r="D53" s="356" t="str">
        <f ca="1">IF(ROWS($1:40)&gt;COUNT(Dong11),"",OFFSET(TH!H$1,SMALL(Dong11,ROWS($1:40)),))</f>
        <v/>
      </c>
      <c r="E53" s="354" t="str">
        <f ca="1">IF(ROWS($1:40)&gt;COUNT(Dong11),"",IF(OFFSET(TH!L$1,SMALL(Dong11,ROWS($1:40)),)=$G$7,OFFSET(TH!M$1,SMALL(Dong11,ROWS($1:40)),),OFFSET(TH!L$1,SMALL(Dong11,ROWS($1:40)),)))</f>
        <v/>
      </c>
      <c r="F53" s="357">
        <f ca="1">IF(ROWS($1:40)&gt;COUNT(Dong11),0,OFFSET(TH!J$1,SMALL(Dong11,ROWS($1:40)),))</f>
        <v>0</v>
      </c>
      <c r="G53" s="357">
        <f ca="1">IF(ROWS($1:40)&gt;COUNT(Dong11),0,IF(MID(OFFSET(TH!D$1,SMALL(Dong11,ROWS($1:40)),),4,1)="N",OFFSET(TH!I$1,SMALL(Dong11,ROWS($1:40)),),0))</f>
        <v>0</v>
      </c>
      <c r="H53" s="358">
        <f t="shared" ca="1" si="11"/>
        <v>0</v>
      </c>
      <c r="I53" s="357">
        <f ca="1">IF(ROWS($1:40)&gt;COUNT(Dong11),0,IF(MID(OFFSET(TH!D$1,SMALL(Dong11,ROWS($1:40)),),4,1)="X",OFFSET(TH!I$1,SMALL(Dong11,ROWS($1:40)),),0))</f>
        <v>0</v>
      </c>
      <c r="J53" s="358">
        <f t="shared" ca="1" si="12"/>
        <v>0</v>
      </c>
      <c r="K53" s="358">
        <f t="shared" ca="1" si="13"/>
        <v>0</v>
      </c>
      <c r="L53" s="358">
        <f t="shared" ca="1" si="14"/>
        <v>0</v>
      </c>
      <c r="M53" s="358"/>
      <c r="N53" s="348"/>
    </row>
    <row r="54" spans="1:14">
      <c r="A54" s="319" t="str">
        <f t="shared" ca="1" si="10"/>
        <v/>
      </c>
      <c r="B54" s="354" t="str">
        <f ca="1">IF(ROWS($1:41)&gt;COUNT(Dong11),"",OFFSET(TH!D$1,SMALL(Dong11,ROWS($1:41)),))</f>
        <v/>
      </c>
      <c r="C54" s="355" t="str">
        <f ca="1">IF(ROWS($1:41)&gt;COUNT(Dong11),"",OFFSET(TH!E$1,SMALL(Dong11,ROWS($1:41)),))</f>
        <v/>
      </c>
      <c r="D54" s="356" t="str">
        <f ca="1">IF(ROWS($1:41)&gt;COUNT(Dong11),"",OFFSET(TH!H$1,SMALL(Dong11,ROWS($1:41)),))</f>
        <v/>
      </c>
      <c r="E54" s="354" t="str">
        <f ca="1">IF(ROWS($1:41)&gt;COUNT(Dong11),"",IF(OFFSET(TH!L$1,SMALL(Dong11,ROWS($1:41)),)=$G$7,OFFSET(TH!M$1,SMALL(Dong11,ROWS($1:41)),),OFFSET(TH!L$1,SMALL(Dong11,ROWS($1:41)),)))</f>
        <v/>
      </c>
      <c r="F54" s="357">
        <f ca="1">IF(ROWS($1:41)&gt;COUNT(Dong11),0,OFFSET(TH!J$1,SMALL(Dong11,ROWS($1:41)),))</f>
        <v>0</v>
      </c>
      <c r="G54" s="357">
        <f ca="1">IF(ROWS($1:41)&gt;COUNT(Dong11),0,IF(MID(OFFSET(TH!D$1,SMALL(Dong11,ROWS($1:41)),),4,1)="N",OFFSET(TH!I$1,SMALL(Dong11,ROWS($1:41)),),0))</f>
        <v>0</v>
      </c>
      <c r="H54" s="358">
        <f t="shared" ca="1" si="11"/>
        <v>0</v>
      </c>
      <c r="I54" s="357">
        <f ca="1">IF(ROWS($1:41)&gt;COUNT(Dong11),0,IF(MID(OFFSET(TH!D$1,SMALL(Dong11,ROWS($1:41)),),4,1)="X",OFFSET(TH!I$1,SMALL(Dong11,ROWS($1:41)),),0))</f>
        <v>0</v>
      </c>
      <c r="J54" s="358">
        <f t="shared" ca="1" si="12"/>
        <v>0</v>
      </c>
      <c r="K54" s="358">
        <f t="shared" ca="1" si="13"/>
        <v>0</v>
      </c>
      <c r="L54" s="358">
        <f t="shared" ca="1" si="14"/>
        <v>0</v>
      </c>
      <c r="M54" s="358"/>
      <c r="N54" s="348"/>
    </row>
    <row r="55" spans="1:14">
      <c r="A55" s="319" t="str">
        <f t="shared" ca="1" si="10"/>
        <v/>
      </c>
      <c r="B55" s="354" t="str">
        <f ca="1">IF(ROWS($1:42)&gt;COUNT(Dong11),"",OFFSET(TH!D$1,SMALL(Dong11,ROWS($1:42)),))</f>
        <v/>
      </c>
      <c r="C55" s="355" t="str">
        <f ca="1">IF(ROWS($1:42)&gt;COUNT(Dong11),"",OFFSET(TH!E$1,SMALL(Dong11,ROWS($1:42)),))</f>
        <v/>
      </c>
      <c r="D55" s="356" t="str">
        <f ca="1">IF(ROWS($1:42)&gt;COUNT(Dong11),"",OFFSET(TH!H$1,SMALL(Dong11,ROWS($1:42)),))</f>
        <v/>
      </c>
      <c r="E55" s="354" t="str">
        <f ca="1">IF(ROWS($1:42)&gt;COUNT(Dong11),"",IF(OFFSET(TH!L$1,SMALL(Dong11,ROWS($1:42)),)=$G$7,OFFSET(TH!M$1,SMALL(Dong11,ROWS($1:42)),),OFFSET(TH!L$1,SMALL(Dong11,ROWS($1:42)),)))</f>
        <v/>
      </c>
      <c r="F55" s="357">
        <f ca="1">IF(ROWS($1:42)&gt;COUNT(Dong11),0,OFFSET(TH!J$1,SMALL(Dong11,ROWS($1:42)),))</f>
        <v>0</v>
      </c>
      <c r="G55" s="357">
        <f ca="1">IF(ROWS($1:42)&gt;COUNT(Dong11),0,IF(MID(OFFSET(TH!D$1,SMALL(Dong11,ROWS($1:42)),),4,1)="N",OFFSET(TH!I$1,SMALL(Dong11,ROWS($1:42)),),0))</f>
        <v>0</v>
      </c>
      <c r="H55" s="358">
        <f t="shared" ca="1" si="11"/>
        <v>0</v>
      </c>
      <c r="I55" s="357">
        <f ca="1">IF(ROWS($1:42)&gt;COUNT(Dong11),0,IF(MID(OFFSET(TH!D$1,SMALL(Dong11,ROWS($1:42)),),4,1)="X",OFFSET(TH!I$1,SMALL(Dong11,ROWS($1:42)),),0))</f>
        <v>0</v>
      </c>
      <c r="J55" s="358">
        <f t="shared" ca="1" si="12"/>
        <v>0</v>
      </c>
      <c r="K55" s="358">
        <f t="shared" ca="1" si="13"/>
        <v>0</v>
      </c>
      <c r="L55" s="358">
        <f t="shared" ca="1" si="14"/>
        <v>0</v>
      </c>
      <c r="M55" s="358"/>
      <c r="N55" s="348"/>
    </row>
    <row r="56" spans="1:14">
      <c r="A56" s="319" t="str">
        <f t="shared" ca="1" si="10"/>
        <v/>
      </c>
      <c r="B56" s="354" t="str">
        <f ca="1">IF(ROWS($1:43)&gt;COUNT(Dong11),"",OFFSET(TH!D$1,SMALL(Dong11,ROWS($1:43)),))</f>
        <v/>
      </c>
      <c r="C56" s="355" t="str">
        <f ca="1">IF(ROWS($1:43)&gt;COUNT(Dong11),"",OFFSET(TH!E$1,SMALL(Dong11,ROWS($1:43)),))</f>
        <v/>
      </c>
      <c r="D56" s="356" t="str">
        <f ca="1">IF(ROWS($1:43)&gt;COUNT(Dong11),"",OFFSET(TH!H$1,SMALL(Dong11,ROWS($1:43)),))</f>
        <v/>
      </c>
      <c r="E56" s="354" t="str">
        <f ca="1">IF(ROWS($1:43)&gt;COUNT(Dong11),"",IF(OFFSET(TH!L$1,SMALL(Dong11,ROWS($1:43)),)=$G$7,OFFSET(TH!M$1,SMALL(Dong11,ROWS($1:43)),),OFFSET(TH!L$1,SMALL(Dong11,ROWS($1:43)),)))</f>
        <v/>
      </c>
      <c r="F56" s="357">
        <f ca="1">IF(ROWS($1:43)&gt;COUNT(Dong11),0,OFFSET(TH!J$1,SMALL(Dong11,ROWS($1:43)),))</f>
        <v>0</v>
      </c>
      <c r="G56" s="357">
        <f ca="1">IF(ROWS($1:43)&gt;COUNT(Dong11),0,IF(MID(OFFSET(TH!D$1,SMALL(Dong11,ROWS($1:43)),),4,1)="N",OFFSET(TH!I$1,SMALL(Dong11,ROWS($1:43)),),0))</f>
        <v>0</v>
      </c>
      <c r="H56" s="358">
        <f t="shared" ca="1" si="11"/>
        <v>0</v>
      </c>
      <c r="I56" s="357">
        <f ca="1">IF(ROWS($1:43)&gt;COUNT(Dong11),0,IF(MID(OFFSET(TH!D$1,SMALL(Dong11,ROWS($1:43)),),4,1)="X",OFFSET(TH!I$1,SMALL(Dong11,ROWS($1:43)),),0))</f>
        <v>0</v>
      </c>
      <c r="J56" s="358">
        <f t="shared" ca="1" si="12"/>
        <v>0</v>
      </c>
      <c r="K56" s="358">
        <f t="shared" ca="1" si="13"/>
        <v>0</v>
      </c>
      <c r="L56" s="358">
        <f t="shared" ca="1" si="14"/>
        <v>0</v>
      </c>
      <c r="M56" s="358"/>
      <c r="N56" s="348"/>
    </row>
    <row r="57" spans="1:14">
      <c r="A57" s="319" t="str">
        <f t="shared" ca="1" si="10"/>
        <v/>
      </c>
      <c r="B57" s="354" t="str">
        <f ca="1">IF(ROWS($1:44)&gt;COUNT(Dong11),"",OFFSET(TH!D$1,SMALL(Dong11,ROWS($1:44)),))</f>
        <v/>
      </c>
      <c r="C57" s="355" t="str">
        <f ca="1">IF(ROWS($1:44)&gt;COUNT(Dong11),"",OFFSET(TH!E$1,SMALL(Dong11,ROWS($1:44)),))</f>
        <v/>
      </c>
      <c r="D57" s="356" t="str">
        <f ca="1">IF(ROWS($1:44)&gt;COUNT(Dong11),"",OFFSET(TH!H$1,SMALL(Dong11,ROWS($1:44)),))</f>
        <v/>
      </c>
      <c r="E57" s="354" t="str">
        <f ca="1">IF(ROWS($1:44)&gt;COUNT(Dong11),"",IF(OFFSET(TH!L$1,SMALL(Dong11,ROWS($1:44)),)=$G$7,OFFSET(TH!M$1,SMALL(Dong11,ROWS($1:44)),),OFFSET(TH!L$1,SMALL(Dong11,ROWS($1:44)),)))</f>
        <v/>
      </c>
      <c r="F57" s="357">
        <f ca="1">IF(ROWS($1:44)&gt;COUNT(Dong11),0,OFFSET(TH!J$1,SMALL(Dong11,ROWS($1:44)),))</f>
        <v>0</v>
      </c>
      <c r="G57" s="357">
        <f ca="1">IF(ROWS($1:44)&gt;COUNT(Dong11),0,IF(MID(OFFSET(TH!D$1,SMALL(Dong11,ROWS($1:44)),),4,1)="N",OFFSET(TH!I$1,SMALL(Dong11,ROWS($1:44)),),0))</f>
        <v>0</v>
      </c>
      <c r="H57" s="358">
        <f t="shared" ca="1" si="11"/>
        <v>0</v>
      </c>
      <c r="I57" s="357">
        <f ca="1">IF(ROWS($1:44)&gt;COUNT(Dong11),0,IF(MID(OFFSET(TH!D$1,SMALL(Dong11,ROWS($1:44)),),4,1)="X",OFFSET(TH!I$1,SMALL(Dong11,ROWS($1:44)),),0))</f>
        <v>0</v>
      </c>
      <c r="J57" s="358">
        <f t="shared" ca="1" si="12"/>
        <v>0</v>
      </c>
      <c r="K57" s="358">
        <f t="shared" ca="1" si="13"/>
        <v>0</v>
      </c>
      <c r="L57" s="358">
        <f t="shared" ca="1" si="14"/>
        <v>0</v>
      </c>
      <c r="M57" s="358"/>
      <c r="N57" s="348"/>
    </row>
    <row r="58" spans="1:14">
      <c r="A58" s="319" t="str">
        <f t="shared" ca="1" si="10"/>
        <v/>
      </c>
      <c r="B58" s="354" t="str">
        <f ca="1">IF(ROWS($1:45)&gt;COUNT(Dong11),"",OFFSET(TH!D$1,SMALL(Dong11,ROWS($1:45)),))</f>
        <v/>
      </c>
      <c r="C58" s="355" t="str">
        <f ca="1">IF(ROWS($1:45)&gt;COUNT(Dong11),"",OFFSET(TH!E$1,SMALL(Dong11,ROWS($1:45)),))</f>
        <v/>
      </c>
      <c r="D58" s="356" t="str">
        <f ca="1">IF(ROWS($1:45)&gt;COUNT(Dong11),"",OFFSET(TH!H$1,SMALL(Dong11,ROWS($1:45)),))</f>
        <v/>
      </c>
      <c r="E58" s="354" t="str">
        <f ca="1">IF(ROWS($1:45)&gt;COUNT(Dong11),"",IF(OFFSET(TH!L$1,SMALL(Dong11,ROWS($1:45)),)=$G$7,OFFSET(TH!M$1,SMALL(Dong11,ROWS($1:45)),),OFFSET(TH!L$1,SMALL(Dong11,ROWS($1:45)),)))</f>
        <v/>
      </c>
      <c r="F58" s="357">
        <f ca="1">IF(ROWS($1:45)&gt;COUNT(Dong11),0,OFFSET(TH!J$1,SMALL(Dong11,ROWS($1:45)),))</f>
        <v>0</v>
      </c>
      <c r="G58" s="357">
        <f ca="1">IF(ROWS($1:45)&gt;COUNT(Dong11),0,IF(MID(OFFSET(TH!D$1,SMALL(Dong11,ROWS($1:45)),),4,1)="N",OFFSET(TH!I$1,SMALL(Dong11,ROWS($1:45)),),0))</f>
        <v>0</v>
      </c>
      <c r="H58" s="358">
        <f t="shared" ca="1" si="11"/>
        <v>0</v>
      </c>
      <c r="I58" s="357">
        <f ca="1">IF(ROWS($1:45)&gt;COUNT(Dong11),0,IF(MID(OFFSET(TH!D$1,SMALL(Dong11,ROWS($1:45)),),4,1)="X",OFFSET(TH!I$1,SMALL(Dong11,ROWS($1:45)),),0))</f>
        <v>0</v>
      </c>
      <c r="J58" s="358">
        <f t="shared" ca="1" si="12"/>
        <v>0</v>
      </c>
      <c r="K58" s="358">
        <f t="shared" ca="1" si="13"/>
        <v>0</v>
      </c>
      <c r="L58" s="358">
        <f t="shared" ca="1" si="14"/>
        <v>0</v>
      </c>
      <c r="M58" s="358"/>
      <c r="N58" s="348"/>
    </row>
    <row r="59" spans="1:14">
      <c r="A59" s="319" t="str">
        <f t="shared" ca="1" si="10"/>
        <v/>
      </c>
      <c r="B59" s="354" t="str">
        <f ca="1">IF(ROWS($1:46)&gt;COUNT(Dong11),"",OFFSET(TH!D$1,SMALL(Dong11,ROWS($1:46)),))</f>
        <v/>
      </c>
      <c r="C59" s="355" t="str">
        <f ca="1">IF(ROWS($1:46)&gt;COUNT(Dong11),"",OFFSET(TH!E$1,SMALL(Dong11,ROWS($1:46)),))</f>
        <v/>
      </c>
      <c r="D59" s="356" t="str">
        <f ca="1">IF(ROWS($1:46)&gt;COUNT(Dong11),"",OFFSET(TH!H$1,SMALL(Dong11,ROWS($1:46)),))</f>
        <v/>
      </c>
      <c r="E59" s="354" t="str">
        <f ca="1">IF(ROWS($1:46)&gt;COUNT(Dong11),"",IF(OFFSET(TH!L$1,SMALL(Dong11,ROWS($1:46)),)=$G$7,OFFSET(TH!M$1,SMALL(Dong11,ROWS($1:46)),),OFFSET(TH!L$1,SMALL(Dong11,ROWS($1:46)),)))</f>
        <v/>
      </c>
      <c r="F59" s="357">
        <f ca="1">IF(ROWS($1:46)&gt;COUNT(Dong11),0,OFFSET(TH!J$1,SMALL(Dong11,ROWS($1:46)),))</f>
        <v>0</v>
      </c>
      <c r="G59" s="357">
        <f ca="1">IF(ROWS($1:46)&gt;COUNT(Dong11),0,IF(MID(OFFSET(TH!D$1,SMALL(Dong11,ROWS($1:46)),),4,1)="N",OFFSET(TH!I$1,SMALL(Dong11,ROWS($1:46)),),0))</f>
        <v>0</v>
      </c>
      <c r="H59" s="358">
        <f t="shared" ca="1" si="11"/>
        <v>0</v>
      </c>
      <c r="I59" s="357">
        <f ca="1">IF(ROWS($1:46)&gt;COUNT(Dong11),0,IF(MID(OFFSET(TH!D$1,SMALL(Dong11,ROWS($1:46)),),4,1)="X",OFFSET(TH!I$1,SMALL(Dong11,ROWS($1:46)),),0))</f>
        <v>0</v>
      </c>
      <c r="J59" s="358">
        <f t="shared" ca="1" si="12"/>
        <v>0</v>
      </c>
      <c r="K59" s="358">
        <f t="shared" ca="1" si="13"/>
        <v>0</v>
      </c>
      <c r="L59" s="358">
        <f t="shared" ca="1" si="14"/>
        <v>0</v>
      </c>
      <c r="M59" s="358"/>
      <c r="N59" s="348"/>
    </row>
    <row r="60" spans="1:14">
      <c r="A60" s="319" t="str">
        <f t="shared" ca="1" si="10"/>
        <v/>
      </c>
      <c r="B60" s="354" t="str">
        <f ca="1">IF(ROWS($1:47)&gt;COUNT(Dong11),"",OFFSET(TH!D$1,SMALL(Dong11,ROWS($1:47)),))</f>
        <v/>
      </c>
      <c r="C60" s="355" t="str">
        <f ca="1">IF(ROWS($1:47)&gt;COUNT(Dong11),"",OFFSET(TH!E$1,SMALL(Dong11,ROWS($1:47)),))</f>
        <v/>
      </c>
      <c r="D60" s="356" t="str">
        <f ca="1">IF(ROWS($1:47)&gt;COUNT(Dong11),"",OFFSET(TH!H$1,SMALL(Dong11,ROWS($1:47)),))</f>
        <v/>
      </c>
      <c r="E60" s="354" t="str">
        <f ca="1">IF(ROWS($1:47)&gt;COUNT(Dong11),"",IF(OFFSET(TH!L$1,SMALL(Dong11,ROWS($1:47)),)=$G$7,OFFSET(TH!M$1,SMALL(Dong11,ROWS($1:47)),),OFFSET(TH!L$1,SMALL(Dong11,ROWS($1:47)),)))</f>
        <v/>
      </c>
      <c r="F60" s="357">
        <f ca="1">IF(ROWS($1:47)&gt;COUNT(Dong11),0,OFFSET(TH!J$1,SMALL(Dong11,ROWS($1:47)),))</f>
        <v>0</v>
      </c>
      <c r="G60" s="357">
        <f ca="1">IF(ROWS($1:47)&gt;COUNT(Dong11),0,IF(MID(OFFSET(TH!D$1,SMALL(Dong11,ROWS($1:47)),),4,1)="N",OFFSET(TH!I$1,SMALL(Dong11,ROWS($1:47)),),0))</f>
        <v>0</v>
      </c>
      <c r="H60" s="358">
        <f t="shared" ca="1" si="11"/>
        <v>0</v>
      </c>
      <c r="I60" s="357">
        <f ca="1">IF(ROWS($1:47)&gt;COUNT(Dong11),0,IF(MID(OFFSET(TH!D$1,SMALL(Dong11,ROWS($1:47)),),4,1)="X",OFFSET(TH!I$1,SMALL(Dong11,ROWS($1:47)),),0))</f>
        <v>0</v>
      </c>
      <c r="J60" s="358">
        <f t="shared" ca="1" si="12"/>
        <v>0</v>
      </c>
      <c r="K60" s="358">
        <f t="shared" ca="1" si="13"/>
        <v>0</v>
      </c>
      <c r="L60" s="358">
        <f t="shared" ca="1" si="14"/>
        <v>0</v>
      </c>
      <c r="M60" s="358"/>
      <c r="N60" s="348"/>
    </row>
    <row r="61" spans="1:14">
      <c r="A61" s="319" t="str">
        <f t="shared" ca="1" si="10"/>
        <v/>
      </c>
      <c r="B61" s="354" t="str">
        <f ca="1">IF(ROWS($1:48)&gt;COUNT(Dong11),"",OFFSET(TH!D$1,SMALL(Dong11,ROWS($1:48)),))</f>
        <v/>
      </c>
      <c r="C61" s="355" t="str">
        <f ca="1">IF(ROWS($1:48)&gt;COUNT(Dong11),"",OFFSET(TH!E$1,SMALL(Dong11,ROWS($1:48)),))</f>
        <v/>
      </c>
      <c r="D61" s="356" t="str">
        <f ca="1">IF(ROWS($1:48)&gt;COUNT(Dong11),"",OFFSET(TH!H$1,SMALL(Dong11,ROWS($1:48)),))</f>
        <v/>
      </c>
      <c r="E61" s="354" t="str">
        <f ca="1">IF(ROWS($1:48)&gt;COUNT(Dong11),"",IF(OFFSET(TH!L$1,SMALL(Dong11,ROWS($1:48)),)=$G$7,OFFSET(TH!M$1,SMALL(Dong11,ROWS($1:48)),),OFFSET(TH!L$1,SMALL(Dong11,ROWS($1:48)),)))</f>
        <v/>
      </c>
      <c r="F61" s="357">
        <f ca="1">IF(ROWS($1:48)&gt;COUNT(Dong11),0,OFFSET(TH!J$1,SMALL(Dong11,ROWS($1:48)),))</f>
        <v>0</v>
      </c>
      <c r="G61" s="357">
        <f ca="1">IF(ROWS($1:48)&gt;COUNT(Dong11),0,IF(MID(OFFSET(TH!D$1,SMALL(Dong11,ROWS($1:48)),),4,1)="N",OFFSET(TH!I$1,SMALL(Dong11,ROWS($1:48)),),0))</f>
        <v>0</v>
      </c>
      <c r="H61" s="358">
        <f t="shared" ca="1" si="11"/>
        <v>0</v>
      </c>
      <c r="I61" s="357">
        <f ca="1">IF(ROWS($1:48)&gt;COUNT(Dong11),0,IF(MID(OFFSET(TH!D$1,SMALL(Dong11,ROWS($1:48)),),4,1)="X",OFFSET(TH!I$1,SMALL(Dong11,ROWS($1:48)),),0))</f>
        <v>0</v>
      </c>
      <c r="J61" s="358">
        <f t="shared" ca="1" si="12"/>
        <v>0</v>
      </c>
      <c r="K61" s="358">
        <f t="shared" ca="1" si="13"/>
        <v>0</v>
      </c>
      <c r="L61" s="358">
        <f t="shared" ca="1" si="14"/>
        <v>0</v>
      </c>
      <c r="M61" s="358"/>
      <c r="N61" s="348"/>
    </row>
    <row r="62" spans="1:14">
      <c r="A62" s="319" t="str">
        <f t="shared" ca="1" si="10"/>
        <v/>
      </c>
      <c r="B62" s="354" t="str">
        <f ca="1">IF(ROWS($1:49)&gt;COUNT(Dong11),"",OFFSET(TH!D$1,SMALL(Dong11,ROWS($1:49)),))</f>
        <v/>
      </c>
      <c r="C62" s="355" t="str">
        <f ca="1">IF(ROWS($1:49)&gt;COUNT(Dong11),"",OFFSET(TH!E$1,SMALL(Dong11,ROWS($1:49)),))</f>
        <v/>
      </c>
      <c r="D62" s="356" t="str">
        <f ca="1">IF(ROWS($1:49)&gt;COUNT(Dong11),"",OFFSET(TH!H$1,SMALL(Dong11,ROWS($1:49)),))</f>
        <v/>
      </c>
      <c r="E62" s="354" t="str">
        <f ca="1">IF(ROWS($1:49)&gt;COUNT(Dong11),"",IF(OFFSET(TH!L$1,SMALL(Dong11,ROWS($1:49)),)=$G$7,OFFSET(TH!M$1,SMALL(Dong11,ROWS($1:49)),),OFFSET(TH!L$1,SMALL(Dong11,ROWS($1:49)),)))</f>
        <v/>
      </c>
      <c r="F62" s="357">
        <f ca="1">IF(ROWS($1:49)&gt;COUNT(Dong11),0,OFFSET(TH!J$1,SMALL(Dong11,ROWS($1:49)),))</f>
        <v>0</v>
      </c>
      <c r="G62" s="357">
        <f ca="1">IF(ROWS($1:49)&gt;COUNT(Dong11),0,IF(MID(OFFSET(TH!D$1,SMALL(Dong11,ROWS($1:49)),),4,1)="N",OFFSET(TH!I$1,SMALL(Dong11,ROWS($1:49)),),0))</f>
        <v>0</v>
      </c>
      <c r="H62" s="358">
        <f t="shared" ca="1" si="11"/>
        <v>0</v>
      </c>
      <c r="I62" s="357">
        <f ca="1">IF(ROWS($1:49)&gt;COUNT(Dong11),0,IF(MID(OFFSET(TH!D$1,SMALL(Dong11,ROWS($1:49)),),4,1)="X",OFFSET(TH!I$1,SMALL(Dong11,ROWS($1:49)),),0))</f>
        <v>0</v>
      </c>
      <c r="J62" s="358">
        <f t="shared" ca="1" si="12"/>
        <v>0</v>
      </c>
      <c r="K62" s="358">
        <f t="shared" ca="1" si="13"/>
        <v>0</v>
      </c>
      <c r="L62" s="358">
        <f t="shared" ca="1" si="14"/>
        <v>0</v>
      </c>
      <c r="M62" s="358"/>
      <c r="N62" s="348"/>
    </row>
    <row r="63" spans="1:14">
      <c r="A63" s="319" t="str">
        <f t="shared" ref="A63:A72" ca="1" si="15">IF(B63="","",A62+1)</f>
        <v/>
      </c>
      <c r="B63" s="354" t="str">
        <f ca="1">IF(ROWS($1:50)&gt;COUNT(Dong11),"",OFFSET(TH!D$1,SMALL(Dong11,ROWS($1:50)),))</f>
        <v/>
      </c>
      <c r="C63" s="355" t="str">
        <f ca="1">IF(ROWS($1:50)&gt;COUNT(Dong11),"",OFFSET(TH!E$1,SMALL(Dong11,ROWS($1:50)),))</f>
        <v/>
      </c>
      <c r="D63" s="356" t="str">
        <f ca="1">IF(ROWS($1:50)&gt;COUNT(Dong11),"",OFFSET(TH!H$1,SMALL(Dong11,ROWS($1:50)),))</f>
        <v/>
      </c>
      <c r="E63" s="354" t="str">
        <f ca="1">IF(ROWS($1:50)&gt;COUNT(Dong11),"",IF(OFFSET(TH!L$1,SMALL(Dong11,ROWS($1:50)),)=$G$7,OFFSET(TH!M$1,SMALL(Dong11,ROWS($1:50)),),OFFSET(TH!L$1,SMALL(Dong11,ROWS($1:50)),)))</f>
        <v/>
      </c>
      <c r="F63" s="357">
        <f ca="1">IF(ROWS($1:50)&gt;COUNT(Dong11),0,OFFSET(TH!J$1,SMALL(Dong11,ROWS($1:50)),))</f>
        <v>0</v>
      </c>
      <c r="G63" s="357">
        <f ca="1">IF(ROWS($1:50)&gt;COUNT(Dong11),0,IF(MID(OFFSET(TH!D$1,SMALL(Dong11,ROWS($1:50)),),4,1)="N",OFFSET(TH!I$1,SMALL(Dong11,ROWS($1:50)),),0))</f>
        <v>0</v>
      </c>
      <c r="H63" s="358">
        <f t="shared" ref="H63:H72" ca="1" si="16">ROUND(F63*G63,0)</f>
        <v>0</v>
      </c>
      <c r="I63" s="357">
        <f ca="1">IF(ROWS($1:50)&gt;COUNT(Dong11),0,IF(MID(OFFSET(TH!D$1,SMALL(Dong11,ROWS($1:50)),),4,1)="X",OFFSET(TH!I$1,SMALL(Dong11,ROWS($1:50)),),0))</f>
        <v>0</v>
      </c>
      <c r="J63" s="358">
        <f t="shared" ref="J63:J72" ca="1" si="17">ROUND(F63*I63,0)</f>
        <v>0</v>
      </c>
      <c r="K63" s="358">
        <f t="shared" ref="K63:K72" ca="1" si="18">IF(D63&lt;&gt;"",K62+G63-I63,0)</f>
        <v>0</v>
      </c>
      <c r="L63" s="358">
        <f t="shared" ref="L63:L72" ca="1" si="19">IF(D63&lt;&gt;"",L62+H63-J63,0)</f>
        <v>0</v>
      </c>
      <c r="M63" s="358"/>
      <c r="N63" s="348"/>
    </row>
    <row r="64" spans="1:14">
      <c r="A64" s="319" t="str">
        <f t="shared" ca="1" si="15"/>
        <v/>
      </c>
      <c r="B64" s="354" t="str">
        <f ca="1">IF(ROWS($1:51)&gt;COUNT(Dong11),"",OFFSET(TH!D$1,SMALL(Dong11,ROWS($1:51)),))</f>
        <v/>
      </c>
      <c r="C64" s="355" t="str">
        <f ca="1">IF(ROWS($1:51)&gt;COUNT(Dong11),"",OFFSET(TH!E$1,SMALL(Dong11,ROWS($1:51)),))</f>
        <v/>
      </c>
      <c r="D64" s="356" t="str">
        <f ca="1">IF(ROWS($1:51)&gt;COUNT(Dong11),"",OFFSET(TH!H$1,SMALL(Dong11,ROWS($1:51)),))</f>
        <v/>
      </c>
      <c r="E64" s="354" t="str">
        <f ca="1">IF(ROWS($1:51)&gt;COUNT(Dong11),"",IF(OFFSET(TH!L$1,SMALL(Dong11,ROWS($1:51)),)=$G$7,OFFSET(TH!M$1,SMALL(Dong11,ROWS($1:51)),),OFFSET(TH!L$1,SMALL(Dong11,ROWS($1:51)),)))</f>
        <v/>
      </c>
      <c r="F64" s="357">
        <f ca="1">IF(ROWS($1:51)&gt;COUNT(Dong11),0,OFFSET(TH!J$1,SMALL(Dong11,ROWS($1:51)),))</f>
        <v>0</v>
      </c>
      <c r="G64" s="357">
        <f ca="1">IF(ROWS($1:51)&gt;COUNT(Dong11),0,IF(MID(OFFSET(TH!D$1,SMALL(Dong11,ROWS($1:51)),),4,1)="N",OFFSET(TH!I$1,SMALL(Dong11,ROWS($1:51)),),0))</f>
        <v>0</v>
      </c>
      <c r="H64" s="358">
        <f t="shared" ca="1" si="16"/>
        <v>0</v>
      </c>
      <c r="I64" s="357">
        <f ca="1">IF(ROWS($1:51)&gt;COUNT(Dong11),0,IF(MID(OFFSET(TH!D$1,SMALL(Dong11,ROWS($1:51)),),4,1)="X",OFFSET(TH!I$1,SMALL(Dong11,ROWS($1:51)),),0))</f>
        <v>0</v>
      </c>
      <c r="J64" s="358">
        <f t="shared" ca="1" si="17"/>
        <v>0</v>
      </c>
      <c r="K64" s="358">
        <f t="shared" ca="1" si="18"/>
        <v>0</v>
      </c>
      <c r="L64" s="358">
        <f t="shared" ca="1" si="19"/>
        <v>0</v>
      </c>
      <c r="M64" s="358"/>
      <c r="N64" s="348"/>
    </row>
    <row r="65" spans="1:14">
      <c r="A65" s="319" t="str">
        <f t="shared" ca="1" si="15"/>
        <v/>
      </c>
      <c r="B65" s="354" t="str">
        <f ca="1">IF(ROWS($1:52)&gt;COUNT(Dong11),"",OFFSET(TH!D$1,SMALL(Dong11,ROWS($1:52)),))</f>
        <v/>
      </c>
      <c r="C65" s="355" t="str">
        <f ca="1">IF(ROWS($1:52)&gt;COUNT(Dong11),"",OFFSET(TH!E$1,SMALL(Dong11,ROWS($1:52)),))</f>
        <v/>
      </c>
      <c r="D65" s="356" t="str">
        <f ca="1">IF(ROWS($1:52)&gt;COUNT(Dong11),"",OFFSET(TH!H$1,SMALL(Dong11,ROWS($1:52)),))</f>
        <v/>
      </c>
      <c r="E65" s="354" t="str">
        <f ca="1">IF(ROWS($1:52)&gt;COUNT(Dong11),"",IF(OFFSET(TH!L$1,SMALL(Dong11,ROWS($1:52)),)=$G$7,OFFSET(TH!M$1,SMALL(Dong11,ROWS($1:52)),),OFFSET(TH!L$1,SMALL(Dong11,ROWS($1:52)),)))</f>
        <v/>
      </c>
      <c r="F65" s="357">
        <f ca="1">IF(ROWS($1:52)&gt;COUNT(Dong11),0,OFFSET(TH!J$1,SMALL(Dong11,ROWS($1:52)),))</f>
        <v>0</v>
      </c>
      <c r="G65" s="357">
        <f ca="1">IF(ROWS($1:52)&gt;COUNT(Dong11),0,IF(MID(OFFSET(TH!D$1,SMALL(Dong11,ROWS($1:52)),),4,1)="N",OFFSET(TH!I$1,SMALL(Dong11,ROWS($1:52)),),0))</f>
        <v>0</v>
      </c>
      <c r="H65" s="358">
        <f t="shared" ca="1" si="16"/>
        <v>0</v>
      </c>
      <c r="I65" s="357">
        <f ca="1">IF(ROWS($1:52)&gt;COUNT(Dong11),0,IF(MID(OFFSET(TH!D$1,SMALL(Dong11,ROWS($1:52)),),4,1)="X",OFFSET(TH!I$1,SMALL(Dong11,ROWS($1:52)),),0))</f>
        <v>0</v>
      </c>
      <c r="J65" s="358">
        <f t="shared" ca="1" si="17"/>
        <v>0</v>
      </c>
      <c r="K65" s="358">
        <f t="shared" ca="1" si="18"/>
        <v>0</v>
      </c>
      <c r="L65" s="358">
        <f t="shared" ca="1" si="19"/>
        <v>0</v>
      </c>
      <c r="M65" s="358"/>
      <c r="N65" s="348"/>
    </row>
    <row r="66" spans="1:14">
      <c r="A66" s="319" t="str">
        <f t="shared" ca="1" si="15"/>
        <v/>
      </c>
      <c r="B66" s="354" t="str">
        <f ca="1">IF(ROWS($1:53)&gt;COUNT(Dong11),"",OFFSET(TH!D$1,SMALL(Dong11,ROWS($1:53)),))</f>
        <v/>
      </c>
      <c r="C66" s="355" t="str">
        <f ca="1">IF(ROWS($1:53)&gt;COUNT(Dong11),"",OFFSET(TH!E$1,SMALL(Dong11,ROWS($1:53)),))</f>
        <v/>
      </c>
      <c r="D66" s="356" t="str">
        <f ca="1">IF(ROWS($1:53)&gt;COUNT(Dong11),"",OFFSET(TH!H$1,SMALL(Dong11,ROWS($1:53)),))</f>
        <v/>
      </c>
      <c r="E66" s="354" t="str">
        <f ca="1">IF(ROWS($1:53)&gt;COUNT(Dong11),"",IF(OFFSET(TH!L$1,SMALL(Dong11,ROWS($1:53)),)=$G$7,OFFSET(TH!M$1,SMALL(Dong11,ROWS($1:53)),),OFFSET(TH!L$1,SMALL(Dong11,ROWS($1:53)),)))</f>
        <v/>
      </c>
      <c r="F66" s="357">
        <f ca="1">IF(ROWS($1:53)&gt;COUNT(Dong11),0,OFFSET(TH!J$1,SMALL(Dong11,ROWS($1:53)),))</f>
        <v>0</v>
      </c>
      <c r="G66" s="357">
        <f ca="1">IF(ROWS($1:53)&gt;COUNT(Dong11),0,IF(MID(OFFSET(TH!D$1,SMALL(Dong11,ROWS($1:53)),),4,1)="N",OFFSET(TH!I$1,SMALL(Dong11,ROWS($1:53)),),0))</f>
        <v>0</v>
      </c>
      <c r="H66" s="358">
        <f t="shared" ca="1" si="16"/>
        <v>0</v>
      </c>
      <c r="I66" s="357">
        <f ca="1">IF(ROWS($1:53)&gt;COUNT(Dong11),0,IF(MID(OFFSET(TH!D$1,SMALL(Dong11,ROWS($1:53)),),4,1)="X",OFFSET(TH!I$1,SMALL(Dong11,ROWS($1:53)),),0))</f>
        <v>0</v>
      </c>
      <c r="J66" s="358">
        <f t="shared" ca="1" si="17"/>
        <v>0</v>
      </c>
      <c r="K66" s="358">
        <f t="shared" ca="1" si="18"/>
        <v>0</v>
      </c>
      <c r="L66" s="358">
        <f t="shared" ca="1" si="19"/>
        <v>0</v>
      </c>
      <c r="M66" s="358"/>
      <c r="N66" s="348"/>
    </row>
    <row r="67" spans="1:14">
      <c r="A67" s="319" t="str">
        <f t="shared" ca="1" si="15"/>
        <v/>
      </c>
      <c r="B67" s="354" t="str">
        <f ca="1">IF(ROWS($1:54)&gt;COUNT(Dong11),"",OFFSET(TH!D$1,SMALL(Dong11,ROWS($1:54)),))</f>
        <v/>
      </c>
      <c r="C67" s="355" t="str">
        <f ca="1">IF(ROWS($1:54)&gt;COUNT(Dong11),"",OFFSET(TH!E$1,SMALL(Dong11,ROWS($1:54)),))</f>
        <v/>
      </c>
      <c r="D67" s="356" t="str">
        <f ca="1">IF(ROWS($1:54)&gt;COUNT(Dong11),"",OFFSET(TH!H$1,SMALL(Dong11,ROWS($1:54)),))</f>
        <v/>
      </c>
      <c r="E67" s="354" t="str">
        <f ca="1">IF(ROWS($1:54)&gt;COUNT(Dong11),"",IF(OFFSET(TH!L$1,SMALL(Dong11,ROWS($1:54)),)=$G$7,OFFSET(TH!M$1,SMALL(Dong11,ROWS($1:54)),),OFFSET(TH!L$1,SMALL(Dong11,ROWS($1:54)),)))</f>
        <v/>
      </c>
      <c r="F67" s="357">
        <f ca="1">IF(ROWS($1:54)&gt;COUNT(Dong11),0,OFFSET(TH!J$1,SMALL(Dong11,ROWS($1:54)),))</f>
        <v>0</v>
      </c>
      <c r="G67" s="357">
        <f ca="1">IF(ROWS($1:54)&gt;COUNT(Dong11),0,IF(MID(OFFSET(TH!D$1,SMALL(Dong11,ROWS($1:54)),),4,1)="N",OFFSET(TH!I$1,SMALL(Dong11,ROWS($1:54)),),0))</f>
        <v>0</v>
      </c>
      <c r="H67" s="358">
        <f t="shared" ca="1" si="16"/>
        <v>0</v>
      </c>
      <c r="I67" s="357">
        <f ca="1">IF(ROWS($1:54)&gt;COUNT(Dong11),0,IF(MID(OFFSET(TH!D$1,SMALL(Dong11,ROWS($1:54)),),4,1)="X",OFFSET(TH!I$1,SMALL(Dong11,ROWS($1:54)),),0))</f>
        <v>0</v>
      </c>
      <c r="J67" s="358">
        <f t="shared" ca="1" si="17"/>
        <v>0</v>
      </c>
      <c r="K67" s="358">
        <f t="shared" ca="1" si="18"/>
        <v>0</v>
      </c>
      <c r="L67" s="358">
        <f t="shared" ca="1" si="19"/>
        <v>0</v>
      </c>
      <c r="M67" s="358"/>
      <c r="N67" s="348"/>
    </row>
    <row r="68" spans="1:14">
      <c r="A68" s="319" t="str">
        <f t="shared" ca="1" si="15"/>
        <v/>
      </c>
      <c r="B68" s="354" t="str">
        <f ca="1">IF(ROWS($1:55)&gt;COUNT(Dong11),"",OFFSET(TH!D$1,SMALL(Dong11,ROWS($1:55)),))</f>
        <v/>
      </c>
      <c r="C68" s="355" t="str">
        <f ca="1">IF(ROWS($1:55)&gt;COUNT(Dong11),"",OFFSET(TH!E$1,SMALL(Dong11,ROWS($1:55)),))</f>
        <v/>
      </c>
      <c r="D68" s="356" t="str">
        <f ca="1">IF(ROWS($1:55)&gt;COUNT(Dong11),"",OFFSET(TH!H$1,SMALL(Dong11,ROWS($1:55)),))</f>
        <v/>
      </c>
      <c r="E68" s="354" t="str">
        <f ca="1">IF(ROWS($1:55)&gt;COUNT(Dong11),"",IF(OFFSET(TH!L$1,SMALL(Dong11,ROWS($1:55)),)=$G$7,OFFSET(TH!M$1,SMALL(Dong11,ROWS($1:55)),),OFFSET(TH!L$1,SMALL(Dong11,ROWS($1:55)),)))</f>
        <v/>
      </c>
      <c r="F68" s="357">
        <f ca="1">IF(ROWS($1:55)&gt;COUNT(Dong11),0,OFFSET(TH!J$1,SMALL(Dong11,ROWS($1:55)),))</f>
        <v>0</v>
      </c>
      <c r="G68" s="357">
        <f ca="1">IF(ROWS($1:55)&gt;COUNT(Dong11),0,IF(MID(OFFSET(TH!D$1,SMALL(Dong11,ROWS($1:55)),),4,1)="N",OFFSET(TH!I$1,SMALL(Dong11,ROWS($1:55)),),0))</f>
        <v>0</v>
      </c>
      <c r="H68" s="358">
        <f t="shared" ca="1" si="16"/>
        <v>0</v>
      </c>
      <c r="I68" s="357">
        <f ca="1">IF(ROWS($1:55)&gt;COUNT(Dong11),0,IF(MID(OFFSET(TH!D$1,SMALL(Dong11,ROWS($1:55)),),4,1)="X",OFFSET(TH!I$1,SMALL(Dong11,ROWS($1:55)),),0))</f>
        <v>0</v>
      </c>
      <c r="J68" s="358">
        <f t="shared" ca="1" si="17"/>
        <v>0</v>
      </c>
      <c r="K68" s="358">
        <f t="shared" ca="1" si="18"/>
        <v>0</v>
      </c>
      <c r="L68" s="358">
        <f t="shared" ca="1" si="19"/>
        <v>0</v>
      </c>
      <c r="M68" s="358"/>
      <c r="N68" s="348"/>
    </row>
    <row r="69" spans="1:14">
      <c r="A69" s="319" t="str">
        <f t="shared" ca="1" si="15"/>
        <v/>
      </c>
      <c r="B69" s="354" t="str">
        <f ca="1">IF(ROWS($1:56)&gt;COUNT(Dong11),"",OFFSET(TH!D$1,SMALL(Dong11,ROWS($1:56)),))</f>
        <v/>
      </c>
      <c r="C69" s="355" t="str">
        <f ca="1">IF(ROWS($1:56)&gt;COUNT(Dong11),"",OFFSET(TH!E$1,SMALL(Dong11,ROWS($1:56)),))</f>
        <v/>
      </c>
      <c r="D69" s="356" t="str">
        <f ca="1">IF(ROWS($1:56)&gt;COUNT(Dong11),"",OFFSET(TH!H$1,SMALL(Dong11,ROWS($1:56)),))</f>
        <v/>
      </c>
      <c r="E69" s="354" t="str">
        <f ca="1">IF(ROWS($1:56)&gt;COUNT(Dong11),"",IF(OFFSET(TH!L$1,SMALL(Dong11,ROWS($1:56)),)=$G$7,OFFSET(TH!M$1,SMALL(Dong11,ROWS($1:56)),),OFFSET(TH!L$1,SMALL(Dong11,ROWS($1:56)),)))</f>
        <v/>
      </c>
      <c r="F69" s="357">
        <f ca="1">IF(ROWS($1:56)&gt;COUNT(Dong11),0,OFFSET(TH!J$1,SMALL(Dong11,ROWS($1:56)),))</f>
        <v>0</v>
      </c>
      <c r="G69" s="357">
        <f ca="1">IF(ROWS($1:56)&gt;COUNT(Dong11),0,IF(MID(OFFSET(TH!D$1,SMALL(Dong11,ROWS($1:56)),),4,1)="N",OFFSET(TH!I$1,SMALL(Dong11,ROWS($1:56)),),0))</f>
        <v>0</v>
      </c>
      <c r="H69" s="358">
        <f t="shared" ca="1" si="16"/>
        <v>0</v>
      </c>
      <c r="I69" s="357">
        <f ca="1">IF(ROWS($1:56)&gt;COUNT(Dong11),0,IF(MID(OFFSET(TH!D$1,SMALL(Dong11,ROWS($1:56)),),4,1)="X",OFFSET(TH!I$1,SMALL(Dong11,ROWS($1:56)),),0))</f>
        <v>0</v>
      </c>
      <c r="J69" s="358">
        <f t="shared" ca="1" si="17"/>
        <v>0</v>
      </c>
      <c r="K69" s="358">
        <f t="shared" ca="1" si="18"/>
        <v>0</v>
      </c>
      <c r="L69" s="358">
        <f t="shared" ca="1" si="19"/>
        <v>0</v>
      </c>
      <c r="M69" s="358"/>
      <c r="N69" s="348"/>
    </row>
    <row r="70" spans="1:14">
      <c r="A70" s="319" t="str">
        <f t="shared" ca="1" si="15"/>
        <v/>
      </c>
      <c r="B70" s="354" t="str">
        <f ca="1">IF(ROWS($1:57)&gt;COUNT(Dong11),"",OFFSET(TH!D$1,SMALL(Dong11,ROWS($1:57)),))</f>
        <v/>
      </c>
      <c r="C70" s="355" t="str">
        <f ca="1">IF(ROWS($1:57)&gt;COUNT(Dong11),"",OFFSET(TH!E$1,SMALL(Dong11,ROWS($1:57)),))</f>
        <v/>
      </c>
      <c r="D70" s="356" t="str">
        <f ca="1">IF(ROWS($1:57)&gt;COUNT(Dong11),"",OFFSET(TH!H$1,SMALL(Dong11,ROWS($1:57)),))</f>
        <v/>
      </c>
      <c r="E70" s="354" t="str">
        <f ca="1">IF(ROWS($1:57)&gt;COUNT(Dong11),"",IF(OFFSET(TH!L$1,SMALL(Dong11,ROWS($1:57)),)=$G$7,OFFSET(TH!M$1,SMALL(Dong11,ROWS($1:57)),),OFFSET(TH!L$1,SMALL(Dong11,ROWS($1:57)),)))</f>
        <v/>
      </c>
      <c r="F70" s="357">
        <f ca="1">IF(ROWS($1:57)&gt;COUNT(Dong11),0,OFFSET(TH!J$1,SMALL(Dong11,ROWS($1:57)),))</f>
        <v>0</v>
      </c>
      <c r="G70" s="357">
        <f ca="1">IF(ROWS($1:57)&gt;COUNT(Dong11),0,IF(MID(OFFSET(TH!D$1,SMALL(Dong11,ROWS($1:57)),),4,1)="N",OFFSET(TH!I$1,SMALL(Dong11,ROWS($1:57)),),0))</f>
        <v>0</v>
      </c>
      <c r="H70" s="358">
        <f t="shared" ca="1" si="16"/>
        <v>0</v>
      </c>
      <c r="I70" s="357">
        <f ca="1">IF(ROWS($1:57)&gt;COUNT(Dong11),0,IF(MID(OFFSET(TH!D$1,SMALL(Dong11,ROWS($1:57)),),4,1)="X",OFFSET(TH!I$1,SMALL(Dong11,ROWS($1:57)),),0))</f>
        <v>0</v>
      </c>
      <c r="J70" s="358">
        <f t="shared" ca="1" si="17"/>
        <v>0</v>
      </c>
      <c r="K70" s="358">
        <f t="shared" ca="1" si="18"/>
        <v>0</v>
      </c>
      <c r="L70" s="358">
        <f t="shared" ca="1" si="19"/>
        <v>0</v>
      </c>
      <c r="M70" s="358"/>
      <c r="N70" s="348"/>
    </row>
    <row r="71" spans="1:14">
      <c r="A71" s="319" t="str">
        <f t="shared" ca="1" si="15"/>
        <v/>
      </c>
      <c r="B71" s="354" t="str">
        <f ca="1">IF(ROWS($1:58)&gt;COUNT(Dong11),"",OFFSET(TH!D$1,SMALL(Dong11,ROWS($1:58)),))</f>
        <v/>
      </c>
      <c r="C71" s="355" t="str">
        <f ca="1">IF(ROWS($1:58)&gt;COUNT(Dong11),"",OFFSET(TH!E$1,SMALL(Dong11,ROWS($1:58)),))</f>
        <v/>
      </c>
      <c r="D71" s="356" t="str">
        <f ca="1">IF(ROWS($1:58)&gt;COUNT(Dong11),"",OFFSET(TH!H$1,SMALL(Dong11,ROWS($1:58)),))</f>
        <v/>
      </c>
      <c r="E71" s="354" t="str">
        <f ca="1">IF(ROWS($1:58)&gt;COUNT(Dong11),"",IF(OFFSET(TH!L$1,SMALL(Dong11,ROWS($1:58)),)=$G$7,OFFSET(TH!M$1,SMALL(Dong11,ROWS($1:58)),),OFFSET(TH!L$1,SMALL(Dong11,ROWS($1:58)),)))</f>
        <v/>
      </c>
      <c r="F71" s="357">
        <f ca="1">IF(ROWS($1:58)&gt;COUNT(Dong11),0,OFFSET(TH!J$1,SMALL(Dong11,ROWS($1:58)),))</f>
        <v>0</v>
      </c>
      <c r="G71" s="357">
        <f ca="1">IF(ROWS($1:58)&gt;COUNT(Dong11),0,IF(MID(OFFSET(TH!D$1,SMALL(Dong11,ROWS($1:58)),),4,1)="N",OFFSET(TH!I$1,SMALL(Dong11,ROWS($1:58)),),0))</f>
        <v>0</v>
      </c>
      <c r="H71" s="358">
        <f t="shared" ca="1" si="16"/>
        <v>0</v>
      </c>
      <c r="I71" s="357">
        <f ca="1">IF(ROWS($1:58)&gt;COUNT(Dong11),0,IF(MID(OFFSET(TH!D$1,SMALL(Dong11,ROWS($1:58)),),4,1)="X",OFFSET(TH!I$1,SMALL(Dong11,ROWS($1:58)),),0))</f>
        <v>0</v>
      </c>
      <c r="J71" s="358">
        <f t="shared" ca="1" si="17"/>
        <v>0</v>
      </c>
      <c r="K71" s="358">
        <f t="shared" ca="1" si="18"/>
        <v>0</v>
      </c>
      <c r="L71" s="358">
        <f t="shared" ca="1" si="19"/>
        <v>0</v>
      </c>
      <c r="M71" s="358"/>
      <c r="N71" s="348"/>
    </row>
    <row r="72" spans="1:14">
      <c r="A72" s="319" t="str">
        <f t="shared" ca="1" si="15"/>
        <v/>
      </c>
      <c r="B72" s="354" t="str">
        <f ca="1">IF(ROWS($1:59)&gt;COUNT(Dong11),"",OFFSET(TH!D$1,SMALL(Dong11,ROWS($1:59)),))</f>
        <v/>
      </c>
      <c r="C72" s="355" t="str">
        <f ca="1">IF(ROWS($1:59)&gt;COUNT(Dong11),"",OFFSET(TH!E$1,SMALL(Dong11,ROWS($1:59)),))</f>
        <v/>
      </c>
      <c r="D72" s="356" t="str">
        <f ca="1">IF(ROWS($1:59)&gt;COUNT(Dong11),"",OFFSET(TH!H$1,SMALL(Dong11,ROWS($1:59)),))</f>
        <v/>
      </c>
      <c r="E72" s="354" t="str">
        <f ca="1">IF(ROWS($1:59)&gt;COUNT(Dong11),"",IF(OFFSET(TH!L$1,SMALL(Dong11,ROWS($1:59)),)=$G$7,OFFSET(TH!M$1,SMALL(Dong11,ROWS($1:59)),),OFFSET(TH!L$1,SMALL(Dong11,ROWS($1:59)),)))</f>
        <v/>
      </c>
      <c r="F72" s="357">
        <f ca="1">IF(ROWS($1:59)&gt;COUNT(Dong11),0,OFFSET(TH!J$1,SMALL(Dong11,ROWS($1:59)),))</f>
        <v>0</v>
      </c>
      <c r="G72" s="357">
        <f ca="1">IF(ROWS($1:59)&gt;COUNT(Dong11),0,IF(MID(OFFSET(TH!D$1,SMALL(Dong11,ROWS($1:59)),),4,1)="N",OFFSET(TH!I$1,SMALL(Dong11,ROWS($1:59)),),0))</f>
        <v>0</v>
      </c>
      <c r="H72" s="358">
        <f t="shared" ca="1" si="16"/>
        <v>0</v>
      </c>
      <c r="I72" s="357">
        <f ca="1">IF(ROWS($1:59)&gt;COUNT(Dong11),0,IF(MID(OFFSET(TH!D$1,SMALL(Dong11,ROWS($1:59)),),4,1)="X",OFFSET(TH!I$1,SMALL(Dong11,ROWS($1:59)),),0))</f>
        <v>0</v>
      </c>
      <c r="J72" s="358">
        <f t="shared" ca="1" si="17"/>
        <v>0</v>
      </c>
      <c r="K72" s="358">
        <f t="shared" ca="1" si="18"/>
        <v>0</v>
      </c>
      <c r="L72" s="358">
        <f t="shared" ca="1" si="19"/>
        <v>0</v>
      </c>
      <c r="M72" s="358"/>
      <c r="N72" s="348"/>
    </row>
    <row r="73" spans="1:14">
      <c r="A73" s="319" t="str">
        <f>IF(B73="","",#REF!+1)</f>
        <v/>
      </c>
      <c r="B73" s="361"/>
      <c r="C73" s="362"/>
      <c r="D73" s="356"/>
      <c r="E73" s="363"/>
      <c r="F73" s="364"/>
      <c r="G73" s="350"/>
      <c r="H73" s="350"/>
      <c r="I73" s="350"/>
      <c r="J73" s="350"/>
      <c r="K73" s="350"/>
      <c r="L73" s="350"/>
      <c r="M73" s="365"/>
      <c r="N73" s="348"/>
    </row>
    <row r="74" spans="1:14">
      <c r="A74" s="366"/>
      <c r="B74" s="366"/>
      <c r="C74" s="366"/>
      <c r="D74" s="366" t="s">
        <v>225</v>
      </c>
      <c r="E74" s="346" t="s">
        <v>19</v>
      </c>
      <c r="F74" s="346" t="s">
        <v>19</v>
      </c>
      <c r="G74" s="367">
        <f ca="1">SUM(G14:G73)</f>
        <v>0</v>
      </c>
      <c r="H74" s="367">
        <f ca="1">SUM(H14:H73)</f>
        <v>0</v>
      </c>
      <c r="I74" s="367">
        <f ca="1">SUM(I14:I73)</f>
        <v>0</v>
      </c>
      <c r="J74" s="367">
        <f ca="1">SUM(J14:J73)</f>
        <v>0</v>
      </c>
      <c r="K74" s="367" t="e">
        <f ca="1">K13+G74-I74</f>
        <v>#N/A</v>
      </c>
      <c r="L74" s="367" t="e">
        <f ca="1">L13+H74-J74</f>
        <v>#N/A</v>
      </c>
      <c r="M74" s="366"/>
      <c r="N74" s="348"/>
    </row>
    <row r="75" spans="1:14">
      <c r="B75" s="368" t="s">
        <v>226</v>
      </c>
      <c r="G75" s="360"/>
      <c r="N75" s="348"/>
    </row>
    <row r="76" spans="1:14">
      <c r="B76" s="369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60"/>
      <c r="I76" s="360"/>
      <c r="N76" s="348"/>
    </row>
    <row r="77" spans="1:14">
      <c r="B77" s="335"/>
      <c r="C77" s="335"/>
      <c r="D77" s="335"/>
      <c r="F77" s="335"/>
      <c r="G77" s="370"/>
      <c r="H77" s="336"/>
      <c r="I77" s="371"/>
      <c r="J77" s="1021" t="e">
        <f ca="1">"Ngày 31 tháng  12  năm  "&amp;YEAR($A$14)</f>
        <v>#VALUE!</v>
      </c>
      <c r="K77" s="1021"/>
      <c r="L77" s="1021"/>
      <c r="M77" s="1021"/>
      <c r="N77" s="348"/>
    </row>
    <row r="78" spans="1:14">
      <c r="C78" s="335"/>
      <c r="D78" s="560" t="s">
        <v>11</v>
      </c>
      <c r="E78" s="1021" t="s">
        <v>12</v>
      </c>
      <c r="F78" s="1021"/>
      <c r="G78" s="1021"/>
      <c r="H78" s="1021"/>
      <c r="I78" s="1021"/>
      <c r="J78" s="1021" t="s">
        <v>109</v>
      </c>
      <c r="K78" s="1021"/>
      <c r="L78" s="1021"/>
      <c r="M78" s="1021"/>
      <c r="N78" s="348"/>
    </row>
    <row r="79" spans="1:14">
      <c r="C79" s="335"/>
      <c r="D79" s="560" t="s">
        <v>13</v>
      </c>
      <c r="E79" s="1021" t="s">
        <v>13</v>
      </c>
      <c r="F79" s="1021"/>
      <c r="G79" s="1021"/>
      <c r="H79" s="1021" t="s">
        <v>136</v>
      </c>
      <c r="I79" s="1021"/>
      <c r="J79" s="1021" t="s">
        <v>136</v>
      </c>
      <c r="K79" s="1021"/>
      <c r="L79" s="1021"/>
      <c r="M79" s="1021"/>
      <c r="N79" s="348"/>
    </row>
    <row r="80" spans="1:14">
      <c r="N80" s="372"/>
    </row>
    <row r="81" spans="4:14">
      <c r="E81" s="323"/>
    </row>
    <row r="83" spans="4:14" customFormat="1" ht="12.75">
      <c r="E83" s="373"/>
    </row>
    <row r="88" spans="4:14">
      <c r="D88" s="587" t="s">
        <v>151</v>
      </c>
      <c r="E88" s="587"/>
      <c r="J88" s="1017" t="s">
        <v>103</v>
      </c>
      <c r="K88" s="1017"/>
      <c r="L88" s="1017"/>
      <c r="M88" s="1017"/>
      <c r="N88" s="588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77" customWidth="1"/>
    <col min="2" max="2" width="9.140625" style="377"/>
    <col min="3" max="3" width="9.140625" style="436" customWidth="1"/>
    <col min="4" max="4" width="10.85546875" style="436" customWidth="1"/>
    <col min="5" max="5" width="39.42578125" style="437" customWidth="1"/>
    <col min="6" max="6" width="10.85546875" style="438" customWidth="1"/>
    <col min="7" max="7" width="9" style="439" customWidth="1"/>
    <col min="8" max="8" width="9.5703125" style="439" customWidth="1"/>
    <col min="9" max="9" width="10" style="439" customWidth="1"/>
    <col min="10" max="10" width="8" style="377" customWidth="1"/>
    <col min="11" max="11" width="2.42578125" style="377" customWidth="1"/>
    <col min="12" max="12" width="6.5703125" style="377" customWidth="1"/>
    <col min="13" max="16384" width="9.140625" style="377"/>
  </cols>
  <sheetData>
    <row r="1" spans="1:12" ht="15" customHeight="1">
      <c r="A1" s="374" t="str">
        <f>TH!A1</f>
        <v>Đơn vị: CÔNG TY TNHH SX TM KIM DUNG PHÁT</v>
      </c>
      <c r="B1" s="375"/>
      <c r="C1" s="375"/>
      <c r="D1" s="375"/>
      <c r="E1" s="376"/>
      <c r="F1" s="1030" t="s">
        <v>227</v>
      </c>
      <c r="G1" s="1030"/>
      <c r="H1" s="1030"/>
      <c r="I1" s="1030"/>
      <c r="J1" s="1030"/>
      <c r="K1" s="378"/>
      <c r="L1" s="379"/>
    </row>
    <row r="2" spans="1:12" ht="15" customHeight="1">
      <c r="A2" s="621" t="str">
        <f>TH!A2</f>
        <v>Địa chỉ: 1A227/1 Ấp 1, Phạm Văn Hai, Bình Chánh, TPHCM</v>
      </c>
      <c r="B2" s="380"/>
      <c r="C2" s="380"/>
      <c r="D2" s="380"/>
      <c r="E2" s="381"/>
      <c r="F2" s="1029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29"/>
      <c r="H2" s="1029"/>
      <c r="I2" s="1029"/>
      <c r="J2" s="1029"/>
      <c r="K2" s="378"/>
    </row>
    <row r="3" spans="1:12" ht="15">
      <c r="A3" s="380"/>
      <c r="B3" s="380"/>
      <c r="C3" s="380"/>
      <c r="D3" s="380"/>
      <c r="E3" s="381"/>
      <c r="F3" s="1029"/>
      <c r="G3" s="1029"/>
      <c r="H3" s="1029"/>
      <c r="I3" s="1029"/>
      <c r="J3" s="1029"/>
      <c r="K3" s="378"/>
    </row>
    <row r="4" spans="1:12" ht="18.75" customHeight="1">
      <c r="A4" s="383"/>
      <c r="B4" s="383"/>
      <c r="C4" s="383"/>
      <c r="D4" s="383"/>
      <c r="E4" s="384" t="s">
        <v>228</v>
      </c>
      <c r="F4" s="383"/>
      <c r="G4" s="383"/>
      <c r="H4" s="383"/>
      <c r="I4" s="383"/>
      <c r="J4" s="378"/>
      <c r="K4" s="378"/>
    </row>
    <row r="5" spans="1:12" ht="15">
      <c r="A5" s="385"/>
      <c r="B5" s="385"/>
      <c r="C5" s="385"/>
      <c r="D5" s="385"/>
      <c r="E5" s="386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7/1/2013</v>
      </c>
      <c r="F5" s="385"/>
      <c r="G5" s="385"/>
      <c r="H5" s="385"/>
      <c r="I5" s="385"/>
      <c r="J5" s="378"/>
      <c r="K5" s="378"/>
    </row>
    <row r="6" spans="1:12" ht="15">
      <c r="A6" s="385"/>
      <c r="B6" s="385"/>
      <c r="C6" s="385"/>
      <c r="D6" s="385"/>
      <c r="E6" s="386" t="s">
        <v>229</v>
      </c>
      <c r="F6" s="385"/>
      <c r="G6" s="385"/>
      <c r="H6" s="385"/>
      <c r="I6" s="385"/>
      <c r="J6" s="378"/>
      <c r="K6" s="378"/>
    </row>
    <row r="7" spans="1:12" ht="15">
      <c r="A7" s="369" t="s">
        <v>230</v>
      </c>
      <c r="B7" s="369"/>
      <c r="C7" s="387"/>
      <c r="D7" s="387"/>
      <c r="E7" s="388" t="s">
        <v>374</v>
      </c>
      <c r="F7" s="382"/>
      <c r="G7" s="389"/>
      <c r="H7" s="389"/>
      <c r="I7" s="389"/>
      <c r="J7" s="378"/>
      <c r="K7" s="378"/>
    </row>
    <row r="8" spans="1:12" ht="15">
      <c r="A8" s="369" t="s">
        <v>231</v>
      </c>
      <c r="B8" s="369"/>
      <c r="C8" s="378" t="str">
        <f>VLOOKUP($E$7,NXT!$C$12:$L$381,2,0)</f>
        <v>kg</v>
      </c>
      <c r="D8" s="369"/>
      <c r="E8" s="388"/>
      <c r="F8" s="382"/>
      <c r="G8" s="389"/>
      <c r="H8" s="389"/>
      <c r="I8" s="389"/>
      <c r="J8" s="378"/>
      <c r="K8" s="378"/>
    </row>
    <row r="9" spans="1:12" ht="15">
      <c r="A9" s="1031" t="s">
        <v>232</v>
      </c>
      <c r="B9" s="1032"/>
      <c r="C9" s="1032"/>
      <c r="D9" s="1032"/>
      <c r="E9" s="388"/>
      <c r="F9" s="382"/>
      <c r="G9" s="389"/>
      <c r="H9" s="389"/>
      <c r="I9" s="389"/>
      <c r="J9" s="390"/>
      <c r="K9" s="390"/>
    </row>
    <row r="10" spans="1:12" ht="19.5" customHeight="1">
      <c r="A10" s="1033" t="s">
        <v>233</v>
      </c>
      <c r="B10" s="1034" t="s">
        <v>234</v>
      </c>
      <c r="C10" s="1036" t="s">
        <v>15</v>
      </c>
      <c r="D10" s="1037"/>
      <c r="E10" s="1038" t="s">
        <v>0</v>
      </c>
      <c r="F10" s="1047" t="s">
        <v>235</v>
      </c>
      <c r="G10" s="1041" t="s">
        <v>204</v>
      </c>
      <c r="H10" s="1041"/>
      <c r="I10" s="1037"/>
      <c r="J10" s="1042" t="s">
        <v>236</v>
      </c>
      <c r="K10" s="391"/>
      <c r="L10" s="392" t="s">
        <v>221</v>
      </c>
    </row>
    <row r="11" spans="1:12" ht="19.5" customHeight="1">
      <c r="A11" s="1033"/>
      <c r="B11" s="1035"/>
      <c r="C11" s="393" t="s">
        <v>218</v>
      </c>
      <c r="D11" s="393" t="s">
        <v>219</v>
      </c>
      <c r="E11" s="1039"/>
      <c r="F11" s="1048"/>
      <c r="G11" s="394" t="s">
        <v>218</v>
      </c>
      <c r="H11" s="394" t="s">
        <v>219</v>
      </c>
      <c r="I11" s="394" t="s">
        <v>220</v>
      </c>
      <c r="J11" s="1043"/>
      <c r="K11" s="391"/>
    </row>
    <row r="12" spans="1:12" ht="15">
      <c r="A12" s="395" t="s">
        <v>2</v>
      </c>
      <c r="B12" s="396" t="s">
        <v>3</v>
      </c>
      <c r="C12" s="397" t="s">
        <v>4</v>
      </c>
      <c r="D12" s="397" t="s">
        <v>5</v>
      </c>
      <c r="E12" s="398" t="s">
        <v>6</v>
      </c>
      <c r="F12" s="396" t="s">
        <v>130</v>
      </c>
      <c r="G12" s="399">
        <v>1</v>
      </c>
      <c r="H12" s="399">
        <v>2</v>
      </c>
      <c r="I12" s="399">
        <v>3</v>
      </c>
      <c r="J12" s="397" t="s">
        <v>131</v>
      </c>
      <c r="K12" s="400"/>
    </row>
    <row r="13" spans="1:12" ht="16.5" customHeight="1">
      <c r="A13" s="401"/>
      <c r="B13" s="402"/>
      <c r="C13" s="403"/>
      <c r="D13" s="403"/>
      <c r="E13" s="404" t="s">
        <v>195</v>
      </c>
      <c r="F13" s="402"/>
      <c r="G13" s="405"/>
      <c r="H13" s="405"/>
      <c r="I13" s="406">
        <f>VLOOKUP($E$7,NXT!$C$12:$L$381,3,0)</f>
        <v>50</v>
      </c>
      <c r="J13" s="401"/>
      <c r="K13" s="407"/>
    </row>
    <row r="14" spans="1:12" ht="16.5" customHeight="1">
      <c r="A14" s="408">
        <f ca="1">IF(B14&lt;&gt;"",ROW()-(ROW()-1),"")</f>
        <v>1</v>
      </c>
      <c r="B14" s="409">
        <f ca="1">IF(ROWS($1:1)&gt;COUNT(Dong12),"",OFFSET(TH!E$1,SMALL(Dong12,ROWS($1:1)),))</f>
        <v>41281</v>
      </c>
      <c r="C14" s="464" t="str">
        <f ca="1">IF(ROWS($1:1)&gt;COUNT(Dong12),"",IF(MID(OFFSET(TH!D$1,SMALL(Dong12,ROWS($1:1)),),4,1)="N",OFFSET(TH!D$1,SMALL(Dong12,ROWS($1:1)),),""))</f>
        <v>VL/N02</v>
      </c>
      <c r="D14" s="409" t="str">
        <f ca="1">IF(ROWS($1:1)&gt;COUNT(Dong12),"",IF(MID(OFFSET(TH!D$1,SMALL(Dong12,ROWS($1:1)),),4,1)="X",OFFSET(TH!D$1,SMALL(Dong12,ROWS($1:1)),),""))</f>
        <v/>
      </c>
      <c r="E14" s="667" t="str">
        <f ca="1">IF(ROWS($1:1)&gt;COUNT(Dong12),"",OFFSET(TH!H$1,SMALL(Dong12,ROWS($1:1)),))</f>
        <v>Cty TNHH Thành Thành Dũng</v>
      </c>
      <c r="F14" s="409">
        <f ca="1">B14</f>
        <v>41281</v>
      </c>
      <c r="G14" s="410">
        <f ca="1">IF(ROWS($1:1)&gt;COUNT(Dong12),0,IF(MID(OFFSET(TH!D$1,SMALL(Dong12,ROWS($1:1)),),4,1)="N",OFFSET(TH!I$1,SMALL(Dong12,ROWS($1:1)),),0))</f>
        <v>50</v>
      </c>
      <c r="H14" s="410">
        <f ca="1">IF(ROWS($1:1)&gt;COUNT(Dong12),0,IF(MID(OFFSET(TH!D$1,SMALL(Dong12,ROWS($1:1)),),4,1)="X",OFFSET(TH!I$1,SMALL(Dong12,ROWS($1:1)),),0))</f>
        <v>0</v>
      </c>
      <c r="I14" s="411">
        <f ca="1">IF(E14&lt;&gt;"",I13+G14-H14,0)</f>
        <v>100</v>
      </c>
      <c r="J14" s="412"/>
      <c r="K14" s="413"/>
    </row>
    <row r="15" spans="1:12" ht="16.5" customHeight="1">
      <c r="A15" s="414">
        <f ca="1">IF(B15&lt;&gt;"",A14+1,"")</f>
        <v>2</v>
      </c>
      <c r="B15" s="409">
        <f ca="1">IF(ROWS($1:2)&gt;COUNT(Dong12),"",OFFSET(TH!E$1,SMALL(Dong12,ROWS($1:2)),))</f>
        <v>41276</v>
      </c>
      <c r="C15" s="464" t="str">
        <f ca="1">IF(ROWS($1:2)&gt;COUNT(Dong12),"",IF(MID(OFFSET(TH!D$1,SMALL(Dong12,ROWS($1:2)),),4,1)="N",OFFSET(TH!D$1,SMALL(Dong12,ROWS($1:2)),),""))</f>
        <v/>
      </c>
      <c r="D15" s="409" t="str">
        <f ca="1">IF(ROWS($1:2)&gt;COUNT(Dong12),"",IF(MID(OFFSET(TH!D$1,SMALL(Dong12,ROWS($1:2)),),4,1)="X",OFFSET(TH!D$1,SMALL(Dong12,ROWS($1:2)),),""))</f>
        <v>VL/X01</v>
      </c>
      <c r="E15" s="667" t="str">
        <f ca="1">IF(ROWS($1:2)&gt;COUNT(Dong12),"",OFFSET(TH!H$1,SMALL(Dong12,ROWS($1:2)),))</f>
        <v>Xuất sản xuất</v>
      </c>
      <c r="F15" s="409">
        <f t="shared" ref="F15:F30" ca="1" si="0">B15</f>
        <v>41276</v>
      </c>
      <c r="G15" s="410">
        <f ca="1">IF(ROWS($1:2)&gt;COUNT(Dong12),0,IF(MID(OFFSET(TH!D$1,SMALL(Dong12,ROWS($1:2)),),4,1)="N",OFFSET(TH!I$1,SMALL(Dong12,ROWS($1:2)),),0))</f>
        <v>0</v>
      </c>
      <c r="H15" s="410">
        <f ca="1">IF(ROWS($1:2)&gt;COUNT(Dong12),0,IF(MID(OFFSET(TH!D$1,SMALL(Dong12,ROWS($1:2)),),4,1)="X",OFFSET(TH!I$1,SMALL(Dong12,ROWS($1:2)),),0))</f>
        <v>25</v>
      </c>
      <c r="I15" s="411">
        <f t="shared" ref="I15:I30" ca="1" si="1">IF(E15&lt;&gt;"",I14+G15-H15,0)</f>
        <v>75</v>
      </c>
      <c r="J15" s="412"/>
      <c r="K15" s="413"/>
    </row>
    <row r="16" spans="1:12" ht="16.5" customHeight="1">
      <c r="A16" s="414">
        <f t="shared" ref="A16:A30" ca="1" si="2">IF(B16&lt;&gt;"",A15+1,"")</f>
        <v>3</v>
      </c>
      <c r="B16" s="409">
        <f ca="1">IF(ROWS($1:3)&gt;COUNT(Dong12),"",OFFSET(TH!E$1,SMALL(Dong12,ROWS($1:3)),))</f>
        <v>41365</v>
      </c>
      <c r="C16" s="464" t="str">
        <f ca="1">IF(ROWS($1:3)&gt;COUNT(Dong12),"",IF(MID(OFFSET(TH!D$1,SMALL(Dong12,ROWS($1:3)),),4,1)="N",OFFSET(TH!D$1,SMALL(Dong12,ROWS($1:3)),),""))</f>
        <v/>
      </c>
      <c r="D16" s="409" t="str">
        <f ca="1">IF(ROWS($1:3)&gt;COUNT(Dong12),"",IF(MID(OFFSET(TH!D$1,SMALL(Dong12,ROWS($1:3)),),4,1)="X",OFFSET(TH!D$1,SMALL(Dong12,ROWS($1:3)),),""))</f>
        <v>VL/X01</v>
      </c>
      <c r="E16" s="667" t="str">
        <f ca="1">IF(ROWS($1:3)&gt;COUNT(Dong12),"",OFFSET(TH!H$1,SMALL(Dong12,ROWS($1:3)),))</f>
        <v>Xuất sản xuất</v>
      </c>
      <c r="F16" s="409">
        <f t="shared" ca="1" si="0"/>
        <v>41365</v>
      </c>
      <c r="G16" s="410">
        <f ca="1">IF(ROWS($1:3)&gt;COUNT(Dong12),0,IF(MID(OFFSET(TH!D$1,SMALL(Dong12,ROWS($1:3)),),4,1)="N",OFFSET(TH!I$1,SMALL(Dong12,ROWS($1:3)),),0))</f>
        <v>0</v>
      </c>
      <c r="H16" s="410">
        <f ca="1">IF(ROWS($1:3)&gt;COUNT(Dong12),0,IF(MID(OFFSET(TH!D$1,SMALL(Dong12,ROWS($1:3)),),4,1)="X",OFFSET(TH!I$1,SMALL(Dong12,ROWS($1:3)),),0))</f>
        <v>25</v>
      </c>
      <c r="I16" s="411">
        <f t="shared" ca="1" si="1"/>
        <v>50</v>
      </c>
      <c r="J16" s="412"/>
      <c r="K16" s="413"/>
    </row>
    <row r="17" spans="1:11" ht="16.5" customHeight="1">
      <c r="A17" s="414">
        <f t="shared" ca="1" si="2"/>
        <v>4</v>
      </c>
      <c r="B17" s="409">
        <f ca="1">IF(ROWS($1:4)&gt;COUNT(Dong12),"",OFFSET(TH!E$1,SMALL(Dong12,ROWS($1:4)),))</f>
        <v>41456</v>
      </c>
      <c r="C17" s="464" t="str">
        <f ca="1">IF(ROWS($1:4)&gt;COUNT(Dong12),"",IF(MID(OFFSET(TH!D$1,SMALL(Dong12,ROWS($1:4)),),4,1)="N",OFFSET(TH!D$1,SMALL(Dong12,ROWS($1:4)),),""))</f>
        <v/>
      </c>
      <c r="D17" s="409" t="str">
        <f ca="1">IF(ROWS($1:4)&gt;COUNT(Dong12),"",IF(MID(OFFSET(TH!D$1,SMALL(Dong12,ROWS($1:4)),),4,1)="X",OFFSET(TH!D$1,SMALL(Dong12,ROWS($1:4)),),""))</f>
        <v>VL/X01</v>
      </c>
      <c r="E17" s="667" t="str">
        <f ca="1">IF(ROWS($1:4)&gt;COUNT(Dong12),"",OFFSET(TH!H$1,SMALL(Dong12,ROWS($1:4)),))</f>
        <v>Xuất sản xuất</v>
      </c>
      <c r="F17" s="409">
        <f t="shared" ca="1" si="0"/>
        <v>41456</v>
      </c>
      <c r="G17" s="410">
        <f ca="1">IF(ROWS($1:4)&gt;COUNT(Dong12),0,IF(MID(OFFSET(TH!D$1,SMALL(Dong12,ROWS($1:4)),),4,1)="N",OFFSET(TH!I$1,SMALL(Dong12,ROWS($1:4)),),0))</f>
        <v>0</v>
      </c>
      <c r="H17" s="410">
        <f ca="1">IF(ROWS($1:4)&gt;COUNT(Dong12),0,IF(MID(OFFSET(TH!D$1,SMALL(Dong12,ROWS($1:4)),),4,1)="X",OFFSET(TH!I$1,SMALL(Dong12,ROWS($1:4)),),0))</f>
        <v>25</v>
      </c>
      <c r="I17" s="411">
        <f t="shared" ca="1" si="1"/>
        <v>25</v>
      </c>
      <c r="J17" s="412"/>
      <c r="K17" s="413"/>
    </row>
    <row r="18" spans="1:11" ht="16.5" customHeight="1">
      <c r="A18" s="414">
        <f t="shared" ca="1" si="2"/>
        <v>5</v>
      </c>
      <c r="B18" s="409">
        <f ca="1">IF(ROWS($1:5)&gt;COUNT(Dong12),"",OFFSET(TH!E$1,SMALL(Dong12,ROWS($1:5)),))</f>
        <v>41548</v>
      </c>
      <c r="C18" s="464" t="str">
        <f ca="1">IF(ROWS($1:5)&gt;COUNT(Dong12),"",IF(MID(OFFSET(TH!D$1,SMALL(Dong12,ROWS($1:5)),),4,1)="N",OFFSET(TH!D$1,SMALL(Dong12,ROWS($1:5)),),""))</f>
        <v/>
      </c>
      <c r="D18" s="409" t="str">
        <f ca="1">IF(ROWS($1:5)&gt;COUNT(Dong12),"",IF(MID(OFFSET(TH!D$1,SMALL(Dong12,ROWS($1:5)),),4,1)="X",OFFSET(TH!D$1,SMALL(Dong12,ROWS($1:5)),),""))</f>
        <v>VL/X01</v>
      </c>
      <c r="E18" s="667" t="str">
        <f ca="1">IF(ROWS($1:5)&gt;COUNT(Dong12),"",OFFSET(TH!H$1,SMALL(Dong12,ROWS($1:5)),))</f>
        <v>Xuất sản xuất</v>
      </c>
      <c r="F18" s="409">
        <f t="shared" ca="1" si="0"/>
        <v>41548</v>
      </c>
      <c r="G18" s="410">
        <f ca="1">IF(ROWS($1:5)&gt;COUNT(Dong12),0,IF(MID(OFFSET(TH!D$1,SMALL(Dong12,ROWS($1:5)),),4,1)="N",OFFSET(TH!I$1,SMALL(Dong12,ROWS($1:5)),),0))</f>
        <v>0</v>
      </c>
      <c r="H18" s="410">
        <f ca="1">IF(ROWS($1:5)&gt;COUNT(Dong12),0,IF(MID(OFFSET(TH!D$1,SMALL(Dong12,ROWS($1:5)),),4,1)="X",OFFSET(TH!I$1,SMALL(Dong12,ROWS($1:5)),),0))</f>
        <v>25</v>
      </c>
      <c r="I18" s="411">
        <f t="shared" ca="1" si="1"/>
        <v>0</v>
      </c>
      <c r="J18" s="412"/>
      <c r="K18" s="413"/>
    </row>
    <row r="19" spans="1:11" ht="16.5" customHeight="1">
      <c r="A19" s="414" t="str">
        <f t="shared" ca="1" si="2"/>
        <v/>
      </c>
      <c r="B19" s="409" t="str">
        <f ca="1">IF(ROWS($1:6)&gt;COUNT(Dong12),"",OFFSET(TH!E$1,SMALL(Dong12,ROWS($1:6)),))</f>
        <v/>
      </c>
      <c r="C19" s="464" t="str">
        <f ca="1">IF(ROWS($1:6)&gt;COUNT(Dong12),"",IF(MID(OFFSET(TH!D$1,SMALL(Dong12,ROWS($1:6)),),4,1)="N",OFFSET(TH!D$1,SMALL(Dong12,ROWS($1:6)),),""))</f>
        <v/>
      </c>
      <c r="D19" s="409" t="str">
        <f ca="1">IF(ROWS($1:6)&gt;COUNT(Dong12),"",IF(MID(OFFSET(TH!D$1,SMALL(Dong12,ROWS($1:6)),),4,1)="X",OFFSET(TH!D$1,SMALL(Dong12,ROWS($1:6)),),""))</f>
        <v/>
      </c>
      <c r="E19" s="667" t="str">
        <f ca="1">IF(ROWS($1:6)&gt;COUNT(Dong12),"",OFFSET(TH!H$1,SMALL(Dong12,ROWS($1:6)),))</f>
        <v/>
      </c>
      <c r="F19" s="409" t="str">
        <f t="shared" ca="1" si="0"/>
        <v/>
      </c>
      <c r="G19" s="410">
        <f ca="1">IF(ROWS($1:6)&gt;COUNT(Dong12),0,IF(MID(OFFSET(TH!D$1,SMALL(Dong12,ROWS($1:6)),),4,1)="N",OFFSET(TH!I$1,SMALL(Dong12,ROWS($1:6)),),0))</f>
        <v>0</v>
      </c>
      <c r="H19" s="410">
        <f ca="1">IF(ROWS($1:6)&gt;COUNT(Dong12),0,IF(MID(OFFSET(TH!D$1,SMALL(Dong12,ROWS($1:6)),),4,1)="X",OFFSET(TH!I$1,SMALL(Dong12,ROWS($1:6)),),0))</f>
        <v>0</v>
      </c>
      <c r="I19" s="411">
        <f t="shared" ca="1" si="1"/>
        <v>0</v>
      </c>
      <c r="J19" s="412"/>
      <c r="K19" s="413"/>
    </row>
    <row r="20" spans="1:11" ht="16.5" customHeight="1">
      <c r="A20" s="414" t="str">
        <f t="shared" ca="1" si="2"/>
        <v/>
      </c>
      <c r="B20" s="409" t="str">
        <f ca="1">IF(ROWS($1:7)&gt;COUNT(Dong12),"",OFFSET(TH!E$1,SMALL(Dong12,ROWS($1:7)),))</f>
        <v/>
      </c>
      <c r="C20" s="464" t="str">
        <f ca="1">IF(ROWS($1:7)&gt;COUNT(Dong12),"",IF(MID(OFFSET(TH!D$1,SMALL(Dong12,ROWS($1:7)),),4,1)="N",OFFSET(TH!D$1,SMALL(Dong12,ROWS($1:7)),),""))</f>
        <v/>
      </c>
      <c r="D20" s="409" t="str">
        <f ca="1">IF(ROWS($1:7)&gt;COUNT(Dong12),"",IF(MID(OFFSET(TH!D$1,SMALL(Dong12,ROWS($1:7)),),4,1)="X",OFFSET(TH!D$1,SMALL(Dong12,ROWS($1:7)),),""))</f>
        <v/>
      </c>
      <c r="E20" s="667" t="str">
        <f ca="1">IF(ROWS($1:7)&gt;COUNT(Dong12),"",OFFSET(TH!H$1,SMALL(Dong12,ROWS($1:7)),))</f>
        <v/>
      </c>
      <c r="F20" s="409" t="str">
        <f t="shared" ca="1" si="0"/>
        <v/>
      </c>
      <c r="G20" s="410">
        <f ca="1">IF(ROWS($1:7)&gt;COUNT(Dong12),0,IF(MID(OFFSET(TH!D$1,SMALL(Dong12,ROWS($1:7)),),4,1)="N",OFFSET(TH!I$1,SMALL(Dong12,ROWS($1:7)),),0))</f>
        <v>0</v>
      </c>
      <c r="H20" s="410">
        <f ca="1">IF(ROWS($1:7)&gt;COUNT(Dong12),0,IF(MID(OFFSET(TH!D$1,SMALL(Dong12,ROWS($1:7)),),4,1)="X",OFFSET(TH!I$1,SMALL(Dong12,ROWS($1:7)),),0))</f>
        <v>0</v>
      </c>
      <c r="I20" s="411">
        <f t="shared" ca="1" si="1"/>
        <v>0</v>
      </c>
      <c r="J20" s="412"/>
      <c r="K20" s="413"/>
    </row>
    <row r="21" spans="1:11" ht="16.5" customHeight="1">
      <c r="A21" s="414" t="str">
        <f t="shared" ca="1" si="2"/>
        <v/>
      </c>
      <c r="B21" s="409" t="str">
        <f ca="1">IF(ROWS($1:8)&gt;COUNT(Dong12),"",OFFSET(TH!E$1,SMALL(Dong12,ROWS($1:8)),))</f>
        <v/>
      </c>
      <c r="C21" s="464" t="str">
        <f ca="1">IF(ROWS($1:8)&gt;COUNT(Dong12),"",IF(MID(OFFSET(TH!D$1,SMALL(Dong12,ROWS($1:8)),),4,1)="N",OFFSET(TH!D$1,SMALL(Dong12,ROWS($1:8)),),""))</f>
        <v/>
      </c>
      <c r="D21" s="409" t="str">
        <f ca="1">IF(ROWS($1:8)&gt;COUNT(Dong12),"",IF(MID(OFFSET(TH!D$1,SMALL(Dong12,ROWS($1:8)),),4,1)="X",OFFSET(TH!D$1,SMALL(Dong12,ROWS($1:8)),),""))</f>
        <v/>
      </c>
      <c r="E21" s="667" t="str">
        <f ca="1">IF(ROWS($1:8)&gt;COUNT(Dong12),"",OFFSET(TH!H$1,SMALL(Dong12,ROWS($1:8)),))</f>
        <v/>
      </c>
      <c r="F21" s="409" t="str">
        <f t="shared" ca="1" si="0"/>
        <v/>
      </c>
      <c r="G21" s="410">
        <f ca="1">IF(ROWS($1:8)&gt;COUNT(Dong12),0,IF(MID(OFFSET(TH!D$1,SMALL(Dong12,ROWS($1:8)),),4,1)="N",OFFSET(TH!I$1,SMALL(Dong12,ROWS($1:8)),),0))</f>
        <v>0</v>
      </c>
      <c r="H21" s="410">
        <f ca="1">IF(ROWS($1:8)&gt;COUNT(Dong12),0,IF(MID(OFFSET(TH!D$1,SMALL(Dong12,ROWS($1:8)),),4,1)="X",OFFSET(TH!I$1,SMALL(Dong12,ROWS($1:8)),),0))</f>
        <v>0</v>
      </c>
      <c r="I21" s="411">
        <f t="shared" ca="1" si="1"/>
        <v>0</v>
      </c>
      <c r="J21" s="412"/>
      <c r="K21" s="413"/>
    </row>
    <row r="22" spans="1:11" ht="16.5" customHeight="1">
      <c r="A22" s="414" t="str">
        <f t="shared" ca="1" si="2"/>
        <v/>
      </c>
      <c r="B22" s="409" t="str">
        <f ca="1">IF(ROWS($1:9)&gt;COUNT(Dong12),"",OFFSET(TH!E$1,SMALL(Dong12,ROWS($1:9)),))</f>
        <v/>
      </c>
      <c r="C22" s="464" t="str">
        <f ca="1">IF(ROWS($1:9)&gt;COUNT(Dong12),"",IF(MID(OFFSET(TH!D$1,SMALL(Dong12,ROWS($1:9)),),4,1)="N",OFFSET(TH!D$1,SMALL(Dong12,ROWS($1:9)),),""))</f>
        <v/>
      </c>
      <c r="D22" s="409" t="str">
        <f ca="1">IF(ROWS($1:9)&gt;COUNT(Dong12),"",IF(MID(OFFSET(TH!D$1,SMALL(Dong12,ROWS($1:9)),),4,1)="X",OFFSET(TH!D$1,SMALL(Dong12,ROWS($1:9)),),""))</f>
        <v/>
      </c>
      <c r="E22" s="667" t="str">
        <f ca="1">IF(ROWS($1:9)&gt;COUNT(Dong12),"",OFFSET(TH!H$1,SMALL(Dong12,ROWS($1:9)),))</f>
        <v/>
      </c>
      <c r="F22" s="409" t="str">
        <f t="shared" ca="1" si="0"/>
        <v/>
      </c>
      <c r="G22" s="410">
        <f ca="1">IF(ROWS($1:9)&gt;COUNT(Dong12),0,IF(MID(OFFSET(TH!D$1,SMALL(Dong12,ROWS($1:9)),),4,1)="N",OFFSET(TH!I$1,SMALL(Dong12,ROWS($1:9)),),0))</f>
        <v>0</v>
      </c>
      <c r="H22" s="410">
        <f ca="1">IF(ROWS($1:9)&gt;COUNT(Dong12),0,IF(MID(OFFSET(TH!D$1,SMALL(Dong12,ROWS($1:9)),),4,1)="X",OFFSET(TH!I$1,SMALL(Dong12,ROWS($1:9)),),0))</f>
        <v>0</v>
      </c>
      <c r="I22" s="411">
        <f t="shared" ca="1" si="1"/>
        <v>0</v>
      </c>
      <c r="J22" s="412"/>
      <c r="K22" s="413"/>
    </row>
    <row r="23" spans="1:11" ht="16.5" customHeight="1">
      <c r="A23" s="414" t="str">
        <f t="shared" ca="1" si="2"/>
        <v/>
      </c>
      <c r="B23" s="409" t="str">
        <f ca="1">IF(ROWS($1:10)&gt;COUNT(Dong12),"",OFFSET(TH!E$1,SMALL(Dong12,ROWS($1:10)),))</f>
        <v/>
      </c>
      <c r="C23" s="464" t="str">
        <f ca="1">IF(ROWS($1:10)&gt;COUNT(Dong12),"",IF(MID(OFFSET(TH!D$1,SMALL(Dong12,ROWS($1:10)),),4,1)="N",OFFSET(TH!D$1,SMALL(Dong12,ROWS($1:10)),),""))</f>
        <v/>
      </c>
      <c r="D23" s="409" t="str">
        <f ca="1">IF(ROWS($1:10)&gt;COUNT(Dong12),"",IF(MID(OFFSET(TH!D$1,SMALL(Dong12,ROWS($1:10)),),4,1)="X",OFFSET(TH!D$1,SMALL(Dong12,ROWS($1:10)),),""))</f>
        <v/>
      </c>
      <c r="E23" s="667" t="str">
        <f ca="1">IF(ROWS($1:10)&gt;COUNT(Dong12),"",OFFSET(TH!H$1,SMALL(Dong12,ROWS($1:10)),))</f>
        <v/>
      </c>
      <c r="F23" s="409" t="str">
        <f t="shared" ca="1" si="0"/>
        <v/>
      </c>
      <c r="G23" s="410">
        <f ca="1">IF(ROWS($1:10)&gt;COUNT(Dong12),0,IF(MID(OFFSET(TH!D$1,SMALL(Dong12,ROWS($1:10)),),4,1)="N",OFFSET(TH!I$1,SMALL(Dong12,ROWS($1:10)),),0))</f>
        <v>0</v>
      </c>
      <c r="H23" s="410">
        <f ca="1">IF(ROWS($1:10)&gt;COUNT(Dong12),0,IF(MID(OFFSET(TH!D$1,SMALL(Dong12,ROWS($1:10)),),4,1)="X",OFFSET(TH!I$1,SMALL(Dong12,ROWS($1:10)),),0))</f>
        <v>0</v>
      </c>
      <c r="I23" s="411">
        <f t="shared" ca="1" si="1"/>
        <v>0</v>
      </c>
      <c r="J23" s="412"/>
      <c r="K23" s="413"/>
    </row>
    <row r="24" spans="1:11" ht="16.5" customHeight="1">
      <c r="A24" s="414" t="str">
        <f t="shared" ca="1" si="2"/>
        <v/>
      </c>
      <c r="B24" s="409" t="str">
        <f ca="1">IF(ROWS($1:11)&gt;COUNT(Dong12),"",OFFSET(TH!E$1,SMALL(Dong12,ROWS($1:11)),))</f>
        <v/>
      </c>
      <c r="C24" s="464" t="str">
        <f ca="1">IF(ROWS($1:11)&gt;COUNT(Dong12),"",IF(MID(OFFSET(TH!D$1,SMALL(Dong12,ROWS($1:11)),),4,1)="N",OFFSET(TH!D$1,SMALL(Dong12,ROWS($1:11)),),""))</f>
        <v/>
      </c>
      <c r="D24" s="409" t="str">
        <f ca="1">IF(ROWS($1:11)&gt;COUNT(Dong12),"",IF(MID(OFFSET(TH!D$1,SMALL(Dong12,ROWS($1:11)),),4,1)="X",OFFSET(TH!D$1,SMALL(Dong12,ROWS($1:11)),),""))</f>
        <v/>
      </c>
      <c r="E24" s="667" t="str">
        <f ca="1">IF(ROWS($1:11)&gt;COUNT(Dong12),"",OFFSET(TH!H$1,SMALL(Dong12,ROWS($1:11)),))</f>
        <v/>
      </c>
      <c r="F24" s="409" t="str">
        <f t="shared" ca="1" si="0"/>
        <v/>
      </c>
      <c r="G24" s="410">
        <f ca="1">IF(ROWS($1:11)&gt;COUNT(Dong12),0,IF(MID(OFFSET(TH!D$1,SMALL(Dong12,ROWS($1:11)),),4,1)="N",OFFSET(TH!I$1,SMALL(Dong12,ROWS($1:11)),),0))</f>
        <v>0</v>
      </c>
      <c r="H24" s="410">
        <f ca="1">IF(ROWS($1:11)&gt;COUNT(Dong12),0,IF(MID(OFFSET(TH!D$1,SMALL(Dong12,ROWS($1:11)),),4,1)="X",OFFSET(TH!I$1,SMALL(Dong12,ROWS($1:11)),),0))</f>
        <v>0</v>
      </c>
      <c r="I24" s="411">
        <f t="shared" ca="1" si="1"/>
        <v>0</v>
      </c>
      <c r="J24" s="412"/>
      <c r="K24" s="413"/>
    </row>
    <row r="25" spans="1:11" ht="16.5" customHeight="1">
      <c r="A25" s="414" t="str">
        <f t="shared" ca="1" si="2"/>
        <v/>
      </c>
      <c r="B25" s="409" t="str">
        <f ca="1">IF(ROWS($1:12)&gt;COUNT(Dong12),"",OFFSET(TH!E$1,SMALL(Dong12,ROWS($1:12)),))</f>
        <v/>
      </c>
      <c r="C25" s="464" t="str">
        <f ca="1">IF(ROWS($1:12)&gt;COUNT(Dong12),"",IF(MID(OFFSET(TH!D$1,SMALL(Dong12,ROWS($1:12)),),4,1)="N",OFFSET(TH!D$1,SMALL(Dong12,ROWS($1:12)),),""))</f>
        <v/>
      </c>
      <c r="D25" s="409" t="str">
        <f ca="1">IF(ROWS($1:12)&gt;COUNT(Dong12),"",IF(MID(OFFSET(TH!D$1,SMALL(Dong12,ROWS($1:12)),),4,1)="X",OFFSET(TH!D$1,SMALL(Dong12,ROWS($1:12)),),""))</f>
        <v/>
      </c>
      <c r="E25" s="667" t="str">
        <f ca="1">IF(ROWS($1:12)&gt;COUNT(Dong12),"",OFFSET(TH!H$1,SMALL(Dong12,ROWS($1:12)),))</f>
        <v/>
      </c>
      <c r="F25" s="409" t="str">
        <f t="shared" ca="1" si="0"/>
        <v/>
      </c>
      <c r="G25" s="410">
        <f ca="1">IF(ROWS($1:12)&gt;COUNT(Dong12),0,IF(MID(OFFSET(TH!D$1,SMALL(Dong12,ROWS($1:12)),),4,1)="N",OFFSET(TH!I$1,SMALL(Dong12,ROWS($1:12)),),0))</f>
        <v>0</v>
      </c>
      <c r="H25" s="410">
        <f ca="1">IF(ROWS($1:12)&gt;COUNT(Dong12),0,IF(MID(OFFSET(TH!D$1,SMALL(Dong12,ROWS($1:12)),),4,1)="X",OFFSET(TH!I$1,SMALL(Dong12,ROWS($1:12)),),0))</f>
        <v>0</v>
      </c>
      <c r="I25" s="411">
        <f t="shared" ca="1" si="1"/>
        <v>0</v>
      </c>
      <c r="J25" s="412"/>
      <c r="K25" s="413"/>
    </row>
    <row r="26" spans="1:11" ht="16.5" customHeight="1">
      <c r="A26" s="414" t="str">
        <f t="shared" ca="1" si="2"/>
        <v/>
      </c>
      <c r="B26" s="409" t="str">
        <f ca="1">IF(ROWS($1:13)&gt;COUNT(Dong12),"",OFFSET(TH!E$1,SMALL(Dong12,ROWS($1:13)),))</f>
        <v/>
      </c>
      <c r="C26" s="464" t="str">
        <f ca="1">IF(ROWS($1:13)&gt;COUNT(Dong12),"",IF(MID(OFFSET(TH!D$1,SMALL(Dong12,ROWS($1:13)),),4,1)="N",OFFSET(TH!D$1,SMALL(Dong12,ROWS($1:13)),),""))</f>
        <v/>
      </c>
      <c r="D26" s="409" t="str">
        <f ca="1">IF(ROWS($1:13)&gt;COUNT(Dong12),"",IF(MID(OFFSET(TH!D$1,SMALL(Dong12,ROWS($1:13)),),4,1)="X",OFFSET(TH!D$1,SMALL(Dong12,ROWS($1:13)),),""))</f>
        <v/>
      </c>
      <c r="E26" s="667" t="str">
        <f ca="1">IF(ROWS($1:13)&gt;COUNT(Dong12),"",OFFSET(TH!H$1,SMALL(Dong12,ROWS($1:13)),))</f>
        <v/>
      </c>
      <c r="F26" s="409" t="str">
        <f t="shared" ca="1" si="0"/>
        <v/>
      </c>
      <c r="G26" s="410">
        <f ca="1">IF(ROWS($1:13)&gt;COUNT(Dong12),0,IF(MID(OFFSET(TH!D$1,SMALL(Dong12,ROWS($1:13)),),4,1)="N",OFFSET(TH!I$1,SMALL(Dong12,ROWS($1:13)),),0))</f>
        <v>0</v>
      </c>
      <c r="H26" s="410">
        <f ca="1">IF(ROWS($1:13)&gt;COUNT(Dong12),0,IF(MID(OFFSET(TH!D$1,SMALL(Dong12,ROWS($1:13)),),4,1)="X",OFFSET(TH!I$1,SMALL(Dong12,ROWS($1:13)),),0))</f>
        <v>0</v>
      </c>
      <c r="I26" s="411">
        <f t="shared" ca="1" si="1"/>
        <v>0</v>
      </c>
      <c r="J26" s="412"/>
      <c r="K26" s="413"/>
    </row>
    <row r="27" spans="1:11" ht="16.5" customHeight="1">
      <c r="A27" s="414" t="str">
        <f t="shared" ca="1" si="2"/>
        <v/>
      </c>
      <c r="B27" s="409" t="str">
        <f ca="1">IF(ROWS($1:14)&gt;COUNT(Dong12),"",OFFSET(TH!E$1,SMALL(Dong12,ROWS($1:14)),))</f>
        <v/>
      </c>
      <c r="C27" s="464" t="str">
        <f ca="1">IF(ROWS($1:14)&gt;COUNT(Dong12),"",IF(MID(OFFSET(TH!D$1,SMALL(Dong12,ROWS($1:14)),),4,1)="N",OFFSET(TH!D$1,SMALL(Dong12,ROWS($1:14)),),""))</f>
        <v/>
      </c>
      <c r="D27" s="409" t="str">
        <f ca="1">IF(ROWS($1:14)&gt;COUNT(Dong12),"",IF(MID(OFFSET(TH!D$1,SMALL(Dong12,ROWS($1:14)),),4,1)="X",OFFSET(TH!D$1,SMALL(Dong12,ROWS($1:14)),),""))</f>
        <v/>
      </c>
      <c r="E27" s="667" t="str">
        <f ca="1">IF(ROWS($1:14)&gt;COUNT(Dong12),"",OFFSET(TH!H$1,SMALL(Dong12,ROWS($1:14)),))</f>
        <v/>
      </c>
      <c r="F27" s="409" t="str">
        <f t="shared" ca="1" si="0"/>
        <v/>
      </c>
      <c r="G27" s="410">
        <f ca="1">IF(ROWS($1:14)&gt;COUNT(Dong12),0,IF(MID(OFFSET(TH!D$1,SMALL(Dong12,ROWS($1:14)),),4,1)="N",OFFSET(TH!I$1,SMALL(Dong12,ROWS($1:14)),),0))</f>
        <v>0</v>
      </c>
      <c r="H27" s="410">
        <f ca="1">IF(ROWS($1:14)&gt;COUNT(Dong12),0,IF(MID(OFFSET(TH!D$1,SMALL(Dong12,ROWS($1:14)),),4,1)="X",OFFSET(TH!I$1,SMALL(Dong12,ROWS($1:14)),),0))</f>
        <v>0</v>
      </c>
      <c r="I27" s="411">
        <f t="shared" ca="1" si="1"/>
        <v>0</v>
      </c>
      <c r="J27" s="412"/>
      <c r="K27" s="413"/>
    </row>
    <row r="28" spans="1:11" ht="16.5" customHeight="1">
      <c r="A28" s="414" t="str">
        <f t="shared" ca="1" si="2"/>
        <v/>
      </c>
      <c r="B28" s="409" t="str">
        <f ca="1">IF(ROWS($1:15)&gt;COUNT(Dong12),"",OFFSET(TH!E$1,SMALL(Dong12,ROWS($1:15)),))</f>
        <v/>
      </c>
      <c r="C28" s="464" t="str">
        <f ca="1">IF(ROWS($1:15)&gt;COUNT(Dong12),"",IF(MID(OFFSET(TH!D$1,SMALL(Dong12,ROWS($1:15)),),4,1)="N",OFFSET(TH!D$1,SMALL(Dong12,ROWS($1:15)),),""))</f>
        <v/>
      </c>
      <c r="D28" s="409" t="str">
        <f ca="1">IF(ROWS($1:15)&gt;COUNT(Dong12),"",IF(MID(OFFSET(TH!D$1,SMALL(Dong12,ROWS($1:15)),),4,1)="X",OFFSET(TH!D$1,SMALL(Dong12,ROWS($1:15)),),""))</f>
        <v/>
      </c>
      <c r="E28" s="667" t="str">
        <f ca="1">IF(ROWS($1:15)&gt;COUNT(Dong12),"",OFFSET(TH!H$1,SMALL(Dong12,ROWS($1:15)),))</f>
        <v/>
      </c>
      <c r="F28" s="409" t="str">
        <f t="shared" ca="1" si="0"/>
        <v/>
      </c>
      <c r="G28" s="410">
        <f ca="1">IF(ROWS($1:15)&gt;COUNT(Dong12),0,IF(MID(OFFSET(TH!D$1,SMALL(Dong12,ROWS($1:15)),),4,1)="N",OFFSET(TH!I$1,SMALL(Dong12,ROWS($1:15)),),0))</f>
        <v>0</v>
      </c>
      <c r="H28" s="410">
        <f ca="1">IF(ROWS($1:15)&gt;COUNT(Dong12),0,IF(MID(OFFSET(TH!D$1,SMALL(Dong12,ROWS($1:15)),),4,1)="X",OFFSET(TH!I$1,SMALL(Dong12,ROWS($1:15)),),0))</f>
        <v>0</v>
      </c>
      <c r="I28" s="411">
        <f t="shared" ca="1" si="1"/>
        <v>0</v>
      </c>
      <c r="J28" s="412"/>
      <c r="K28" s="413"/>
    </row>
    <row r="29" spans="1:11" ht="16.5" customHeight="1">
      <c r="A29" s="414" t="str">
        <f t="shared" ca="1" si="2"/>
        <v/>
      </c>
      <c r="B29" s="409" t="str">
        <f ca="1">IF(ROWS($1:16)&gt;COUNT(Dong12),"",OFFSET(TH!E$1,SMALL(Dong12,ROWS($1:16)),))</f>
        <v/>
      </c>
      <c r="C29" s="464" t="str">
        <f ca="1">IF(ROWS($1:16)&gt;COUNT(Dong12),"",IF(MID(OFFSET(TH!D$1,SMALL(Dong12,ROWS($1:16)),),4,1)="N",OFFSET(TH!D$1,SMALL(Dong12,ROWS($1:16)),),""))</f>
        <v/>
      </c>
      <c r="D29" s="409" t="str">
        <f ca="1">IF(ROWS($1:16)&gt;COUNT(Dong12),"",IF(MID(OFFSET(TH!D$1,SMALL(Dong12,ROWS($1:16)),),4,1)="X",OFFSET(TH!D$1,SMALL(Dong12,ROWS($1:16)),),""))</f>
        <v/>
      </c>
      <c r="E29" s="667" t="str">
        <f ca="1">IF(ROWS($1:16)&gt;COUNT(Dong12),"",OFFSET(TH!H$1,SMALL(Dong12,ROWS($1:16)),))</f>
        <v/>
      </c>
      <c r="F29" s="409" t="str">
        <f t="shared" ca="1" si="0"/>
        <v/>
      </c>
      <c r="G29" s="410">
        <f ca="1">IF(ROWS($1:16)&gt;COUNT(Dong12),0,IF(MID(OFFSET(TH!D$1,SMALL(Dong12,ROWS($1:16)),),4,1)="N",OFFSET(TH!I$1,SMALL(Dong12,ROWS($1:16)),),0))</f>
        <v>0</v>
      </c>
      <c r="H29" s="410">
        <f ca="1">IF(ROWS($1:16)&gt;COUNT(Dong12),0,IF(MID(OFFSET(TH!D$1,SMALL(Dong12,ROWS($1:16)),),4,1)="X",OFFSET(TH!I$1,SMALL(Dong12,ROWS($1:16)),),0))</f>
        <v>0</v>
      </c>
      <c r="I29" s="411">
        <f t="shared" ca="1" si="1"/>
        <v>0</v>
      </c>
      <c r="J29" s="412"/>
      <c r="K29" s="413"/>
    </row>
    <row r="30" spans="1:11" ht="16.5" customHeight="1">
      <c r="A30" s="414" t="str">
        <f t="shared" ca="1" si="2"/>
        <v/>
      </c>
      <c r="B30" s="409" t="str">
        <f ca="1">IF(ROWS($1:17)&gt;COUNT(Dong12),"",OFFSET(TH!E$1,SMALL(Dong12,ROWS($1:17)),))</f>
        <v/>
      </c>
      <c r="C30" s="464" t="str">
        <f ca="1">IF(ROWS($1:17)&gt;COUNT(Dong12),"",IF(MID(OFFSET(TH!D$1,SMALL(Dong12,ROWS($1:17)),),4,1)="N",OFFSET(TH!D$1,SMALL(Dong12,ROWS($1:17)),),""))</f>
        <v/>
      </c>
      <c r="D30" s="409" t="str">
        <f ca="1">IF(ROWS($1:17)&gt;COUNT(Dong12),"",IF(MID(OFFSET(TH!D$1,SMALL(Dong12,ROWS($1:17)),),4,1)="X",OFFSET(TH!D$1,SMALL(Dong12,ROWS($1:17)),),""))</f>
        <v/>
      </c>
      <c r="E30" s="667" t="str">
        <f ca="1">IF(ROWS($1:17)&gt;COUNT(Dong12),"",OFFSET(TH!H$1,SMALL(Dong12,ROWS($1:17)),))</f>
        <v/>
      </c>
      <c r="F30" s="409" t="str">
        <f t="shared" ca="1" si="0"/>
        <v/>
      </c>
      <c r="G30" s="410">
        <f ca="1">IF(ROWS($1:17)&gt;COUNT(Dong12),0,IF(MID(OFFSET(TH!D$1,SMALL(Dong12,ROWS($1:17)),),4,1)="N",OFFSET(TH!I$1,SMALL(Dong12,ROWS($1:17)),),0))</f>
        <v>0</v>
      </c>
      <c r="H30" s="410">
        <f ca="1">IF(ROWS($1:17)&gt;COUNT(Dong12),0,IF(MID(OFFSET(TH!D$1,SMALL(Dong12,ROWS($1:17)),),4,1)="X",OFFSET(TH!I$1,SMALL(Dong12,ROWS($1:17)),),0))</f>
        <v>0</v>
      </c>
      <c r="I30" s="411">
        <f t="shared" ca="1" si="1"/>
        <v>0</v>
      </c>
      <c r="J30" s="412"/>
      <c r="K30" s="413"/>
    </row>
    <row r="31" spans="1:11" ht="16.5" customHeight="1">
      <c r="A31" s="415" t="str">
        <f>IF(D31&lt;&gt;"",A21+1,"")</f>
        <v/>
      </c>
      <c r="B31" s="416"/>
      <c r="C31" s="417"/>
      <c r="D31" s="417"/>
      <c r="E31" s="668"/>
      <c r="F31" s="416"/>
      <c r="G31" s="418"/>
      <c r="H31" s="418"/>
      <c r="I31" s="418"/>
      <c r="J31" s="419"/>
      <c r="K31" s="413"/>
    </row>
    <row r="32" spans="1:11" ht="16.5" customHeight="1">
      <c r="A32" s="403"/>
      <c r="B32" s="420"/>
      <c r="C32" s="403"/>
      <c r="D32" s="403"/>
      <c r="E32" s="404" t="s">
        <v>237</v>
      </c>
      <c r="F32" s="421" t="s">
        <v>19</v>
      </c>
      <c r="G32" s="422">
        <f ca="1">SUM(G14:G31)</f>
        <v>50</v>
      </c>
      <c r="H32" s="422">
        <f ca="1">SUM(H14:H31)</f>
        <v>100</v>
      </c>
      <c r="I32" s="422">
        <f ca="1">I13+G32-H32</f>
        <v>0</v>
      </c>
      <c r="J32" s="403" t="s">
        <v>19</v>
      </c>
      <c r="K32" s="423"/>
    </row>
    <row r="33" spans="1:11" ht="12.75" customHeight="1">
      <c r="A33" s="424"/>
      <c r="B33" s="382"/>
      <c r="C33" s="424"/>
      <c r="D33" s="424"/>
      <c r="E33" s="388"/>
      <c r="F33" s="382"/>
      <c r="G33" s="389"/>
      <c r="H33" s="389"/>
      <c r="I33" s="389"/>
      <c r="J33" s="378"/>
      <c r="K33" s="378"/>
    </row>
    <row r="34" spans="1:11" ht="15">
      <c r="A34" s="425" t="s">
        <v>238</v>
      </c>
      <c r="B34" s="425"/>
      <c r="C34" s="426"/>
      <c r="D34" s="426"/>
      <c r="E34" s="388"/>
      <c r="F34" s="382"/>
      <c r="G34" s="389"/>
      <c r="H34" s="389"/>
      <c r="I34" s="389"/>
      <c r="J34" s="378"/>
      <c r="K34" s="378"/>
    </row>
    <row r="35" spans="1:11" ht="15">
      <c r="A35" s="1044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7 tháng 1 năm 2013</v>
      </c>
      <c r="B35" s="1045"/>
      <c r="C35" s="1045"/>
      <c r="D35" s="1045"/>
      <c r="E35" s="1045"/>
      <c r="F35" s="382"/>
      <c r="G35" s="389"/>
      <c r="H35" s="389"/>
      <c r="I35" s="389"/>
      <c r="J35" s="378"/>
      <c r="K35" s="378"/>
    </row>
    <row r="36" spans="1:11" ht="15">
      <c r="A36" s="427"/>
      <c r="B36" s="428"/>
      <c r="C36" s="429"/>
      <c r="D36" s="424"/>
      <c r="E36" s="388"/>
      <c r="F36" s="382"/>
      <c r="H36" s="310"/>
      <c r="I36" s="559" t="str">
        <f ca="1">"Ngày 31 tháng  12  năm  "&amp;YEAR($B$14)</f>
        <v>Ngày 31 tháng  12  năm  2013</v>
      </c>
      <c r="J36" s="310"/>
      <c r="K36" s="311"/>
    </row>
    <row r="37" spans="1:11" ht="15" customHeight="1">
      <c r="A37" s="427"/>
      <c r="C37" s="430" t="s">
        <v>239</v>
      </c>
      <c r="D37" s="424"/>
      <c r="E37" s="1046" t="s">
        <v>12</v>
      </c>
      <c r="F37" s="1046"/>
      <c r="G37" s="389"/>
      <c r="I37" s="591" t="s">
        <v>109</v>
      </c>
      <c r="J37" s="380"/>
      <c r="K37" s="427"/>
    </row>
    <row r="38" spans="1:11" ht="15" customHeight="1">
      <c r="A38" s="431"/>
      <c r="C38" s="432" t="s">
        <v>13</v>
      </c>
      <c r="D38" s="433"/>
      <c r="E38" s="1040" t="s">
        <v>13</v>
      </c>
      <c r="F38" s="1040"/>
      <c r="G38" s="389"/>
      <c r="I38" s="592" t="s">
        <v>136</v>
      </c>
      <c r="J38" s="590"/>
      <c r="K38" s="431"/>
    </row>
    <row r="39" spans="1:11" ht="15">
      <c r="A39" s="431"/>
      <c r="C39" s="432"/>
      <c r="D39" s="424"/>
      <c r="E39" s="434"/>
      <c r="F39" s="435"/>
      <c r="G39" s="389"/>
      <c r="H39" s="431"/>
      <c r="I39" s="431"/>
      <c r="J39" s="431"/>
      <c r="K39" s="431"/>
    </row>
    <row r="40" spans="1:11" ht="15">
      <c r="A40" s="431"/>
      <c r="B40" s="432"/>
      <c r="C40" s="431"/>
      <c r="D40" s="424"/>
      <c r="E40" s="434"/>
      <c r="F40" s="435"/>
      <c r="G40" s="389"/>
      <c r="H40" s="431"/>
      <c r="I40" s="431"/>
      <c r="J40" s="431"/>
      <c r="K40" s="431"/>
    </row>
    <row r="41" spans="1:11" ht="15">
      <c r="A41" s="431"/>
      <c r="B41" s="432"/>
      <c r="C41" s="431"/>
      <c r="D41" s="424"/>
      <c r="E41" s="434"/>
      <c r="F41" s="435"/>
      <c r="G41" s="389"/>
      <c r="H41" s="431"/>
      <c r="I41" s="431"/>
      <c r="J41" s="431"/>
      <c r="K41" s="431"/>
    </row>
    <row r="46" spans="1:11" ht="15">
      <c r="C46" s="593" t="s">
        <v>331</v>
      </c>
      <c r="H46" s="589"/>
      <c r="I46" s="588" t="s">
        <v>103</v>
      </c>
      <c r="J46" s="589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Z371"/>
  <sheetViews>
    <sheetView topLeftCell="A5" workbookViewId="0">
      <pane ySplit="1" topLeftCell="A342" activePane="bottomLeft" state="frozen"/>
      <selection activeCell="A5" sqref="A5"/>
      <selection pane="bottomLeft" activeCell="O250" sqref="O250:O365"/>
    </sheetView>
  </sheetViews>
  <sheetFormatPr defaultColWidth="10.28515625" defaultRowHeight="12.75"/>
  <cols>
    <col min="1" max="1" width="4.7109375" style="754" customWidth="1"/>
    <col min="2" max="2" width="23.140625" style="754" customWidth="1"/>
    <col min="3" max="3" width="12.140625" style="754" customWidth="1"/>
    <col min="4" max="4" width="11" style="754" customWidth="1"/>
    <col min="5" max="5" width="9.7109375" style="754" customWidth="1"/>
    <col min="6" max="6" width="11.140625" style="754" customWidth="1"/>
    <col min="7" max="7" width="10.85546875" style="754" customWidth="1"/>
    <col min="8" max="8" width="12" style="754" customWidth="1"/>
    <col min="9" max="10" width="7.42578125" style="754" customWidth="1"/>
    <col min="11" max="11" width="6.5703125" style="768" customWidth="1"/>
    <col min="12" max="12" width="2" style="765" customWidth="1"/>
    <col min="13" max="13" width="23" style="754" customWidth="1"/>
    <col min="14" max="14" width="10.140625" style="766" customWidth="1"/>
    <col min="15" max="15" width="7.7109375" style="766" customWidth="1"/>
    <col min="16" max="16" width="7.7109375" style="767" customWidth="1"/>
    <col min="17" max="17" width="7" style="817" customWidth="1"/>
    <col min="18" max="18" width="7.5703125" style="293" customWidth="1"/>
    <col min="19" max="19" width="12.42578125" style="754" customWidth="1"/>
    <col min="20" max="20" width="15.85546875" style="754" customWidth="1"/>
    <col min="21" max="21" width="8.28515625" style="766" customWidth="1"/>
    <col min="22" max="22" width="7.5703125" style="293" customWidth="1"/>
    <col min="23" max="23" width="9" style="293" customWidth="1"/>
    <col min="24" max="24" width="9.7109375" style="754" customWidth="1"/>
    <col min="25" max="25" width="10.28515625" style="754" customWidth="1"/>
    <col min="26" max="16384" width="10.28515625" style="754"/>
  </cols>
  <sheetData>
    <row r="1" spans="1:26">
      <c r="B1" s="754">
        <v>1</v>
      </c>
      <c r="C1" s="754">
        <v>5</v>
      </c>
      <c r="D1" s="754">
        <v>6</v>
      </c>
      <c r="E1" s="754">
        <v>7</v>
      </c>
      <c r="F1" s="754">
        <v>8</v>
      </c>
      <c r="G1" s="754">
        <v>10</v>
      </c>
      <c r="H1" s="754">
        <v>13</v>
      </c>
      <c r="I1" s="754">
        <v>14</v>
      </c>
      <c r="J1" s="754">
        <v>15</v>
      </c>
    </row>
    <row r="2" spans="1:26" ht="18" hidden="1" customHeight="1">
      <c r="A2" s="572" t="str">
        <f>TH!$A$1</f>
        <v>Đơn vị: CÔNG TY TNHH SX TM KIM DUNG PHÁT</v>
      </c>
      <c r="B2" s="755"/>
      <c r="C2" s="293"/>
      <c r="D2" s="293"/>
      <c r="E2" s="293"/>
      <c r="F2" s="293"/>
      <c r="G2" s="293"/>
      <c r="H2" s="293"/>
      <c r="I2" s="600"/>
      <c r="J2" s="293"/>
      <c r="L2" s="768"/>
      <c r="M2" s="293"/>
      <c r="N2" s="749"/>
      <c r="O2" s="749"/>
      <c r="T2" s="293"/>
      <c r="U2" s="749"/>
    </row>
    <row r="3" spans="1:26" ht="18.75" customHeight="1">
      <c r="A3" s="756" t="s">
        <v>1166</v>
      </c>
      <c r="B3" s="756"/>
      <c r="C3" s="756"/>
      <c r="D3" s="756"/>
      <c r="E3" s="756"/>
      <c r="F3" s="756"/>
      <c r="G3" s="756"/>
      <c r="H3" s="756"/>
      <c r="I3" s="756"/>
      <c r="J3" s="756"/>
      <c r="L3" s="768"/>
      <c r="M3" s="293"/>
      <c r="N3" s="749"/>
      <c r="O3" s="749"/>
      <c r="T3" s="293"/>
      <c r="U3" s="749"/>
    </row>
    <row r="4" spans="1:26" ht="12.75" customHeight="1">
      <c r="A4" s="808"/>
      <c r="B4" s="800"/>
      <c r="C4" s="800"/>
      <c r="D4" s="800"/>
      <c r="E4" s="800"/>
      <c r="F4" s="800"/>
      <c r="G4" s="800"/>
      <c r="H4" s="800"/>
      <c r="I4" s="769"/>
      <c r="J4" s="800"/>
      <c r="L4" s="768"/>
      <c r="M4" s="763"/>
      <c r="N4" s="808"/>
      <c r="O4" s="808"/>
      <c r="P4" s="808"/>
      <c r="Q4" s="818"/>
      <c r="R4" s="770"/>
      <c r="S4" s="808"/>
      <c r="T4" s="808"/>
      <c r="U4" s="808"/>
      <c r="V4" s="808"/>
      <c r="W4" s="808"/>
      <c r="X4" s="808"/>
      <c r="Y4" s="763"/>
      <c r="Z4" s="763"/>
    </row>
    <row r="5" spans="1:26" s="447" customFormat="1" ht="30.75" customHeight="1">
      <c r="A5" s="829" t="s">
        <v>35</v>
      </c>
      <c r="B5" s="442" t="s">
        <v>240</v>
      </c>
      <c r="C5" s="443" t="s">
        <v>243</v>
      </c>
      <c r="D5" s="443" t="s">
        <v>442</v>
      </c>
      <c r="E5" s="443" t="s">
        <v>244</v>
      </c>
      <c r="F5" s="443" t="s">
        <v>435</v>
      </c>
      <c r="G5" s="444" t="s">
        <v>245</v>
      </c>
      <c r="H5" s="443" t="s">
        <v>246</v>
      </c>
      <c r="I5" s="445" t="s">
        <v>241</v>
      </c>
      <c r="J5" s="443" t="s">
        <v>247</v>
      </c>
      <c r="K5" s="446"/>
      <c r="L5" s="446"/>
      <c r="M5" s="442" t="s">
        <v>240</v>
      </c>
      <c r="N5" s="443" t="s">
        <v>234</v>
      </c>
      <c r="O5" s="443"/>
      <c r="P5" s="443"/>
      <c r="Q5" s="819" t="s">
        <v>199</v>
      </c>
      <c r="R5" s="443" t="s">
        <v>242</v>
      </c>
      <c r="S5" s="443" t="s">
        <v>248</v>
      </c>
      <c r="T5" s="442" t="s">
        <v>240</v>
      </c>
      <c r="U5" s="443" t="s">
        <v>234</v>
      </c>
      <c r="V5" s="443" t="s">
        <v>199</v>
      </c>
      <c r="W5" s="443" t="s">
        <v>242</v>
      </c>
      <c r="X5" s="442" t="s">
        <v>248</v>
      </c>
    </row>
    <row r="6" spans="1:26">
      <c r="A6" s="757">
        <f>IF(B6&lt;&gt;"",ROW()-5,"")</f>
        <v>1</v>
      </c>
      <c r="B6" s="297" t="s">
        <v>723</v>
      </c>
      <c r="C6" s="25">
        <f>S6</f>
        <v>0</v>
      </c>
      <c r="D6" s="758">
        <f>IF($I$56&lt;&gt;0,D$56/$I$56*$I6,0)</f>
        <v>391244.54148471617</v>
      </c>
      <c r="E6" s="758">
        <f>IF($I$56&lt;&gt;0,E$56/$I$56*$I6,0)</f>
        <v>51628.471615720518</v>
      </c>
      <c r="F6" s="758">
        <f>IF($I$56&lt;&gt;0,F$56/$I$56*$I6,0)</f>
        <v>304775.54585152841</v>
      </c>
      <c r="G6" s="758">
        <f>IF($I$56&lt;&gt;0,G$56/$I$56*$I6,0)</f>
        <v>576986.8995633187</v>
      </c>
      <c r="H6" s="25">
        <f>SUM(C6:G6)</f>
        <v>1324635.4585152837</v>
      </c>
      <c r="I6" s="758">
        <v>905</v>
      </c>
      <c r="J6" s="758">
        <f>IF(I6&lt;&gt;"",H6/I6,"")</f>
        <v>1463.6855895196504</v>
      </c>
      <c r="K6" s="666">
        <v>6000</v>
      </c>
      <c r="L6" s="771"/>
      <c r="M6" s="448"/>
      <c r="N6" s="772">
        <f>O6-1</f>
        <v>41275</v>
      </c>
      <c r="O6" s="772">
        <v>41276</v>
      </c>
      <c r="P6" s="773" t="s">
        <v>724</v>
      </c>
      <c r="Q6" s="305"/>
      <c r="R6" s="804"/>
      <c r="S6" s="25">
        <f>ROUND(Q6*R6,0)</f>
        <v>0</v>
      </c>
      <c r="T6" s="448" t="s">
        <v>374</v>
      </c>
      <c r="U6" s="772">
        <v>41276</v>
      </c>
      <c r="V6" s="804">
        <v>25</v>
      </c>
      <c r="W6" s="804">
        <v>25000</v>
      </c>
      <c r="X6" s="25">
        <f>V6*W6</f>
        <v>625000</v>
      </c>
    </row>
    <row r="7" spans="1:26">
      <c r="A7" s="757">
        <f t="shared" ref="A7:A54" si="0">IF(B7&lt;&gt;"",ROW()-5,"")</f>
        <v>2</v>
      </c>
      <c r="B7" s="297" t="s">
        <v>725</v>
      </c>
      <c r="C7" s="25">
        <f t="shared" ref="C7:C49" si="1">S7</f>
        <v>0</v>
      </c>
      <c r="D7" s="758">
        <f>IF($I$56&lt;&gt;0,D$56/$I$56*$I7,0)</f>
        <v>131855.89519650655</v>
      </c>
      <c r="E7" s="758">
        <f>IF($I$56&lt;&gt;0,E$56/$I$56*$I7,0)</f>
        <v>17399.650655021833</v>
      </c>
      <c r="F7" s="758">
        <f>IF($I$56&lt;&gt;0,F$56/$I$56*$I7,0)</f>
        <v>102714.41048034935</v>
      </c>
      <c r="G7" s="758">
        <f>IF($I$56&lt;&gt;0,G$56/$I$56*$I7,0)</f>
        <v>194454.14847161571</v>
      </c>
      <c r="H7" s="25">
        <f>SUM(C7:G7)</f>
        <v>446424.10480349348</v>
      </c>
      <c r="I7" s="758">
        <v>305</v>
      </c>
      <c r="J7" s="758">
        <f t="shared" ref="J7:J49" si="2">IF(I7&lt;&gt;"",H7/I7,"")</f>
        <v>1463.6855895196506</v>
      </c>
      <c r="K7" s="666">
        <v>5500</v>
      </c>
      <c r="L7" s="771"/>
      <c r="M7" s="449"/>
      <c r="N7" s="772">
        <f>O7-1</f>
        <v>41275</v>
      </c>
      <c r="O7" s="774">
        <v>41276</v>
      </c>
      <c r="P7" s="775" t="s">
        <v>724</v>
      </c>
      <c r="Q7" s="820"/>
      <c r="R7" s="802"/>
      <c r="S7" s="8">
        <f t="shared" ref="S7:S54" si="3">ROUND(Q7*R7,0)</f>
        <v>0</v>
      </c>
      <c r="T7" s="449" t="s">
        <v>346</v>
      </c>
      <c r="U7" s="772">
        <v>41276</v>
      </c>
      <c r="V7" s="802">
        <v>24</v>
      </c>
      <c r="W7" s="802">
        <v>42000</v>
      </c>
      <c r="X7" s="8">
        <f t="shared" ref="X7" si="4">V7*W7</f>
        <v>1008000</v>
      </c>
    </row>
    <row r="8" spans="1:26">
      <c r="A8" s="757">
        <f t="shared" si="0"/>
        <v>3</v>
      </c>
      <c r="B8" s="297" t="s">
        <v>727</v>
      </c>
      <c r="C8" s="25">
        <f t="shared" si="1"/>
        <v>0</v>
      </c>
      <c r="D8" s="758">
        <f>IF($I$56&lt;&gt;0,D$56/$I$56*$I8,0)</f>
        <v>207510.91703056768</v>
      </c>
      <c r="E8" s="758">
        <f>IF($I$56&lt;&gt;0,E$56/$I$56*$I8,0)</f>
        <v>27383.056768558952</v>
      </c>
      <c r="F8" s="758">
        <f>IF($I$56&lt;&gt;0,F$56/$I$56*$I8,0)</f>
        <v>161648.90829694323</v>
      </c>
      <c r="G8" s="758">
        <f>IF($I$56&lt;&gt;0,G$56/$I$56*$I8,0)</f>
        <v>306026.20087336242</v>
      </c>
      <c r="H8" s="25">
        <f>SUM(C8:G8)</f>
        <v>702569.08296943223</v>
      </c>
      <c r="I8" s="758">
        <v>480</v>
      </c>
      <c r="J8" s="758">
        <f t="shared" si="2"/>
        <v>1463.6855895196504</v>
      </c>
      <c r="K8" s="666">
        <v>11020</v>
      </c>
      <c r="L8" s="771"/>
      <c r="M8" s="509"/>
      <c r="N8" s="774">
        <f>O8-3</f>
        <v>41279</v>
      </c>
      <c r="O8" s="892">
        <v>41282</v>
      </c>
      <c r="P8" s="777" t="s">
        <v>728</v>
      </c>
      <c r="Q8" s="821"/>
      <c r="R8" s="803"/>
      <c r="S8" s="8">
        <f t="shared" si="3"/>
        <v>0</v>
      </c>
      <c r="T8" s="509"/>
      <c r="U8" s="774"/>
      <c r="V8" s="803"/>
      <c r="W8" s="803"/>
      <c r="X8" s="8"/>
    </row>
    <row r="9" spans="1:26">
      <c r="A9" s="757">
        <f t="shared" si="0"/>
        <v>4</v>
      </c>
      <c r="B9" s="297" t="s">
        <v>730</v>
      </c>
      <c r="C9" s="25">
        <f t="shared" si="1"/>
        <v>0</v>
      </c>
      <c r="D9" s="758">
        <f>IF($I$56&lt;&gt;0,D$56/$I$56*$I9,0)</f>
        <v>86030.567685589514</v>
      </c>
      <c r="E9" s="758">
        <f>IF($I$56&lt;&gt;0,E$56/$I$56*$I9,0)</f>
        <v>11352.558951965066</v>
      </c>
      <c r="F9" s="758">
        <f>IF($I$56&lt;&gt;0,F$56/$I$56*$I9,0)</f>
        <v>67016.943231441051</v>
      </c>
      <c r="G9" s="758">
        <f>IF($I$56&lt;&gt;0,G$56/$I$56*$I9,0)</f>
        <v>126873.36244541484</v>
      </c>
      <c r="H9" s="25">
        <f>SUM(C9:G9)</f>
        <v>291273.43231441046</v>
      </c>
      <c r="I9" s="758">
        <v>199</v>
      </c>
      <c r="J9" s="758">
        <f t="shared" si="2"/>
        <v>1463.6855895196506</v>
      </c>
      <c r="K9" s="666">
        <v>7235</v>
      </c>
      <c r="L9" s="771"/>
      <c r="M9" s="509"/>
      <c r="N9" s="774">
        <f t="shared" ref="N9:N54" si="5">O9-3</f>
        <v>41279</v>
      </c>
      <c r="O9" s="892">
        <v>41282</v>
      </c>
      <c r="P9" s="777" t="s">
        <v>728</v>
      </c>
      <c r="Q9" s="821"/>
      <c r="R9" s="803"/>
      <c r="S9" s="8">
        <f t="shared" si="3"/>
        <v>0</v>
      </c>
      <c r="T9" s="509"/>
      <c r="U9" s="774"/>
      <c r="V9" s="803"/>
      <c r="W9" s="803"/>
      <c r="X9" s="8"/>
    </row>
    <row r="10" spans="1:26">
      <c r="A10" s="757">
        <f t="shared" si="0"/>
        <v>5</v>
      </c>
      <c r="B10" s="297" t="s">
        <v>731</v>
      </c>
      <c r="C10" s="25">
        <f t="shared" si="1"/>
        <v>0</v>
      </c>
      <c r="D10" s="758">
        <f>IF($I$56&lt;&gt;0,D$56/$I$56*$I10,0)</f>
        <v>428855.89519650658</v>
      </c>
      <c r="E10" s="758">
        <f>IF($I$56&lt;&gt;0,E$56/$I$56*$I10,0)</f>
        <v>56591.650655021833</v>
      </c>
      <c r="F10" s="758">
        <f>IF($I$56&lt;&gt;0,F$56/$I$56*$I10,0)</f>
        <v>334074.41048034938</v>
      </c>
      <c r="G10" s="758">
        <f>IF($I$56&lt;&gt;0,G$56/$I$56*$I10,0)</f>
        <v>632454.14847161574</v>
      </c>
      <c r="H10" s="25">
        <f>SUM(C10:G10)</f>
        <v>1451976.1048034935</v>
      </c>
      <c r="I10" s="758">
        <v>992</v>
      </c>
      <c r="J10" s="758">
        <f t="shared" si="2"/>
        <v>1463.6855895196506</v>
      </c>
      <c r="K10" s="666">
        <v>8740</v>
      </c>
      <c r="L10" s="771"/>
      <c r="M10" s="509"/>
      <c r="N10" s="774">
        <f t="shared" si="5"/>
        <v>41281</v>
      </c>
      <c r="O10" s="892">
        <v>41284</v>
      </c>
      <c r="P10" s="777" t="s">
        <v>732</v>
      </c>
      <c r="Q10" s="821"/>
      <c r="R10" s="803"/>
      <c r="S10" s="8">
        <f t="shared" si="3"/>
        <v>0</v>
      </c>
      <c r="T10" s="509"/>
      <c r="U10" s="774"/>
      <c r="V10" s="803"/>
      <c r="W10" s="803"/>
      <c r="X10" s="8"/>
    </row>
    <row r="11" spans="1:26">
      <c r="A11" s="757">
        <f t="shared" si="0"/>
        <v>6</v>
      </c>
      <c r="B11" s="297" t="s">
        <v>733</v>
      </c>
      <c r="C11" s="25">
        <f t="shared" si="1"/>
        <v>0</v>
      </c>
      <c r="D11" s="758">
        <f>IF($I$56&lt;&gt;0,D$56/$I$56*$I11,0)</f>
        <v>87327.510917030566</v>
      </c>
      <c r="E11" s="758">
        <f>IF($I$56&lt;&gt;0,E$56/$I$56*$I11,0)</f>
        <v>11523.703056768558</v>
      </c>
      <c r="F11" s="758">
        <f>IF($I$56&lt;&gt;0,F$56/$I$56*$I11,0)</f>
        <v>68027.24890829694</v>
      </c>
      <c r="G11" s="758">
        <f>IF($I$56&lt;&gt;0,G$56/$I$56*$I11,0)</f>
        <v>128786.02620087336</v>
      </c>
      <c r="H11" s="25">
        <f>SUM(C11:G11)</f>
        <v>295664.48908296943</v>
      </c>
      <c r="I11" s="758">
        <v>202</v>
      </c>
      <c r="J11" s="758">
        <f t="shared" si="2"/>
        <v>1463.6855895196506</v>
      </c>
      <c r="K11" s="666">
        <v>7268</v>
      </c>
      <c r="L11" s="771"/>
      <c r="M11" s="509"/>
      <c r="N11" s="774">
        <f t="shared" si="5"/>
        <v>41282</v>
      </c>
      <c r="O11" s="892">
        <v>41285</v>
      </c>
      <c r="P11" s="777" t="s">
        <v>734</v>
      </c>
      <c r="Q11" s="821"/>
      <c r="R11" s="803"/>
      <c r="S11" s="8">
        <f t="shared" si="3"/>
        <v>0</v>
      </c>
      <c r="T11" s="509"/>
      <c r="U11" s="774"/>
      <c r="V11" s="803"/>
      <c r="W11" s="803"/>
      <c r="X11" s="8"/>
    </row>
    <row r="12" spans="1:26">
      <c r="A12" s="757">
        <f t="shared" si="0"/>
        <v>7</v>
      </c>
      <c r="B12" s="297" t="s">
        <v>735</v>
      </c>
      <c r="C12" s="25">
        <f t="shared" si="1"/>
        <v>0</v>
      </c>
      <c r="D12" s="758">
        <f>IF($I$56&lt;&gt;0,D$56/$I$56*$I12,0)</f>
        <v>88192.139737991267</v>
      </c>
      <c r="E12" s="758">
        <f>IF($I$56&lt;&gt;0,E$56/$I$56*$I12,0)</f>
        <v>11637.799126637554</v>
      </c>
      <c r="F12" s="758">
        <f>IF($I$56&lt;&gt;0,F$56/$I$56*$I12,0)</f>
        <v>68700.786026200876</v>
      </c>
      <c r="G12" s="758">
        <f>IF($I$56&lt;&gt;0,G$56/$I$56*$I12,0)</f>
        <v>130061.13537117903</v>
      </c>
      <c r="H12" s="25">
        <f>SUM(C12:G12)</f>
        <v>298591.86026200873</v>
      </c>
      <c r="I12" s="758">
        <v>204</v>
      </c>
      <c r="J12" s="758">
        <f t="shared" si="2"/>
        <v>1463.6855895196506</v>
      </c>
      <c r="K12" s="666">
        <v>8500</v>
      </c>
      <c r="L12" s="771"/>
      <c r="M12" s="509"/>
      <c r="N12" s="774">
        <f t="shared" si="5"/>
        <v>41282</v>
      </c>
      <c r="O12" s="892">
        <v>41285</v>
      </c>
      <c r="P12" s="777" t="s">
        <v>734</v>
      </c>
      <c r="Q12" s="821"/>
      <c r="R12" s="803"/>
      <c r="S12" s="8">
        <f t="shared" si="3"/>
        <v>0</v>
      </c>
      <c r="T12" s="509"/>
      <c r="U12" s="774"/>
      <c r="V12" s="803"/>
      <c r="W12" s="803"/>
      <c r="X12" s="8"/>
    </row>
    <row r="13" spans="1:26">
      <c r="A13" s="757">
        <f t="shared" si="0"/>
        <v>8</v>
      </c>
      <c r="B13" s="297" t="s">
        <v>736</v>
      </c>
      <c r="C13" s="25">
        <f t="shared" si="1"/>
        <v>0</v>
      </c>
      <c r="D13" s="758">
        <f>IF($I$56&lt;&gt;0,D$56/$I$56*$I13,0)</f>
        <v>220480.34934497817</v>
      </c>
      <c r="E13" s="758">
        <f>IF($I$56&lt;&gt;0,E$56/$I$56*$I13,0)</f>
        <v>29094.497816593885</v>
      </c>
      <c r="F13" s="758">
        <f>IF($I$56&lt;&gt;0,F$56/$I$56*$I13,0)</f>
        <v>171751.96506550218</v>
      </c>
      <c r="G13" s="758">
        <f>IF($I$56&lt;&gt;0,G$56/$I$56*$I13,0)</f>
        <v>325152.8384279476</v>
      </c>
      <c r="H13" s="25">
        <f>SUM(C13:G13)</f>
        <v>746479.65065502189</v>
      </c>
      <c r="I13" s="758">
        <v>510</v>
      </c>
      <c r="J13" s="758">
        <f t="shared" si="2"/>
        <v>1463.6855895196509</v>
      </c>
      <c r="K13" s="666">
        <v>550</v>
      </c>
      <c r="L13" s="771"/>
      <c r="M13" s="509"/>
      <c r="N13" s="774">
        <f t="shared" si="5"/>
        <v>41282</v>
      </c>
      <c r="O13" s="892">
        <v>41285</v>
      </c>
      <c r="P13" s="777" t="s">
        <v>734</v>
      </c>
      <c r="Q13" s="821"/>
      <c r="R13" s="803"/>
      <c r="S13" s="8">
        <f t="shared" si="3"/>
        <v>0</v>
      </c>
      <c r="T13" s="509"/>
      <c r="U13" s="774"/>
      <c r="V13" s="803"/>
      <c r="W13" s="803"/>
      <c r="X13" s="8"/>
    </row>
    <row r="14" spans="1:26">
      <c r="A14" s="757">
        <f t="shared" si="0"/>
        <v>9</v>
      </c>
      <c r="B14" s="297" t="s">
        <v>737</v>
      </c>
      <c r="C14" s="25">
        <f t="shared" si="1"/>
        <v>0</v>
      </c>
      <c r="D14" s="758">
        <f>IF($I$56&lt;&gt;0,D$56/$I$56*$I14,0)</f>
        <v>181572.05240174674</v>
      </c>
      <c r="E14" s="758">
        <f>IF($I$56&lt;&gt;0,E$56/$I$56*$I14,0)</f>
        <v>23960.17467248908</v>
      </c>
      <c r="F14" s="758">
        <f>IF($I$56&lt;&gt;0,F$56/$I$56*$I14,0)</f>
        <v>141442.79475982534</v>
      </c>
      <c r="G14" s="758">
        <f>IF($I$56&lt;&gt;0,G$56/$I$56*$I14,0)</f>
        <v>267772.92576419213</v>
      </c>
      <c r="H14" s="25">
        <f>SUM(C14:G14)</f>
        <v>614747.94759825326</v>
      </c>
      <c r="I14" s="758">
        <v>420</v>
      </c>
      <c r="J14" s="758">
        <f t="shared" si="2"/>
        <v>1463.6855895196506</v>
      </c>
      <c r="K14" s="666">
        <v>500</v>
      </c>
      <c r="L14" s="771"/>
      <c r="M14" s="509"/>
      <c r="N14" s="774">
        <f t="shared" si="5"/>
        <v>41282</v>
      </c>
      <c r="O14" s="892">
        <v>41285</v>
      </c>
      <c r="P14" s="777" t="s">
        <v>734</v>
      </c>
      <c r="Q14" s="821"/>
      <c r="R14" s="803"/>
      <c r="S14" s="8">
        <f t="shared" si="3"/>
        <v>0</v>
      </c>
      <c r="T14" s="509"/>
      <c r="U14" s="774"/>
      <c r="V14" s="803"/>
      <c r="W14" s="803"/>
      <c r="X14" s="8"/>
    </row>
    <row r="15" spans="1:26">
      <c r="A15" s="757">
        <f t="shared" si="0"/>
        <v>10</v>
      </c>
      <c r="B15" s="297" t="s">
        <v>738</v>
      </c>
      <c r="C15" s="25">
        <f t="shared" si="1"/>
        <v>0</v>
      </c>
      <c r="D15" s="758">
        <f>IF($I$56&lt;&gt;0,D$56/$I$56*$I15,0)</f>
        <v>86462.882096069865</v>
      </c>
      <c r="E15" s="758">
        <f>IF($I$56&lt;&gt;0,E$56/$I$56*$I15,0)</f>
        <v>11409.606986899562</v>
      </c>
      <c r="F15" s="758">
        <f>IF($I$56&lt;&gt;0,F$56/$I$56*$I15,0)</f>
        <v>67353.711790393019</v>
      </c>
      <c r="G15" s="758">
        <f>IF($I$56&lt;&gt;0,G$56/$I$56*$I15,0)</f>
        <v>127510.91703056768</v>
      </c>
      <c r="H15" s="25">
        <f>SUM(C15:G15)</f>
        <v>292737.11790393014</v>
      </c>
      <c r="I15" s="758">
        <v>200</v>
      </c>
      <c r="J15" s="758">
        <f t="shared" si="2"/>
        <v>1463.6855895196506</v>
      </c>
      <c r="K15" s="666">
        <v>900</v>
      </c>
      <c r="L15" s="771"/>
      <c r="M15" s="509"/>
      <c r="N15" s="774">
        <f t="shared" si="5"/>
        <v>41282</v>
      </c>
      <c r="O15" s="892">
        <v>41285</v>
      </c>
      <c r="P15" s="777" t="s">
        <v>734</v>
      </c>
      <c r="Q15" s="821"/>
      <c r="R15" s="803"/>
      <c r="S15" s="8">
        <f t="shared" si="3"/>
        <v>0</v>
      </c>
      <c r="T15" s="509"/>
      <c r="U15" s="774"/>
      <c r="V15" s="803"/>
      <c r="W15" s="803"/>
      <c r="X15" s="8"/>
    </row>
    <row r="16" spans="1:26">
      <c r="A16" s="757">
        <f t="shared" si="0"/>
        <v>11</v>
      </c>
      <c r="B16" s="297" t="s">
        <v>739</v>
      </c>
      <c r="C16" s="25">
        <f t="shared" si="1"/>
        <v>0</v>
      </c>
      <c r="D16" s="758">
        <f>IF($I$56&lt;&gt;0,D$56/$I$56*$I16,0)</f>
        <v>181572.05240174674</v>
      </c>
      <c r="E16" s="758">
        <f>IF($I$56&lt;&gt;0,E$56/$I$56*$I16,0)</f>
        <v>23960.17467248908</v>
      </c>
      <c r="F16" s="758">
        <f>IF($I$56&lt;&gt;0,F$56/$I$56*$I16,0)</f>
        <v>141442.79475982534</v>
      </c>
      <c r="G16" s="758">
        <f>IF($I$56&lt;&gt;0,G$56/$I$56*$I16,0)</f>
        <v>267772.92576419213</v>
      </c>
      <c r="H16" s="25">
        <f>SUM(C16:G16)</f>
        <v>614747.94759825326</v>
      </c>
      <c r="I16" s="758">
        <v>420</v>
      </c>
      <c r="J16" s="758">
        <f t="shared" si="2"/>
        <v>1463.6855895196506</v>
      </c>
      <c r="K16" s="666">
        <v>700</v>
      </c>
      <c r="L16" s="771"/>
      <c r="M16" s="509"/>
      <c r="N16" s="774">
        <f t="shared" si="5"/>
        <v>41282</v>
      </c>
      <c r="O16" s="892">
        <v>41285</v>
      </c>
      <c r="P16" s="777" t="s">
        <v>734</v>
      </c>
      <c r="Q16" s="821"/>
      <c r="R16" s="803"/>
      <c r="S16" s="8">
        <f t="shared" si="3"/>
        <v>0</v>
      </c>
      <c r="T16" s="509"/>
      <c r="U16" s="774"/>
      <c r="V16" s="803"/>
      <c r="W16" s="803"/>
      <c r="X16" s="8"/>
    </row>
    <row r="17" spans="1:24">
      <c r="A17" s="757">
        <f t="shared" si="0"/>
        <v>12</v>
      </c>
      <c r="B17" s="297" t="s">
        <v>740</v>
      </c>
      <c r="C17" s="25">
        <f t="shared" si="1"/>
        <v>0</v>
      </c>
      <c r="D17" s="758">
        <f>IF($I$56&lt;&gt;0,D$56/$I$56*$I17,0)</f>
        <v>22480.349344978167</v>
      </c>
      <c r="E17" s="758">
        <f>IF($I$56&lt;&gt;0,E$56/$I$56*$I17,0)</f>
        <v>2966.4978165938865</v>
      </c>
      <c r="F17" s="758">
        <f>IF($I$56&lt;&gt;0,F$56/$I$56*$I17,0)</f>
        <v>17511.965065502183</v>
      </c>
      <c r="G17" s="758">
        <f>IF($I$56&lt;&gt;0,G$56/$I$56*$I17,0)</f>
        <v>33152.838427947594</v>
      </c>
      <c r="H17" s="25">
        <f>SUM(C17:G17)</f>
        <v>76111.650655021833</v>
      </c>
      <c r="I17" s="758">
        <v>52</v>
      </c>
      <c r="J17" s="758">
        <f t="shared" si="2"/>
        <v>1463.6855895196506</v>
      </c>
      <c r="K17" s="666">
        <v>9512</v>
      </c>
      <c r="L17" s="771"/>
      <c r="M17" s="509"/>
      <c r="N17" s="774">
        <f t="shared" si="5"/>
        <v>41282</v>
      </c>
      <c r="O17" s="892">
        <v>41285</v>
      </c>
      <c r="P17" s="777" t="s">
        <v>734</v>
      </c>
      <c r="Q17" s="821"/>
      <c r="R17" s="803"/>
      <c r="S17" s="8">
        <f t="shared" si="3"/>
        <v>0</v>
      </c>
      <c r="T17" s="509"/>
      <c r="U17" s="774"/>
      <c r="V17" s="803"/>
      <c r="W17" s="803"/>
      <c r="X17" s="8"/>
    </row>
    <row r="18" spans="1:24">
      <c r="A18" s="757">
        <f t="shared" si="0"/>
        <v>13</v>
      </c>
      <c r="B18" s="297" t="s">
        <v>741</v>
      </c>
      <c r="C18" s="25">
        <f t="shared" si="1"/>
        <v>0</v>
      </c>
      <c r="D18" s="758">
        <f>IF($I$56&lt;&gt;0,D$56/$I$56*$I18,0)</f>
        <v>354497.81659388647</v>
      </c>
      <c r="E18" s="758">
        <f>IF($I$56&lt;&gt;0,E$56/$I$56*$I18,0)</f>
        <v>46779.388646288207</v>
      </c>
      <c r="F18" s="758">
        <f>IF($I$56&lt;&gt;0,F$56/$I$56*$I18,0)</f>
        <v>276150.21834061138</v>
      </c>
      <c r="G18" s="758">
        <f>IF($I$56&lt;&gt;0,G$56/$I$56*$I18,0)</f>
        <v>522794.75982532749</v>
      </c>
      <c r="H18" s="25">
        <f>SUM(C18:G18)</f>
        <v>1200222.1834061134</v>
      </c>
      <c r="I18" s="758">
        <v>820</v>
      </c>
      <c r="J18" s="758">
        <f t="shared" si="2"/>
        <v>1463.6855895196504</v>
      </c>
      <c r="K18" s="666">
        <v>8000</v>
      </c>
      <c r="L18" s="771"/>
      <c r="M18" s="509"/>
      <c r="N18" s="774">
        <f t="shared" si="5"/>
        <v>41285</v>
      </c>
      <c r="O18" s="892">
        <v>41288</v>
      </c>
      <c r="P18" s="777" t="s">
        <v>742</v>
      </c>
      <c r="Q18" s="821"/>
      <c r="R18" s="803"/>
      <c r="S18" s="8">
        <f t="shared" si="3"/>
        <v>0</v>
      </c>
      <c r="T18" s="509"/>
      <c r="U18" s="774"/>
      <c r="V18" s="803"/>
      <c r="W18" s="803"/>
      <c r="X18" s="8"/>
    </row>
    <row r="19" spans="1:24">
      <c r="A19" s="757">
        <f t="shared" si="0"/>
        <v>14</v>
      </c>
      <c r="B19" s="297" t="s">
        <v>744</v>
      </c>
      <c r="C19" s="25">
        <f t="shared" si="1"/>
        <v>0</v>
      </c>
      <c r="D19" s="758">
        <f>IF($I$56&lt;&gt;0,D$56/$I$56*$I19,0)</f>
        <v>118454.14847161573</v>
      </c>
      <c r="E19" s="758">
        <f>IF($I$56&lt;&gt;0,E$56/$I$56*$I19,0)</f>
        <v>15631.161572052401</v>
      </c>
      <c r="F19" s="758">
        <f>IF($I$56&lt;&gt;0,F$56/$I$56*$I19,0)</f>
        <v>92274.585152838437</v>
      </c>
      <c r="G19" s="758">
        <f>IF($I$56&lt;&gt;0,G$56/$I$56*$I19,0)</f>
        <v>174689.95633187771</v>
      </c>
      <c r="H19" s="25">
        <f>SUM(C19:G19)</f>
        <v>401049.85152838426</v>
      </c>
      <c r="I19" s="758">
        <v>274</v>
      </c>
      <c r="J19" s="758">
        <f t="shared" si="2"/>
        <v>1463.6855895196506</v>
      </c>
      <c r="K19" s="666">
        <v>25700</v>
      </c>
      <c r="L19" s="771"/>
      <c r="M19" s="509"/>
      <c r="N19" s="774">
        <f t="shared" si="5"/>
        <v>41287</v>
      </c>
      <c r="O19" s="892">
        <v>41290</v>
      </c>
      <c r="P19" s="777" t="s">
        <v>745</v>
      </c>
      <c r="Q19" s="821"/>
      <c r="R19" s="803"/>
      <c r="S19" s="8">
        <f t="shared" si="3"/>
        <v>0</v>
      </c>
      <c r="T19" s="509"/>
      <c r="U19" s="774"/>
      <c r="V19" s="803"/>
      <c r="W19" s="803"/>
      <c r="X19" s="8"/>
    </row>
    <row r="20" spans="1:24">
      <c r="A20" s="757">
        <f t="shared" si="0"/>
        <v>15</v>
      </c>
      <c r="B20" s="297" t="s">
        <v>747</v>
      </c>
      <c r="C20" s="25">
        <f t="shared" si="1"/>
        <v>0</v>
      </c>
      <c r="D20" s="758">
        <f>IF($I$56&lt;&gt;0,D$56/$I$56*$I20,0)</f>
        <v>48851.528384279474</v>
      </c>
      <c r="E20" s="758">
        <f>IF($I$56&lt;&gt;0,E$56/$I$56*$I20,0)</f>
        <v>6446.427947598253</v>
      </c>
      <c r="F20" s="758">
        <f>IF($I$56&lt;&gt;0,F$56/$I$56*$I20,0)</f>
        <v>38054.847161572055</v>
      </c>
      <c r="G20" s="758">
        <f>IF($I$56&lt;&gt;0,G$56/$I$56*$I20,0)</f>
        <v>72043.668122270741</v>
      </c>
      <c r="H20" s="25">
        <f>SUM(C20:G20)</f>
        <v>165396.47161572054</v>
      </c>
      <c r="I20" s="758">
        <v>113</v>
      </c>
      <c r="J20" s="758">
        <f t="shared" si="2"/>
        <v>1463.6855895196509</v>
      </c>
      <c r="K20" s="666">
        <v>29950</v>
      </c>
      <c r="L20" s="771"/>
      <c r="M20" s="509"/>
      <c r="N20" s="774">
        <f t="shared" si="5"/>
        <v>41289</v>
      </c>
      <c r="O20" s="892">
        <v>41292</v>
      </c>
      <c r="P20" s="777" t="s">
        <v>748</v>
      </c>
      <c r="Q20" s="821"/>
      <c r="R20" s="803"/>
      <c r="S20" s="8">
        <f t="shared" si="3"/>
        <v>0</v>
      </c>
      <c r="T20" s="509"/>
      <c r="U20" s="774"/>
      <c r="V20" s="803"/>
      <c r="W20" s="803"/>
      <c r="X20" s="8"/>
    </row>
    <row r="21" spans="1:24">
      <c r="A21" s="757">
        <f t="shared" si="0"/>
        <v>16</v>
      </c>
      <c r="B21" s="297" t="s">
        <v>749</v>
      </c>
      <c r="C21" s="25">
        <f t="shared" si="1"/>
        <v>0</v>
      </c>
      <c r="D21" s="758">
        <f>IF($I$56&lt;&gt;0,D$56/$I$56*$I21,0)</f>
        <v>570222.70742358081</v>
      </c>
      <c r="E21" s="758">
        <f>IF($I$56&lt;&gt;0,E$56/$I$56*$I21,0)</f>
        <v>75246.358078602614</v>
      </c>
      <c r="F21" s="758">
        <f>IF($I$56&lt;&gt;0,F$56/$I$56*$I21,0)</f>
        <v>444197.72925764194</v>
      </c>
      <c r="G21" s="758">
        <f>IF($I$56&lt;&gt;0,G$56/$I$56*$I21,0)</f>
        <v>840934.49781659385</v>
      </c>
      <c r="H21" s="25">
        <f>SUM(C21:G21)</f>
        <v>1930601.2925764192</v>
      </c>
      <c r="I21" s="758">
        <v>1319</v>
      </c>
      <c r="J21" s="758">
        <f t="shared" si="2"/>
        <v>1463.6855895196506</v>
      </c>
      <c r="K21" s="666">
        <v>5400</v>
      </c>
      <c r="L21" s="771"/>
      <c r="M21" s="509"/>
      <c r="N21" s="774">
        <f t="shared" si="5"/>
        <v>41289</v>
      </c>
      <c r="O21" s="892">
        <v>41292</v>
      </c>
      <c r="P21" s="777" t="s">
        <v>750</v>
      </c>
      <c r="Q21" s="821"/>
      <c r="R21" s="803"/>
      <c r="S21" s="8">
        <f t="shared" si="3"/>
        <v>0</v>
      </c>
      <c r="T21" s="509"/>
      <c r="U21" s="774"/>
      <c r="V21" s="803"/>
      <c r="W21" s="803"/>
      <c r="X21" s="8"/>
    </row>
    <row r="22" spans="1:24">
      <c r="A22" s="757">
        <f t="shared" si="0"/>
        <v>17</v>
      </c>
      <c r="B22" s="297" t="s">
        <v>751</v>
      </c>
      <c r="C22" s="25">
        <f t="shared" si="1"/>
        <v>0</v>
      </c>
      <c r="D22" s="758">
        <f>IF($I$56&lt;&gt;0,D$56/$I$56*$I22,0)</f>
        <v>132288.2096069869</v>
      </c>
      <c r="E22" s="758">
        <f>IF($I$56&lt;&gt;0,E$56/$I$56*$I22,0)</f>
        <v>17456.698689956331</v>
      </c>
      <c r="F22" s="758">
        <f>IF($I$56&lt;&gt;0,F$56/$I$56*$I22,0)</f>
        <v>103051.17903930131</v>
      </c>
      <c r="G22" s="758">
        <f>IF($I$56&lt;&gt;0,G$56/$I$56*$I22,0)</f>
        <v>195091.70305676854</v>
      </c>
      <c r="H22" s="25">
        <f>SUM(C22:G22)</f>
        <v>447887.79039301304</v>
      </c>
      <c r="I22" s="758">
        <v>306</v>
      </c>
      <c r="J22" s="758">
        <f t="shared" si="2"/>
        <v>1463.6855895196504</v>
      </c>
      <c r="K22" s="666">
        <v>6600</v>
      </c>
      <c r="L22" s="771"/>
      <c r="M22" s="509"/>
      <c r="N22" s="774">
        <f t="shared" si="5"/>
        <v>41289</v>
      </c>
      <c r="O22" s="892">
        <v>41292</v>
      </c>
      <c r="P22" s="777" t="s">
        <v>750</v>
      </c>
      <c r="Q22" s="821"/>
      <c r="R22" s="803"/>
      <c r="S22" s="8">
        <f t="shared" si="3"/>
        <v>0</v>
      </c>
      <c r="T22" s="509"/>
      <c r="U22" s="774"/>
      <c r="V22" s="803"/>
      <c r="W22" s="803"/>
      <c r="X22" s="8"/>
    </row>
    <row r="23" spans="1:24">
      <c r="A23" s="757">
        <f t="shared" si="0"/>
        <v>18</v>
      </c>
      <c r="B23" s="297" t="s">
        <v>752</v>
      </c>
      <c r="C23" s="25">
        <f t="shared" si="1"/>
        <v>0</v>
      </c>
      <c r="D23" s="758">
        <f>IF($I$56&lt;&gt;0,D$56/$I$56*$I23,0)</f>
        <v>127100.43668122271</v>
      </c>
      <c r="E23" s="758">
        <f>IF($I$56&lt;&gt;0,E$56/$I$56*$I23,0)</f>
        <v>16772.122270742359</v>
      </c>
      <c r="F23" s="758">
        <f>IF($I$56&lt;&gt;0,F$56/$I$56*$I23,0)</f>
        <v>99009.956331877736</v>
      </c>
      <c r="G23" s="758">
        <f>IF($I$56&lt;&gt;0,G$56/$I$56*$I23,0)</f>
        <v>187441.0480349345</v>
      </c>
      <c r="H23" s="25">
        <f>SUM(C23:G23)</f>
        <v>430323.56331877731</v>
      </c>
      <c r="I23" s="758">
        <v>294</v>
      </c>
      <c r="J23" s="758">
        <f t="shared" si="2"/>
        <v>1463.6855895196506</v>
      </c>
      <c r="K23" s="666">
        <v>14130</v>
      </c>
      <c r="L23" s="771"/>
      <c r="M23" s="509"/>
      <c r="N23" s="774">
        <f t="shared" si="5"/>
        <v>41290</v>
      </c>
      <c r="O23" s="892">
        <v>41293</v>
      </c>
      <c r="P23" s="777" t="s">
        <v>753</v>
      </c>
      <c r="Q23" s="821"/>
      <c r="R23" s="803"/>
      <c r="S23" s="8">
        <f t="shared" si="3"/>
        <v>0</v>
      </c>
      <c r="T23" s="509"/>
      <c r="U23" s="774"/>
      <c r="V23" s="803"/>
      <c r="W23" s="803"/>
      <c r="X23" s="8"/>
    </row>
    <row r="24" spans="1:24">
      <c r="A24" s="757">
        <f t="shared" si="0"/>
        <v>19</v>
      </c>
      <c r="B24" s="297" t="s">
        <v>754</v>
      </c>
      <c r="C24" s="25">
        <f t="shared" si="1"/>
        <v>0</v>
      </c>
      <c r="D24" s="758">
        <f>IF($I$56&lt;&gt;0,D$56/$I$56*$I24,0)</f>
        <v>43231.441048034932</v>
      </c>
      <c r="E24" s="758">
        <f>IF($I$56&lt;&gt;0,E$56/$I$56*$I24,0)</f>
        <v>5704.8034934497809</v>
      </c>
      <c r="F24" s="758">
        <f>IF($I$56&lt;&gt;0,F$56/$I$56*$I24,0)</f>
        <v>33676.85589519651</v>
      </c>
      <c r="G24" s="758">
        <f>IF($I$56&lt;&gt;0,G$56/$I$56*$I24,0)</f>
        <v>63755.458515283841</v>
      </c>
      <c r="H24" s="25">
        <f>SUM(C24:G24)</f>
        <v>146368.55895196507</v>
      </c>
      <c r="I24" s="758">
        <v>100</v>
      </c>
      <c r="J24" s="758">
        <f t="shared" si="2"/>
        <v>1463.6855895196506</v>
      </c>
      <c r="K24" s="666">
        <v>10650</v>
      </c>
      <c r="L24" s="771"/>
      <c r="M24" s="509"/>
      <c r="N24" s="774">
        <f t="shared" si="5"/>
        <v>41290</v>
      </c>
      <c r="O24" s="892">
        <v>41293</v>
      </c>
      <c r="P24" s="777" t="s">
        <v>753</v>
      </c>
      <c r="Q24" s="821"/>
      <c r="R24" s="803"/>
      <c r="S24" s="8">
        <f t="shared" si="3"/>
        <v>0</v>
      </c>
      <c r="T24" s="509"/>
      <c r="U24" s="774"/>
      <c r="V24" s="803"/>
      <c r="W24" s="803"/>
      <c r="X24" s="8"/>
    </row>
    <row r="25" spans="1:24">
      <c r="A25" s="757">
        <f t="shared" si="0"/>
        <v>20</v>
      </c>
      <c r="B25" s="297" t="s">
        <v>755</v>
      </c>
      <c r="C25" s="25">
        <f t="shared" si="1"/>
        <v>0</v>
      </c>
      <c r="D25" s="758">
        <f>IF($I$56&lt;&gt;0,D$56/$I$56*$I25,0)</f>
        <v>213563.31877729259</v>
      </c>
      <c r="E25" s="758">
        <f>IF($I$56&lt;&gt;0,E$56/$I$56*$I25,0)</f>
        <v>28181.72925764192</v>
      </c>
      <c r="F25" s="758">
        <f>IF($I$56&lt;&gt;0,F$56/$I$56*$I25,0)</f>
        <v>166363.66812227076</v>
      </c>
      <c r="G25" s="758">
        <f>IF($I$56&lt;&gt;0,G$56/$I$56*$I25,0)</f>
        <v>314951.96506550215</v>
      </c>
      <c r="H25" s="25">
        <f>SUM(C25:G25)</f>
        <v>723060.6812227075</v>
      </c>
      <c r="I25" s="758">
        <v>494</v>
      </c>
      <c r="J25" s="758">
        <f t="shared" si="2"/>
        <v>1463.6855895196509</v>
      </c>
      <c r="K25" s="666">
        <v>13700</v>
      </c>
      <c r="L25" s="771"/>
      <c r="M25" s="509"/>
      <c r="N25" s="774">
        <f t="shared" si="5"/>
        <v>41290</v>
      </c>
      <c r="O25" s="892">
        <v>41293</v>
      </c>
      <c r="P25" s="777" t="s">
        <v>753</v>
      </c>
      <c r="Q25" s="821"/>
      <c r="R25" s="803"/>
      <c r="S25" s="8">
        <f t="shared" si="3"/>
        <v>0</v>
      </c>
      <c r="T25" s="509"/>
      <c r="U25" s="774"/>
      <c r="V25" s="803"/>
      <c r="W25" s="803"/>
      <c r="X25" s="8"/>
    </row>
    <row r="26" spans="1:24">
      <c r="A26" s="757">
        <f t="shared" si="0"/>
        <v>21</v>
      </c>
      <c r="B26" s="297" t="s">
        <v>756</v>
      </c>
      <c r="C26" s="25">
        <f t="shared" si="1"/>
        <v>0</v>
      </c>
      <c r="D26" s="758">
        <f>IF($I$56&lt;&gt;0,D$56/$I$56*$I26,0)</f>
        <v>122777.29257641922</v>
      </c>
      <c r="E26" s="758">
        <f>IF($I$56&lt;&gt;0,E$56/$I$56*$I26,0)</f>
        <v>16201.641921397379</v>
      </c>
      <c r="F26" s="758">
        <f>IF($I$56&lt;&gt;0,F$56/$I$56*$I26,0)</f>
        <v>95642.270742358087</v>
      </c>
      <c r="G26" s="758">
        <f>IF($I$56&lt;&gt;0,G$56/$I$56*$I26,0)</f>
        <v>181065.50218340612</v>
      </c>
      <c r="H26" s="25">
        <f>SUM(C26:G26)</f>
        <v>415686.70742358081</v>
      </c>
      <c r="I26" s="758">
        <v>284</v>
      </c>
      <c r="J26" s="758">
        <f t="shared" si="2"/>
        <v>1463.6855895196506</v>
      </c>
      <c r="K26" s="666">
        <v>11900</v>
      </c>
      <c r="L26" s="771"/>
      <c r="M26" s="509"/>
      <c r="N26" s="774">
        <f t="shared" si="5"/>
        <v>41290</v>
      </c>
      <c r="O26" s="892">
        <v>41293</v>
      </c>
      <c r="P26" s="777" t="s">
        <v>753</v>
      </c>
      <c r="Q26" s="821"/>
      <c r="R26" s="803"/>
      <c r="S26" s="8">
        <f t="shared" si="3"/>
        <v>0</v>
      </c>
      <c r="T26" s="509"/>
      <c r="U26" s="774"/>
      <c r="V26" s="803"/>
      <c r="W26" s="803"/>
      <c r="X26" s="8"/>
    </row>
    <row r="27" spans="1:24">
      <c r="A27" s="757">
        <f t="shared" si="0"/>
        <v>22</v>
      </c>
      <c r="B27" s="297" t="s">
        <v>757</v>
      </c>
      <c r="C27" s="25">
        <f t="shared" si="1"/>
        <v>0</v>
      </c>
      <c r="D27" s="758">
        <f>IF($I$56&lt;&gt;0,D$56/$I$56*$I27,0)</f>
        <v>305646.28820960701</v>
      </c>
      <c r="E27" s="758">
        <f>IF($I$56&lt;&gt;0,E$56/$I$56*$I27,0)</f>
        <v>40332.960698689953</v>
      </c>
      <c r="F27" s="758">
        <f>IF($I$56&lt;&gt;0,F$56/$I$56*$I27,0)</f>
        <v>238095.3711790393</v>
      </c>
      <c r="G27" s="758">
        <f>IF($I$56&lt;&gt;0,G$56/$I$56*$I27,0)</f>
        <v>450751.09170305677</v>
      </c>
      <c r="H27" s="25">
        <f>SUM(C27:G27)</f>
        <v>1034825.7117903931</v>
      </c>
      <c r="I27" s="758">
        <v>707</v>
      </c>
      <c r="J27" s="758">
        <f t="shared" si="2"/>
        <v>1463.6855895196509</v>
      </c>
      <c r="K27" s="666">
        <v>7500</v>
      </c>
      <c r="L27" s="771"/>
      <c r="M27" s="509"/>
      <c r="N27" s="774">
        <f t="shared" si="5"/>
        <v>41294</v>
      </c>
      <c r="O27" s="892">
        <v>41297</v>
      </c>
      <c r="P27" s="777" t="s">
        <v>758</v>
      </c>
      <c r="Q27" s="821"/>
      <c r="R27" s="803"/>
      <c r="S27" s="8">
        <f t="shared" si="3"/>
        <v>0</v>
      </c>
      <c r="T27" s="509"/>
      <c r="U27" s="774"/>
      <c r="V27" s="803"/>
      <c r="W27" s="803"/>
      <c r="X27" s="8"/>
    </row>
    <row r="28" spans="1:24">
      <c r="A28" s="757">
        <f t="shared" si="0"/>
        <v>23</v>
      </c>
      <c r="B28" s="297" t="s">
        <v>741</v>
      </c>
      <c r="C28" s="25">
        <f t="shared" si="1"/>
        <v>0</v>
      </c>
      <c r="D28" s="758">
        <f>IF($I$56&lt;&gt;0,D$56/$I$56*$I28,0)</f>
        <v>256362.44541484717</v>
      </c>
      <c r="E28" s="758">
        <f>IF($I$56&lt;&gt;0,E$56/$I$56*$I28,0)</f>
        <v>33829.484716157203</v>
      </c>
      <c r="F28" s="758">
        <f>IF($I$56&lt;&gt;0,F$56/$I$56*$I28,0)</f>
        <v>199703.75545851528</v>
      </c>
      <c r="G28" s="758">
        <f>IF($I$56&lt;&gt;0,G$56/$I$56*$I28,0)</f>
        <v>378069.86899563315</v>
      </c>
      <c r="H28" s="25">
        <f>SUM(C28:G28)</f>
        <v>867965.55458515277</v>
      </c>
      <c r="I28" s="758">
        <v>593</v>
      </c>
      <c r="J28" s="758">
        <f t="shared" si="2"/>
        <v>1463.6855895196506</v>
      </c>
      <c r="K28" s="666">
        <v>8000</v>
      </c>
      <c r="L28" s="771"/>
      <c r="M28" s="509"/>
      <c r="N28" s="774">
        <f t="shared" si="5"/>
        <v>41300</v>
      </c>
      <c r="O28" s="892">
        <v>41303</v>
      </c>
      <c r="P28" s="777" t="s">
        <v>759</v>
      </c>
      <c r="Q28" s="821"/>
      <c r="R28" s="803"/>
      <c r="S28" s="8">
        <f t="shared" si="3"/>
        <v>0</v>
      </c>
      <c r="T28" s="509"/>
      <c r="U28" s="774"/>
      <c r="V28" s="803"/>
      <c r="W28" s="803"/>
      <c r="X28" s="8"/>
    </row>
    <row r="29" spans="1:24">
      <c r="A29" s="757">
        <f t="shared" si="0"/>
        <v>24</v>
      </c>
      <c r="B29" s="297" t="s">
        <v>760</v>
      </c>
      <c r="C29" s="25">
        <f t="shared" si="1"/>
        <v>0</v>
      </c>
      <c r="D29" s="758">
        <f>IF($I$56&lt;&gt;0,D$56/$I$56*$I29,0)</f>
        <v>172061.13537117903</v>
      </c>
      <c r="E29" s="758">
        <f>IF($I$56&lt;&gt;0,E$56/$I$56*$I29,0)</f>
        <v>22705.117903930131</v>
      </c>
      <c r="F29" s="758">
        <f>IF($I$56&lt;&gt;0,F$56/$I$56*$I29,0)</f>
        <v>134033.8864628821</v>
      </c>
      <c r="G29" s="758">
        <f>IF($I$56&lt;&gt;0,G$56/$I$56*$I29,0)</f>
        <v>253746.72489082968</v>
      </c>
      <c r="H29" s="25">
        <f>SUM(C29:G29)</f>
        <v>582546.86462882091</v>
      </c>
      <c r="I29" s="758">
        <v>398</v>
      </c>
      <c r="J29" s="758">
        <f t="shared" si="2"/>
        <v>1463.6855895196506</v>
      </c>
      <c r="K29" s="666">
        <v>8360</v>
      </c>
      <c r="L29" s="771"/>
      <c r="M29" s="509"/>
      <c r="N29" s="774">
        <f t="shared" si="5"/>
        <v>41300</v>
      </c>
      <c r="O29" s="892">
        <v>41303</v>
      </c>
      <c r="P29" s="777" t="s">
        <v>759</v>
      </c>
      <c r="Q29" s="821"/>
      <c r="R29" s="803"/>
      <c r="S29" s="8">
        <f t="shared" si="3"/>
        <v>0</v>
      </c>
      <c r="T29" s="509"/>
      <c r="U29" s="774"/>
      <c r="V29" s="803"/>
      <c r="W29" s="803"/>
      <c r="X29" s="8"/>
    </row>
    <row r="30" spans="1:24">
      <c r="A30" s="757">
        <f t="shared" si="0"/>
        <v>25</v>
      </c>
      <c r="B30" s="297" t="s">
        <v>752</v>
      </c>
      <c r="C30" s="25">
        <f t="shared" si="1"/>
        <v>0</v>
      </c>
      <c r="D30" s="758">
        <f>IF($I$56&lt;&gt;0,D$56/$I$56*$I30,0)</f>
        <v>177248.90829694323</v>
      </c>
      <c r="E30" s="758">
        <f>IF($I$56&lt;&gt;0,E$56/$I$56*$I30,0)</f>
        <v>23389.694323144104</v>
      </c>
      <c r="F30" s="758">
        <f>IF($I$56&lt;&gt;0,F$56/$I$56*$I30,0)</f>
        <v>138075.10917030569</v>
      </c>
      <c r="G30" s="758">
        <f>IF($I$56&lt;&gt;0,G$56/$I$56*$I30,0)</f>
        <v>261397.37991266375</v>
      </c>
      <c r="H30" s="25">
        <f>SUM(C30:G30)</f>
        <v>600111.09170305671</v>
      </c>
      <c r="I30" s="758">
        <v>410</v>
      </c>
      <c r="J30" s="758">
        <f t="shared" si="2"/>
        <v>1463.6855895196504</v>
      </c>
      <c r="K30" s="666">
        <v>13698</v>
      </c>
      <c r="L30" s="771"/>
      <c r="M30" s="509"/>
      <c r="N30" s="774">
        <f t="shared" si="5"/>
        <v>41300</v>
      </c>
      <c r="O30" s="892">
        <v>41303</v>
      </c>
      <c r="P30" s="777" t="s">
        <v>761</v>
      </c>
      <c r="Q30" s="821"/>
      <c r="R30" s="803"/>
      <c r="S30" s="8">
        <f t="shared" si="3"/>
        <v>0</v>
      </c>
      <c r="T30" s="509"/>
      <c r="U30" s="774"/>
      <c r="V30" s="803"/>
      <c r="W30" s="803"/>
      <c r="X30" s="8"/>
    </row>
    <row r="31" spans="1:24">
      <c r="A31" s="757">
        <f t="shared" si="0"/>
        <v>26</v>
      </c>
      <c r="B31" s="297" t="s">
        <v>757</v>
      </c>
      <c r="C31" s="25">
        <f t="shared" si="1"/>
        <v>0</v>
      </c>
      <c r="D31" s="758">
        <f>IF($I$56&lt;&gt;0,D$56/$I$56*$I31,0)</f>
        <v>478139.73799126636</v>
      </c>
      <c r="E31" s="758">
        <f>IF($I$56&lt;&gt;0,E$56/$I$56*$I31,0)</f>
        <v>63095.126637554582</v>
      </c>
      <c r="F31" s="758">
        <f>IF($I$56&lt;&gt;0,F$56/$I$56*$I31,0)</f>
        <v>372466.02620087337</v>
      </c>
      <c r="G31" s="758">
        <f>IF($I$56&lt;&gt;0,G$56/$I$56*$I31,0)</f>
        <v>705135.37117903924</v>
      </c>
      <c r="H31" s="25">
        <f>SUM(C31:G31)</f>
        <v>1618836.2620087336</v>
      </c>
      <c r="I31" s="758">
        <v>1106</v>
      </c>
      <c r="J31" s="758">
        <f t="shared" si="2"/>
        <v>1463.6855895196506</v>
      </c>
      <c r="K31" s="666">
        <v>7500</v>
      </c>
      <c r="L31" s="771"/>
      <c r="M31" s="509"/>
      <c r="N31" s="774">
        <f t="shared" si="5"/>
        <v>41300</v>
      </c>
      <c r="O31" s="892">
        <v>41303</v>
      </c>
      <c r="P31" s="777" t="s">
        <v>762</v>
      </c>
      <c r="Q31" s="821"/>
      <c r="R31" s="803"/>
      <c r="S31" s="8">
        <f t="shared" si="3"/>
        <v>0</v>
      </c>
      <c r="T31" s="509"/>
      <c r="U31" s="774"/>
      <c r="V31" s="803"/>
      <c r="W31" s="803"/>
      <c r="X31" s="8"/>
    </row>
    <row r="32" spans="1:24">
      <c r="A32" s="757">
        <f t="shared" si="0"/>
        <v>27</v>
      </c>
      <c r="B32" s="297" t="s">
        <v>731</v>
      </c>
      <c r="C32" s="25">
        <f t="shared" si="1"/>
        <v>0</v>
      </c>
      <c r="D32" s="758">
        <f>IF($I$56&lt;&gt;0,D$56/$I$56*$I32,0)</f>
        <v>731908.29694323149</v>
      </c>
      <c r="E32" s="758">
        <f>IF($I$56&lt;&gt;0,E$56/$I$56*$I32,0)</f>
        <v>96582.323144104797</v>
      </c>
      <c r="F32" s="758">
        <f>IF($I$56&lt;&gt;0,F$56/$I$56*$I32,0)</f>
        <v>570149.17030567687</v>
      </c>
      <c r="G32" s="758">
        <f>IF($I$56&lt;&gt;0,G$56/$I$56*$I32,0)</f>
        <v>1079379.9126637555</v>
      </c>
      <c r="H32" s="25">
        <f>SUM(C32:G32)</f>
        <v>2478019.7030567685</v>
      </c>
      <c r="I32" s="758">
        <v>1693</v>
      </c>
      <c r="J32" s="758">
        <f t="shared" si="2"/>
        <v>1463.6855895196506</v>
      </c>
      <c r="K32" s="666">
        <v>8740</v>
      </c>
      <c r="L32" s="771"/>
      <c r="M32" s="509"/>
      <c r="N32" s="774">
        <f t="shared" si="5"/>
        <v>41302</v>
      </c>
      <c r="O32" s="892">
        <v>41305</v>
      </c>
      <c r="P32" s="777" t="s">
        <v>763</v>
      </c>
      <c r="Q32" s="821"/>
      <c r="R32" s="803"/>
      <c r="S32" s="8">
        <f t="shared" si="3"/>
        <v>0</v>
      </c>
      <c r="T32" s="509"/>
      <c r="U32" s="774"/>
      <c r="V32" s="803"/>
      <c r="W32" s="803"/>
      <c r="X32" s="8"/>
    </row>
    <row r="33" spans="1:24">
      <c r="A33" s="757">
        <f t="shared" si="0"/>
        <v>28</v>
      </c>
      <c r="B33" s="297" t="s">
        <v>764</v>
      </c>
      <c r="C33" s="25">
        <f t="shared" si="1"/>
        <v>0</v>
      </c>
      <c r="D33" s="758">
        <f>IF($I$56&lt;&gt;0,D$56/$I$56*$I33,0)</f>
        <v>201458.5152838428</v>
      </c>
      <c r="E33" s="758">
        <f>IF($I$56&lt;&gt;0,E$56/$I$56*$I33,0)</f>
        <v>26584.38427947598</v>
      </c>
      <c r="F33" s="758">
        <f>IF($I$56&lt;&gt;0,F$56/$I$56*$I33,0)</f>
        <v>156934.14847161571</v>
      </c>
      <c r="G33" s="758">
        <f>IF($I$56&lt;&gt;0,G$56/$I$56*$I33,0)</f>
        <v>297100.43668122269</v>
      </c>
      <c r="H33" s="25">
        <f>SUM(C33:G33)</f>
        <v>682077.4847161572</v>
      </c>
      <c r="I33" s="758">
        <v>466</v>
      </c>
      <c r="J33" s="758">
        <f t="shared" si="2"/>
        <v>1463.6855895196506</v>
      </c>
      <c r="K33" s="666">
        <v>22000</v>
      </c>
      <c r="L33" s="771"/>
      <c r="M33" s="509"/>
      <c r="N33" s="774">
        <f t="shared" si="5"/>
        <v>41302</v>
      </c>
      <c r="O33" s="892">
        <v>41305</v>
      </c>
      <c r="P33" s="777" t="s">
        <v>765</v>
      </c>
      <c r="Q33" s="821"/>
      <c r="R33" s="803"/>
      <c r="S33" s="8">
        <f t="shared" si="3"/>
        <v>0</v>
      </c>
      <c r="T33" s="509"/>
      <c r="U33" s="774"/>
      <c r="V33" s="803"/>
      <c r="W33" s="803"/>
      <c r="X33" s="8"/>
    </row>
    <row r="34" spans="1:24">
      <c r="A34" s="757">
        <f t="shared" si="0"/>
        <v>29</v>
      </c>
      <c r="B34" s="297" t="s">
        <v>766</v>
      </c>
      <c r="C34" s="25">
        <f t="shared" si="1"/>
        <v>0</v>
      </c>
      <c r="D34" s="758">
        <f>IF($I$56&lt;&gt;0,D$56/$I$56*$I34,0)</f>
        <v>263711.7903930131</v>
      </c>
      <c r="E34" s="758">
        <f>IF($I$56&lt;&gt;0,E$56/$I$56*$I34,0)</f>
        <v>34799.301310043666</v>
      </c>
      <c r="F34" s="758">
        <f>IF($I$56&lt;&gt;0,F$56/$I$56*$I34,0)</f>
        <v>205428.82096069871</v>
      </c>
      <c r="G34" s="758">
        <f>IF($I$56&lt;&gt;0,G$56/$I$56*$I34,0)</f>
        <v>388908.29694323143</v>
      </c>
      <c r="H34" s="25">
        <f>SUM(C34:G34)</f>
        <v>892848.20960698696</v>
      </c>
      <c r="I34" s="758">
        <v>610</v>
      </c>
      <c r="J34" s="758">
        <f t="shared" si="2"/>
        <v>1463.6855895196506</v>
      </c>
      <c r="K34" s="666">
        <v>6990</v>
      </c>
      <c r="L34" s="771"/>
      <c r="M34" s="509"/>
      <c r="N34" s="774">
        <f t="shared" si="5"/>
        <v>41325</v>
      </c>
      <c r="O34" s="892">
        <v>41328</v>
      </c>
      <c r="P34" s="777" t="s">
        <v>767</v>
      </c>
      <c r="Q34" s="821"/>
      <c r="R34" s="803"/>
      <c r="S34" s="8">
        <f t="shared" si="3"/>
        <v>0</v>
      </c>
      <c r="T34" s="509"/>
      <c r="U34" s="774"/>
      <c r="V34" s="803"/>
      <c r="W34" s="803"/>
      <c r="X34" s="8"/>
    </row>
    <row r="35" spans="1:24">
      <c r="A35" s="757">
        <f t="shared" si="0"/>
        <v>30</v>
      </c>
      <c r="B35" s="297" t="s">
        <v>768</v>
      </c>
      <c r="C35" s="25">
        <f t="shared" si="1"/>
        <v>0</v>
      </c>
      <c r="D35" s="758">
        <f>IF($I$56&lt;&gt;0,D$56/$I$56*$I35,0)</f>
        <v>268034.9344978166</v>
      </c>
      <c r="E35" s="758">
        <f>IF($I$56&lt;&gt;0,E$56/$I$56*$I35,0)</f>
        <v>35369.781659388645</v>
      </c>
      <c r="F35" s="758">
        <f>IF($I$56&lt;&gt;0,F$56/$I$56*$I35,0)</f>
        <v>208796.50655021836</v>
      </c>
      <c r="G35" s="758">
        <f>IF($I$56&lt;&gt;0,G$56/$I$56*$I35,0)</f>
        <v>395283.84279475978</v>
      </c>
      <c r="H35" s="25">
        <f>SUM(C35:G35)</f>
        <v>907485.0655021834</v>
      </c>
      <c r="I35" s="758">
        <v>620</v>
      </c>
      <c r="J35" s="758">
        <f t="shared" si="2"/>
        <v>1463.6855895196506</v>
      </c>
      <c r="K35" s="666">
        <v>11000</v>
      </c>
      <c r="L35" s="771"/>
      <c r="M35" s="509"/>
      <c r="N35" s="774">
        <f t="shared" si="5"/>
        <v>41334</v>
      </c>
      <c r="O35" s="892">
        <v>41337</v>
      </c>
      <c r="P35" s="777" t="s">
        <v>769</v>
      </c>
      <c r="Q35" s="821"/>
      <c r="R35" s="803"/>
      <c r="S35" s="8">
        <f t="shared" si="3"/>
        <v>0</v>
      </c>
      <c r="T35" s="509"/>
      <c r="U35" s="774"/>
      <c r="V35" s="803"/>
      <c r="W35" s="803"/>
      <c r="X35" s="8"/>
    </row>
    <row r="36" spans="1:24">
      <c r="A36" s="757">
        <f t="shared" si="0"/>
        <v>31</v>
      </c>
      <c r="B36" s="297" t="s">
        <v>749</v>
      </c>
      <c r="C36" s="25">
        <f t="shared" si="1"/>
        <v>0</v>
      </c>
      <c r="D36" s="758">
        <f>IF($I$56&lt;&gt;0,D$56/$I$56*$I36,0)</f>
        <v>848633.18777292583</v>
      </c>
      <c r="E36" s="758">
        <f>IF($I$56&lt;&gt;0,E$56/$I$56*$I36,0)</f>
        <v>111985.2925764192</v>
      </c>
      <c r="F36" s="758">
        <f>IF($I$56&lt;&gt;0,F$56/$I$56*$I36,0)</f>
        <v>661076.6812227075</v>
      </c>
      <c r="G36" s="758">
        <f>IF($I$56&lt;&gt;0,G$56/$I$56*$I36,0)</f>
        <v>1251519.6506550219</v>
      </c>
      <c r="H36" s="25">
        <f>SUM(C36:G36)</f>
        <v>2873214.8122270745</v>
      </c>
      <c r="I36" s="758">
        <v>1963</v>
      </c>
      <c r="J36" s="758">
        <f t="shared" si="2"/>
        <v>1463.6855895196509</v>
      </c>
      <c r="K36" s="666">
        <v>5400</v>
      </c>
      <c r="L36" s="771"/>
      <c r="M36" s="509"/>
      <c r="N36" s="774">
        <f t="shared" si="5"/>
        <v>41334</v>
      </c>
      <c r="O36" s="892">
        <v>41337</v>
      </c>
      <c r="P36" s="777" t="s">
        <v>770</v>
      </c>
      <c r="Q36" s="821"/>
      <c r="R36" s="803"/>
      <c r="S36" s="8">
        <f t="shared" si="3"/>
        <v>0</v>
      </c>
      <c r="T36" s="509"/>
      <c r="U36" s="774"/>
      <c r="V36" s="803"/>
      <c r="W36" s="803"/>
      <c r="X36" s="8"/>
    </row>
    <row r="37" spans="1:24">
      <c r="A37" s="757">
        <f t="shared" si="0"/>
        <v>32</v>
      </c>
      <c r="B37" s="297" t="s">
        <v>725</v>
      </c>
      <c r="C37" s="25">
        <f t="shared" si="1"/>
        <v>0</v>
      </c>
      <c r="D37" s="758">
        <f>IF($I$56&lt;&gt;0,D$56/$I$56*$I37,0)</f>
        <v>241663.75545851528</v>
      </c>
      <c r="E37" s="758">
        <f>IF($I$56&lt;&gt;0,E$56/$I$56*$I37,0)</f>
        <v>31889.851528384279</v>
      </c>
      <c r="F37" s="758">
        <f>IF($I$56&lt;&gt;0,F$56/$I$56*$I37,0)</f>
        <v>188253.62445414849</v>
      </c>
      <c r="G37" s="758">
        <f>IF($I$56&lt;&gt;0,G$56/$I$56*$I37,0)</f>
        <v>356393.01310043666</v>
      </c>
      <c r="H37" s="25">
        <f>SUM(C37:G37)</f>
        <v>818200.24454148475</v>
      </c>
      <c r="I37" s="758">
        <v>559</v>
      </c>
      <c r="J37" s="758">
        <f t="shared" si="2"/>
        <v>1463.6855895196506</v>
      </c>
      <c r="K37" s="666">
        <v>4800</v>
      </c>
      <c r="L37" s="771"/>
      <c r="M37" s="509"/>
      <c r="N37" s="774">
        <f t="shared" si="5"/>
        <v>41334</v>
      </c>
      <c r="O37" s="892">
        <v>41337</v>
      </c>
      <c r="P37" s="777" t="s">
        <v>770</v>
      </c>
      <c r="Q37" s="821"/>
      <c r="R37" s="803"/>
      <c r="S37" s="8">
        <f t="shared" si="3"/>
        <v>0</v>
      </c>
      <c r="T37" s="509"/>
      <c r="U37" s="774"/>
      <c r="V37" s="803"/>
      <c r="W37" s="803"/>
      <c r="X37" s="8"/>
    </row>
    <row r="38" spans="1:24">
      <c r="A38" s="757">
        <f t="shared" si="0"/>
        <v>33</v>
      </c>
      <c r="B38" s="297" t="s">
        <v>771</v>
      </c>
      <c r="C38" s="25">
        <f t="shared" si="1"/>
        <v>0</v>
      </c>
      <c r="D38" s="758">
        <f>IF($I$56&lt;&gt;0,D$56/$I$56*$I38,0)</f>
        <v>266737.99126637552</v>
      </c>
      <c r="E38" s="758">
        <f>IF($I$56&lt;&gt;0,E$56/$I$56*$I38,0)</f>
        <v>35198.637554585148</v>
      </c>
      <c r="F38" s="758">
        <f>IF($I$56&lt;&gt;0,F$56/$I$56*$I38,0)</f>
        <v>207786.20087336245</v>
      </c>
      <c r="G38" s="758">
        <f>IF($I$56&lt;&gt;0,G$56/$I$56*$I38,0)</f>
        <v>393371.17903930129</v>
      </c>
      <c r="H38" s="25">
        <f>SUM(C38:G38)</f>
        <v>903094.00873362436</v>
      </c>
      <c r="I38" s="758">
        <v>617</v>
      </c>
      <c r="J38" s="758">
        <f t="shared" si="2"/>
        <v>1463.6855895196504</v>
      </c>
      <c r="K38" s="666">
        <v>10300</v>
      </c>
      <c r="L38" s="771"/>
      <c r="M38" s="509"/>
      <c r="N38" s="774">
        <f t="shared" si="5"/>
        <v>41334</v>
      </c>
      <c r="O38" s="892">
        <v>41337</v>
      </c>
      <c r="P38" s="777" t="s">
        <v>770</v>
      </c>
      <c r="Q38" s="821"/>
      <c r="R38" s="803"/>
      <c r="S38" s="8">
        <f t="shared" si="3"/>
        <v>0</v>
      </c>
      <c r="T38" s="509"/>
      <c r="U38" s="774"/>
      <c r="V38" s="803"/>
      <c r="W38" s="803"/>
      <c r="X38" s="8"/>
    </row>
    <row r="39" spans="1:24">
      <c r="A39" s="757">
        <f t="shared" si="0"/>
        <v>34</v>
      </c>
      <c r="B39" s="297" t="s">
        <v>1127</v>
      </c>
      <c r="C39" s="25">
        <f t="shared" si="1"/>
        <v>0</v>
      </c>
      <c r="D39" s="758">
        <f>IF($I$56&lt;&gt;0,D$56/$I$56*$I39,0)</f>
        <v>134017.4672489083</v>
      </c>
      <c r="E39" s="758">
        <f>IF($I$56&lt;&gt;0,E$56/$I$56*$I39,0)</f>
        <v>17684.890829694323</v>
      </c>
      <c r="F39" s="758">
        <f>IF($I$56&lt;&gt;0,F$56/$I$56*$I39,0)</f>
        <v>104398.25327510918</v>
      </c>
      <c r="G39" s="758">
        <f>IF($I$56&lt;&gt;0,G$56/$I$56*$I39,0)</f>
        <v>197641.92139737989</v>
      </c>
      <c r="H39" s="25">
        <f>SUM(C39:G39)</f>
        <v>453742.5327510917</v>
      </c>
      <c r="I39" s="758">
        <v>310</v>
      </c>
      <c r="J39" s="758">
        <f t="shared" si="2"/>
        <v>1463.6855895196506</v>
      </c>
      <c r="K39" s="666">
        <v>12300</v>
      </c>
      <c r="L39" s="771"/>
      <c r="M39" s="509"/>
      <c r="N39" s="774">
        <f t="shared" si="5"/>
        <v>41342</v>
      </c>
      <c r="O39" s="892">
        <v>41345</v>
      </c>
      <c r="P39" s="777" t="s">
        <v>772</v>
      </c>
      <c r="Q39" s="821"/>
      <c r="R39" s="803"/>
      <c r="S39" s="8">
        <f t="shared" si="3"/>
        <v>0</v>
      </c>
      <c r="T39" s="509"/>
      <c r="U39" s="774"/>
      <c r="V39" s="803"/>
      <c r="W39" s="803"/>
      <c r="X39" s="8"/>
    </row>
    <row r="40" spans="1:24">
      <c r="A40" s="757">
        <f t="shared" si="0"/>
        <v>35</v>
      </c>
      <c r="B40" s="297" t="s">
        <v>741</v>
      </c>
      <c r="C40" s="25">
        <f t="shared" si="1"/>
        <v>0</v>
      </c>
      <c r="D40" s="758">
        <f>IF($I$56&lt;&gt;0,D$56/$I$56*$I40,0)</f>
        <v>216157.20524017466</v>
      </c>
      <c r="E40" s="758">
        <f>IF($I$56&lt;&gt;0,E$56/$I$56*$I40,0)</f>
        <v>28524.017467248908</v>
      </c>
      <c r="F40" s="758">
        <f>IF($I$56&lt;&gt;0,F$56/$I$56*$I40,0)</f>
        <v>168384.27947598253</v>
      </c>
      <c r="G40" s="758">
        <f>IF($I$56&lt;&gt;0,G$56/$I$56*$I40,0)</f>
        <v>318777.29257641919</v>
      </c>
      <c r="H40" s="25">
        <f>SUM(C40:G40)</f>
        <v>731842.79475982534</v>
      </c>
      <c r="I40" s="758">
        <v>500</v>
      </c>
      <c r="J40" s="758">
        <f t="shared" si="2"/>
        <v>1463.6855895196506</v>
      </c>
      <c r="K40" s="666">
        <v>8000</v>
      </c>
      <c r="L40" s="771"/>
      <c r="M40" s="509"/>
      <c r="N40" s="774">
        <f t="shared" si="5"/>
        <v>41342</v>
      </c>
      <c r="O40" s="892">
        <v>41345</v>
      </c>
      <c r="P40" s="777" t="s">
        <v>774</v>
      </c>
      <c r="Q40" s="821"/>
      <c r="R40" s="803"/>
      <c r="S40" s="8">
        <f t="shared" si="3"/>
        <v>0</v>
      </c>
      <c r="T40" s="509"/>
      <c r="U40" s="774"/>
      <c r="V40" s="803"/>
      <c r="W40" s="803"/>
      <c r="X40" s="8"/>
    </row>
    <row r="41" spans="1:24">
      <c r="A41" s="757">
        <f t="shared" si="0"/>
        <v>36</v>
      </c>
      <c r="B41" s="297" t="s">
        <v>760</v>
      </c>
      <c r="C41" s="25">
        <f t="shared" si="1"/>
        <v>0</v>
      </c>
      <c r="D41" s="758">
        <f>IF($I$56&lt;&gt;0,D$56/$I$56*$I41,0)</f>
        <v>129694.32314410481</v>
      </c>
      <c r="E41" s="758">
        <f>IF($I$56&lt;&gt;0,E$56/$I$56*$I41,0)</f>
        <v>17114.410480349343</v>
      </c>
      <c r="F41" s="758">
        <f>IF($I$56&lt;&gt;0,F$56/$I$56*$I41,0)</f>
        <v>101030.56768558953</v>
      </c>
      <c r="G41" s="758">
        <f>IF($I$56&lt;&gt;0,G$56/$I$56*$I41,0)</f>
        <v>191266.37554585151</v>
      </c>
      <c r="H41" s="25">
        <f>SUM(C41:G41)</f>
        <v>439105.6768558952</v>
      </c>
      <c r="I41" s="758">
        <v>300</v>
      </c>
      <c r="J41" s="758">
        <f t="shared" si="2"/>
        <v>1463.6855895196506</v>
      </c>
      <c r="K41" s="666">
        <v>9450</v>
      </c>
      <c r="L41" s="771"/>
      <c r="M41" s="509"/>
      <c r="N41" s="774">
        <f t="shared" si="5"/>
        <v>41342</v>
      </c>
      <c r="O41" s="892">
        <v>41345</v>
      </c>
      <c r="P41" s="777" t="s">
        <v>774</v>
      </c>
      <c r="Q41" s="821"/>
      <c r="R41" s="803"/>
      <c r="S41" s="8">
        <f t="shared" si="3"/>
        <v>0</v>
      </c>
      <c r="T41" s="509"/>
      <c r="U41" s="774"/>
      <c r="V41" s="803"/>
      <c r="W41" s="803"/>
      <c r="X41" s="8"/>
    </row>
    <row r="42" spans="1:24">
      <c r="A42" s="757">
        <f t="shared" si="0"/>
        <v>37</v>
      </c>
      <c r="B42" s="297" t="s">
        <v>775</v>
      </c>
      <c r="C42" s="25">
        <f t="shared" si="1"/>
        <v>0</v>
      </c>
      <c r="D42" s="758">
        <f>IF($I$56&lt;&gt;0,D$56/$I$56*$I42,0)</f>
        <v>221344.97816593887</v>
      </c>
      <c r="E42" s="758">
        <f>IF($I$56&lt;&gt;0,E$56/$I$56*$I42,0)</f>
        <v>29208.593886462881</v>
      </c>
      <c r="F42" s="758">
        <f>IF($I$56&lt;&gt;0,F$56/$I$56*$I42,0)</f>
        <v>172425.50218340612</v>
      </c>
      <c r="G42" s="758">
        <f>IF($I$56&lt;&gt;0,G$56/$I$56*$I42,0)</f>
        <v>326427.94759825326</v>
      </c>
      <c r="H42" s="25">
        <f>SUM(C42:G42)</f>
        <v>749407.02183406113</v>
      </c>
      <c r="I42" s="758">
        <v>512</v>
      </c>
      <c r="J42" s="758">
        <f t="shared" si="2"/>
        <v>1463.6855895196506</v>
      </c>
      <c r="K42" s="666">
        <v>22950</v>
      </c>
      <c r="L42" s="771"/>
      <c r="M42" s="509"/>
      <c r="N42" s="774">
        <f t="shared" si="5"/>
        <v>41343</v>
      </c>
      <c r="O42" s="892">
        <v>41346</v>
      </c>
      <c r="P42" s="777" t="s">
        <v>496</v>
      </c>
      <c r="Q42" s="821"/>
      <c r="R42" s="803"/>
      <c r="S42" s="8">
        <f t="shared" si="3"/>
        <v>0</v>
      </c>
      <c r="T42" s="509"/>
      <c r="U42" s="774"/>
      <c r="V42" s="803"/>
      <c r="W42" s="803"/>
      <c r="X42" s="8"/>
    </row>
    <row r="43" spans="1:24">
      <c r="A43" s="757">
        <f t="shared" si="0"/>
        <v>38</v>
      </c>
      <c r="B43" s="297" t="s">
        <v>1128</v>
      </c>
      <c r="C43" s="25">
        <f t="shared" si="1"/>
        <v>0</v>
      </c>
      <c r="D43" s="758">
        <f>IF($I$56&lt;&gt;0,D$56/$I$56*$I43,0)</f>
        <v>216157.20524017466</v>
      </c>
      <c r="E43" s="758">
        <f>IF($I$56&lt;&gt;0,E$56/$I$56*$I43,0)</f>
        <v>28524.017467248908</v>
      </c>
      <c r="F43" s="758">
        <f>IF($I$56&lt;&gt;0,F$56/$I$56*$I43,0)</f>
        <v>168384.27947598253</v>
      </c>
      <c r="G43" s="758">
        <f>IF($I$56&lt;&gt;0,G$56/$I$56*$I43,0)</f>
        <v>318777.29257641919</v>
      </c>
      <c r="H43" s="25">
        <f>SUM(C43:G43)</f>
        <v>731842.79475982534</v>
      </c>
      <c r="I43" s="758">
        <v>500</v>
      </c>
      <c r="J43" s="758">
        <f t="shared" si="2"/>
        <v>1463.6855895196506</v>
      </c>
      <c r="K43" s="666">
        <v>12000</v>
      </c>
      <c r="L43" s="771"/>
      <c r="M43" s="509"/>
      <c r="N43" s="774">
        <f t="shared" si="5"/>
        <v>41343</v>
      </c>
      <c r="O43" s="892">
        <v>41346</v>
      </c>
      <c r="P43" s="777" t="s">
        <v>776</v>
      </c>
      <c r="Q43" s="821"/>
      <c r="R43" s="803"/>
      <c r="S43" s="8">
        <f t="shared" si="3"/>
        <v>0</v>
      </c>
      <c r="T43" s="509"/>
      <c r="U43" s="774"/>
      <c r="V43" s="803"/>
      <c r="W43" s="803"/>
      <c r="X43" s="8"/>
    </row>
    <row r="44" spans="1:24">
      <c r="A44" s="757">
        <f t="shared" si="0"/>
        <v>39</v>
      </c>
      <c r="B44" s="297" t="s">
        <v>778</v>
      </c>
      <c r="C44" s="25">
        <f t="shared" si="1"/>
        <v>0</v>
      </c>
      <c r="D44" s="758">
        <f>IF($I$56&lt;&gt;0,D$56/$I$56*$I44,0)</f>
        <v>45393.013100436685</v>
      </c>
      <c r="E44" s="758">
        <f>IF($I$56&lt;&gt;0,E$56/$I$56*$I44,0)</f>
        <v>5990.04366812227</v>
      </c>
      <c r="F44" s="758">
        <f>IF($I$56&lt;&gt;0,F$56/$I$56*$I44,0)</f>
        <v>35360.698689956334</v>
      </c>
      <c r="G44" s="758">
        <f>IF($I$56&lt;&gt;0,G$56/$I$56*$I44,0)</f>
        <v>66943.231441048032</v>
      </c>
      <c r="H44" s="25">
        <f>SUM(C44:G44)</f>
        <v>153686.98689956332</v>
      </c>
      <c r="I44" s="758">
        <v>105</v>
      </c>
      <c r="J44" s="758">
        <f t="shared" si="2"/>
        <v>1463.6855895196506</v>
      </c>
      <c r="K44" s="666">
        <v>26000</v>
      </c>
      <c r="L44" s="771"/>
      <c r="M44" s="509"/>
      <c r="N44" s="774">
        <f t="shared" si="5"/>
        <v>41348</v>
      </c>
      <c r="O44" s="892">
        <v>41351</v>
      </c>
      <c r="P44" s="777" t="s">
        <v>779</v>
      </c>
      <c r="Q44" s="821"/>
      <c r="R44" s="803"/>
      <c r="S44" s="8">
        <f t="shared" si="3"/>
        <v>0</v>
      </c>
      <c r="T44" s="509"/>
      <c r="U44" s="774"/>
      <c r="V44" s="803"/>
      <c r="W44" s="803"/>
      <c r="X44" s="8"/>
    </row>
    <row r="45" spans="1:24">
      <c r="A45" s="757">
        <f t="shared" si="0"/>
        <v>40</v>
      </c>
      <c r="B45" s="297" t="s">
        <v>780</v>
      </c>
      <c r="C45" s="25">
        <f t="shared" si="1"/>
        <v>0</v>
      </c>
      <c r="D45" s="758">
        <f>IF($I$56&lt;&gt;0,D$56/$I$56*$I45,0)</f>
        <v>221777.29257641922</v>
      </c>
      <c r="E45" s="758">
        <f>IF($I$56&lt;&gt;0,E$56/$I$56*$I45,0)</f>
        <v>29265.641921397379</v>
      </c>
      <c r="F45" s="758">
        <f>IF($I$56&lt;&gt;0,F$56/$I$56*$I45,0)</f>
        <v>172762.27074235809</v>
      </c>
      <c r="G45" s="758">
        <f>IF($I$56&lt;&gt;0,G$56/$I$56*$I45,0)</f>
        <v>327065.50218340609</v>
      </c>
      <c r="H45" s="25">
        <f>SUM(C45:G45)</f>
        <v>750870.70742358081</v>
      </c>
      <c r="I45" s="758">
        <v>513</v>
      </c>
      <c r="J45" s="758">
        <f t="shared" si="2"/>
        <v>1463.6855895196506</v>
      </c>
      <c r="K45" s="666">
        <v>18300</v>
      </c>
      <c r="L45" s="771"/>
      <c r="M45" s="509"/>
      <c r="N45" s="774">
        <f t="shared" si="5"/>
        <v>41356</v>
      </c>
      <c r="O45" s="892">
        <v>41359</v>
      </c>
      <c r="P45" s="777" t="s">
        <v>781</v>
      </c>
      <c r="Q45" s="821"/>
      <c r="R45" s="803"/>
      <c r="S45" s="8">
        <f t="shared" si="3"/>
        <v>0</v>
      </c>
      <c r="T45" s="509"/>
      <c r="U45" s="774"/>
      <c r="V45" s="803"/>
      <c r="W45" s="803"/>
      <c r="X45" s="8"/>
    </row>
    <row r="46" spans="1:24">
      <c r="A46" s="757">
        <f t="shared" si="0"/>
        <v>41</v>
      </c>
      <c r="B46" s="297" t="s">
        <v>819</v>
      </c>
      <c r="C46" s="25">
        <f t="shared" si="1"/>
        <v>0</v>
      </c>
      <c r="D46" s="758">
        <f>IF($I$56&lt;&gt;0,D$56/$I$56*$I46,0)</f>
        <v>475545.85152838432</v>
      </c>
      <c r="E46" s="758">
        <f>IF($I$56&lt;&gt;0,E$56/$I$56*$I46,0)</f>
        <v>62752.838427947594</v>
      </c>
      <c r="F46" s="758">
        <f>IF($I$56&lt;&gt;0,F$56/$I$56*$I46,0)</f>
        <v>370445.41484716156</v>
      </c>
      <c r="G46" s="758">
        <f>IF($I$56&lt;&gt;0,G$56/$I$56*$I46,0)</f>
        <v>701310.04366812226</v>
      </c>
      <c r="H46" s="25">
        <f>SUM(C46:G46)</f>
        <v>1610054.1484716157</v>
      </c>
      <c r="I46" s="758">
        <v>1100</v>
      </c>
      <c r="J46" s="758">
        <f t="shared" si="2"/>
        <v>1463.6855895196506</v>
      </c>
      <c r="K46" s="666">
        <v>1500</v>
      </c>
      <c r="L46" s="771"/>
      <c r="M46" s="509"/>
      <c r="N46" s="774">
        <f t="shared" si="5"/>
        <v>41356</v>
      </c>
      <c r="O46" s="892">
        <v>41359</v>
      </c>
      <c r="P46" s="777" t="s">
        <v>781</v>
      </c>
      <c r="Q46" s="821"/>
      <c r="R46" s="803"/>
      <c r="S46" s="8">
        <f t="shared" si="3"/>
        <v>0</v>
      </c>
      <c r="T46" s="509"/>
      <c r="U46" s="774"/>
      <c r="V46" s="803"/>
      <c r="W46" s="803"/>
      <c r="X46" s="8"/>
    </row>
    <row r="47" spans="1:24">
      <c r="A47" s="757">
        <f t="shared" si="0"/>
        <v>42</v>
      </c>
      <c r="B47" s="297" t="s">
        <v>778</v>
      </c>
      <c r="C47" s="25">
        <f t="shared" si="1"/>
        <v>0</v>
      </c>
      <c r="D47" s="758">
        <f>IF($I$56&lt;&gt;0,D$56/$I$56*$I47,0)</f>
        <v>25938.86462882096</v>
      </c>
      <c r="E47" s="758">
        <f>IF($I$56&lt;&gt;0,E$56/$I$56*$I47,0)</f>
        <v>3422.882096069869</v>
      </c>
      <c r="F47" s="758">
        <f>IF($I$56&lt;&gt;0,F$56/$I$56*$I47,0)</f>
        <v>20206.113537117904</v>
      </c>
      <c r="G47" s="758">
        <f>IF($I$56&lt;&gt;0,G$56/$I$56*$I47,0)</f>
        <v>38253.275109170303</v>
      </c>
      <c r="H47" s="25">
        <f>SUM(C47:G47)</f>
        <v>87821.135371179029</v>
      </c>
      <c r="I47" s="758">
        <v>60</v>
      </c>
      <c r="J47" s="758">
        <f t="shared" si="2"/>
        <v>1463.6855895196504</v>
      </c>
      <c r="K47" s="666">
        <v>26000</v>
      </c>
      <c r="L47" s="771"/>
      <c r="M47" s="509"/>
      <c r="N47" s="774">
        <f t="shared" si="5"/>
        <v>41358</v>
      </c>
      <c r="O47" s="892">
        <v>41361</v>
      </c>
      <c r="P47" s="777" t="s">
        <v>782</v>
      </c>
      <c r="Q47" s="821"/>
      <c r="R47" s="803"/>
      <c r="S47" s="8">
        <f t="shared" si="3"/>
        <v>0</v>
      </c>
      <c r="T47" s="509"/>
      <c r="U47" s="774"/>
      <c r="V47" s="803"/>
      <c r="W47" s="803"/>
      <c r="X47" s="8"/>
    </row>
    <row r="48" spans="1:24">
      <c r="A48" s="757">
        <f t="shared" si="0"/>
        <v>43</v>
      </c>
      <c r="B48" s="297" t="s">
        <v>756</v>
      </c>
      <c r="C48" s="25">
        <f t="shared" si="1"/>
        <v>0</v>
      </c>
      <c r="D48" s="758">
        <f>IF($I$56&lt;&gt;0,D$56/$I$56*$I48,0)</f>
        <v>218318.77729257641</v>
      </c>
      <c r="E48" s="758">
        <f>IF($I$56&lt;&gt;0,E$56/$I$56*$I48,0)</f>
        <v>28809.257641921395</v>
      </c>
      <c r="F48" s="758">
        <f>IF($I$56&lt;&gt;0,F$56/$I$56*$I48,0)</f>
        <v>170068.12227074237</v>
      </c>
      <c r="G48" s="758">
        <f>IF($I$56&lt;&gt;0,G$56/$I$56*$I48,0)</f>
        <v>321965.0655021834</v>
      </c>
      <c r="H48" s="25">
        <f>SUM(C48:G48)</f>
        <v>739161.22270742361</v>
      </c>
      <c r="I48" s="758">
        <v>505</v>
      </c>
      <c r="J48" s="758">
        <f t="shared" si="2"/>
        <v>1463.6855895196506</v>
      </c>
      <c r="K48" s="666">
        <v>12000</v>
      </c>
      <c r="L48" s="771"/>
      <c r="M48" s="509"/>
      <c r="N48" s="774">
        <f t="shared" si="5"/>
        <v>41358</v>
      </c>
      <c r="O48" s="892">
        <v>41361</v>
      </c>
      <c r="P48" s="777" t="s">
        <v>783</v>
      </c>
      <c r="Q48" s="821"/>
      <c r="R48" s="803"/>
      <c r="S48" s="8">
        <f t="shared" si="3"/>
        <v>0</v>
      </c>
      <c r="T48" s="509"/>
      <c r="U48" s="774"/>
      <c r="V48" s="803"/>
      <c r="W48" s="803"/>
      <c r="X48" s="8"/>
    </row>
    <row r="49" spans="1:25">
      <c r="A49" s="757">
        <f t="shared" si="0"/>
        <v>44</v>
      </c>
      <c r="B49" s="297" t="s">
        <v>784</v>
      </c>
      <c r="C49" s="25">
        <f t="shared" si="1"/>
        <v>0</v>
      </c>
      <c r="D49" s="758">
        <f>IF($I$56&lt;&gt;0,D$56/$I$56*$I49,0)</f>
        <v>860305.6768558952</v>
      </c>
      <c r="E49" s="758">
        <f>IF($I$56&lt;&gt;0,E$56/$I$56*$I49,0)</f>
        <v>113525.58951965065</v>
      </c>
      <c r="F49" s="758">
        <f>IF($I$56&lt;&gt;0,F$56/$I$56*$I49,0)</f>
        <v>670169.43231441046</v>
      </c>
      <c r="G49" s="758">
        <f>IF($I$56&lt;&gt;0,G$56/$I$56*$I49,0)</f>
        <v>1268733.6244541483</v>
      </c>
      <c r="H49" s="25">
        <f>SUM(C49:G49)</f>
        <v>2912734.3231441043</v>
      </c>
      <c r="I49" s="758">
        <v>1990</v>
      </c>
      <c r="J49" s="758">
        <f t="shared" si="2"/>
        <v>1463.6855895196504</v>
      </c>
      <c r="K49" s="666">
        <v>7500</v>
      </c>
      <c r="L49" s="771"/>
      <c r="M49" s="509"/>
      <c r="N49" s="774">
        <f t="shared" si="5"/>
        <v>41358</v>
      </c>
      <c r="O49" s="892">
        <v>41361</v>
      </c>
      <c r="P49" s="777" t="s">
        <v>783</v>
      </c>
      <c r="Q49" s="821"/>
      <c r="R49" s="803"/>
      <c r="S49" s="8">
        <f t="shared" si="3"/>
        <v>0</v>
      </c>
      <c r="T49" s="509"/>
      <c r="U49" s="774"/>
      <c r="V49" s="803"/>
      <c r="W49" s="803"/>
      <c r="X49" s="8"/>
    </row>
    <row r="50" spans="1:25">
      <c r="A50" s="757">
        <f t="shared" si="0"/>
        <v>45</v>
      </c>
      <c r="B50" s="297" t="s">
        <v>785</v>
      </c>
      <c r="C50" s="25">
        <f>S50</f>
        <v>0</v>
      </c>
      <c r="D50" s="758">
        <f>IF($I$56&lt;&gt;0,D$56/$I$56*$I50,0)</f>
        <v>134017.4672489083</v>
      </c>
      <c r="E50" s="758">
        <f>IF($I$56&lt;&gt;0,E$56/$I$56*$I50,0)</f>
        <v>17684.890829694323</v>
      </c>
      <c r="F50" s="758">
        <f>IF($I$56&lt;&gt;0,F$56/$I$56*$I50,0)</f>
        <v>104398.25327510918</v>
      </c>
      <c r="G50" s="758">
        <f>IF($I$56&lt;&gt;0,G$56/$I$56*$I50,0)</f>
        <v>197641.92139737989</v>
      </c>
      <c r="H50" s="25">
        <f>SUM(C50:G50)</f>
        <v>453742.5327510917</v>
      </c>
      <c r="I50" s="758">
        <v>310</v>
      </c>
      <c r="J50" s="758">
        <f t="shared" ref="J50:J54" si="6">IF(I50&lt;&gt;"",H50/I50,"")</f>
        <v>1463.6855895196506</v>
      </c>
      <c r="K50" s="666">
        <v>5200</v>
      </c>
      <c r="L50" s="771"/>
      <c r="M50" s="509"/>
      <c r="N50" s="774">
        <f t="shared" si="5"/>
        <v>41358</v>
      </c>
      <c r="O50" s="892">
        <v>41361</v>
      </c>
      <c r="P50" s="777" t="s">
        <v>783</v>
      </c>
      <c r="Q50" s="821"/>
      <c r="R50" s="803"/>
      <c r="S50" s="8">
        <f t="shared" si="3"/>
        <v>0</v>
      </c>
      <c r="T50" s="509"/>
      <c r="U50" s="774"/>
      <c r="V50" s="803"/>
      <c r="W50" s="803"/>
      <c r="X50" s="8"/>
    </row>
    <row r="51" spans="1:25">
      <c r="A51" s="757">
        <f t="shared" si="0"/>
        <v>46</v>
      </c>
      <c r="B51" s="297" t="s">
        <v>786</v>
      </c>
      <c r="C51" s="25">
        <f>S51</f>
        <v>0</v>
      </c>
      <c r="D51" s="758">
        <f>IF($I$56&lt;&gt;0,D$56/$I$56*$I51,0)</f>
        <v>131855.89519650655</v>
      </c>
      <c r="E51" s="758">
        <f>IF($I$56&lt;&gt;0,E$56/$I$56*$I51,0)</f>
        <v>17399.650655021833</v>
      </c>
      <c r="F51" s="758">
        <f>IF($I$56&lt;&gt;0,F$56/$I$56*$I51,0)</f>
        <v>102714.41048034935</v>
      </c>
      <c r="G51" s="758">
        <f>IF($I$56&lt;&gt;0,G$56/$I$56*$I51,0)</f>
        <v>194454.14847161571</v>
      </c>
      <c r="H51" s="25">
        <f>SUM(C51:G51)</f>
        <v>446424.10480349348</v>
      </c>
      <c r="I51" s="758">
        <v>305</v>
      </c>
      <c r="J51" s="758">
        <f t="shared" si="6"/>
        <v>1463.6855895196506</v>
      </c>
      <c r="K51" s="666">
        <v>4600</v>
      </c>
      <c r="L51" s="771"/>
      <c r="M51" s="509"/>
      <c r="N51" s="774">
        <f t="shared" si="5"/>
        <v>41358</v>
      </c>
      <c r="O51" s="892">
        <v>41361</v>
      </c>
      <c r="P51" s="777" t="s">
        <v>783</v>
      </c>
      <c r="Q51" s="821"/>
      <c r="R51" s="803"/>
      <c r="S51" s="8">
        <f t="shared" si="3"/>
        <v>0</v>
      </c>
      <c r="T51" s="509"/>
      <c r="U51" s="774"/>
      <c r="V51" s="803"/>
      <c r="W51" s="803"/>
      <c r="X51" s="8"/>
    </row>
    <row r="52" spans="1:25">
      <c r="A52" s="757">
        <f t="shared" si="0"/>
        <v>47</v>
      </c>
      <c r="B52" s="297" t="s">
        <v>754</v>
      </c>
      <c r="C52" s="25">
        <f>S52</f>
        <v>0</v>
      </c>
      <c r="D52" s="758">
        <f>IF($I$56&lt;&gt;0,D$56/$I$56*$I52,0)</f>
        <v>216157.20524017466</v>
      </c>
      <c r="E52" s="758">
        <f>IF($I$56&lt;&gt;0,E$56/$I$56*$I52,0)</f>
        <v>28524.017467248908</v>
      </c>
      <c r="F52" s="758">
        <f>IF($I$56&lt;&gt;0,F$56/$I$56*$I52,0)</f>
        <v>168384.27947598253</v>
      </c>
      <c r="G52" s="758">
        <f>IF($I$56&lt;&gt;0,G$56/$I$56*$I52,0)</f>
        <v>318777.29257641919</v>
      </c>
      <c r="H52" s="25">
        <f>SUM(C52:G52)</f>
        <v>731842.79475982534</v>
      </c>
      <c r="I52" s="758">
        <v>500</v>
      </c>
      <c r="J52" s="758">
        <f t="shared" si="6"/>
        <v>1463.6855895196506</v>
      </c>
      <c r="K52" s="666">
        <v>10600</v>
      </c>
      <c r="L52" s="771"/>
      <c r="M52" s="509"/>
      <c r="N52" s="774">
        <f t="shared" si="5"/>
        <v>41358</v>
      </c>
      <c r="O52" s="892">
        <v>41361</v>
      </c>
      <c r="P52" s="777" t="s">
        <v>783</v>
      </c>
      <c r="Q52" s="821"/>
      <c r="R52" s="803"/>
      <c r="S52" s="8">
        <f t="shared" si="3"/>
        <v>0</v>
      </c>
      <c r="T52" s="509"/>
      <c r="U52" s="774"/>
      <c r="V52" s="803"/>
      <c r="W52" s="803"/>
      <c r="X52" s="8"/>
    </row>
    <row r="53" spans="1:25">
      <c r="A53" s="757">
        <f t="shared" si="0"/>
        <v>48</v>
      </c>
      <c r="B53" s="297" t="s">
        <v>723</v>
      </c>
      <c r="C53" s="25">
        <f>S53</f>
        <v>0</v>
      </c>
      <c r="D53" s="758">
        <f>IF($I$56&lt;&gt;0,D$56/$I$56*$I53,0)</f>
        <v>553362.44541484723</v>
      </c>
      <c r="E53" s="758">
        <f>IF($I$56&lt;&gt;0,E$56/$I$56*$I53,0)</f>
        <v>73021.484716157196</v>
      </c>
      <c r="F53" s="758">
        <f>IF($I$56&lt;&gt;0,F$56/$I$56*$I53,0)</f>
        <v>431063.75545851531</v>
      </c>
      <c r="G53" s="758">
        <f>IF($I$56&lt;&gt;0,G$56/$I$56*$I53,0)</f>
        <v>816069.86899563321</v>
      </c>
      <c r="H53" s="25">
        <f>SUM(C53:G53)</f>
        <v>1873517.554585153</v>
      </c>
      <c r="I53" s="758">
        <v>1280</v>
      </c>
      <c r="J53" s="758">
        <f t="shared" si="6"/>
        <v>1463.6855895196509</v>
      </c>
      <c r="K53" s="666">
        <v>6000</v>
      </c>
      <c r="L53" s="771"/>
      <c r="M53" s="509"/>
      <c r="N53" s="774">
        <f t="shared" si="5"/>
        <v>41360</v>
      </c>
      <c r="O53" s="892">
        <v>41363</v>
      </c>
      <c r="P53" s="777" t="s">
        <v>787</v>
      </c>
      <c r="Q53" s="821"/>
      <c r="R53" s="803"/>
      <c r="S53" s="8">
        <f t="shared" si="3"/>
        <v>0</v>
      </c>
      <c r="T53" s="509"/>
      <c r="U53" s="774"/>
      <c r="V53" s="803"/>
      <c r="W53" s="803"/>
      <c r="X53" s="8"/>
    </row>
    <row r="54" spans="1:25">
      <c r="A54" s="757">
        <f t="shared" si="0"/>
        <v>49</v>
      </c>
      <c r="B54" s="297" t="s">
        <v>1137</v>
      </c>
      <c r="C54" s="25">
        <f>S54</f>
        <v>0</v>
      </c>
      <c r="D54" s="758">
        <f>IF($I$56&lt;&gt;0,D$56/$I$56*$I54,0)</f>
        <v>518777.29257641925</v>
      </c>
      <c r="E54" s="758">
        <f>IF($I$56&lt;&gt;0,E$56/$I$56*$I54,0)</f>
        <v>68457.641921397371</v>
      </c>
      <c r="F54" s="758">
        <f>IF($I$56&lt;&gt;0,F$56/$I$56*$I54,0)</f>
        <v>404122.27074235812</v>
      </c>
      <c r="G54" s="758">
        <f>IF($I$56&lt;&gt;0,G$56/$I$56*$I54,0)</f>
        <v>765065.50218340603</v>
      </c>
      <c r="H54" s="25">
        <f>SUM(C54:G54)</f>
        <v>1756422.7074235808</v>
      </c>
      <c r="I54" s="758">
        <v>1200</v>
      </c>
      <c r="J54" s="758">
        <f t="shared" si="6"/>
        <v>1463.6855895196506</v>
      </c>
      <c r="K54" s="666">
        <v>6350</v>
      </c>
      <c r="L54" s="771"/>
      <c r="M54" s="509"/>
      <c r="N54" s="774">
        <f t="shared" si="5"/>
        <v>41360</v>
      </c>
      <c r="O54" s="892">
        <v>41363</v>
      </c>
      <c r="P54" s="777" t="s">
        <v>788</v>
      </c>
      <c r="Q54" s="821"/>
      <c r="R54" s="803"/>
      <c r="S54" s="8">
        <f t="shared" si="3"/>
        <v>0</v>
      </c>
      <c r="T54" s="509"/>
      <c r="U54" s="774"/>
      <c r="V54" s="803"/>
      <c r="W54" s="803"/>
      <c r="X54" s="8"/>
    </row>
    <row r="55" spans="1:25" s="778" customFormat="1">
      <c r="A55" s="757"/>
      <c r="B55" s="297"/>
      <c r="C55" s="25"/>
      <c r="D55" s="758"/>
      <c r="E55" s="758"/>
      <c r="F55" s="758"/>
      <c r="G55" s="758"/>
      <c r="H55" s="25"/>
      <c r="I55" s="257"/>
      <c r="J55" s="758"/>
      <c r="K55" s="666"/>
      <c r="L55" s="666"/>
      <c r="M55" s="776"/>
      <c r="N55" s="774"/>
      <c r="O55" s="892"/>
      <c r="P55" s="777"/>
      <c r="Q55" s="821"/>
      <c r="R55" s="803"/>
      <c r="S55" s="803"/>
      <c r="T55" s="776"/>
      <c r="U55" s="774"/>
      <c r="V55" s="803"/>
      <c r="W55" s="803"/>
      <c r="X55" s="8"/>
    </row>
    <row r="56" spans="1:25" s="755" customFormat="1">
      <c r="A56" s="759"/>
      <c r="B56" s="760" t="s">
        <v>249</v>
      </c>
      <c r="C56" s="535">
        <f>SUM(C6:C55)</f>
        <v>0</v>
      </c>
      <c r="D56" s="535">
        <v>12375000</v>
      </c>
      <c r="E56" s="535">
        <f>$X$56</f>
        <v>1633000</v>
      </c>
      <c r="F56" s="535">
        <v>9640000</v>
      </c>
      <c r="G56" s="535">
        <v>18250000</v>
      </c>
      <c r="H56" s="535">
        <f>ROUND(SUM(H6:H55),0)</f>
        <v>41898000</v>
      </c>
      <c r="I56" s="535">
        <f>ROUND(SUM(I6:I55),0)</f>
        <v>28625</v>
      </c>
      <c r="J56" s="535"/>
      <c r="K56" s="768"/>
      <c r="L56" s="768"/>
      <c r="M56" s="779"/>
      <c r="N56" s="780"/>
      <c r="O56" s="780"/>
      <c r="P56" s="781"/>
      <c r="Q56" s="822">
        <f>SUM(Q6:Q55)</f>
        <v>0</v>
      </c>
      <c r="R56" s="47"/>
      <c r="S56" s="47">
        <f>SUM(S6:S55)</f>
        <v>0</v>
      </c>
      <c r="T56" s="779"/>
      <c r="U56" s="780"/>
      <c r="V56" s="793"/>
      <c r="W56" s="27"/>
      <c r="X56" s="47">
        <f>SUM(X6:X55)</f>
        <v>1633000</v>
      </c>
    </row>
    <row r="57" spans="1:25" s="755" customFormat="1">
      <c r="A57" s="761"/>
      <c r="B57" s="762"/>
      <c r="C57" s="756"/>
      <c r="D57" s="756"/>
      <c r="E57" s="756"/>
      <c r="F57" s="756"/>
      <c r="G57" s="756"/>
      <c r="H57" s="756">
        <v>240045655</v>
      </c>
      <c r="I57" s="756"/>
      <c r="J57" s="756"/>
      <c r="K57" s="768"/>
      <c r="L57" s="768"/>
      <c r="M57" s="450"/>
      <c r="N57" s="782"/>
      <c r="O57" s="782"/>
      <c r="P57" s="783"/>
      <c r="Q57" s="823"/>
      <c r="R57" s="770"/>
      <c r="S57" s="784"/>
      <c r="T57" s="450"/>
      <c r="U57" s="782"/>
      <c r="V57" s="770"/>
      <c r="W57" s="770"/>
      <c r="X57" s="754"/>
    </row>
    <row r="58" spans="1:25">
      <c r="C58" s="763"/>
      <c r="D58" s="763"/>
      <c r="E58" s="764"/>
      <c r="F58" s="764"/>
      <c r="H58" s="785">
        <f>H57-H56</f>
        <v>198147655</v>
      </c>
      <c r="I58" s="756"/>
      <c r="M58" s="450"/>
      <c r="N58" s="782"/>
      <c r="O58" s="782"/>
      <c r="P58" s="783"/>
      <c r="Q58" s="823"/>
      <c r="R58" s="770"/>
      <c r="S58" s="784"/>
      <c r="T58" s="450"/>
      <c r="U58" s="782"/>
      <c r="V58" s="770"/>
      <c r="W58" s="770"/>
    </row>
    <row r="59" spans="1:25" ht="18" hidden="1" customHeight="1">
      <c r="A59" s="572" t="str">
        <f>TH!$A$1</f>
        <v>Đơn vị: CÔNG TY TNHH SX TM KIM DUNG PHÁT</v>
      </c>
      <c r="B59" s="755"/>
      <c r="C59" s="293"/>
      <c r="D59" s="293"/>
      <c r="E59" s="293"/>
      <c r="F59" s="293"/>
      <c r="G59" s="293"/>
      <c r="H59" s="293"/>
      <c r="I59" s="600"/>
      <c r="J59" s="293"/>
      <c r="L59" s="768"/>
      <c r="M59" s="450"/>
      <c r="N59" s="782"/>
      <c r="O59" s="782"/>
      <c r="P59" s="783"/>
      <c r="Q59" s="823"/>
      <c r="R59" s="770"/>
      <c r="S59" s="784"/>
      <c r="T59" s="450"/>
      <c r="U59" s="782"/>
      <c r="V59" s="770"/>
      <c r="W59" s="770"/>
      <c r="Y59" s="763"/>
    </row>
    <row r="60" spans="1:25" ht="18.75" customHeight="1">
      <c r="A60" s="756" t="s">
        <v>1167</v>
      </c>
      <c r="B60" s="756"/>
      <c r="C60" s="756"/>
      <c r="D60" s="756"/>
      <c r="E60" s="756"/>
      <c r="F60" s="756"/>
      <c r="G60" s="756"/>
      <c r="H60" s="756"/>
      <c r="I60" s="756"/>
      <c r="J60" s="756"/>
      <c r="L60" s="768"/>
      <c r="M60" s="450"/>
      <c r="N60" s="782"/>
      <c r="O60" s="782"/>
      <c r="P60" s="783"/>
      <c r="Q60" s="823"/>
      <c r="R60" s="770"/>
      <c r="S60" s="784"/>
      <c r="T60" s="450"/>
      <c r="U60" s="782"/>
      <c r="V60" s="770"/>
      <c r="W60" s="770"/>
    </row>
    <row r="61" spans="1:25" ht="12.75" customHeight="1">
      <c r="A61" s="808"/>
      <c r="B61" s="800"/>
      <c r="C61" s="800"/>
      <c r="D61" s="800"/>
      <c r="E61" s="800"/>
      <c r="F61" s="800"/>
      <c r="G61" s="800"/>
      <c r="H61" s="800"/>
      <c r="I61" s="769"/>
      <c r="J61" s="800"/>
      <c r="L61" s="768"/>
      <c r="M61" s="450"/>
      <c r="N61" s="782"/>
      <c r="O61" s="782"/>
      <c r="P61" s="783"/>
      <c r="Q61" s="823"/>
      <c r="R61" s="770"/>
      <c r="S61" s="784"/>
      <c r="T61" s="450"/>
      <c r="U61" s="782"/>
      <c r="V61" s="770"/>
      <c r="W61" s="770"/>
    </row>
    <row r="62" spans="1:25" s="447" customFormat="1" ht="30.75" customHeight="1">
      <c r="A62" s="829" t="s">
        <v>35</v>
      </c>
      <c r="B62" s="442" t="s">
        <v>240</v>
      </c>
      <c r="C62" s="443" t="s">
        <v>243</v>
      </c>
      <c r="D62" s="443" t="s">
        <v>442</v>
      </c>
      <c r="E62" s="443" t="s">
        <v>244</v>
      </c>
      <c r="F62" s="443" t="s">
        <v>435</v>
      </c>
      <c r="G62" s="444" t="s">
        <v>245</v>
      </c>
      <c r="H62" s="443" t="s">
        <v>246</v>
      </c>
      <c r="I62" s="445" t="s">
        <v>241</v>
      </c>
      <c r="J62" s="443" t="s">
        <v>247</v>
      </c>
      <c r="K62" s="446"/>
      <c r="L62" s="446"/>
      <c r="M62" s="442" t="s">
        <v>240</v>
      </c>
      <c r="N62" s="443" t="s">
        <v>234</v>
      </c>
      <c r="O62" s="443"/>
      <c r="P62" s="750"/>
      <c r="Q62" s="819" t="s">
        <v>199</v>
      </c>
      <c r="R62" s="443" t="s">
        <v>242</v>
      </c>
      <c r="S62" s="443" t="s">
        <v>248</v>
      </c>
      <c r="T62" s="442" t="s">
        <v>240</v>
      </c>
      <c r="U62" s="443" t="s">
        <v>234</v>
      </c>
      <c r="V62" s="443" t="s">
        <v>199</v>
      </c>
      <c r="W62" s="443" t="s">
        <v>242</v>
      </c>
      <c r="X62" s="442" t="s">
        <v>248</v>
      </c>
    </row>
    <row r="63" spans="1:25">
      <c r="A63" s="757">
        <f>IF(B63&lt;&gt;"",ROW()-62,"")</f>
        <v>1</v>
      </c>
      <c r="B63" s="828" t="s">
        <v>1129</v>
      </c>
      <c r="C63" s="799">
        <f>S63</f>
        <v>0</v>
      </c>
      <c r="D63" s="799">
        <f>IF($I$136&lt;&gt;0,D$136/$I$136*$I63,0)</f>
        <v>114453.69322773558</v>
      </c>
      <c r="E63" s="799">
        <f>IF($I$136&lt;&gt;0,E$136/$I$136*$I63,0)</f>
        <v>15547.204712389777</v>
      </c>
      <c r="F63" s="797">
        <f>IF($I$136&lt;&gt;0,F$136/$I$136*$I63,0)</f>
        <v>64926.458703733631</v>
      </c>
      <c r="G63" s="797">
        <f>IF($I$136&lt;&gt;0,G$136/$I$136*$I63,0)</f>
        <v>168790.2950631252</v>
      </c>
      <c r="H63" s="799">
        <f>ROUND(SUM(C63:G63),0)</f>
        <v>363718</v>
      </c>
      <c r="I63" s="799">
        <v>515</v>
      </c>
      <c r="J63" s="797">
        <f>IF(I63&lt;&gt;"",H63/I63,"")</f>
        <v>706.2485436893204</v>
      </c>
      <c r="K63" s="666">
        <v>16380</v>
      </c>
      <c r="L63" s="666"/>
      <c r="M63" s="189"/>
      <c r="N63" s="774">
        <f>O63-3</f>
        <v>41364</v>
      </c>
      <c r="O63" s="772">
        <v>41367</v>
      </c>
      <c r="P63" s="773" t="s">
        <v>789</v>
      </c>
      <c r="Q63" s="305"/>
      <c r="R63" s="804"/>
      <c r="S63" s="25">
        <f>Q63*R63</f>
        <v>0</v>
      </c>
      <c r="T63" s="448" t="s">
        <v>374</v>
      </c>
      <c r="U63" s="772">
        <v>41365</v>
      </c>
      <c r="V63" s="804">
        <v>25</v>
      </c>
      <c r="W63" s="804">
        <v>25000</v>
      </c>
      <c r="X63" s="25">
        <f>V63*W63</f>
        <v>625000</v>
      </c>
    </row>
    <row r="64" spans="1:25">
      <c r="A64" s="798">
        <f t="shared" ref="A64:A127" si="7">IF(B64&lt;&gt;"",ROW()-62,"")</f>
        <v>2</v>
      </c>
      <c r="B64" s="298" t="s">
        <v>741</v>
      </c>
      <c r="C64" s="827">
        <f t="shared" ref="C64" si="8">S64</f>
        <v>0</v>
      </c>
      <c r="D64" s="534">
        <f>IF($I$136&lt;&gt;0,D$136/$I$136*$I64,0)</f>
        <v>111120.09051236464</v>
      </c>
      <c r="E64" s="534">
        <f>IF($I$136&lt;&gt;0,E$136/$I$136*$I64,0)</f>
        <v>15094.373507174541</v>
      </c>
      <c r="F64" s="534">
        <f>IF($I$136&lt;&gt;0,F$136/$I$136*$I64,0)</f>
        <v>63035.396799741393</v>
      </c>
      <c r="G64" s="534">
        <f>IF($I$136&lt;&gt;0,G$136/$I$136*$I64,0)</f>
        <v>163874.07287682057</v>
      </c>
      <c r="H64" s="799">
        <f>ROUND(SUM(C64:G64),0)</f>
        <v>353124</v>
      </c>
      <c r="I64" s="534">
        <v>500</v>
      </c>
      <c r="J64" s="534">
        <f t="shared" ref="J64" si="9">IF(I64&lt;&gt;"",H64/I64,"")</f>
        <v>706.24800000000005</v>
      </c>
      <c r="K64" s="666">
        <v>8000</v>
      </c>
      <c r="L64" s="666"/>
      <c r="M64" s="189"/>
      <c r="N64" s="774">
        <f t="shared" ref="N64:N127" si="10">O64-3</f>
        <v>41365</v>
      </c>
      <c r="O64" s="772">
        <v>41368</v>
      </c>
      <c r="P64" s="773" t="s">
        <v>791</v>
      </c>
      <c r="Q64" s="305"/>
      <c r="R64" s="804"/>
      <c r="S64" s="25">
        <f t="shared" ref="S64" si="11">Q64*R64</f>
        <v>0</v>
      </c>
      <c r="T64" s="449" t="s">
        <v>346</v>
      </c>
      <c r="U64" s="772">
        <v>41365</v>
      </c>
      <c r="V64" s="802">
        <v>24</v>
      </c>
      <c r="W64" s="802">
        <v>44000</v>
      </c>
      <c r="X64" s="8">
        <f t="shared" ref="X64" si="12">V64*W64</f>
        <v>1056000</v>
      </c>
    </row>
    <row r="65" spans="1:24">
      <c r="A65" s="798">
        <f t="shared" si="7"/>
        <v>3</v>
      </c>
      <c r="B65" s="297" t="s">
        <v>483</v>
      </c>
      <c r="C65" s="827">
        <f t="shared" ref="C65:C128" si="13">S65</f>
        <v>0</v>
      </c>
      <c r="D65" s="534">
        <f>IF($I$136&lt;&gt;0,D$136/$I$136*$I65,0)</f>
        <v>88896.072409891713</v>
      </c>
      <c r="E65" s="534">
        <f>IF($I$136&lt;&gt;0,E$136/$I$136*$I65,0)</f>
        <v>12075.498805739633</v>
      </c>
      <c r="F65" s="534">
        <f>IF($I$136&lt;&gt;0,F$136/$I$136*$I65,0)</f>
        <v>50428.317439793114</v>
      </c>
      <c r="G65" s="534">
        <f>IF($I$136&lt;&gt;0,G$136/$I$136*$I65,0)</f>
        <v>131099.25830145646</v>
      </c>
      <c r="H65" s="799">
        <f>ROUND(SUM(C65:G65),0)</f>
        <v>282499</v>
      </c>
      <c r="I65" s="534">
        <v>400</v>
      </c>
      <c r="J65" s="534">
        <f t="shared" ref="J65:J128" si="14">IF(I65&lt;&gt;"",H65/I65,"")</f>
        <v>706.24749999999995</v>
      </c>
      <c r="K65" s="666">
        <v>12000</v>
      </c>
      <c r="L65" s="666"/>
      <c r="M65" s="297"/>
      <c r="N65" s="774">
        <f t="shared" si="10"/>
        <v>41365</v>
      </c>
      <c r="O65" s="772">
        <v>41368</v>
      </c>
      <c r="P65" s="773" t="s">
        <v>792</v>
      </c>
      <c r="Q65" s="824"/>
      <c r="R65" s="256"/>
      <c r="S65" s="8">
        <f t="shared" ref="S65" si="15">Q65*R65</f>
        <v>0</v>
      </c>
      <c r="T65" s="449"/>
      <c r="U65" s="772"/>
      <c r="V65" s="802"/>
      <c r="W65" s="802"/>
      <c r="X65" s="8">
        <f t="shared" ref="X65:X66" si="16">V65*W65</f>
        <v>0</v>
      </c>
    </row>
    <row r="66" spans="1:24">
      <c r="A66" s="798">
        <f t="shared" si="7"/>
        <v>4</v>
      </c>
      <c r="B66" s="297" t="s">
        <v>483</v>
      </c>
      <c r="C66" s="827">
        <f t="shared" si="13"/>
        <v>0</v>
      </c>
      <c r="D66" s="534">
        <f>IF($I$136&lt;&gt;0,D$136/$I$136*$I66,0)</f>
        <v>111120.09051236464</v>
      </c>
      <c r="E66" s="534">
        <f>IF($I$136&lt;&gt;0,E$136/$I$136*$I66,0)</f>
        <v>15094.373507174541</v>
      </c>
      <c r="F66" s="534">
        <f>IF($I$136&lt;&gt;0,F$136/$I$136*$I66,0)</f>
        <v>63035.396799741393</v>
      </c>
      <c r="G66" s="534">
        <f>IF($I$136&lt;&gt;0,G$136/$I$136*$I66,0)</f>
        <v>163874.07287682057</v>
      </c>
      <c r="H66" s="799">
        <f>ROUND(SUM(C66:G66),0)</f>
        <v>353124</v>
      </c>
      <c r="I66" s="534">
        <v>500</v>
      </c>
      <c r="J66" s="534">
        <f t="shared" si="14"/>
        <v>706.24800000000005</v>
      </c>
      <c r="K66" s="666">
        <v>12000</v>
      </c>
      <c r="L66" s="666"/>
      <c r="M66" s="189"/>
      <c r="N66" s="774">
        <f t="shared" si="10"/>
        <v>41366</v>
      </c>
      <c r="O66" s="772">
        <v>41369</v>
      </c>
      <c r="P66" s="773" t="s">
        <v>579</v>
      </c>
      <c r="Q66" s="305"/>
      <c r="R66" s="258"/>
      <c r="S66" s="8">
        <f t="shared" ref="S66:S67" si="17">Q66*R66</f>
        <v>0</v>
      </c>
      <c r="T66" s="449"/>
      <c r="U66" s="774"/>
      <c r="V66" s="802"/>
      <c r="W66" s="802"/>
      <c r="X66" s="8">
        <f t="shared" si="16"/>
        <v>0</v>
      </c>
    </row>
    <row r="67" spans="1:24">
      <c r="A67" s="798">
        <f t="shared" si="7"/>
        <v>5</v>
      </c>
      <c r="B67" s="297" t="s">
        <v>795</v>
      </c>
      <c r="C67" s="827">
        <f t="shared" si="13"/>
        <v>0</v>
      </c>
      <c r="D67" s="534">
        <f>IF($I$136&lt;&gt;0,D$136/$I$136*$I67,0)</f>
        <v>222240.18102472927</v>
      </c>
      <c r="E67" s="534">
        <f>IF($I$136&lt;&gt;0,E$136/$I$136*$I67,0)</f>
        <v>30188.747014349083</v>
      </c>
      <c r="F67" s="534">
        <f>IF($I$136&lt;&gt;0,F$136/$I$136*$I67,0)</f>
        <v>126070.79359948279</v>
      </c>
      <c r="G67" s="534">
        <f>IF($I$136&lt;&gt;0,G$136/$I$136*$I67,0)</f>
        <v>327748.14575364115</v>
      </c>
      <c r="H67" s="799">
        <f>ROUND(SUM(C67:G67),0)</f>
        <v>706248</v>
      </c>
      <c r="I67" s="534">
        <v>1000</v>
      </c>
      <c r="J67" s="534">
        <f t="shared" si="14"/>
        <v>706.24800000000005</v>
      </c>
      <c r="K67" s="666">
        <v>12800</v>
      </c>
      <c r="L67" s="666"/>
      <c r="M67" s="189"/>
      <c r="N67" s="774">
        <f t="shared" si="10"/>
        <v>41366</v>
      </c>
      <c r="O67" s="772">
        <v>41369</v>
      </c>
      <c r="P67" s="773" t="s">
        <v>796</v>
      </c>
      <c r="Q67" s="824"/>
      <c r="R67" s="258"/>
      <c r="S67" s="8">
        <f t="shared" si="17"/>
        <v>0</v>
      </c>
      <c r="T67" s="449"/>
      <c r="U67" s="774"/>
      <c r="V67" s="802"/>
      <c r="W67" s="802"/>
      <c r="X67" s="8">
        <f t="shared" ref="X67" si="18">V67*W67</f>
        <v>0</v>
      </c>
    </row>
    <row r="68" spans="1:24">
      <c r="A68" s="798">
        <f t="shared" si="7"/>
        <v>6</v>
      </c>
      <c r="B68" s="297" t="s">
        <v>797</v>
      </c>
      <c r="C68" s="827">
        <f t="shared" si="13"/>
        <v>0</v>
      </c>
      <c r="D68" s="534">
        <f>IF($I$136&lt;&gt;0,D$136/$I$136*$I68,0)</f>
        <v>111120.09051236464</v>
      </c>
      <c r="E68" s="534">
        <f>IF($I$136&lt;&gt;0,E$136/$I$136*$I68,0)</f>
        <v>15094.373507174541</v>
      </c>
      <c r="F68" s="534">
        <f>IF($I$136&lt;&gt;0,F$136/$I$136*$I68,0)</f>
        <v>63035.396799741393</v>
      </c>
      <c r="G68" s="534">
        <f>IF($I$136&lt;&gt;0,G$136/$I$136*$I68,0)</f>
        <v>163874.07287682057</v>
      </c>
      <c r="H68" s="799">
        <f>ROUND(SUM(C68:G68),0)</f>
        <v>353124</v>
      </c>
      <c r="I68" s="534">
        <v>500</v>
      </c>
      <c r="J68" s="534">
        <f t="shared" si="14"/>
        <v>706.24800000000005</v>
      </c>
      <c r="K68" s="666">
        <v>12800</v>
      </c>
      <c r="L68" s="666"/>
      <c r="M68" s="189"/>
      <c r="N68" s="774">
        <f t="shared" si="10"/>
        <v>41367</v>
      </c>
      <c r="O68" s="772">
        <v>41370</v>
      </c>
      <c r="P68" s="773" t="s">
        <v>798</v>
      </c>
      <c r="Q68" s="824"/>
      <c r="R68" s="258"/>
      <c r="S68" s="8">
        <f t="shared" ref="S68:S106" si="19">Q68*R68</f>
        <v>0</v>
      </c>
      <c r="T68" s="449"/>
      <c r="U68" s="774"/>
      <c r="V68" s="802"/>
      <c r="W68" s="802"/>
      <c r="X68" s="8">
        <f t="shared" ref="X68:X99" si="20">V68*W68</f>
        <v>0</v>
      </c>
    </row>
    <row r="69" spans="1:24">
      <c r="A69" s="798">
        <f t="shared" si="7"/>
        <v>7</v>
      </c>
      <c r="B69" s="297" t="s">
        <v>797</v>
      </c>
      <c r="C69" s="827">
        <f t="shared" si="13"/>
        <v>0</v>
      </c>
      <c r="D69" s="534">
        <f>IF($I$136&lt;&gt;0,D$136/$I$136*$I69,0)</f>
        <v>22224.018102472928</v>
      </c>
      <c r="E69" s="534">
        <f>IF($I$136&lt;&gt;0,E$136/$I$136*$I69,0)</f>
        <v>3018.8747014349083</v>
      </c>
      <c r="F69" s="534">
        <f>IF($I$136&lt;&gt;0,F$136/$I$136*$I69,0)</f>
        <v>12607.079359948279</v>
      </c>
      <c r="G69" s="534">
        <f>IF($I$136&lt;&gt;0,G$136/$I$136*$I69,0)</f>
        <v>32774.814575364115</v>
      </c>
      <c r="H69" s="799">
        <f>ROUND(SUM(C69:G69),0)</f>
        <v>70625</v>
      </c>
      <c r="I69" s="534">
        <v>100</v>
      </c>
      <c r="J69" s="534">
        <f t="shared" si="14"/>
        <v>706.25</v>
      </c>
      <c r="K69" s="666">
        <v>12800</v>
      </c>
      <c r="L69" s="666"/>
      <c r="M69" s="189"/>
      <c r="N69" s="774">
        <f t="shared" si="10"/>
        <v>41367</v>
      </c>
      <c r="O69" s="772">
        <v>41370</v>
      </c>
      <c r="P69" s="773" t="s">
        <v>798</v>
      </c>
      <c r="Q69" s="305"/>
      <c r="R69" s="258"/>
      <c r="S69" s="8">
        <f t="shared" si="19"/>
        <v>0</v>
      </c>
      <c r="T69" s="449"/>
      <c r="U69" s="774"/>
      <c r="V69" s="802"/>
      <c r="W69" s="802"/>
      <c r="X69" s="8">
        <f t="shared" si="20"/>
        <v>0</v>
      </c>
    </row>
    <row r="70" spans="1:24">
      <c r="A70" s="798">
        <f t="shared" si="7"/>
        <v>8</v>
      </c>
      <c r="B70" s="297" t="s">
        <v>1163</v>
      </c>
      <c r="C70" s="827">
        <f t="shared" si="13"/>
        <v>0</v>
      </c>
      <c r="D70" s="534">
        <f>IF($I$136&lt;&gt;0,D$136/$I$136*$I70,0)</f>
        <v>886738.32228866988</v>
      </c>
      <c r="E70" s="534">
        <f>IF($I$136&lt;&gt;0,E$136/$I$136*$I70,0)</f>
        <v>120453.10058725285</v>
      </c>
      <c r="F70" s="534">
        <f>IF($I$136&lt;&gt;0,F$136/$I$136*$I70,0)</f>
        <v>503022.4664619363</v>
      </c>
      <c r="G70" s="534">
        <f>IF($I$136&lt;&gt;0,G$136/$I$136*$I70,0)</f>
        <v>1307715.1015570282</v>
      </c>
      <c r="H70" s="799">
        <f>ROUND(SUM(C70:G70),0)</f>
        <v>2817929</v>
      </c>
      <c r="I70" s="534">
        <v>3990</v>
      </c>
      <c r="J70" s="534">
        <f t="shared" si="14"/>
        <v>706.24786967418549</v>
      </c>
      <c r="K70" s="666">
        <v>5200</v>
      </c>
      <c r="L70" s="666"/>
      <c r="M70" s="189"/>
      <c r="N70" s="774">
        <f t="shared" si="10"/>
        <v>41372</v>
      </c>
      <c r="O70" s="772">
        <v>41375</v>
      </c>
      <c r="P70" s="773" t="s">
        <v>799</v>
      </c>
      <c r="Q70" s="824"/>
      <c r="R70" s="258"/>
      <c r="S70" s="8">
        <f t="shared" si="19"/>
        <v>0</v>
      </c>
      <c r="T70" s="449"/>
      <c r="U70" s="774"/>
      <c r="V70" s="802"/>
      <c r="W70" s="802"/>
      <c r="X70" s="8">
        <f t="shared" si="20"/>
        <v>0</v>
      </c>
    </row>
    <row r="71" spans="1:24">
      <c r="A71" s="798">
        <f t="shared" si="7"/>
        <v>9</v>
      </c>
      <c r="B71" s="297" t="s">
        <v>1137</v>
      </c>
      <c r="C71" s="827">
        <f t="shared" si="13"/>
        <v>0</v>
      </c>
      <c r="D71" s="534">
        <f>IF($I$136&lt;&gt;0,D$136/$I$136*$I71,0)</f>
        <v>614049.62017132703</v>
      </c>
      <c r="E71" s="534">
        <f>IF($I$136&lt;&gt;0,E$136/$I$136*$I71,0)</f>
        <v>83411.508000646514</v>
      </c>
      <c r="F71" s="534">
        <f>IF($I$136&lt;&gt;0,F$136/$I$136*$I71,0)</f>
        <v>348333.60271537094</v>
      </c>
      <c r="G71" s="534">
        <f>IF($I$136&lt;&gt;0,G$136/$I$136*$I71,0)</f>
        <v>905568.12671731052</v>
      </c>
      <c r="H71" s="799">
        <f>ROUND(SUM(C71:G71),0)</f>
        <v>1951363</v>
      </c>
      <c r="I71" s="534">
        <v>2763</v>
      </c>
      <c r="J71" s="534">
        <f t="shared" si="14"/>
        <v>706.24791892870064</v>
      </c>
      <c r="K71" s="666">
        <v>6350</v>
      </c>
      <c r="L71" s="666"/>
      <c r="M71" s="189"/>
      <c r="N71" s="774">
        <f t="shared" si="10"/>
        <v>41372</v>
      </c>
      <c r="O71" s="772">
        <v>41375</v>
      </c>
      <c r="P71" s="773" t="s">
        <v>799</v>
      </c>
      <c r="Q71" s="305"/>
      <c r="R71" s="258"/>
      <c r="S71" s="8">
        <f t="shared" si="19"/>
        <v>0</v>
      </c>
      <c r="T71" s="449"/>
      <c r="U71" s="774"/>
      <c r="V71" s="802"/>
      <c r="W71" s="802"/>
      <c r="X71" s="8">
        <f t="shared" si="20"/>
        <v>0</v>
      </c>
    </row>
    <row r="72" spans="1:24">
      <c r="A72" s="798">
        <f t="shared" si="7"/>
        <v>10</v>
      </c>
      <c r="B72" s="297" t="s">
        <v>1144</v>
      </c>
      <c r="C72" s="827">
        <f t="shared" si="13"/>
        <v>0</v>
      </c>
      <c r="D72" s="534">
        <f>IF($I$136&lt;&gt;0,D$136/$I$136*$I72,0)</f>
        <v>22890.738645547117</v>
      </c>
      <c r="E72" s="534">
        <f>IF($I$136&lt;&gt;0,E$136/$I$136*$I72,0)</f>
        <v>3109.4409424779556</v>
      </c>
      <c r="F72" s="534">
        <f>IF($I$136&lt;&gt;0,F$136/$I$136*$I72,0)</f>
        <v>12985.291740746727</v>
      </c>
      <c r="G72" s="534">
        <f>IF($I$136&lt;&gt;0,G$136/$I$136*$I72,0)</f>
        <v>33758.059012625039</v>
      </c>
      <c r="H72" s="799">
        <f>ROUND(SUM(C72:G72),0)</f>
        <v>72744</v>
      </c>
      <c r="I72" s="534">
        <v>103</v>
      </c>
      <c r="J72" s="534">
        <f t="shared" si="14"/>
        <v>706.252427184466</v>
      </c>
      <c r="K72" s="666">
        <v>17820</v>
      </c>
      <c r="L72" s="666"/>
      <c r="M72" s="189"/>
      <c r="N72" s="774">
        <f t="shared" si="10"/>
        <v>41372</v>
      </c>
      <c r="O72" s="772">
        <v>41375</v>
      </c>
      <c r="P72" s="773" t="s">
        <v>800</v>
      </c>
      <c r="Q72" s="305"/>
      <c r="R72" s="256"/>
      <c r="S72" s="8">
        <f t="shared" si="19"/>
        <v>0</v>
      </c>
      <c r="T72" s="449"/>
      <c r="U72" s="774"/>
      <c r="V72" s="802"/>
      <c r="W72" s="802"/>
      <c r="X72" s="8">
        <f t="shared" si="20"/>
        <v>0</v>
      </c>
    </row>
    <row r="73" spans="1:24">
      <c r="A73" s="798">
        <f t="shared" si="7"/>
        <v>11</v>
      </c>
      <c r="B73" s="297" t="s">
        <v>801</v>
      </c>
      <c r="C73" s="827">
        <f t="shared" si="13"/>
        <v>0</v>
      </c>
      <c r="D73" s="534">
        <f>IF($I$136&lt;&gt;0,D$136/$I$136*$I73,0)</f>
        <v>44448.036204945856</v>
      </c>
      <c r="E73" s="534">
        <f>IF($I$136&lt;&gt;0,E$136/$I$136*$I73,0)</f>
        <v>6037.7494028698165</v>
      </c>
      <c r="F73" s="534">
        <f>IF($I$136&lt;&gt;0,F$136/$I$136*$I73,0)</f>
        <v>25214.158719896557</v>
      </c>
      <c r="G73" s="534">
        <f>IF($I$136&lt;&gt;0,G$136/$I$136*$I73,0)</f>
        <v>65549.629150728229</v>
      </c>
      <c r="H73" s="799">
        <f>ROUND(SUM(C73:G73),0)</f>
        <v>141250</v>
      </c>
      <c r="I73" s="534">
        <v>200</v>
      </c>
      <c r="J73" s="534">
        <f t="shared" si="14"/>
        <v>706.25</v>
      </c>
      <c r="K73" s="666">
        <v>1540</v>
      </c>
      <c r="L73" s="666"/>
      <c r="M73" s="189"/>
      <c r="N73" s="774">
        <f t="shared" si="10"/>
        <v>41372</v>
      </c>
      <c r="O73" s="772">
        <v>41375</v>
      </c>
      <c r="P73" s="773" t="s">
        <v>800</v>
      </c>
      <c r="Q73" s="305"/>
      <c r="R73" s="258"/>
      <c r="S73" s="8">
        <f t="shared" si="19"/>
        <v>0</v>
      </c>
      <c r="T73" s="449"/>
      <c r="U73" s="774"/>
      <c r="V73" s="802"/>
      <c r="W73" s="802"/>
      <c r="X73" s="8">
        <f t="shared" si="20"/>
        <v>0</v>
      </c>
    </row>
    <row r="74" spans="1:24">
      <c r="A74" s="798">
        <f t="shared" si="7"/>
        <v>12</v>
      </c>
      <c r="B74" s="297" t="s">
        <v>1142</v>
      </c>
      <c r="C74" s="827">
        <f t="shared" si="13"/>
        <v>0</v>
      </c>
      <c r="D74" s="534">
        <f>IF($I$136&lt;&gt;0,D$136/$I$136*$I74,0)</f>
        <v>220017.779214482</v>
      </c>
      <c r="E74" s="534">
        <f>IF($I$136&lt;&gt;0,E$136/$I$136*$I74,0)</f>
        <v>29886.859544205592</v>
      </c>
      <c r="F74" s="534">
        <f>IF($I$136&lt;&gt;0,F$136/$I$136*$I74,0)</f>
        <v>124810.08566348796</v>
      </c>
      <c r="G74" s="534">
        <f>IF($I$136&lt;&gt;0,G$136/$I$136*$I74,0)</f>
        <v>324470.66429610475</v>
      </c>
      <c r="H74" s="799">
        <f>ROUND(SUM(C74:G74),0)</f>
        <v>699185</v>
      </c>
      <c r="I74" s="534">
        <v>990</v>
      </c>
      <c r="J74" s="534">
        <f t="shared" si="14"/>
        <v>706.24747474747471</v>
      </c>
      <c r="K74" s="666">
        <v>5455</v>
      </c>
      <c r="L74" s="666"/>
      <c r="M74" s="297"/>
      <c r="N74" s="774">
        <f t="shared" si="10"/>
        <v>41372</v>
      </c>
      <c r="O74" s="772">
        <v>41375</v>
      </c>
      <c r="P74" s="773" t="s">
        <v>800</v>
      </c>
      <c r="Q74" s="824"/>
      <c r="R74" s="256"/>
      <c r="S74" s="8">
        <f t="shared" si="19"/>
        <v>0</v>
      </c>
      <c r="T74" s="449"/>
      <c r="U74" s="774"/>
      <c r="V74" s="802"/>
      <c r="W74" s="802"/>
      <c r="X74" s="8">
        <f t="shared" si="20"/>
        <v>0</v>
      </c>
    </row>
    <row r="75" spans="1:24">
      <c r="A75" s="798">
        <f t="shared" si="7"/>
        <v>13</v>
      </c>
      <c r="B75" s="297" t="s">
        <v>755</v>
      </c>
      <c r="C75" s="827">
        <f t="shared" si="13"/>
        <v>0</v>
      </c>
      <c r="D75" s="534">
        <f>IF($I$136&lt;&gt;0,D$136/$I$136*$I75,0)</f>
        <v>243352.99822207858</v>
      </c>
      <c r="E75" s="534">
        <f>IF($I$136&lt;&gt;0,E$136/$I$136*$I75,0)</f>
        <v>33056.677980712244</v>
      </c>
      <c r="F75" s="534">
        <f>IF($I$136&lt;&gt;0,F$136/$I$136*$I75,0)</f>
        <v>138047.51899143364</v>
      </c>
      <c r="G75" s="534">
        <f>IF($I$136&lt;&gt;0,G$136/$I$136*$I75,0)</f>
        <v>358884.21960023709</v>
      </c>
      <c r="H75" s="799">
        <f>ROUND(SUM(C75:G75),0)</f>
        <v>773341</v>
      </c>
      <c r="I75" s="534">
        <v>1095</v>
      </c>
      <c r="J75" s="534">
        <f t="shared" si="14"/>
        <v>706.24748858447492</v>
      </c>
      <c r="K75" s="666">
        <v>13700</v>
      </c>
      <c r="L75" s="666"/>
      <c r="M75" s="297"/>
      <c r="N75" s="774">
        <f t="shared" si="10"/>
        <v>41373</v>
      </c>
      <c r="O75" s="772">
        <v>41376</v>
      </c>
      <c r="P75" s="773" t="s">
        <v>802</v>
      </c>
      <c r="Q75" s="824"/>
      <c r="R75" s="256"/>
      <c r="S75" s="8">
        <f t="shared" si="19"/>
        <v>0</v>
      </c>
      <c r="T75" s="449"/>
      <c r="U75" s="774"/>
      <c r="V75" s="802"/>
      <c r="W75" s="802"/>
      <c r="X75" s="8">
        <f t="shared" si="20"/>
        <v>0</v>
      </c>
    </row>
    <row r="76" spans="1:24">
      <c r="A76" s="798">
        <f t="shared" si="7"/>
        <v>14</v>
      </c>
      <c r="B76" s="297" t="s">
        <v>752</v>
      </c>
      <c r="C76" s="827">
        <f t="shared" si="13"/>
        <v>0</v>
      </c>
      <c r="D76" s="534">
        <f>IF($I$136&lt;&gt;0,D$136/$I$136*$I76,0)</f>
        <v>80006.465168902534</v>
      </c>
      <c r="E76" s="534">
        <f>IF($I$136&lt;&gt;0,E$136/$I$136*$I76,0)</f>
        <v>10867.948925165671</v>
      </c>
      <c r="F76" s="534">
        <f>IF($I$136&lt;&gt;0,F$136/$I$136*$I76,0)</f>
        <v>45385.485695813804</v>
      </c>
      <c r="G76" s="534">
        <f>IF($I$136&lt;&gt;0,G$136/$I$136*$I76,0)</f>
        <v>117989.33247131082</v>
      </c>
      <c r="H76" s="799">
        <f>ROUND(SUM(C76:G76),0)</f>
        <v>254249</v>
      </c>
      <c r="I76" s="534">
        <v>360</v>
      </c>
      <c r="J76" s="534">
        <f t="shared" si="14"/>
        <v>706.24722222222226</v>
      </c>
      <c r="K76" s="666">
        <v>12600</v>
      </c>
      <c r="L76" s="666"/>
      <c r="M76" s="189"/>
      <c r="N76" s="774">
        <f t="shared" si="10"/>
        <v>41373</v>
      </c>
      <c r="O76" s="772">
        <v>41376</v>
      </c>
      <c r="P76" s="773" t="s">
        <v>802</v>
      </c>
      <c r="Q76" s="305"/>
      <c r="R76" s="256"/>
      <c r="S76" s="8">
        <f t="shared" si="19"/>
        <v>0</v>
      </c>
      <c r="T76" s="449"/>
      <c r="U76" s="774"/>
      <c r="V76" s="802"/>
      <c r="W76" s="802"/>
      <c r="X76" s="8">
        <f t="shared" si="20"/>
        <v>0</v>
      </c>
    </row>
    <row r="77" spans="1:24">
      <c r="A77" s="798">
        <f t="shared" si="7"/>
        <v>15</v>
      </c>
      <c r="B77" s="297" t="s">
        <v>1137</v>
      </c>
      <c r="C77" s="827">
        <f t="shared" si="13"/>
        <v>0</v>
      </c>
      <c r="D77" s="534">
        <f>IF($I$136&lt;&gt;0,D$136/$I$136*$I77,0)</f>
        <v>873403.9114271861</v>
      </c>
      <c r="E77" s="534">
        <f>IF($I$136&lt;&gt;0,E$136/$I$136*$I77,0)</f>
        <v>118641.77576639189</v>
      </c>
      <c r="F77" s="534">
        <f>IF($I$136&lt;&gt;0,F$136/$I$136*$I77,0)</f>
        <v>495458.21884596732</v>
      </c>
      <c r="G77" s="534">
        <f>IF($I$136&lt;&gt;0,G$136/$I$136*$I77,0)</f>
        <v>1288050.2128118097</v>
      </c>
      <c r="H77" s="799">
        <f>ROUND(SUM(C77:G77),0)</f>
        <v>2775554</v>
      </c>
      <c r="I77" s="534">
        <v>3930</v>
      </c>
      <c r="J77" s="534">
        <f t="shared" si="14"/>
        <v>706.24783715012722</v>
      </c>
      <c r="K77" s="666">
        <v>6350</v>
      </c>
      <c r="L77" s="666"/>
      <c r="M77" s="297"/>
      <c r="N77" s="774">
        <f t="shared" si="10"/>
        <v>41377</v>
      </c>
      <c r="O77" s="772">
        <v>41380</v>
      </c>
      <c r="P77" s="773" t="s">
        <v>803</v>
      </c>
      <c r="Q77" s="305"/>
      <c r="R77" s="804"/>
      <c r="S77" s="8">
        <f t="shared" si="19"/>
        <v>0</v>
      </c>
      <c r="T77" s="449"/>
      <c r="U77" s="774"/>
      <c r="V77" s="802"/>
      <c r="W77" s="802"/>
      <c r="X77" s="8">
        <f t="shared" si="20"/>
        <v>0</v>
      </c>
    </row>
    <row r="78" spans="1:24">
      <c r="A78" s="798">
        <f t="shared" si="7"/>
        <v>16</v>
      </c>
      <c r="B78" s="298" t="s">
        <v>840</v>
      </c>
      <c r="C78" s="827">
        <f t="shared" si="13"/>
        <v>0</v>
      </c>
      <c r="D78" s="534">
        <f>IF($I$136&lt;&gt;0,D$136/$I$136*$I78,0)</f>
        <v>231129.78826571844</v>
      </c>
      <c r="E78" s="534">
        <f>IF($I$136&lt;&gt;0,E$136/$I$136*$I78,0)</f>
        <v>31396.296894923045</v>
      </c>
      <c r="F78" s="534">
        <f>IF($I$136&lt;&gt;0,F$136/$I$136*$I78,0)</f>
        <v>131113.6253434621</v>
      </c>
      <c r="G78" s="534">
        <f>IF($I$136&lt;&gt;0,G$136/$I$136*$I78,0)</f>
        <v>340858.0715837868</v>
      </c>
      <c r="H78" s="799">
        <f>ROUND(SUM(C78:G78),0)</f>
        <v>734498</v>
      </c>
      <c r="I78" s="534">
        <v>1040</v>
      </c>
      <c r="J78" s="534">
        <f t="shared" si="14"/>
        <v>706.24807692307695</v>
      </c>
      <c r="K78" s="666">
        <v>6580</v>
      </c>
      <c r="L78" s="666"/>
      <c r="M78" s="189"/>
      <c r="N78" s="774">
        <f t="shared" si="10"/>
        <v>41377</v>
      </c>
      <c r="O78" s="772">
        <v>41380</v>
      </c>
      <c r="P78" s="773" t="s">
        <v>804</v>
      </c>
      <c r="Q78" s="305"/>
      <c r="R78" s="258"/>
      <c r="S78" s="8">
        <f t="shared" si="19"/>
        <v>0</v>
      </c>
      <c r="T78" s="449"/>
      <c r="U78" s="774"/>
      <c r="V78" s="802"/>
      <c r="W78" s="802"/>
      <c r="X78" s="8">
        <f t="shared" si="20"/>
        <v>0</v>
      </c>
    </row>
    <row r="79" spans="1:24">
      <c r="A79" s="798">
        <f t="shared" si="7"/>
        <v>17</v>
      </c>
      <c r="B79" s="297" t="s">
        <v>741</v>
      </c>
      <c r="C79" s="827">
        <f t="shared" si="13"/>
        <v>0</v>
      </c>
      <c r="D79" s="534">
        <f>IF($I$136&lt;&gt;0,D$136/$I$136*$I79,0)</f>
        <v>148900.92128656863</v>
      </c>
      <c r="E79" s="534">
        <f>IF($I$136&lt;&gt;0,E$136/$I$136*$I79,0)</f>
        <v>20226.460499613884</v>
      </c>
      <c r="F79" s="534">
        <f>IF($I$136&lt;&gt;0,F$136/$I$136*$I79,0)</f>
        <v>84467.431711653466</v>
      </c>
      <c r="G79" s="534">
        <f>IF($I$136&lt;&gt;0,G$136/$I$136*$I79,0)</f>
        <v>219591.25765493957</v>
      </c>
      <c r="H79" s="799">
        <f>ROUND(SUM(C79:G79),0)</f>
        <v>473186</v>
      </c>
      <c r="I79" s="534">
        <v>670</v>
      </c>
      <c r="J79" s="534">
        <f t="shared" si="14"/>
        <v>706.24776119402986</v>
      </c>
      <c r="K79" s="666">
        <v>8000</v>
      </c>
      <c r="L79" s="666"/>
      <c r="M79" s="189"/>
      <c r="N79" s="774">
        <f t="shared" si="10"/>
        <v>41378</v>
      </c>
      <c r="O79" s="772">
        <v>41381</v>
      </c>
      <c r="P79" s="773" t="s">
        <v>484</v>
      </c>
      <c r="Q79" s="305"/>
      <c r="R79" s="258"/>
      <c r="S79" s="8">
        <f t="shared" si="19"/>
        <v>0</v>
      </c>
      <c r="T79" s="449"/>
      <c r="U79" s="774"/>
      <c r="V79" s="802"/>
      <c r="W79" s="802"/>
      <c r="X79" s="8">
        <f t="shared" si="20"/>
        <v>0</v>
      </c>
    </row>
    <row r="80" spans="1:24">
      <c r="A80" s="798">
        <f t="shared" si="7"/>
        <v>18</v>
      </c>
      <c r="B80" s="297" t="s">
        <v>805</v>
      </c>
      <c r="C80" s="827">
        <f t="shared" si="13"/>
        <v>0</v>
      </c>
      <c r="D80" s="534">
        <f>IF($I$136&lt;&gt;0,D$136/$I$136*$I80,0)</f>
        <v>114231.45304671086</v>
      </c>
      <c r="E80" s="534">
        <f>IF($I$136&lt;&gt;0,E$136/$I$136*$I80,0)</f>
        <v>15517.015965375429</v>
      </c>
      <c r="F80" s="534">
        <f>IF($I$136&lt;&gt;0,F$136/$I$136*$I80,0)</f>
        <v>64800.387910134152</v>
      </c>
      <c r="G80" s="534">
        <f>IF($I$136&lt;&gt;0,G$136/$I$136*$I80,0)</f>
        <v>168462.54691737154</v>
      </c>
      <c r="H80" s="799">
        <f>ROUND(SUM(C80:G80),0)</f>
        <v>363011</v>
      </c>
      <c r="I80" s="534">
        <v>514</v>
      </c>
      <c r="J80" s="534">
        <f t="shared" si="14"/>
        <v>706.24708171206225</v>
      </c>
      <c r="K80" s="666">
        <v>8700</v>
      </c>
      <c r="L80" s="666"/>
      <c r="M80" s="189"/>
      <c r="N80" s="774">
        <f t="shared" si="10"/>
        <v>41384</v>
      </c>
      <c r="O80" s="772">
        <v>41387</v>
      </c>
      <c r="P80" s="773" t="s">
        <v>806</v>
      </c>
      <c r="Q80" s="305"/>
      <c r="R80" s="258"/>
      <c r="S80" s="8">
        <f t="shared" si="19"/>
        <v>0</v>
      </c>
      <c r="T80" s="449"/>
      <c r="U80" s="774"/>
      <c r="V80" s="802"/>
      <c r="W80" s="802"/>
      <c r="X80" s="8">
        <f t="shared" si="20"/>
        <v>0</v>
      </c>
    </row>
    <row r="81" spans="1:24">
      <c r="A81" s="798">
        <f t="shared" si="7"/>
        <v>19</v>
      </c>
      <c r="B81" s="297" t="s">
        <v>808</v>
      </c>
      <c r="C81" s="827">
        <f t="shared" si="13"/>
        <v>0</v>
      </c>
      <c r="D81" s="534">
        <f>IF($I$136&lt;&gt;0,D$136/$I$136*$I81,0)</f>
        <v>115564.89413285922</v>
      </c>
      <c r="E81" s="534">
        <f>IF($I$136&lt;&gt;0,E$136/$I$136*$I81,0)</f>
        <v>15698.148447461523</v>
      </c>
      <c r="F81" s="534">
        <f>IF($I$136&lt;&gt;0,F$136/$I$136*$I81,0)</f>
        <v>65556.812671731052</v>
      </c>
      <c r="G81" s="534">
        <f>IF($I$136&lt;&gt;0,G$136/$I$136*$I81,0)</f>
        <v>170429.0357918934</v>
      </c>
      <c r="H81" s="799">
        <f>ROUND(SUM(C81:G81),0)</f>
        <v>367249</v>
      </c>
      <c r="I81" s="534">
        <v>520</v>
      </c>
      <c r="J81" s="534">
        <f t="shared" si="14"/>
        <v>706.24807692307695</v>
      </c>
      <c r="K81" s="666">
        <v>9100</v>
      </c>
      <c r="L81" s="666"/>
      <c r="M81" s="189"/>
      <c r="N81" s="774">
        <f t="shared" si="10"/>
        <v>41384</v>
      </c>
      <c r="O81" s="772">
        <v>41387</v>
      </c>
      <c r="P81" s="773" t="s">
        <v>806</v>
      </c>
      <c r="Q81" s="305"/>
      <c r="R81" s="258"/>
      <c r="S81" s="8">
        <f t="shared" si="19"/>
        <v>0</v>
      </c>
      <c r="T81" s="449"/>
      <c r="U81" s="774"/>
      <c r="V81" s="802"/>
      <c r="W81" s="802"/>
      <c r="X81" s="8">
        <f t="shared" si="20"/>
        <v>0</v>
      </c>
    </row>
    <row r="82" spans="1:24">
      <c r="A82" s="798">
        <f t="shared" si="7"/>
        <v>20</v>
      </c>
      <c r="B82" s="297" t="s">
        <v>1141</v>
      </c>
      <c r="C82" s="827">
        <f t="shared" si="13"/>
        <v>0</v>
      </c>
      <c r="D82" s="534">
        <f>IF($I$136&lt;&gt;0,D$136/$I$136*$I82,0)</f>
        <v>22224.018102472928</v>
      </c>
      <c r="E82" s="534">
        <f>IF($I$136&lt;&gt;0,E$136/$I$136*$I82,0)</f>
        <v>3018.8747014349083</v>
      </c>
      <c r="F82" s="534">
        <f>IF($I$136&lt;&gt;0,F$136/$I$136*$I82,0)</f>
        <v>12607.079359948279</v>
      </c>
      <c r="G82" s="534">
        <f>IF($I$136&lt;&gt;0,G$136/$I$136*$I82,0)</f>
        <v>32774.814575364115</v>
      </c>
      <c r="H82" s="799">
        <f>ROUND(SUM(C82:G82),0)</f>
        <v>70625</v>
      </c>
      <c r="I82" s="534">
        <v>100</v>
      </c>
      <c r="J82" s="534">
        <f t="shared" si="14"/>
        <v>706.25</v>
      </c>
      <c r="K82" s="666">
        <v>16610</v>
      </c>
      <c r="L82" s="666"/>
      <c r="M82" s="189"/>
      <c r="N82" s="774">
        <f t="shared" si="10"/>
        <v>41385</v>
      </c>
      <c r="O82" s="772">
        <v>41388</v>
      </c>
      <c r="P82" s="773" t="s">
        <v>809</v>
      </c>
      <c r="Q82" s="305"/>
      <c r="R82" s="256"/>
      <c r="S82" s="8">
        <f t="shared" si="19"/>
        <v>0</v>
      </c>
      <c r="T82" s="449"/>
      <c r="U82" s="774"/>
      <c r="V82" s="802"/>
      <c r="W82" s="802"/>
      <c r="X82" s="8">
        <f t="shared" si="20"/>
        <v>0</v>
      </c>
    </row>
    <row r="83" spans="1:24">
      <c r="A83" s="798">
        <f t="shared" si="7"/>
        <v>21</v>
      </c>
      <c r="B83" s="297" t="s">
        <v>1147</v>
      </c>
      <c r="C83" s="827">
        <f t="shared" si="13"/>
        <v>0</v>
      </c>
      <c r="D83" s="534">
        <f>IF($I$136&lt;&gt;0,D$136/$I$136*$I83,0)</f>
        <v>22001.7779214482</v>
      </c>
      <c r="E83" s="534">
        <f>IF($I$136&lt;&gt;0,E$136/$I$136*$I83,0)</f>
        <v>2988.685954420559</v>
      </c>
      <c r="F83" s="534">
        <f>IF($I$136&lt;&gt;0,F$136/$I$136*$I83,0)</f>
        <v>12481.008566348795</v>
      </c>
      <c r="G83" s="534">
        <f>IF($I$136&lt;&gt;0,G$136/$I$136*$I83,0)</f>
        <v>32447.066429610473</v>
      </c>
      <c r="H83" s="799">
        <f>ROUND(SUM(C83:G83),0)</f>
        <v>69919</v>
      </c>
      <c r="I83" s="534">
        <v>99</v>
      </c>
      <c r="J83" s="534">
        <f t="shared" si="14"/>
        <v>706.25252525252529</v>
      </c>
      <c r="K83" s="666">
        <v>15180</v>
      </c>
      <c r="L83" s="666"/>
      <c r="M83" s="189"/>
      <c r="N83" s="774">
        <f t="shared" si="10"/>
        <v>41385</v>
      </c>
      <c r="O83" s="772">
        <v>41388</v>
      </c>
      <c r="P83" s="773" t="s">
        <v>809</v>
      </c>
      <c r="Q83" s="824"/>
      <c r="R83" s="258"/>
      <c r="S83" s="8">
        <f t="shared" si="19"/>
        <v>0</v>
      </c>
      <c r="T83" s="449"/>
      <c r="U83" s="774"/>
      <c r="V83" s="802"/>
      <c r="W83" s="802"/>
      <c r="X83" s="8">
        <f t="shared" si="20"/>
        <v>0</v>
      </c>
    </row>
    <row r="84" spans="1:24">
      <c r="A84" s="798">
        <f t="shared" si="7"/>
        <v>22</v>
      </c>
      <c r="B84" s="297" t="s">
        <v>810</v>
      </c>
      <c r="C84" s="827">
        <f t="shared" si="13"/>
        <v>0</v>
      </c>
      <c r="D84" s="534">
        <f>IF($I$136&lt;&gt;0,D$136/$I$136*$I84,0)</f>
        <v>44448.036204945856</v>
      </c>
      <c r="E84" s="534">
        <f>IF($I$136&lt;&gt;0,E$136/$I$136*$I84,0)</f>
        <v>6037.7494028698165</v>
      </c>
      <c r="F84" s="534">
        <f>IF($I$136&lt;&gt;0,F$136/$I$136*$I84,0)</f>
        <v>25214.158719896557</v>
      </c>
      <c r="G84" s="534">
        <f>IF($I$136&lt;&gt;0,G$136/$I$136*$I84,0)</f>
        <v>65549.629150728229</v>
      </c>
      <c r="H84" s="799">
        <f>ROUND(SUM(C84:G84),0)</f>
        <v>141250</v>
      </c>
      <c r="I84" s="534">
        <v>200</v>
      </c>
      <c r="J84" s="534">
        <f t="shared" si="14"/>
        <v>706.25</v>
      </c>
      <c r="K84" s="666">
        <v>6665</v>
      </c>
      <c r="L84" s="666"/>
      <c r="M84" s="297"/>
      <c r="N84" s="774">
        <f t="shared" si="10"/>
        <v>41385</v>
      </c>
      <c r="O84" s="772">
        <v>41388</v>
      </c>
      <c r="P84" s="773" t="s">
        <v>811</v>
      </c>
      <c r="Q84" s="305"/>
      <c r="R84" s="258"/>
      <c r="S84" s="8">
        <f t="shared" si="19"/>
        <v>0</v>
      </c>
      <c r="T84" s="449"/>
      <c r="U84" s="774"/>
      <c r="V84" s="802"/>
      <c r="W84" s="802"/>
      <c r="X84" s="8">
        <f t="shared" si="20"/>
        <v>0</v>
      </c>
    </row>
    <row r="85" spans="1:24">
      <c r="A85" s="798">
        <f t="shared" si="7"/>
        <v>23</v>
      </c>
      <c r="B85" s="297" t="s">
        <v>812</v>
      </c>
      <c r="C85" s="827">
        <f t="shared" si="13"/>
        <v>0</v>
      </c>
      <c r="D85" s="534">
        <f>IF($I$136&lt;&gt;0,D$136/$I$136*$I85,0)</f>
        <v>45336.996929044777</v>
      </c>
      <c r="E85" s="534">
        <f>IF($I$136&lt;&gt;0,E$136/$I$136*$I85,0)</f>
        <v>6158.5043909272126</v>
      </c>
      <c r="F85" s="534">
        <f>IF($I$136&lt;&gt;0,F$136/$I$136*$I85,0)</f>
        <v>25718.441894294487</v>
      </c>
      <c r="G85" s="534">
        <f>IF($I$136&lt;&gt;0,G$136/$I$136*$I85,0)</f>
        <v>66860.621733742795</v>
      </c>
      <c r="H85" s="799">
        <f>ROUND(SUM(C85:G85),0)</f>
        <v>144075</v>
      </c>
      <c r="I85" s="534">
        <v>204</v>
      </c>
      <c r="J85" s="534">
        <f t="shared" si="14"/>
        <v>706.25</v>
      </c>
      <c r="K85" s="666">
        <v>5685</v>
      </c>
      <c r="L85" s="666"/>
      <c r="M85" s="189"/>
      <c r="N85" s="774">
        <f t="shared" si="10"/>
        <v>41385</v>
      </c>
      <c r="O85" s="772">
        <v>41388</v>
      </c>
      <c r="P85" s="773" t="s">
        <v>811</v>
      </c>
      <c r="Q85" s="305"/>
      <c r="R85" s="258"/>
      <c r="S85" s="8">
        <f t="shared" si="19"/>
        <v>0</v>
      </c>
      <c r="T85" s="449"/>
      <c r="U85" s="774"/>
      <c r="V85" s="802"/>
      <c r="W85" s="802"/>
      <c r="X85" s="8">
        <f t="shared" si="20"/>
        <v>0</v>
      </c>
    </row>
    <row r="86" spans="1:24">
      <c r="A86" s="798">
        <f t="shared" si="7"/>
        <v>24</v>
      </c>
      <c r="B86" s="297" t="s">
        <v>1137</v>
      </c>
      <c r="C86" s="827">
        <f t="shared" si="13"/>
        <v>0</v>
      </c>
      <c r="D86" s="534">
        <f>IF($I$136&lt;&gt;0,D$136/$I$136*$I86,0)</f>
        <v>906739.93858089542</v>
      </c>
      <c r="E86" s="534">
        <f>IF($I$136&lt;&gt;0,E$136/$I$136*$I86,0)</f>
        <v>123170.08781854426</v>
      </c>
      <c r="F86" s="534">
        <f>IF($I$136&lt;&gt;0,F$136/$I$136*$I86,0)</f>
        <v>514368.83788588975</v>
      </c>
      <c r="G86" s="534">
        <f>IF($I$136&lt;&gt;0,G$136/$I$136*$I86,0)</f>
        <v>1337212.434674856</v>
      </c>
      <c r="H86" s="799">
        <f>ROUND(SUM(C86:G86),0)</f>
        <v>2881491</v>
      </c>
      <c r="I86" s="534">
        <v>4080</v>
      </c>
      <c r="J86" s="534">
        <f t="shared" si="14"/>
        <v>706.247794117647</v>
      </c>
      <c r="K86" s="666">
        <v>6350</v>
      </c>
      <c r="L86" s="666"/>
      <c r="M86" s="189"/>
      <c r="N86" s="774">
        <f t="shared" si="10"/>
        <v>41386</v>
      </c>
      <c r="O86" s="772">
        <v>41389</v>
      </c>
      <c r="P86" s="773" t="s">
        <v>813</v>
      </c>
      <c r="Q86" s="305"/>
      <c r="R86" s="258"/>
      <c r="S86" s="8">
        <f t="shared" si="19"/>
        <v>0</v>
      </c>
      <c r="T86" s="449"/>
      <c r="U86" s="774"/>
      <c r="V86" s="802"/>
      <c r="W86" s="802"/>
      <c r="X86" s="8">
        <f t="shared" si="20"/>
        <v>0</v>
      </c>
    </row>
    <row r="87" spans="1:24">
      <c r="A87" s="798">
        <f t="shared" si="7"/>
        <v>25</v>
      </c>
      <c r="B87" s="297" t="s">
        <v>814</v>
      </c>
      <c r="C87" s="827">
        <f t="shared" si="13"/>
        <v>0</v>
      </c>
      <c r="D87" s="534">
        <f>IF($I$136&lt;&gt;0,D$136/$I$136*$I87,0)</f>
        <v>68894.456117666079</v>
      </c>
      <c r="E87" s="534">
        <f>IF($I$136&lt;&gt;0,E$136/$I$136*$I87,0)</f>
        <v>9358.5115744482155</v>
      </c>
      <c r="F87" s="534">
        <f>IF($I$136&lt;&gt;0,F$136/$I$136*$I87,0)</f>
        <v>39081.946015839661</v>
      </c>
      <c r="G87" s="534">
        <f>IF($I$136&lt;&gt;0,G$136/$I$136*$I87,0)</f>
        <v>101601.92518362876</v>
      </c>
      <c r="H87" s="799">
        <f>ROUND(SUM(C87:G87),0)</f>
        <v>218937</v>
      </c>
      <c r="I87" s="534">
        <v>310</v>
      </c>
      <c r="J87" s="534">
        <f t="shared" si="14"/>
        <v>706.2483870967742</v>
      </c>
      <c r="K87" s="666">
        <v>10300</v>
      </c>
      <c r="L87" s="666"/>
      <c r="M87" s="189"/>
      <c r="N87" s="774">
        <f t="shared" si="10"/>
        <v>41388</v>
      </c>
      <c r="O87" s="772">
        <v>41391</v>
      </c>
      <c r="P87" s="773" t="s">
        <v>815</v>
      </c>
      <c r="Q87" s="824"/>
      <c r="R87" s="258"/>
      <c r="S87" s="8">
        <f t="shared" si="19"/>
        <v>0</v>
      </c>
      <c r="T87" s="449"/>
      <c r="U87" s="774"/>
      <c r="V87" s="802"/>
      <c r="W87" s="802"/>
      <c r="X87" s="8">
        <f t="shared" si="20"/>
        <v>0</v>
      </c>
    </row>
    <row r="88" spans="1:24">
      <c r="A88" s="798">
        <f t="shared" si="7"/>
        <v>26</v>
      </c>
      <c r="B88" s="297" t="s">
        <v>816</v>
      </c>
      <c r="C88" s="827">
        <f t="shared" si="13"/>
        <v>0</v>
      </c>
      <c r="D88" s="534">
        <f>IF($I$136&lt;&gt;0,D$136/$I$136*$I88,0)</f>
        <v>50004.040730564091</v>
      </c>
      <c r="E88" s="534">
        <f>IF($I$136&lt;&gt;0,E$136/$I$136*$I88,0)</f>
        <v>6792.4680782285441</v>
      </c>
      <c r="F88" s="534">
        <f>IF($I$136&lt;&gt;0,F$136/$I$136*$I88,0)</f>
        <v>28365.928559883625</v>
      </c>
      <c r="G88" s="534">
        <f>IF($I$136&lt;&gt;0,G$136/$I$136*$I88,0)</f>
        <v>73743.332794569258</v>
      </c>
      <c r="H88" s="799">
        <f>ROUND(SUM(C88:G88),0)</f>
        <v>158906</v>
      </c>
      <c r="I88" s="534">
        <v>225</v>
      </c>
      <c r="J88" s="534">
        <f t="shared" si="14"/>
        <v>706.24888888888893</v>
      </c>
      <c r="K88" s="666">
        <v>8800</v>
      </c>
      <c r="L88" s="666"/>
      <c r="M88" s="189"/>
      <c r="N88" s="774">
        <f t="shared" si="10"/>
        <v>41388</v>
      </c>
      <c r="O88" s="772">
        <v>41391</v>
      </c>
      <c r="P88" s="773" t="s">
        <v>815</v>
      </c>
      <c r="Q88" s="824"/>
      <c r="R88" s="258"/>
      <c r="S88" s="8">
        <f t="shared" si="19"/>
        <v>0</v>
      </c>
      <c r="T88" s="449"/>
      <c r="U88" s="774"/>
      <c r="V88" s="802"/>
      <c r="W88" s="802"/>
      <c r="X88" s="8">
        <f t="shared" si="20"/>
        <v>0</v>
      </c>
    </row>
    <row r="89" spans="1:24">
      <c r="A89" s="798">
        <f t="shared" si="7"/>
        <v>27</v>
      </c>
      <c r="B89" s="297" t="s">
        <v>817</v>
      </c>
      <c r="C89" s="827">
        <f t="shared" si="13"/>
        <v>0</v>
      </c>
      <c r="D89" s="534">
        <f>IF($I$136&lt;&gt;0,D$136/$I$136*$I89,0)</f>
        <v>114231.45304671086</v>
      </c>
      <c r="E89" s="534">
        <f>IF($I$136&lt;&gt;0,E$136/$I$136*$I89,0)</f>
        <v>15517.015965375429</v>
      </c>
      <c r="F89" s="534">
        <f>IF($I$136&lt;&gt;0,F$136/$I$136*$I89,0)</f>
        <v>64800.387910134152</v>
      </c>
      <c r="G89" s="534">
        <f>IF($I$136&lt;&gt;0,G$136/$I$136*$I89,0)</f>
        <v>168462.54691737154</v>
      </c>
      <c r="H89" s="799">
        <f>ROUND(SUM(C89:G89),0)</f>
        <v>363011</v>
      </c>
      <c r="I89" s="534">
        <v>514</v>
      </c>
      <c r="J89" s="534">
        <f t="shared" si="14"/>
        <v>706.24708171206225</v>
      </c>
      <c r="K89" s="666">
        <v>17300</v>
      </c>
      <c r="L89" s="666"/>
      <c r="M89" s="189"/>
      <c r="N89" s="774">
        <f t="shared" si="10"/>
        <v>41397</v>
      </c>
      <c r="O89" s="772">
        <v>41400</v>
      </c>
      <c r="P89" s="773" t="s">
        <v>818</v>
      </c>
      <c r="Q89" s="824"/>
      <c r="R89" s="804"/>
      <c r="S89" s="8">
        <f t="shared" si="19"/>
        <v>0</v>
      </c>
      <c r="T89" s="449"/>
      <c r="U89" s="774"/>
      <c r="V89" s="802"/>
      <c r="W89" s="802"/>
      <c r="X89" s="8">
        <f t="shared" si="20"/>
        <v>0</v>
      </c>
    </row>
    <row r="90" spans="1:24">
      <c r="A90" s="798">
        <f t="shared" si="7"/>
        <v>28</v>
      </c>
      <c r="B90" s="297" t="s">
        <v>819</v>
      </c>
      <c r="C90" s="827">
        <f t="shared" si="13"/>
        <v>0</v>
      </c>
      <c r="D90" s="534">
        <f>IF($I$136&lt;&gt;0,D$136/$I$136*$I90,0)</f>
        <v>222240.18102472927</v>
      </c>
      <c r="E90" s="534">
        <f>IF($I$136&lt;&gt;0,E$136/$I$136*$I90,0)</f>
        <v>30188.747014349083</v>
      </c>
      <c r="F90" s="534">
        <f>IF($I$136&lt;&gt;0,F$136/$I$136*$I90,0)</f>
        <v>126070.79359948279</v>
      </c>
      <c r="G90" s="534">
        <f>IF($I$136&lt;&gt;0,G$136/$I$136*$I90,0)</f>
        <v>327748.14575364115</v>
      </c>
      <c r="H90" s="799">
        <f>ROUND(SUM(C90:G90),0)</f>
        <v>706248</v>
      </c>
      <c r="I90" s="534">
        <v>1000</v>
      </c>
      <c r="J90" s="534">
        <f t="shared" si="14"/>
        <v>706.24800000000005</v>
      </c>
      <c r="K90" s="666">
        <v>1500</v>
      </c>
      <c r="L90" s="666"/>
      <c r="M90" s="189"/>
      <c r="N90" s="774">
        <f t="shared" si="10"/>
        <v>41397</v>
      </c>
      <c r="O90" s="772">
        <v>41400</v>
      </c>
      <c r="P90" s="773" t="s">
        <v>818</v>
      </c>
      <c r="Q90" s="305"/>
      <c r="R90" s="258"/>
      <c r="S90" s="8">
        <f t="shared" si="19"/>
        <v>0</v>
      </c>
      <c r="T90" s="449"/>
      <c r="U90" s="774"/>
      <c r="V90" s="802"/>
      <c r="W90" s="802"/>
      <c r="X90" s="8">
        <f t="shared" si="20"/>
        <v>0</v>
      </c>
    </row>
    <row r="91" spans="1:24">
      <c r="A91" s="798">
        <f t="shared" si="7"/>
        <v>29</v>
      </c>
      <c r="B91" s="297" t="s">
        <v>820</v>
      </c>
      <c r="C91" s="827">
        <f t="shared" si="13"/>
        <v>0</v>
      </c>
      <c r="D91" s="534">
        <f>IF($I$136&lt;&gt;0,D$136/$I$136*$I91,0)</f>
        <v>111120.09051236464</v>
      </c>
      <c r="E91" s="534">
        <f>IF($I$136&lt;&gt;0,E$136/$I$136*$I91,0)</f>
        <v>15094.373507174541</v>
      </c>
      <c r="F91" s="534">
        <f>IF($I$136&lt;&gt;0,F$136/$I$136*$I91,0)</f>
        <v>63035.396799741393</v>
      </c>
      <c r="G91" s="534">
        <f>IF($I$136&lt;&gt;0,G$136/$I$136*$I91,0)</f>
        <v>163874.07287682057</v>
      </c>
      <c r="H91" s="799">
        <f>ROUND(SUM(C91:G91),0)</f>
        <v>353124</v>
      </c>
      <c r="I91" s="534">
        <v>500</v>
      </c>
      <c r="J91" s="534">
        <f t="shared" si="14"/>
        <v>706.24800000000005</v>
      </c>
      <c r="K91" s="666">
        <v>9260</v>
      </c>
      <c r="L91" s="666"/>
      <c r="M91" s="189"/>
      <c r="N91" s="774">
        <f t="shared" si="10"/>
        <v>41398</v>
      </c>
      <c r="O91" s="772">
        <v>41401</v>
      </c>
      <c r="P91" s="773" t="s">
        <v>821</v>
      </c>
      <c r="Q91" s="305"/>
      <c r="R91" s="258"/>
      <c r="S91" s="8">
        <f t="shared" si="19"/>
        <v>0</v>
      </c>
      <c r="T91" s="449"/>
      <c r="U91" s="774"/>
      <c r="V91" s="802"/>
      <c r="W91" s="802"/>
      <c r="X91" s="8">
        <f t="shared" si="20"/>
        <v>0</v>
      </c>
    </row>
    <row r="92" spans="1:24">
      <c r="A92" s="798">
        <f t="shared" si="7"/>
        <v>30</v>
      </c>
      <c r="B92" s="297" t="s">
        <v>814</v>
      </c>
      <c r="C92" s="827">
        <f t="shared" si="13"/>
        <v>0</v>
      </c>
      <c r="D92" s="534">
        <f>IF($I$136&lt;&gt;0,D$136/$I$136*$I92,0)</f>
        <v>25113.140455794408</v>
      </c>
      <c r="E92" s="534">
        <f>IF($I$136&lt;&gt;0,E$136/$I$136*$I92,0)</f>
        <v>3411.3284126214462</v>
      </c>
      <c r="F92" s="534">
        <f>IF($I$136&lt;&gt;0,F$136/$I$136*$I92,0)</f>
        <v>14245.999676741554</v>
      </c>
      <c r="G92" s="534">
        <f>IF($I$136&lt;&gt;0,G$136/$I$136*$I92,0)</f>
        <v>37035.540470161453</v>
      </c>
      <c r="H92" s="799">
        <f>ROUND(SUM(C92:G92),0)</f>
        <v>79806</v>
      </c>
      <c r="I92" s="534">
        <v>113</v>
      </c>
      <c r="J92" s="534">
        <f t="shared" si="14"/>
        <v>706.24778761061953</v>
      </c>
      <c r="K92" s="666">
        <v>10300</v>
      </c>
      <c r="L92" s="666"/>
      <c r="M92" s="297"/>
      <c r="N92" s="774">
        <f t="shared" si="10"/>
        <v>41406</v>
      </c>
      <c r="O92" s="772">
        <v>41409</v>
      </c>
      <c r="P92" s="773" t="s">
        <v>822</v>
      </c>
      <c r="Q92" s="305"/>
      <c r="R92" s="256"/>
      <c r="S92" s="8">
        <f t="shared" si="19"/>
        <v>0</v>
      </c>
      <c r="T92" s="449"/>
      <c r="U92" s="774"/>
      <c r="V92" s="802"/>
      <c r="W92" s="802"/>
      <c r="X92" s="8">
        <f t="shared" si="20"/>
        <v>0</v>
      </c>
    </row>
    <row r="93" spans="1:24">
      <c r="A93" s="798">
        <f t="shared" si="7"/>
        <v>31</v>
      </c>
      <c r="B93" s="297" t="s">
        <v>1131</v>
      </c>
      <c r="C93" s="827">
        <f t="shared" si="13"/>
        <v>0</v>
      </c>
      <c r="D93" s="534">
        <f>IF($I$136&lt;&gt;0,D$136/$I$136*$I93,0)</f>
        <v>44003.5558428964</v>
      </c>
      <c r="E93" s="534">
        <f>IF($I$136&lt;&gt;0,E$136/$I$136*$I93,0)</f>
        <v>5977.3719088411181</v>
      </c>
      <c r="F93" s="534">
        <f>IF($I$136&lt;&gt;0,F$136/$I$136*$I93,0)</f>
        <v>24962.017132697591</v>
      </c>
      <c r="G93" s="534">
        <f>IF($I$136&lt;&gt;0,G$136/$I$136*$I93,0)</f>
        <v>64894.132859220947</v>
      </c>
      <c r="H93" s="799">
        <f>ROUND(SUM(C93:G93),0)</f>
        <v>139837</v>
      </c>
      <c r="I93" s="534">
        <v>198</v>
      </c>
      <c r="J93" s="534">
        <f t="shared" si="14"/>
        <v>706.24747474747471</v>
      </c>
      <c r="K93" s="666">
        <v>6850</v>
      </c>
      <c r="L93" s="666"/>
      <c r="M93" s="189"/>
      <c r="N93" s="774">
        <f t="shared" si="10"/>
        <v>41406</v>
      </c>
      <c r="O93" s="772">
        <v>41409</v>
      </c>
      <c r="P93" s="773" t="s">
        <v>822</v>
      </c>
      <c r="Q93" s="305"/>
      <c r="R93" s="256"/>
      <c r="S93" s="8">
        <f t="shared" si="19"/>
        <v>0</v>
      </c>
      <c r="T93" s="449"/>
      <c r="U93" s="774"/>
      <c r="V93" s="802"/>
      <c r="W93" s="802"/>
      <c r="X93" s="8">
        <f t="shared" si="20"/>
        <v>0</v>
      </c>
    </row>
    <row r="94" spans="1:24">
      <c r="A94" s="798">
        <f t="shared" si="7"/>
        <v>32</v>
      </c>
      <c r="B94" s="298" t="s">
        <v>1130</v>
      </c>
      <c r="C94" s="827">
        <f t="shared" si="13"/>
        <v>0</v>
      </c>
      <c r="D94" s="534">
        <f>IF($I$136&lt;&gt;0,D$136/$I$136*$I94,0)</f>
        <v>23112.978826571845</v>
      </c>
      <c r="E94" s="534">
        <f>IF($I$136&lt;&gt;0,E$136/$I$136*$I94,0)</f>
        <v>3139.6296894923048</v>
      </c>
      <c r="F94" s="534">
        <f>IF($I$136&lt;&gt;0,F$136/$I$136*$I94,0)</f>
        <v>13111.36253434621</v>
      </c>
      <c r="G94" s="534">
        <f>IF($I$136&lt;&gt;0,G$136/$I$136*$I94,0)</f>
        <v>34085.80715837868</v>
      </c>
      <c r="H94" s="799">
        <f>ROUND(SUM(C94:G94),0)</f>
        <v>73450</v>
      </c>
      <c r="I94" s="534">
        <v>104</v>
      </c>
      <c r="J94" s="534">
        <f t="shared" si="14"/>
        <v>706.25</v>
      </c>
      <c r="K94" s="809">
        <v>14100</v>
      </c>
      <c r="L94" s="666"/>
      <c r="M94" s="189"/>
      <c r="N94" s="774">
        <f t="shared" si="10"/>
        <v>41406</v>
      </c>
      <c r="O94" s="772">
        <v>41409</v>
      </c>
      <c r="P94" s="773" t="s">
        <v>822</v>
      </c>
      <c r="Q94" s="824"/>
      <c r="R94" s="258"/>
      <c r="S94" s="8">
        <f t="shared" si="19"/>
        <v>0</v>
      </c>
      <c r="T94" s="449"/>
      <c r="U94" s="774"/>
      <c r="V94" s="802"/>
      <c r="W94" s="802"/>
      <c r="X94" s="8">
        <f t="shared" si="20"/>
        <v>0</v>
      </c>
    </row>
    <row r="95" spans="1:24">
      <c r="A95" s="798">
        <f t="shared" si="7"/>
        <v>33</v>
      </c>
      <c r="B95" s="297" t="s">
        <v>816</v>
      </c>
      <c r="C95" s="827">
        <f t="shared" si="13"/>
        <v>0</v>
      </c>
      <c r="D95" s="534">
        <f>IF($I$136&lt;&gt;0,D$136/$I$136*$I95,0)</f>
        <v>46892.678196217879</v>
      </c>
      <c r="E95" s="534">
        <f>IF($I$136&lt;&gt;0,E$136/$I$136*$I95,0)</f>
        <v>6369.8256200276564</v>
      </c>
      <c r="F95" s="534">
        <f>IF($I$136&lt;&gt;0,F$136/$I$136*$I95,0)</f>
        <v>26600.937449490866</v>
      </c>
      <c r="G95" s="534">
        <f>IF($I$136&lt;&gt;0,G$136/$I$136*$I95,0)</f>
        <v>69154.858754018278</v>
      </c>
      <c r="H95" s="799">
        <f>ROUND(SUM(C95:G95),0)</f>
        <v>149018</v>
      </c>
      <c r="I95" s="534">
        <v>211</v>
      </c>
      <c r="J95" s="534">
        <f t="shared" si="14"/>
        <v>706.24644549763036</v>
      </c>
      <c r="K95" s="666">
        <v>8800</v>
      </c>
      <c r="L95" s="666"/>
      <c r="M95" s="297"/>
      <c r="N95" s="774">
        <f t="shared" si="10"/>
        <v>41406</v>
      </c>
      <c r="O95" s="772">
        <v>41409</v>
      </c>
      <c r="P95" s="773" t="s">
        <v>822</v>
      </c>
      <c r="Q95" s="305"/>
      <c r="R95" s="256"/>
      <c r="S95" s="8">
        <f t="shared" si="19"/>
        <v>0</v>
      </c>
      <c r="T95" s="449"/>
      <c r="U95" s="774"/>
      <c r="V95" s="802"/>
      <c r="W95" s="802"/>
      <c r="X95" s="8">
        <f t="shared" si="20"/>
        <v>0</v>
      </c>
    </row>
    <row r="96" spans="1:24">
      <c r="A96" s="798">
        <f t="shared" si="7"/>
        <v>34</v>
      </c>
      <c r="B96" s="297" t="s">
        <v>483</v>
      </c>
      <c r="C96" s="827">
        <f t="shared" si="13"/>
        <v>0</v>
      </c>
      <c r="D96" s="534">
        <f>IF($I$136&lt;&gt;0,D$136/$I$136*$I96,0)</f>
        <v>444480.36204945855</v>
      </c>
      <c r="E96" s="534">
        <f>IF($I$136&lt;&gt;0,E$136/$I$136*$I96,0)</f>
        <v>60377.494028698165</v>
      </c>
      <c r="F96" s="534">
        <f>IF($I$136&lt;&gt;0,F$136/$I$136*$I96,0)</f>
        <v>252141.58719896557</v>
      </c>
      <c r="G96" s="534">
        <f>IF($I$136&lt;&gt;0,G$136/$I$136*$I96,0)</f>
        <v>655496.29150728229</v>
      </c>
      <c r="H96" s="799">
        <f>ROUND(SUM(C96:G96),0)</f>
        <v>1412496</v>
      </c>
      <c r="I96" s="534">
        <v>2000</v>
      </c>
      <c r="J96" s="534">
        <f t="shared" si="14"/>
        <v>706.24800000000005</v>
      </c>
      <c r="K96" s="666">
        <v>9000</v>
      </c>
      <c r="L96" s="666"/>
      <c r="M96" s="297"/>
      <c r="N96" s="774">
        <f t="shared" si="10"/>
        <v>41406</v>
      </c>
      <c r="O96" s="772">
        <v>41409</v>
      </c>
      <c r="P96" s="773" t="s">
        <v>823</v>
      </c>
      <c r="Q96" s="824"/>
      <c r="R96" s="258"/>
      <c r="S96" s="8">
        <f t="shared" si="19"/>
        <v>0</v>
      </c>
      <c r="T96" s="449"/>
      <c r="U96" s="774"/>
      <c r="V96" s="802"/>
      <c r="W96" s="802"/>
      <c r="X96" s="8">
        <f t="shared" si="20"/>
        <v>0</v>
      </c>
    </row>
    <row r="97" spans="1:24">
      <c r="A97" s="798">
        <f t="shared" si="7"/>
        <v>35</v>
      </c>
      <c r="B97" s="298" t="s">
        <v>483</v>
      </c>
      <c r="C97" s="827">
        <f t="shared" si="13"/>
        <v>0</v>
      </c>
      <c r="D97" s="534">
        <f>IF($I$136&lt;&gt;0,D$136/$I$136*$I97,0)</f>
        <v>555600.45256182319</v>
      </c>
      <c r="E97" s="534">
        <f>IF($I$136&lt;&gt;0,E$136/$I$136*$I97,0)</f>
        <v>75471.867535872705</v>
      </c>
      <c r="F97" s="534">
        <f>IF($I$136&lt;&gt;0,F$136/$I$136*$I97,0)</f>
        <v>315176.98399870697</v>
      </c>
      <c r="G97" s="534">
        <f>IF($I$136&lt;&gt;0,G$136/$I$136*$I97,0)</f>
        <v>819370.36438410287</v>
      </c>
      <c r="H97" s="799">
        <f>ROUND(SUM(C97:G97),0)</f>
        <v>1765620</v>
      </c>
      <c r="I97" s="534">
        <v>2500</v>
      </c>
      <c r="J97" s="534">
        <f t="shared" si="14"/>
        <v>706.24800000000005</v>
      </c>
      <c r="K97" s="809">
        <v>7000</v>
      </c>
      <c r="L97" s="666"/>
      <c r="M97" s="297"/>
      <c r="N97" s="774">
        <f t="shared" si="10"/>
        <v>41407</v>
      </c>
      <c r="O97" s="772">
        <v>41410</v>
      </c>
      <c r="P97" s="773" t="s">
        <v>825</v>
      </c>
      <c r="Q97" s="824"/>
      <c r="R97" s="258"/>
      <c r="S97" s="8">
        <f t="shared" si="19"/>
        <v>0</v>
      </c>
      <c r="T97" s="449"/>
      <c r="U97" s="774"/>
      <c r="V97" s="802"/>
      <c r="W97" s="802"/>
      <c r="X97" s="8">
        <f t="shared" si="20"/>
        <v>0</v>
      </c>
    </row>
    <row r="98" spans="1:24">
      <c r="A98" s="798">
        <f t="shared" si="7"/>
        <v>36</v>
      </c>
      <c r="B98" s="298" t="s">
        <v>731</v>
      </c>
      <c r="C98" s="827">
        <f t="shared" si="13"/>
        <v>0</v>
      </c>
      <c r="D98" s="534">
        <f>IF($I$136&lt;&gt;0,D$136/$I$136*$I98,0)</f>
        <v>230018.5873605948</v>
      </c>
      <c r="E98" s="534">
        <f>IF($I$136&lt;&gt;0,E$136/$I$136*$I98,0)</f>
        <v>31245.3531598513</v>
      </c>
      <c r="F98" s="534">
        <f>IF($I$136&lt;&gt;0,F$136/$I$136*$I98,0)</f>
        <v>130483.27137546468</v>
      </c>
      <c r="G98" s="534">
        <f>IF($I$136&lt;&gt;0,G$136/$I$136*$I98,0)</f>
        <v>339219.33085501858</v>
      </c>
      <c r="H98" s="799">
        <f>ROUND(SUM(C98:G98),0)</f>
        <v>730967</v>
      </c>
      <c r="I98" s="534">
        <v>1035</v>
      </c>
      <c r="J98" s="534">
        <f t="shared" si="14"/>
        <v>706.24830917874397</v>
      </c>
      <c r="K98" s="809">
        <v>8740</v>
      </c>
      <c r="L98" s="666"/>
      <c r="M98" s="189"/>
      <c r="N98" s="774">
        <f t="shared" si="10"/>
        <v>41407</v>
      </c>
      <c r="O98" s="772">
        <v>41410</v>
      </c>
      <c r="P98" s="773" t="s">
        <v>826</v>
      </c>
      <c r="Q98" s="824"/>
      <c r="R98" s="804"/>
      <c r="S98" s="8">
        <f t="shared" si="19"/>
        <v>0</v>
      </c>
      <c r="T98" s="449"/>
      <c r="U98" s="774"/>
      <c r="V98" s="802"/>
      <c r="W98" s="802"/>
      <c r="X98" s="8">
        <f t="shared" si="20"/>
        <v>0</v>
      </c>
    </row>
    <row r="99" spans="1:24">
      <c r="A99" s="798">
        <f t="shared" si="7"/>
        <v>37</v>
      </c>
      <c r="B99" s="298" t="s">
        <v>827</v>
      </c>
      <c r="C99" s="827">
        <f t="shared" si="13"/>
        <v>0</v>
      </c>
      <c r="D99" s="534">
        <f>IF($I$136&lt;&gt;0,D$136/$I$136*$I99,0)</f>
        <v>122898.8201066753</v>
      </c>
      <c r="E99" s="534">
        <f>IF($I$136&lt;&gt;0,E$136/$I$136*$I99,0)</f>
        <v>16694.377098935041</v>
      </c>
      <c r="F99" s="534">
        <f>IF($I$136&lt;&gt;0,F$136/$I$136*$I99,0)</f>
        <v>69717.148860513975</v>
      </c>
      <c r="G99" s="534">
        <f>IF($I$136&lt;&gt;0,G$136/$I$136*$I99,0)</f>
        <v>181244.72460176356</v>
      </c>
      <c r="H99" s="799">
        <f>ROUND(SUM(C99:G99),0)</f>
        <v>390555</v>
      </c>
      <c r="I99" s="534">
        <v>553</v>
      </c>
      <c r="J99" s="534">
        <f t="shared" si="14"/>
        <v>706.24773960216999</v>
      </c>
      <c r="K99" s="809">
        <v>9170</v>
      </c>
      <c r="L99" s="666"/>
      <c r="M99" s="189"/>
      <c r="N99" s="774">
        <f t="shared" si="10"/>
        <v>41407</v>
      </c>
      <c r="O99" s="772">
        <v>41410</v>
      </c>
      <c r="P99" s="773" t="s">
        <v>828</v>
      </c>
      <c r="Q99" s="305"/>
      <c r="R99" s="258"/>
      <c r="S99" s="8">
        <f t="shared" si="19"/>
        <v>0</v>
      </c>
      <c r="T99" s="449"/>
      <c r="U99" s="774"/>
      <c r="V99" s="802"/>
      <c r="W99" s="802"/>
      <c r="X99" s="8">
        <f t="shared" si="20"/>
        <v>0</v>
      </c>
    </row>
    <row r="100" spans="1:24">
      <c r="A100" s="798">
        <f t="shared" si="7"/>
        <v>38</v>
      </c>
      <c r="B100" s="297" t="s">
        <v>814</v>
      </c>
      <c r="C100" s="827">
        <f t="shared" si="13"/>
        <v>0</v>
      </c>
      <c r="D100" s="534">
        <f>IF($I$136&lt;&gt;0,D$136/$I$136*$I100,0)</f>
        <v>66005.333764344599</v>
      </c>
      <c r="E100" s="534">
        <f>IF($I$136&lt;&gt;0,E$136/$I$136*$I100,0)</f>
        <v>8966.057863261678</v>
      </c>
      <c r="F100" s="534">
        <f>IF($I$136&lt;&gt;0,F$136/$I$136*$I100,0)</f>
        <v>37443.025699046389</v>
      </c>
      <c r="G100" s="534">
        <f>IF($I$136&lt;&gt;0,G$136/$I$136*$I100,0)</f>
        <v>97341.199288831427</v>
      </c>
      <c r="H100" s="799">
        <f>ROUND(SUM(C100:G100),0)</f>
        <v>209756</v>
      </c>
      <c r="I100" s="534">
        <v>297</v>
      </c>
      <c r="J100" s="534">
        <f t="shared" si="14"/>
        <v>706.2491582491582</v>
      </c>
      <c r="K100" s="666">
        <v>9350</v>
      </c>
      <c r="L100" s="666"/>
      <c r="M100" s="297"/>
      <c r="N100" s="774">
        <f t="shared" si="10"/>
        <v>41408</v>
      </c>
      <c r="O100" s="772">
        <v>41411</v>
      </c>
      <c r="P100" s="773" t="s">
        <v>830</v>
      </c>
      <c r="Q100" s="305"/>
      <c r="R100" s="256"/>
      <c r="S100" s="8">
        <f t="shared" si="19"/>
        <v>0</v>
      </c>
      <c r="T100" s="449"/>
      <c r="U100" s="774"/>
      <c r="V100" s="802"/>
      <c r="W100" s="802"/>
      <c r="X100" s="8">
        <f t="shared" ref="X100:X131" si="21">V100*W100</f>
        <v>0</v>
      </c>
    </row>
    <row r="101" spans="1:24">
      <c r="A101" s="798">
        <f t="shared" si="7"/>
        <v>39</v>
      </c>
      <c r="B101" s="297" t="s">
        <v>831</v>
      </c>
      <c r="C101" s="827">
        <f t="shared" si="13"/>
        <v>0</v>
      </c>
      <c r="D101" s="534">
        <f>IF($I$136&lt;&gt;0,D$136/$I$136*$I101,0)</f>
        <v>67338.774850492977</v>
      </c>
      <c r="E101" s="534">
        <f>IF($I$136&lt;&gt;0,E$136/$I$136*$I101,0)</f>
        <v>9147.1903453477717</v>
      </c>
      <c r="F101" s="534">
        <f>IF($I$136&lt;&gt;0,F$136/$I$136*$I101,0)</f>
        <v>38199.450460643282</v>
      </c>
      <c r="G101" s="534">
        <f>IF($I$136&lt;&gt;0,G$136/$I$136*$I101,0)</f>
        <v>99307.688163353276</v>
      </c>
      <c r="H101" s="799">
        <f>ROUND(SUM(C101:G101),0)</f>
        <v>213993</v>
      </c>
      <c r="I101" s="534">
        <v>303</v>
      </c>
      <c r="J101" s="534">
        <f t="shared" si="14"/>
        <v>706.24752475247521</v>
      </c>
      <c r="K101" s="666">
        <v>5210</v>
      </c>
      <c r="L101" s="666"/>
      <c r="M101" s="189"/>
      <c r="N101" s="774">
        <f t="shared" si="10"/>
        <v>41412</v>
      </c>
      <c r="O101" s="772">
        <v>41415</v>
      </c>
      <c r="P101" s="773" t="s">
        <v>832</v>
      </c>
      <c r="Q101" s="305"/>
      <c r="R101" s="256"/>
      <c r="S101" s="8">
        <f t="shared" si="19"/>
        <v>0</v>
      </c>
      <c r="T101" s="449"/>
      <c r="U101" s="774"/>
      <c r="V101" s="802"/>
      <c r="W101" s="802"/>
      <c r="X101" s="8">
        <f t="shared" si="21"/>
        <v>0</v>
      </c>
    </row>
    <row r="102" spans="1:24">
      <c r="A102" s="798">
        <f t="shared" si="7"/>
        <v>40</v>
      </c>
      <c r="B102" s="297" t="s">
        <v>833</v>
      </c>
      <c r="C102" s="827">
        <f t="shared" si="13"/>
        <v>0</v>
      </c>
      <c r="D102" s="534">
        <f>IF($I$136&lt;&gt;0,D$136/$I$136*$I102,0)</f>
        <v>46448.197834168423</v>
      </c>
      <c r="E102" s="534">
        <f>IF($I$136&lt;&gt;0,E$136/$I$136*$I102,0)</f>
        <v>6309.4481259989579</v>
      </c>
      <c r="F102" s="534">
        <f>IF($I$136&lt;&gt;0,F$136/$I$136*$I102,0)</f>
        <v>26348.795862291903</v>
      </c>
      <c r="G102" s="534">
        <f>IF($I$136&lt;&gt;0,G$136/$I$136*$I102,0)</f>
        <v>68499.362462510995</v>
      </c>
      <c r="H102" s="799">
        <f>ROUND(SUM(C102:G102),0)</f>
        <v>147606</v>
      </c>
      <c r="I102" s="534">
        <v>209</v>
      </c>
      <c r="J102" s="534">
        <f t="shared" si="14"/>
        <v>706.2488038277512</v>
      </c>
      <c r="K102" s="666">
        <v>2117</v>
      </c>
      <c r="L102" s="666"/>
      <c r="M102" s="189"/>
      <c r="N102" s="774">
        <f t="shared" si="10"/>
        <v>41412</v>
      </c>
      <c r="O102" s="772">
        <v>41415</v>
      </c>
      <c r="P102" s="773" t="s">
        <v>832</v>
      </c>
      <c r="Q102" s="305"/>
      <c r="R102" s="256"/>
      <c r="S102" s="8">
        <f t="shared" si="19"/>
        <v>0</v>
      </c>
      <c r="T102" s="449"/>
      <c r="U102" s="774"/>
      <c r="V102" s="802"/>
      <c r="W102" s="802"/>
      <c r="X102" s="8">
        <f t="shared" si="21"/>
        <v>0</v>
      </c>
    </row>
    <row r="103" spans="1:24">
      <c r="A103" s="798">
        <f t="shared" si="7"/>
        <v>41</v>
      </c>
      <c r="B103" s="297" t="s">
        <v>834</v>
      </c>
      <c r="C103" s="827">
        <f t="shared" si="13"/>
        <v>0</v>
      </c>
      <c r="D103" s="534">
        <f>IF($I$136&lt;&gt;0,D$136/$I$136*$I103,0)</f>
        <v>67783.255212542426</v>
      </c>
      <c r="E103" s="534">
        <f>IF($I$136&lt;&gt;0,E$136/$I$136*$I103,0)</f>
        <v>9207.5678393764701</v>
      </c>
      <c r="F103" s="534">
        <f>IF($I$136&lt;&gt;0,F$136/$I$136*$I103,0)</f>
        <v>38451.592047842249</v>
      </c>
      <c r="G103" s="534">
        <f>IF($I$136&lt;&gt;0,G$136/$I$136*$I103,0)</f>
        <v>99963.184454860559</v>
      </c>
      <c r="H103" s="799">
        <f>ROUND(SUM(C103:G103),0)</f>
        <v>215406</v>
      </c>
      <c r="I103" s="534">
        <v>305</v>
      </c>
      <c r="J103" s="534">
        <f t="shared" si="14"/>
        <v>706.24918032786888</v>
      </c>
      <c r="K103" s="666">
        <v>2191</v>
      </c>
      <c r="L103" s="666"/>
      <c r="M103" s="189"/>
      <c r="N103" s="774">
        <f t="shared" si="10"/>
        <v>41412</v>
      </c>
      <c r="O103" s="772">
        <v>41415</v>
      </c>
      <c r="P103" s="773" t="s">
        <v>832</v>
      </c>
      <c r="Q103" s="305"/>
      <c r="R103" s="256"/>
      <c r="S103" s="8">
        <f t="shared" si="19"/>
        <v>0</v>
      </c>
      <c r="T103" s="449"/>
      <c r="U103" s="774"/>
      <c r="V103" s="802"/>
      <c r="W103" s="802"/>
      <c r="X103" s="8">
        <f t="shared" si="21"/>
        <v>0</v>
      </c>
    </row>
    <row r="104" spans="1:24">
      <c r="A104" s="798">
        <f t="shared" si="7"/>
        <v>42</v>
      </c>
      <c r="B104" s="297" t="s">
        <v>835</v>
      </c>
      <c r="C104" s="827">
        <f t="shared" si="13"/>
        <v>0</v>
      </c>
      <c r="D104" s="534">
        <f>IF($I$136&lt;&gt;0,D$136/$I$136*$I104,0)</f>
        <v>67338.774850492977</v>
      </c>
      <c r="E104" s="534">
        <f>IF($I$136&lt;&gt;0,E$136/$I$136*$I104,0)</f>
        <v>9147.1903453477717</v>
      </c>
      <c r="F104" s="534">
        <f>IF($I$136&lt;&gt;0,F$136/$I$136*$I104,0)</f>
        <v>38199.450460643282</v>
      </c>
      <c r="G104" s="534">
        <f>IF($I$136&lt;&gt;0,G$136/$I$136*$I104,0)</f>
        <v>99307.688163353276</v>
      </c>
      <c r="H104" s="799">
        <f>ROUND(SUM(C104:G104),0)</f>
        <v>213993</v>
      </c>
      <c r="I104" s="534">
        <v>303</v>
      </c>
      <c r="J104" s="534">
        <f t="shared" si="14"/>
        <v>706.24752475247521</v>
      </c>
      <c r="K104" s="666">
        <v>4865</v>
      </c>
      <c r="L104" s="666"/>
      <c r="M104" s="189"/>
      <c r="N104" s="774">
        <f t="shared" si="10"/>
        <v>41412</v>
      </c>
      <c r="O104" s="772">
        <v>41415</v>
      </c>
      <c r="P104" s="773" t="s">
        <v>832</v>
      </c>
      <c r="Q104" s="305"/>
      <c r="R104" s="256"/>
      <c r="S104" s="8">
        <f t="shared" si="19"/>
        <v>0</v>
      </c>
      <c r="T104" s="449"/>
      <c r="U104" s="774"/>
      <c r="V104" s="802"/>
      <c r="W104" s="802"/>
      <c r="X104" s="8">
        <f t="shared" si="21"/>
        <v>0</v>
      </c>
    </row>
    <row r="105" spans="1:24">
      <c r="A105" s="798">
        <f t="shared" si="7"/>
        <v>43</v>
      </c>
      <c r="B105" s="297" t="s">
        <v>1157</v>
      </c>
      <c r="C105" s="827">
        <f t="shared" si="13"/>
        <v>0</v>
      </c>
      <c r="D105" s="534">
        <f>IF($I$136&lt;&gt;0,D$136/$I$136*$I105,0)</f>
        <v>60004.848876676908</v>
      </c>
      <c r="E105" s="534">
        <f>IF($I$136&lt;&gt;0,E$136/$I$136*$I105,0)</f>
        <v>8150.961693874252</v>
      </c>
      <c r="F105" s="534">
        <f>IF($I$136&lt;&gt;0,F$136/$I$136*$I105,0)</f>
        <v>34039.114271860351</v>
      </c>
      <c r="G105" s="534">
        <f>IF($I$136&lt;&gt;0,G$136/$I$136*$I105,0)</f>
        <v>88491.999353483116</v>
      </c>
      <c r="H105" s="799">
        <f>ROUND(SUM(C105:G105),0)</f>
        <v>190687</v>
      </c>
      <c r="I105" s="534">
        <v>270</v>
      </c>
      <c r="J105" s="534">
        <f t="shared" si="14"/>
        <v>706.24814814814818</v>
      </c>
      <c r="K105" s="666">
        <v>7337</v>
      </c>
      <c r="L105" s="666"/>
      <c r="M105" s="189"/>
      <c r="N105" s="774">
        <f t="shared" si="10"/>
        <v>41412</v>
      </c>
      <c r="O105" s="772">
        <v>41415</v>
      </c>
      <c r="P105" s="773" t="s">
        <v>832</v>
      </c>
      <c r="Q105" s="305"/>
      <c r="R105" s="256"/>
      <c r="S105" s="8">
        <f t="shared" si="19"/>
        <v>0</v>
      </c>
      <c r="T105" s="449"/>
      <c r="U105" s="774"/>
      <c r="V105" s="802"/>
      <c r="W105" s="802"/>
      <c r="X105" s="8">
        <f t="shared" si="21"/>
        <v>0</v>
      </c>
    </row>
    <row r="106" spans="1:24">
      <c r="A106" s="798">
        <f t="shared" si="7"/>
        <v>44</v>
      </c>
      <c r="B106" s="297" t="s">
        <v>1143</v>
      </c>
      <c r="C106" s="827">
        <f t="shared" si="13"/>
        <v>0</v>
      </c>
      <c r="D106" s="534">
        <f>IF($I$136&lt;&gt;0,D$136/$I$136*$I106,0)</f>
        <v>229796.34717957009</v>
      </c>
      <c r="E106" s="534">
        <f>IF($I$136&lt;&gt;0,E$136/$I$136*$I106,0)</f>
        <v>31215.164412836952</v>
      </c>
      <c r="F106" s="534">
        <f>IF($I$136&lt;&gt;0,F$136/$I$136*$I106,0)</f>
        <v>130357.2005818652</v>
      </c>
      <c r="G106" s="534">
        <f>IF($I$136&lt;&gt;0,G$136/$I$136*$I106,0)</f>
        <v>338891.58270926494</v>
      </c>
      <c r="H106" s="799">
        <f>ROUND(SUM(C106:G106),0)</f>
        <v>730260</v>
      </c>
      <c r="I106" s="534">
        <v>1034</v>
      </c>
      <c r="J106" s="534">
        <f t="shared" si="14"/>
        <v>706.24758220502906</v>
      </c>
      <c r="K106" s="666">
        <v>6000</v>
      </c>
      <c r="L106" s="666"/>
      <c r="M106" s="189"/>
      <c r="N106" s="774">
        <f t="shared" si="10"/>
        <v>41415</v>
      </c>
      <c r="O106" s="772">
        <v>41418</v>
      </c>
      <c r="P106" s="773" t="s">
        <v>836</v>
      </c>
      <c r="Q106" s="305"/>
      <c r="R106" s="256"/>
      <c r="S106" s="8">
        <f t="shared" si="19"/>
        <v>0</v>
      </c>
      <c r="T106" s="449"/>
      <c r="U106" s="774"/>
      <c r="V106" s="802"/>
      <c r="W106" s="802"/>
      <c r="X106" s="8">
        <f t="shared" si="21"/>
        <v>0</v>
      </c>
    </row>
    <row r="107" spans="1:24">
      <c r="A107" s="798">
        <f t="shared" si="7"/>
        <v>45</v>
      </c>
      <c r="B107" s="297" t="s">
        <v>1141</v>
      </c>
      <c r="C107" s="827">
        <f t="shared" si="13"/>
        <v>0</v>
      </c>
      <c r="D107" s="534">
        <f>IF($I$136&lt;&gt;0,D$136/$I$136*$I107,0)</f>
        <v>65783.09358331986</v>
      </c>
      <c r="E107" s="534">
        <f>IF($I$136&lt;&gt;0,E$136/$I$136*$I107,0)</f>
        <v>8935.8691162473278</v>
      </c>
      <c r="F107" s="534">
        <f>IF($I$136&lt;&gt;0,F$136/$I$136*$I107,0)</f>
        <v>37316.954905446903</v>
      </c>
      <c r="G107" s="534">
        <f>IF($I$136&lt;&gt;0,G$136/$I$136*$I107,0)</f>
        <v>97013.451143077778</v>
      </c>
      <c r="H107" s="799">
        <f>ROUND(SUM(C107:G107),0)</f>
        <v>209049</v>
      </c>
      <c r="I107" s="534">
        <v>296</v>
      </c>
      <c r="J107" s="534">
        <f t="shared" si="14"/>
        <v>706.24662162162167</v>
      </c>
      <c r="K107" s="666">
        <v>15100</v>
      </c>
      <c r="L107" s="666"/>
      <c r="M107" s="297"/>
      <c r="N107" s="774">
        <f t="shared" si="10"/>
        <v>41426</v>
      </c>
      <c r="O107" s="772">
        <v>41429</v>
      </c>
      <c r="P107" s="773" t="s">
        <v>837</v>
      </c>
      <c r="Q107" s="305"/>
      <c r="R107" s="258"/>
      <c r="S107" s="8">
        <f t="shared" ref="S107:S131" si="22">Q107*R107</f>
        <v>0</v>
      </c>
      <c r="T107" s="449"/>
      <c r="U107" s="774"/>
      <c r="V107" s="802"/>
      <c r="W107" s="802"/>
      <c r="X107" s="8">
        <f t="shared" si="21"/>
        <v>0</v>
      </c>
    </row>
    <row r="108" spans="1:24">
      <c r="A108" s="798">
        <f t="shared" si="7"/>
        <v>46</v>
      </c>
      <c r="B108" s="297" t="s">
        <v>838</v>
      </c>
      <c r="C108" s="827">
        <f t="shared" si="13"/>
        <v>0</v>
      </c>
      <c r="D108" s="534">
        <f>IF($I$136&lt;&gt;0,D$136/$I$136*$I108,0)</f>
        <v>188237.43332794571</v>
      </c>
      <c r="E108" s="534">
        <f>IF($I$136&lt;&gt;0,E$136/$I$136*$I108,0)</f>
        <v>25569.868721153674</v>
      </c>
      <c r="F108" s="534">
        <f>IF($I$136&lt;&gt;0,F$136/$I$136*$I108,0)</f>
        <v>106781.96217876191</v>
      </c>
      <c r="G108" s="534">
        <f>IF($I$136&lt;&gt;0,G$136/$I$136*$I108,0)</f>
        <v>277602.67945333407</v>
      </c>
      <c r="H108" s="799">
        <f>ROUND(SUM(C108:G108),0)</f>
        <v>598192</v>
      </c>
      <c r="I108" s="534">
        <v>847</v>
      </c>
      <c r="J108" s="534">
        <f t="shared" si="14"/>
        <v>706.24793388429748</v>
      </c>
      <c r="K108" s="666">
        <v>10500</v>
      </c>
      <c r="L108" s="666"/>
      <c r="M108" s="189"/>
      <c r="N108" s="774">
        <f t="shared" si="10"/>
        <v>41426</v>
      </c>
      <c r="O108" s="772">
        <v>41429</v>
      </c>
      <c r="P108" s="773" t="s">
        <v>839</v>
      </c>
      <c r="Q108" s="305"/>
      <c r="R108" s="256"/>
      <c r="S108" s="8">
        <f t="shared" si="22"/>
        <v>0</v>
      </c>
      <c r="T108" s="449"/>
      <c r="U108" s="774"/>
      <c r="V108" s="802"/>
      <c r="W108" s="802"/>
      <c r="X108" s="8">
        <f t="shared" si="21"/>
        <v>0</v>
      </c>
    </row>
    <row r="109" spans="1:24">
      <c r="A109" s="798">
        <f t="shared" si="7"/>
        <v>47</v>
      </c>
      <c r="B109" s="297" t="s">
        <v>840</v>
      </c>
      <c r="C109" s="827">
        <f t="shared" si="13"/>
        <v>0</v>
      </c>
      <c r="D109" s="534">
        <f>IF($I$136&lt;&gt;0,D$136/$I$136*$I109,0)</f>
        <v>533154.19427832554</v>
      </c>
      <c r="E109" s="534">
        <f>IF($I$136&lt;&gt;0,E$136/$I$136*$I109,0)</f>
        <v>72422.804087423443</v>
      </c>
      <c r="F109" s="534">
        <f>IF($I$136&lt;&gt;0,F$136/$I$136*$I109,0)</f>
        <v>302443.83384515921</v>
      </c>
      <c r="G109" s="534">
        <f>IF($I$136&lt;&gt;0,G$136/$I$136*$I109,0)</f>
        <v>786267.80166298512</v>
      </c>
      <c r="H109" s="799">
        <f>ROUND(SUM(C109:G109),0)</f>
        <v>1694289</v>
      </c>
      <c r="I109" s="534">
        <v>2399</v>
      </c>
      <c r="J109" s="534">
        <f t="shared" si="14"/>
        <v>706.24802000833677</v>
      </c>
      <c r="K109" s="666">
        <v>6700</v>
      </c>
      <c r="L109" s="666"/>
      <c r="M109" s="297"/>
      <c r="N109" s="774">
        <f t="shared" si="10"/>
        <v>41427</v>
      </c>
      <c r="O109" s="772">
        <v>41430</v>
      </c>
      <c r="P109" s="773" t="s">
        <v>841</v>
      </c>
      <c r="Q109" s="824"/>
      <c r="R109" s="256"/>
      <c r="S109" s="8">
        <f t="shared" si="22"/>
        <v>0</v>
      </c>
      <c r="T109" s="449"/>
      <c r="U109" s="774"/>
      <c r="V109" s="802"/>
      <c r="W109" s="802"/>
      <c r="X109" s="8">
        <f t="shared" si="21"/>
        <v>0</v>
      </c>
    </row>
    <row r="110" spans="1:24">
      <c r="A110" s="798">
        <f t="shared" si="7"/>
        <v>48</v>
      </c>
      <c r="B110" s="297" t="s">
        <v>840</v>
      </c>
      <c r="C110" s="827">
        <f t="shared" si="13"/>
        <v>0</v>
      </c>
      <c r="D110" s="534">
        <f>IF($I$136&lt;&gt;0,D$136/$I$136*$I110,0)</f>
        <v>564934.54016486183</v>
      </c>
      <c r="E110" s="534">
        <f>IF($I$136&lt;&gt;0,E$136/$I$136*$I110,0)</f>
        <v>76739.794910475364</v>
      </c>
      <c r="F110" s="534">
        <f>IF($I$136&lt;&gt;0,F$136/$I$136*$I110,0)</f>
        <v>320471.95732988522</v>
      </c>
      <c r="G110" s="534">
        <f>IF($I$136&lt;&gt;0,G$136/$I$136*$I110,0)</f>
        <v>833135.78650575585</v>
      </c>
      <c r="H110" s="799">
        <f>ROUND(SUM(C110:G110),0)</f>
        <v>1795282</v>
      </c>
      <c r="I110" s="534">
        <v>2542</v>
      </c>
      <c r="J110" s="534">
        <f t="shared" si="14"/>
        <v>706.24783634933124</v>
      </c>
      <c r="K110" s="666">
        <v>7200</v>
      </c>
      <c r="L110" s="666"/>
      <c r="M110" s="189"/>
      <c r="N110" s="774">
        <f t="shared" si="10"/>
        <v>41427</v>
      </c>
      <c r="O110" s="772">
        <v>41430</v>
      </c>
      <c r="P110" s="773" t="s">
        <v>841</v>
      </c>
      <c r="Q110" s="305"/>
      <c r="R110" s="258"/>
      <c r="S110" s="8">
        <f t="shared" si="22"/>
        <v>0</v>
      </c>
      <c r="T110" s="449"/>
      <c r="U110" s="774"/>
      <c r="V110" s="802"/>
      <c r="W110" s="802"/>
      <c r="X110" s="8">
        <f t="shared" si="21"/>
        <v>0</v>
      </c>
    </row>
    <row r="111" spans="1:24">
      <c r="A111" s="798">
        <f t="shared" si="7"/>
        <v>49</v>
      </c>
      <c r="B111" s="297" t="s">
        <v>1130</v>
      </c>
      <c r="C111" s="827">
        <f t="shared" si="13"/>
        <v>0</v>
      </c>
      <c r="D111" s="534">
        <f>IF($I$136&lt;&gt;0,D$136/$I$136*$I111,0)</f>
        <v>23557.459188621302</v>
      </c>
      <c r="E111" s="534">
        <f>IF($I$136&lt;&gt;0,E$136/$I$136*$I111,0)</f>
        <v>3200.0071835210028</v>
      </c>
      <c r="F111" s="534">
        <f>IF($I$136&lt;&gt;0,F$136/$I$136*$I111,0)</f>
        <v>13363.504121545175</v>
      </c>
      <c r="G111" s="534">
        <f>IF($I$136&lt;&gt;0,G$136/$I$136*$I111,0)</f>
        <v>34741.303449885963</v>
      </c>
      <c r="H111" s="799">
        <f>ROUND(SUM(C111:G111),0)</f>
        <v>74862</v>
      </c>
      <c r="I111" s="534">
        <v>106</v>
      </c>
      <c r="J111" s="534">
        <f t="shared" si="14"/>
        <v>706.24528301886789</v>
      </c>
      <c r="K111" s="666">
        <v>14100</v>
      </c>
      <c r="L111" s="666"/>
      <c r="M111" s="189"/>
      <c r="N111" s="774">
        <f t="shared" si="10"/>
        <v>41429</v>
      </c>
      <c r="O111" s="772">
        <v>41432</v>
      </c>
      <c r="P111" s="773" t="s">
        <v>842</v>
      </c>
      <c r="Q111" s="305"/>
      <c r="R111" s="256"/>
      <c r="S111" s="8">
        <f t="shared" si="22"/>
        <v>0</v>
      </c>
      <c r="T111" s="449"/>
      <c r="U111" s="774"/>
      <c r="V111" s="802"/>
      <c r="W111" s="802"/>
      <c r="X111" s="8">
        <f t="shared" si="21"/>
        <v>0</v>
      </c>
    </row>
    <row r="112" spans="1:24">
      <c r="A112" s="798">
        <f t="shared" si="7"/>
        <v>50</v>
      </c>
      <c r="B112" s="297" t="s">
        <v>1133</v>
      </c>
      <c r="C112" s="827">
        <f t="shared" si="13"/>
        <v>0</v>
      </c>
      <c r="D112" s="534">
        <f>IF($I$136&lt;&gt;0,D$136/$I$136*$I112,0)</f>
        <v>43781.315661871668</v>
      </c>
      <c r="E112" s="534">
        <f>IF($I$136&lt;&gt;0,E$136/$I$136*$I112,0)</f>
        <v>5947.1831618267697</v>
      </c>
      <c r="F112" s="534">
        <f>IF($I$136&lt;&gt;0,F$136/$I$136*$I112,0)</f>
        <v>24835.946339098107</v>
      </c>
      <c r="G112" s="534">
        <f>IF($I$136&lt;&gt;0,G$136/$I$136*$I112,0)</f>
        <v>64566.384713467305</v>
      </c>
      <c r="H112" s="799">
        <f>ROUND(SUM(C112:G112),0)</f>
        <v>139131</v>
      </c>
      <c r="I112" s="534">
        <v>197</v>
      </c>
      <c r="J112" s="534">
        <f t="shared" si="14"/>
        <v>706.24873096446697</v>
      </c>
      <c r="K112" s="666">
        <v>9950</v>
      </c>
      <c r="L112" s="666"/>
      <c r="M112" s="189"/>
      <c r="N112" s="774">
        <f t="shared" si="10"/>
        <v>41429</v>
      </c>
      <c r="O112" s="772">
        <v>41432</v>
      </c>
      <c r="P112" s="773" t="s">
        <v>842</v>
      </c>
      <c r="Q112" s="305"/>
      <c r="R112" s="256"/>
      <c r="S112" s="8">
        <f t="shared" si="22"/>
        <v>0</v>
      </c>
      <c r="T112" s="449"/>
      <c r="U112" s="774"/>
      <c r="V112" s="802"/>
      <c r="W112" s="802"/>
      <c r="X112" s="8">
        <f t="shared" si="21"/>
        <v>0</v>
      </c>
    </row>
    <row r="113" spans="1:24">
      <c r="A113" s="798">
        <f t="shared" si="7"/>
        <v>51</v>
      </c>
      <c r="B113" s="297" t="s">
        <v>843</v>
      </c>
      <c r="C113" s="827">
        <f t="shared" si="13"/>
        <v>0</v>
      </c>
      <c r="D113" s="534">
        <f>IF($I$136&lt;&gt;0,D$136/$I$136*$I113,0)</f>
        <v>23112.978826571845</v>
      </c>
      <c r="E113" s="534">
        <f>IF($I$136&lt;&gt;0,E$136/$I$136*$I113,0)</f>
        <v>3139.6296894923048</v>
      </c>
      <c r="F113" s="534">
        <f>IF($I$136&lt;&gt;0,F$136/$I$136*$I113,0)</f>
        <v>13111.36253434621</v>
      </c>
      <c r="G113" s="534">
        <f>IF($I$136&lt;&gt;0,G$136/$I$136*$I113,0)</f>
        <v>34085.80715837868</v>
      </c>
      <c r="H113" s="799">
        <f>ROUND(SUM(C113:G113),0)</f>
        <v>73450</v>
      </c>
      <c r="I113" s="534">
        <v>104</v>
      </c>
      <c r="J113" s="534">
        <f t="shared" si="14"/>
        <v>706.25</v>
      </c>
      <c r="K113" s="666">
        <v>12300</v>
      </c>
      <c r="L113" s="666"/>
      <c r="M113" s="189"/>
      <c r="N113" s="774">
        <f t="shared" si="10"/>
        <v>41429</v>
      </c>
      <c r="O113" s="772">
        <v>41432</v>
      </c>
      <c r="P113" s="773" t="s">
        <v>842</v>
      </c>
      <c r="Q113" s="305"/>
      <c r="R113" s="804"/>
      <c r="S113" s="8">
        <f t="shared" si="22"/>
        <v>0</v>
      </c>
      <c r="T113" s="449"/>
      <c r="U113" s="774"/>
      <c r="V113" s="802"/>
      <c r="W113" s="802"/>
      <c r="X113" s="8">
        <f t="shared" si="21"/>
        <v>0</v>
      </c>
    </row>
    <row r="114" spans="1:24">
      <c r="A114" s="798">
        <f t="shared" si="7"/>
        <v>52</v>
      </c>
      <c r="B114" s="297" t="s">
        <v>844</v>
      </c>
      <c r="C114" s="827">
        <f t="shared" si="13"/>
        <v>0</v>
      </c>
      <c r="D114" s="534">
        <f>IF($I$136&lt;&gt;0,D$136/$I$136*$I114,0)</f>
        <v>31335.865524486828</v>
      </c>
      <c r="E114" s="534">
        <f>IF($I$136&lt;&gt;0,E$136/$I$136*$I114,0)</f>
        <v>4256.613329023221</v>
      </c>
      <c r="F114" s="534">
        <f>IF($I$136&lt;&gt;0,F$136/$I$136*$I114,0)</f>
        <v>17775.981897527072</v>
      </c>
      <c r="G114" s="534">
        <f>IF($I$136&lt;&gt;0,G$136/$I$136*$I114,0)</f>
        <v>46212.488551263399</v>
      </c>
      <c r="H114" s="799">
        <f>ROUND(SUM(C114:G114),0)</f>
        <v>99581</v>
      </c>
      <c r="I114" s="534">
        <v>141</v>
      </c>
      <c r="J114" s="534">
        <f t="shared" si="14"/>
        <v>706.24822695035459</v>
      </c>
      <c r="K114" s="666">
        <v>11000</v>
      </c>
      <c r="L114" s="666"/>
      <c r="M114" s="189"/>
      <c r="N114" s="774">
        <f t="shared" si="10"/>
        <v>41429</v>
      </c>
      <c r="O114" s="772">
        <v>41432</v>
      </c>
      <c r="P114" s="773" t="s">
        <v>842</v>
      </c>
      <c r="Q114" s="305"/>
      <c r="R114" s="804"/>
      <c r="S114" s="8">
        <f t="shared" si="22"/>
        <v>0</v>
      </c>
      <c r="T114" s="449"/>
      <c r="U114" s="774"/>
      <c r="V114" s="802"/>
      <c r="W114" s="802"/>
      <c r="X114" s="8">
        <f t="shared" si="21"/>
        <v>0</v>
      </c>
    </row>
    <row r="115" spans="1:24">
      <c r="A115" s="798">
        <f t="shared" si="7"/>
        <v>53</v>
      </c>
      <c r="B115" s="297" t="s">
        <v>1148</v>
      </c>
      <c r="C115" s="827">
        <f t="shared" si="13"/>
        <v>0</v>
      </c>
      <c r="D115" s="534">
        <f>IF($I$136&lt;&gt;0,D$136/$I$136*$I115,0)</f>
        <v>67783.255212542426</v>
      </c>
      <c r="E115" s="534">
        <f>IF($I$136&lt;&gt;0,E$136/$I$136*$I115,0)</f>
        <v>9207.5678393764701</v>
      </c>
      <c r="F115" s="534">
        <f>IF($I$136&lt;&gt;0,F$136/$I$136*$I115,0)</f>
        <v>38451.592047842249</v>
      </c>
      <c r="G115" s="534">
        <f>IF($I$136&lt;&gt;0,G$136/$I$136*$I115,0)</f>
        <v>99963.184454860559</v>
      </c>
      <c r="H115" s="799">
        <f>ROUND(SUM(C115:G115),0)</f>
        <v>215406</v>
      </c>
      <c r="I115" s="534">
        <v>305</v>
      </c>
      <c r="J115" s="534">
        <f t="shared" si="14"/>
        <v>706.24918032786888</v>
      </c>
      <c r="K115" s="666">
        <v>5711</v>
      </c>
      <c r="L115" s="666"/>
      <c r="M115" s="189"/>
      <c r="N115" s="774">
        <f t="shared" si="10"/>
        <v>41429</v>
      </c>
      <c r="O115" s="772">
        <v>41432</v>
      </c>
      <c r="P115" s="773" t="s">
        <v>845</v>
      </c>
      <c r="Q115" s="305"/>
      <c r="R115" s="804"/>
      <c r="S115" s="8">
        <f t="shared" si="22"/>
        <v>0</v>
      </c>
      <c r="T115" s="449"/>
      <c r="U115" s="774"/>
      <c r="V115" s="802"/>
      <c r="W115" s="802"/>
      <c r="X115" s="8">
        <f t="shared" si="21"/>
        <v>0</v>
      </c>
    </row>
    <row r="116" spans="1:24">
      <c r="A116" s="798">
        <f t="shared" si="7"/>
        <v>54</v>
      </c>
      <c r="B116" s="297" t="s">
        <v>810</v>
      </c>
      <c r="C116" s="827">
        <f t="shared" si="13"/>
        <v>0</v>
      </c>
      <c r="D116" s="534">
        <f>IF($I$136&lt;&gt;0,D$136/$I$136*$I116,0)</f>
        <v>70672.377565863906</v>
      </c>
      <c r="E116" s="534">
        <f>IF($I$136&lt;&gt;0,E$136/$I$136*$I116,0)</f>
        <v>9600.0215505630076</v>
      </c>
      <c r="F116" s="534">
        <f>IF($I$136&lt;&gt;0,F$136/$I$136*$I116,0)</f>
        <v>40090.512364635528</v>
      </c>
      <c r="G116" s="534">
        <f>IF($I$136&lt;&gt;0,G$136/$I$136*$I116,0)</f>
        <v>104223.91034965789</v>
      </c>
      <c r="H116" s="799">
        <f>ROUND(SUM(C116:G116),0)</f>
        <v>224587</v>
      </c>
      <c r="I116" s="534">
        <v>318</v>
      </c>
      <c r="J116" s="534">
        <f t="shared" si="14"/>
        <v>706.24842767295593</v>
      </c>
      <c r="K116" s="666">
        <v>6665</v>
      </c>
      <c r="L116" s="666"/>
      <c r="M116" s="189"/>
      <c r="N116" s="774">
        <f t="shared" si="10"/>
        <v>41429</v>
      </c>
      <c r="O116" s="772">
        <v>41432</v>
      </c>
      <c r="P116" s="773" t="s">
        <v>845</v>
      </c>
      <c r="Q116" s="305"/>
      <c r="R116" s="256"/>
      <c r="S116" s="8">
        <f t="shared" si="22"/>
        <v>0</v>
      </c>
      <c r="T116" s="449"/>
      <c r="U116" s="774"/>
      <c r="V116" s="802"/>
      <c r="W116" s="802"/>
      <c r="X116" s="8">
        <f t="shared" si="21"/>
        <v>0</v>
      </c>
    </row>
    <row r="117" spans="1:24">
      <c r="A117" s="798">
        <f t="shared" si="7"/>
        <v>55</v>
      </c>
      <c r="B117" s="297" t="s">
        <v>846</v>
      </c>
      <c r="C117" s="827">
        <f t="shared" si="13"/>
        <v>0</v>
      </c>
      <c r="D117" s="534">
        <f>IF($I$136&lt;&gt;0,D$136/$I$136*$I117,0)</f>
        <v>65783.09358331986</v>
      </c>
      <c r="E117" s="534">
        <f>IF($I$136&lt;&gt;0,E$136/$I$136*$I117,0)</f>
        <v>8935.8691162473278</v>
      </c>
      <c r="F117" s="534">
        <f>IF($I$136&lt;&gt;0,F$136/$I$136*$I117,0)</f>
        <v>37316.954905446903</v>
      </c>
      <c r="G117" s="534">
        <f>IF($I$136&lt;&gt;0,G$136/$I$136*$I117,0)</f>
        <v>97013.451143077778</v>
      </c>
      <c r="H117" s="799">
        <f>ROUND(SUM(C117:G117),0)</f>
        <v>209049</v>
      </c>
      <c r="I117" s="534">
        <v>296</v>
      </c>
      <c r="J117" s="534">
        <f t="shared" si="14"/>
        <v>706.24662162162167</v>
      </c>
      <c r="K117" s="666">
        <v>4629</v>
      </c>
      <c r="L117" s="666"/>
      <c r="M117" s="189"/>
      <c r="N117" s="774">
        <f t="shared" si="10"/>
        <v>41429</v>
      </c>
      <c r="O117" s="772">
        <v>41432</v>
      </c>
      <c r="P117" s="773" t="s">
        <v>845</v>
      </c>
      <c r="Q117" s="305"/>
      <c r="R117" s="258"/>
      <c r="S117" s="8">
        <f t="shared" si="22"/>
        <v>0</v>
      </c>
      <c r="T117" s="449"/>
      <c r="U117" s="774"/>
      <c r="V117" s="802"/>
      <c r="W117" s="802"/>
      <c r="X117" s="8">
        <f t="shared" si="21"/>
        <v>0</v>
      </c>
    </row>
    <row r="118" spans="1:24">
      <c r="A118" s="798">
        <f t="shared" si="7"/>
        <v>56</v>
      </c>
      <c r="B118" s="297" t="s">
        <v>1139</v>
      </c>
      <c r="C118" s="827">
        <f t="shared" si="13"/>
        <v>0</v>
      </c>
      <c r="D118" s="534">
        <f>IF($I$136&lt;&gt;0,D$136/$I$136*$I118,0)</f>
        <v>113342.49232261193</v>
      </c>
      <c r="E118" s="534">
        <f>IF($I$136&lt;&gt;0,E$136/$I$136*$I118,0)</f>
        <v>15396.260977318032</v>
      </c>
      <c r="F118" s="534">
        <f>IF($I$136&lt;&gt;0,F$136/$I$136*$I118,0)</f>
        <v>64296.104735736219</v>
      </c>
      <c r="G118" s="534">
        <f>IF($I$136&lt;&gt;0,G$136/$I$136*$I118,0)</f>
        <v>167151.554334357</v>
      </c>
      <c r="H118" s="799">
        <f>ROUND(SUM(C118:G118),0)</f>
        <v>360186</v>
      </c>
      <c r="I118" s="534">
        <v>510</v>
      </c>
      <c r="J118" s="534">
        <f t="shared" si="14"/>
        <v>706.24705882352941</v>
      </c>
      <c r="K118" s="666">
        <v>5238</v>
      </c>
      <c r="L118" s="666"/>
      <c r="M118" s="189"/>
      <c r="N118" s="774">
        <f t="shared" si="10"/>
        <v>41429</v>
      </c>
      <c r="O118" s="772">
        <v>41432</v>
      </c>
      <c r="P118" s="773" t="s">
        <v>845</v>
      </c>
      <c r="Q118" s="305"/>
      <c r="R118" s="256"/>
      <c r="S118" s="8">
        <f t="shared" si="22"/>
        <v>0</v>
      </c>
      <c r="T118" s="449"/>
      <c r="U118" s="774"/>
      <c r="V118" s="802"/>
      <c r="W118" s="802"/>
      <c r="X118" s="8">
        <f t="shared" si="21"/>
        <v>0</v>
      </c>
    </row>
    <row r="119" spans="1:24">
      <c r="A119" s="798">
        <f t="shared" si="7"/>
        <v>57</v>
      </c>
      <c r="B119" s="297" t="s">
        <v>847</v>
      </c>
      <c r="C119" s="827">
        <f t="shared" si="13"/>
        <v>0</v>
      </c>
      <c r="D119" s="534">
        <f>IF($I$136&lt;&gt;0,D$136/$I$136*$I119,0)</f>
        <v>45336.996929044777</v>
      </c>
      <c r="E119" s="534">
        <f>IF($I$136&lt;&gt;0,E$136/$I$136*$I119,0)</f>
        <v>6158.5043909272126</v>
      </c>
      <c r="F119" s="534">
        <f>IF($I$136&lt;&gt;0,F$136/$I$136*$I119,0)</f>
        <v>25718.441894294487</v>
      </c>
      <c r="G119" s="534">
        <f>IF($I$136&lt;&gt;0,G$136/$I$136*$I119,0)</f>
        <v>66860.621733742795</v>
      </c>
      <c r="H119" s="799">
        <f>ROUND(SUM(C119:G119),0)</f>
        <v>144075</v>
      </c>
      <c r="I119" s="534">
        <v>204</v>
      </c>
      <c r="J119" s="534">
        <f t="shared" si="14"/>
        <v>706.25</v>
      </c>
      <c r="K119" s="666">
        <v>19000</v>
      </c>
      <c r="L119" s="666"/>
      <c r="M119" s="189"/>
      <c r="N119" s="774">
        <f t="shared" si="10"/>
        <v>41432</v>
      </c>
      <c r="O119" s="772">
        <v>41435</v>
      </c>
      <c r="P119" s="773" t="s">
        <v>848</v>
      </c>
      <c r="Q119" s="305"/>
      <c r="R119" s="256"/>
      <c r="S119" s="8">
        <f t="shared" si="22"/>
        <v>0</v>
      </c>
      <c r="T119" s="449"/>
      <c r="U119" s="774"/>
      <c r="V119" s="802"/>
      <c r="W119" s="802"/>
      <c r="X119" s="8">
        <f t="shared" si="21"/>
        <v>0</v>
      </c>
    </row>
    <row r="120" spans="1:24">
      <c r="A120" s="798">
        <f t="shared" si="7"/>
        <v>58</v>
      </c>
      <c r="B120" s="297" t="s">
        <v>1139</v>
      </c>
      <c r="C120" s="827">
        <f t="shared" si="13"/>
        <v>0</v>
      </c>
      <c r="D120" s="534">
        <f>IF($I$136&lt;&gt;0,D$136/$I$136*$I120,0)</f>
        <v>34891.708420882496</v>
      </c>
      <c r="E120" s="534">
        <f>IF($I$136&lt;&gt;0,E$136/$I$136*$I120,0)</f>
        <v>4739.6332812528062</v>
      </c>
      <c r="F120" s="534">
        <f>IF($I$136&lt;&gt;0,F$136/$I$136*$I120,0)</f>
        <v>19793.114595118797</v>
      </c>
      <c r="G120" s="534">
        <f>IF($I$136&lt;&gt;0,G$136/$I$136*$I120,0)</f>
        <v>51456.458883321662</v>
      </c>
      <c r="H120" s="799">
        <f>ROUND(SUM(C120:G120),0)</f>
        <v>110881</v>
      </c>
      <c r="I120" s="534">
        <v>157</v>
      </c>
      <c r="J120" s="534">
        <f t="shared" si="14"/>
        <v>706.24840764331213</v>
      </c>
      <c r="K120" s="666">
        <v>5238</v>
      </c>
      <c r="L120" s="666"/>
      <c r="M120" s="189"/>
      <c r="N120" s="774">
        <f t="shared" si="10"/>
        <v>41433</v>
      </c>
      <c r="O120" s="772">
        <v>41436</v>
      </c>
      <c r="P120" s="773" t="s">
        <v>850</v>
      </c>
      <c r="Q120" s="305"/>
      <c r="R120" s="258"/>
      <c r="S120" s="8">
        <f t="shared" si="22"/>
        <v>0</v>
      </c>
      <c r="T120" s="449"/>
      <c r="U120" s="774"/>
      <c r="V120" s="802"/>
      <c r="W120" s="802"/>
      <c r="X120" s="8">
        <f t="shared" si="21"/>
        <v>0</v>
      </c>
    </row>
    <row r="121" spans="1:24">
      <c r="A121" s="798">
        <f t="shared" si="7"/>
        <v>59</v>
      </c>
      <c r="B121" s="297" t="s">
        <v>851</v>
      </c>
      <c r="C121" s="827">
        <f t="shared" si="13"/>
        <v>0</v>
      </c>
      <c r="D121" s="534">
        <f>IF($I$136&lt;&gt;0,D$136/$I$136*$I121,0)</f>
        <v>49337.320187489902</v>
      </c>
      <c r="E121" s="534">
        <f>IF($I$136&lt;&gt;0,E$136/$I$136*$I121,0)</f>
        <v>6701.9018371854963</v>
      </c>
      <c r="F121" s="534">
        <f>IF($I$136&lt;&gt;0,F$136/$I$136*$I121,0)</f>
        <v>27987.716179085179</v>
      </c>
      <c r="G121" s="534">
        <f>IF($I$136&lt;&gt;0,G$136/$I$136*$I121,0)</f>
        <v>72760.088357308341</v>
      </c>
      <c r="H121" s="799">
        <f>ROUND(SUM(C121:G121),0)</f>
        <v>156787</v>
      </c>
      <c r="I121" s="534">
        <v>222</v>
      </c>
      <c r="J121" s="534">
        <f t="shared" si="14"/>
        <v>706.24774774774778</v>
      </c>
      <c r="K121" s="666">
        <v>14959</v>
      </c>
      <c r="L121" s="666"/>
      <c r="M121" s="189"/>
      <c r="N121" s="774">
        <f t="shared" si="10"/>
        <v>41433</v>
      </c>
      <c r="O121" s="772">
        <v>41436</v>
      </c>
      <c r="P121" s="773" t="s">
        <v>852</v>
      </c>
      <c r="Q121" s="305"/>
      <c r="R121" s="258"/>
      <c r="S121" s="8">
        <f t="shared" si="22"/>
        <v>0</v>
      </c>
      <c r="T121" s="449"/>
      <c r="U121" s="774"/>
      <c r="V121" s="802"/>
      <c r="W121" s="802"/>
      <c r="X121" s="8">
        <f t="shared" si="21"/>
        <v>0</v>
      </c>
    </row>
    <row r="122" spans="1:24">
      <c r="A122" s="798">
        <f t="shared" si="7"/>
        <v>60</v>
      </c>
      <c r="B122" s="297" t="s">
        <v>853</v>
      </c>
      <c r="C122" s="827">
        <f t="shared" si="13"/>
        <v>0</v>
      </c>
      <c r="D122" s="534">
        <f>IF($I$136&lt;&gt;0,D$136/$I$136*$I122,0)</f>
        <v>109786.64942621626</v>
      </c>
      <c r="E122" s="534">
        <f>IF($I$136&lt;&gt;0,E$136/$I$136*$I122,0)</f>
        <v>14913.241025088448</v>
      </c>
      <c r="F122" s="534">
        <f>IF($I$136&lt;&gt;0,F$136/$I$136*$I122,0)</f>
        <v>62278.972038144493</v>
      </c>
      <c r="G122" s="534">
        <f>IF($I$136&lt;&gt;0,G$136/$I$136*$I122,0)</f>
        <v>161907.58400229874</v>
      </c>
      <c r="H122" s="799">
        <f>ROUND(SUM(C122:G122),0)</f>
        <v>348886</v>
      </c>
      <c r="I122" s="534">
        <v>494</v>
      </c>
      <c r="J122" s="534">
        <f t="shared" si="14"/>
        <v>706.24696356275308</v>
      </c>
      <c r="K122" s="666">
        <v>17200</v>
      </c>
      <c r="L122" s="666"/>
      <c r="M122" s="189"/>
      <c r="N122" s="774">
        <f t="shared" si="10"/>
        <v>41440</v>
      </c>
      <c r="O122" s="772">
        <v>41443</v>
      </c>
      <c r="P122" s="773" t="s">
        <v>854</v>
      </c>
      <c r="Q122" s="305"/>
      <c r="R122" s="258"/>
      <c r="S122" s="8">
        <f t="shared" si="22"/>
        <v>0</v>
      </c>
      <c r="T122" s="449"/>
      <c r="U122" s="774"/>
      <c r="V122" s="802"/>
      <c r="W122" s="802"/>
      <c r="X122" s="8">
        <f t="shared" si="21"/>
        <v>0</v>
      </c>
    </row>
    <row r="123" spans="1:24">
      <c r="A123" s="798">
        <f t="shared" si="7"/>
        <v>61</v>
      </c>
      <c r="B123" s="297" t="s">
        <v>744</v>
      </c>
      <c r="C123" s="827">
        <f t="shared" si="13"/>
        <v>0</v>
      </c>
      <c r="D123" s="534">
        <f>IF($I$136&lt;&gt;0,D$136/$I$136*$I123,0)</f>
        <v>89340.552771941177</v>
      </c>
      <c r="E123" s="534">
        <f>IF($I$136&lt;&gt;0,E$136/$I$136*$I123,0)</f>
        <v>12135.876299768332</v>
      </c>
      <c r="F123" s="534">
        <f>IF($I$136&lt;&gt;0,F$136/$I$136*$I123,0)</f>
        <v>50680.459026992081</v>
      </c>
      <c r="G123" s="534">
        <f>IF($I$136&lt;&gt;0,G$136/$I$136*$I123,0)</f>
        <v>131754.75459296376</v>
      </c>
      <c r="H123" s="799">
        <f>ROUND(SUM(C123:G123),0)</f>
        <v>283912</v>
      </c>
      <c r="I123" s="534">
        <v>402</v>
      </c>
      <c r="J123" s="534">
        <f t="shared" si="14"/>
        <v>706.24875621890544</v>
      </c>
      <c r="K123" s="666">
        <v>25000</v>
      </c>
      <c r="L123" s="666"/>
      <c r="M123" s="189"/>
      <c r="N123" s="774">
        <f t="shared" si="10"/>
        <v>41441</v>
      </c>
      <c r="O123" s="772">
        <v>41444</v>
      </c>
      <c r="P123" s="773" t="s">
        <v>855</v>
      </c>
      <c r="Q123" s="305"/>
      <c r="R123" s="256"/>
      <c r="S123" s="8">
        <f t="shared" si="22"/>
        <v>0</v>
      </c>
      <c r="T123" s="449"/>
      <c r="U123" s="774"/>
      <c r="V123" s="802"/>
      <c r="W123" s="802"/>
      <c r="X123" s="8">
        <f t="shared" si="21"/>
        <v>0</v>
      </c>
    </row>
    <row r="124" spans="1:24">
      <c r="A124" s="798">
        <f t="shared" si="7"/>
        <v>62</v>
      </c>
      <c r="B124" s="297" t="s">
        <v>817</v>
      </c>
      <c r="C124" s="827">
        <f t="shared" si="13"/>
        <v>0</v>
      </c>
      <c r="D124" s="534">
        <f>IF($I$136&lt;&gt;0,D$136/$I$136*$I124,0)</f>
        <v>110008.889607241</v>
      </c>
      <c r="E124" s="534">
        <f>IF($I$136&lt;&gt;0,E$136/$I$136*$I124,0)</f>
        <v>14943.429772102796</v>
      </c>
      <c r="F124" s="534">
        <f>IF($I$136&lt;&gt;0,F$136/$I$136*$I124,0)</f>
        <v>62405.04283174398</v>
      </c>
      <c r="G124" s="534">
        <f>IF($I$136&lt;&gt;0,G$136/$I$136*$I124,0)</f>
        <v>162235.33214805237</v>
      </c>
      <c r="H124" s="799">
        <f>ROUND(SUM(C124:G124),0)</f>
        <v>349593</v>
      </c>
      <c r="I124" s="534">
        <v>495</v>
      </c>
      <c r="J124" s="534">
        <f t="shared" si="14"/>
        <v>706.24848484848485</v>
      </c>
      <c r="K124" s="666">
        <v>17300</v>
      </c>
      <c r="L124" s="666"/>
      <c r="M124" s="189"/>
      <c r="N124" s="774">
        <f t="shared" si="10"/>
        <v>41442</v>
      </c>
      <c r="O124" s="772">
        <v>41445</v>
      </c>
      <c r="P124" s="773" t="s">
        <v>856</v>
      </c>
      <c r="Q124" s="824"/>
      <c r="R124" s="256"/>
      <c r="S124" s="8">
        <f t="shared" si="22"/>
        <v>0</v>
      </c>
      <c r="T124" s="449"/>
      <c r="U124" s="774"/>
      <c r="V124" s="802"/>
      <c r="W124" s="802"/>
      <c r="X124" s="8">
        <f t="shared" si="21"/>
        <v>0</v>
      </c>
    </row>
    <row r="125" spans="1:24">
      <c r="A125" s="798">
        <f t="shared" si="7"/>
        <v>63</v>
      </c>
      <c r="B125" s="297" t="s">
        <v>819</v>
      </c>
      <c r="C125" s="827">
        <f t="shared" si="13"/>
        <v>0</v>
      </c>
      <c r="D125" s="534">
        <f>IF($I$136&lt;&gt;0,D$136/$I$136*$I125,0)</f>
        <v>333360.27153709391</v>
      </c>
      <c r="E125" s="534">
        <f>IF($I$136&lt;&gt;0,E$136/$I$136*$I125,0)</f>
        <v>45283.120521523626</v>
      </c>
      <c r="F125" s="534">
        <f>IF($I$136&lt;&gt;0,F$136/$I$136*$I125,0)</f>
        <v>189106.19039922417</v>
      </c>
      <c r="G125" s="534">
        <f>IF($I$136&lt;&gt;0,G$136/$I$136*$I125,0)</f>
        <v>491622.21863046172</v>
      </c>
      <c r="H125" s="799">
        <f>ROUND(SUM(C125:G125),0)</f>
        <v>1059372</v>
      </c>
      <c r="I125" s="534">
        <v>1500</v>
      </c>
      <c r="J125" s="534">
        <f t="shared" si="14"/>
        <v>706.24800000000005</v>
      </c>
      <c r="K125" s="666">
        <v>1500</v>
      </c>
      <c r="L125" s="666"/>
      <c r="M125" s="297"/>
      <c r="N125" s="774">
        <f t="shared" si="10"/>
        <v>41442</v>
      </c>
      <c r="O125" s="772">
        <v>41445</v>
      </c>
      <c r="P125" s="773" t="s">
        <v>856</v>
      </c>
      <c r="Q125" s="305"/>
      <c r="R125" s="258"/>
      <c r="S125" s="8">
        <f t="shared" si="22"/>
        <v>0</v>
      </c>
      <c r="T125" s="449"/>
      <c r="U125" s="774"/>
      <c r="V125" s="802"/>
      <c r="W125" s="802"/>
      <c r="X125" s="8">
        <f t="shared" si="21"/>
        <v>0</v>
      </c>
    </row>
    <row r="126" spans="1:24">
      <c r="A126" s="798">
        <f t="shared" si="7"/>
        <v>64</v>
      </c>
      <c r="B126" s="297" t="s">
        <v>1131</v>
      </c>
      <c r="C126" s="827">
        <f t="shared" si="13"/>
        <v>0</v>
      </c>
      <c r="D126" s="534">
        <f>IF($I$136&lt;&gt;0,D$136/$I$136*$I126,0)</f>
        <v>47114.918377242604</v>
      </c>
      <c r="E126" s="534">
        <f>IF($I$136&lt;&gt;0,E$136/$I$136*$I126,0)</f>
        <v>6400.0143670420057</v>
      </c>
      <c r="F126" s="534">
        <f>IF($I$136&lt;&gt;0,F$136/$I$136*$I126,0)</f>
        <v>26727.008243090349</v>
      </c>
      <c r="G126" s="534">
        <f>IF($I$136&lt;&gt;0,G$136/$I$136*$I126,0)</f>
        <v>69482.606899771927</v>
      </c>
      <c r="H126" s="799">
        <f>ROUND(SUM(C126:G126),0)</f>
        <v>149725</v>
      </c>
      <c r="I126" s="534">
        <v>212</v>
      </c>
      <c r="J126" s="534">
        <f t="shared" si="14"/>
        <v>706.25</v>
      </c>
      <c r="K126" s="666">
        <v>6850</v>
      </c>
      <c r="L126" s="666"/>
      <c r="M126" s="189"/>
      <c r="N126" s="774">
        <f t="shared" si="10"/>
        <v>41442</v>
      </c>
      <c r="O126" s="772">
        <v>41445</v>
      </c>
      <c r="P126" s="773" t="s">
        <v>857</v>
      </c>
      <c r="Q126" s="305"/>
      <c r="R126" s="258"/>
      <c r="S126" s="8">
        <f t="shared" si="22"/>
        <v>0</v>
      </c>
      <c r="T126" s="449"/>
      <c r="U126" s="774"/>
      <c r="V126" s="802"/>
      <c r="W126" s="802"/>
      <c r="X126" s="8">
        <f t="shared" si="21"/>
        <v>0</v>
      </c>
    </row>
    <row r="127" spans="1:24">
      <c r="A127" s="798">
        <f t="shared" si="7"/>
        <v>65</v>
      </c>
      <c r="B127" s="297" t="s">
        <v>1130</v>
      </c>
      <c r="C127" s="827">
        <f t="shared" si="13"/>
        <v>0</v>
      </c>
      <c r="D127" s="534">
        <f>IF($I$136&lt;&gt;0,D$136/$I$136*$I127,0)</f>
        <v>43336.835299822211</v>
      </c>
      <c r="E127" s="534">
        <f>IF($I$136&lt;&gt;0,E$136/$I$136*$I127,0)</f>
        <v>5886.8056677980712</v>
      </c>
      <c r="F127" s="534">
        <f>IF($I$136&lt;&gt;0,F$136/$I$136*$I127,0)</f>
        <v>24583.804751899144</v>
      </c>
      <c r="G127" s="534">
        <f>IF($I$136&lt;&gt;0,G$136/$I$136*$I127,0)</f>
        <v>63910.888421960022</v>
      </c>
      <c r="H127" s="799">
        <f>ROUND(SUM(C127:G127),0)</f>
        <v>137718</v>
      </c>
      <c r="I127" s="534">
        <v>195</v>
      </c>
      <c r="J127" s="534">
        <f t="shared" si="14"/>
        <v>706.2461538461539</v>
      </c>
      <c r="K127" s="666">
        <v>14100</v>
      </c>
      <c r="L127" s="666"/>
      <c r="M127" s="297"/>
      <c r="N127" s="774">
        <f t="shared" si="10"/>
        <v>41442</v>
      </c>
      <c r="O127" s="772">
        <v>41445</v>
      </c>
      <c r="P127" s="773" t="s">
        <v>857</v>
      </c>
      <c r="Q127" s="305"/>
      <c r="R127" s="256"/>
      <c r="S127" s="8">
        <f t="shared" si="22"/>
        <v>0</v>
      </c>
      <c r="T127" s="449"/>
      <c r="U127" s="774"/>
      <c r="V127" s="802"/>
      <c r="W127" s="802"/>
      <c r="X127" s="8">
        <f t="shared" si="21"/>
        <v>0</v>
      </c>
    </row>
    <row r="128" spans="1:24">
      <c r="A128" s="798">
        <f t="shared" ref="A128:A134" si="23">IF(B128&lt;&gt;"",ROW()-62,"")</f>
        <v>66</v>
      </c>
      <c r="B128" s="297" t="s">
        <v>831</v>
      </c>
      <c r="C128" s="827">
        <f t="shared" si="13"/>
        <v>0</v>
      </c>
      <c r="D128" s="534">
        <f>IF($I$136&lt;&gt;0,D$136/$I$136*$I128,0)</f>
        <v>112898.01196056248</v>
      </c>
      <c r="E128" s="534">
        <f>IF($I$136&lt;&gt;0,E$136/$I$136*$I128,0)</f>
        <v>15335.883483289334</v>
      </c>
      <c r="F128" s="534">
        <f>IF($I$136&lt;&gt;0,F$136/$I$136*$I128,0)</f>
        <v>64043.963148537252</v>
      </c>
      <c r="G128" s="534">
        <f>IF($I$136&lt;&gt;0,G$136/$I$136*$I128,0)</f>
        <v>166496.05804284971</v>
      </c>
      <c r="H128" s="799">
        <f>ROUND(SUM(C128:G128),0)</f>
        <v>358774</v>
      </c>
      <c r="I128" s="534">
        <v>508</v>
      </c>
      <c r="J128" s="534">
        <f t="shared" si="14"/>
        <v>706.24803149606294</v>
      </c>
      <c r="K128" s="666">
        <v>5210</v>
      </c>
      <c r="L128" s="666"/>
      <c r="M128" s="189"/>
      <c r="N128" s="774">
        <f t="shared" ref="N128:N134" si="24">O128-3</f>
        <v>41442</v>
      </c>
      <c r="O128" s="772">
        <v>41445</v>
      </c>
      <c r="P128" s="773" t="s">
        <v>858</v>
      </c>
      <c r="Q128" s="305"/>
      <c r="R128" s="258"/>
      <c r="S128" s="8">
        <f t="shared" si="22"/>
        <v>0</v>
      </c>
      <c r="T128" s="449"/>
      <c r="U128" s="774"/>
      <c r="V128" s="802"/>
      <c r="W128" s="802"/>
      <c r="X128" s="8">
        <f t="shared" si="21"/>
        <v>0</v>
      </c>
    </row>
    <row r="129" spans="1:24">
      <c r="A129" s="798">
        <f t="shared" si="23"/>
        <v>67</v>
      </c>
      <c r="B129" s="297" t="s">
        <v>833</v>
      </c>
      <c r="C129" s="827">
        <f t="shared" ref="C129:C134" si="25">S129</f>
        <v>0</v>
      </c>
      <c r="D129" s="534">
        <f>IF($I$136&lt;&gt;0,D$136/$I$136*$I129,0)</f>
        <v>67783.255212542426</v>
      </c>
      <c r="E129" s="534">
        <f>IF($I$136&lt;&gt;0,E$136/$I$136*$I129,0)</f>
        <v>9207.5678393764701</v>
      </c>
      <c r="F129" s="534">
        <f>IF($I$136&lt;&gt;0,F$136/$I$136*$I129,0)</f>
        <v>38451.592047842249</v>
      </c>
      <c r="G129" s="534">
        <f>IF($I$136&lt;&gt;0,G$136/$I$136*$I129,0)</f>
        <v>99963.184454860559</v>
      </c>
      <c r="H129" s="799">
        <f>ROUND(SUM(C129:G129),0)</f>
        <v>215406</v>
      </c>
      <c r="I129" s="534">
        <v>305</v>
      </c>
      <c r="J129" s="534">
        <f t="shared" ref="J129:J134" si="26">IF(I129&lt;&gt;"",H129/I129,"")</f>
        <v>706.24918032786888</v>
      </c>
      <c r="K129" s="666">
        <v>5117</v>
      </c>
      <c r="L129" s="666"/>
      <c r="M129" s="189"/>
      <c r="N129" s="774">
        <f t="shared" si="24"/>
        <v>41442</v>
      </c>
      <c r="O129" s="772">
        <v>41445</v>
      </c>
      <c r="P129" s="773" t="s">
        <v>858</v>
      </c>
      <c r="Q129" s="305"/>
      <c r="R129" s="258"/>
      <c r="S129" s="8">
        <f t="shared" si="22"/>
        <v>0</v>
      </c>
      <c r="T129" s="449"/>
      <c r="U129" s="774"/>
      <c r="V129" s="802"/>
      <c r="W129" s="802"/>
      <c r="X129" s="8">
        <f t="shared" si="21"/>
        <v>0</v>
      </c>
    </row>
    <row r="130" spans="1:24">
      <c r="A130" s="798">
        <f t="shared" si="23"/>
        <v>68</v>
      </c>
      <c r="B130" s="297" t="s">
        <v>1140</v>
      </c>
      <c r="C130" s="827">
        <f t="shared" si="25"/>
        <v>0</v>
      </c>
      <c r="D130" s="534">
        <f>IF($I$136&lt;&gt;0,D$136/$I$136*$I130,0)</f>
        <v>107564.24761596897</v>
      </c>
      <c r="E130" s="534">
        <f>IF($I$136&lt;&gt;0,E$136/$I$136*$I130,0)</f>
        <v>14611.353554944957</v>
      </c>
      <c r="F130" s="534">
        <f>IF($I$136&lt;&gt;0,F$136/$I$136*$I130,0)</f>
        <v>61018.264102149667</v>
      </c>
      <c r="G130" s="534">
        <f>IF($I$136&lt;&gt;0,G$136/$I$136*$I130,0)</f>
        <v>158630.10254476231</v>
      </c>
      <c r="H130" s="799">
        <f>ROUND(SUM(C130:G130),0)</f>
        <v>341824</v>
      </c>
      <c r="I130" s="534">
        <v>484</v>
      </c>
      <c r="J130" s="534">
        <f t="shared" si="26"/>
        <v>706.24793388429748</v>
      </c>
      <c r="K130" s="666">
        <v>5401</v>
      </c>
      <c r="L130" s="666"/>
      <c r="M130" s="189"/>
      <c r="N130" s="774">
        <f t="shared" si="24"/>
        <v>41442</v>
      </c>
      <c r="O130" s="772">
        <v>41445</v>
      </c>
      <c r="P130" s="773" t="s">
        <v>858</v>
      </c>
      <c r="Q130" s="305"/>
      <c r="R130" s="258"/>
      <c r="S130" s="8">
        <f t="shared" si="22"/>
        <v>0</v>
      </c>
      <c r="T130" s="449"/>
      <c r="U130" s="774"/>
      <c r="V130" s="802"/>
      <c r="W130" s="802"/>
      <c r="X130" s="8">
        <f t="shared" si="21"/>
        <v>0</v>
      </c>
    </row>
    <row r="131" spans="1:24">
      <c r="A131" s="798">
        <f t="shared" si="23"/>
        <v>69</v>
      </c>
      <c r="B131" s="297" t="s">
        <v>1142</v>
      </c>
      <c r="C131" s="827">
        <f t="shared" si="25"/>
        <v>0</v>
      </c>
      <c r="D131" s="534">
        <f>IF($I$136&lt;&gt;0,D$136/$I$136*$I131,0)</f>
        <v>228907.38645547116</v>
      </c>
      <c r="E131" s="534">
        <f>IF($I$136&lt;&gt;0,E$136/$I$136*$I131,0)</f>
        <v>31094.409424779555</v>
      </c>
      <c r="F131" s="534">
        <f>IF($I$136&lt;&gt;0,F$136/$I$136*$I131,0)</f>
        <v>129852.91740746726</v>
      </c>
      <c r="G131" s="534">
        <f>IF($I$136&lt;&gt;0,G$136/$I$136*$I131,0)</f>
        <v>337580.5901262504</v>
      </c>
      <c r="H131" s="799">
        <f>ROUND(SUM(C131:G131),0)</f>
        <v>727435</v>
      </c>
      <c r="I131" s="534">
        <v>1030</v>
      </c>
      <c r="J131" s="534">
        <f t="shared" si="26"/>
        <v>706.247572815534</v>
      </c>
      <c r="K131" s="666">
        <v>5460</v>
      </c>
      <c r="L131" s="666"/>
      <c r="M131" s="297"/>
      <c r="N131" s="774">
        <f t="shared" si="24"/>
        <v>41443</v>
      </c>
      <c r="O131" s="772">
        <v>41446</v>
      </c>
      <c r="P131" s="773" t="s">
        <v>859</v>
      </c>
      <c r="Q131" s="305"/>
      <c r="R131" s="258"/>
      <c r="S131" s="8">
        <f t="shared" si="22"/>
        <v>0</v>
      </c>
      <c r="T131" s="449"/>
      <c r="U131" s="774"/>
      <c r="V131" s="802"/>
      <c r="W131" s="802"/>
      <c r="X131" s="8">
        <f t="shared" si="21"/>
        <v>0</v>
      </c>
    </row>
    <row r="132" spans="1:24">
      <c r="A132" s="798">
        <f t="shared" si="23"/>
        <v>70</v>
      </c>
      <c r="B132" s="297" t="s">
        <v>838</v>
      </c>
      <c r="C132" s="827">
        <f t="shared" si="25"/>
        <v>0</v>
      </c>
      <c r="D132" s="534">
        <f>IF($I$136&lt;&gt;0,D$136/$I$136*$I132,0)</f>
        <v>111120.09051236464</v>
      </c>
      <c r="E132" s="534">
        <f>IF($I$136&lt;&gt;0,E$136/$I$136*$I132,0)</f>
        <v>15094.373507174541</v>
      </c>
      <c r="F132" s="534">
        <f>IF($I$136&lt;&gt;0,F$136/$I$136*$I132,0)</f>
        <v>63035.396799741393</v>
      </c>
      <c r="G132" s="534">
        <f>IF($I$136&lt;&gt;0,G$136/$I$136*$I132,0)</f>
        <v>163874.07287682057</v>
      </c>
      <c r="H132" s="799">
        <f>ROUND(SUM(C132:G132),0)</f>
        <v>353124</v>
      </c>
      <c r="I132" s="534">
        <v>500</v>
      </c>
      <c r="J132" s="534">
        <f t="shared" si="26"/>
        <v>706.24800000000005</v>
      </c>
      <c r="K132" s="666">
        <v>10500</v>
      </c>
      <c r="L132" s="666"/>
      <c r="M132" s="189"/>
      <c r="N132" s="774">
        <f t="shared" si="24"/>
        <v>41448</v>
      </c>
      <c r="O132" s="772">
        <v>41451</v>
      </c>
      <c r="P132" s="773" t="s">
        <v>860</v>
      </c>
      <c r="Q132" s="305"/>
      <c r="R132" s="258"/>
      <c r="S132" s="8">
        <f t="shared" ref="S132:S134" si="27">Q132*R132</f>
        <v>0</v>
      </c>
      <c r="T132" s="449"/>
      <c r="U132" s="774"/>
      <c r="V132" s="802"/>
      <c r="W132" s="802"/>
      <c r="X132" s="8">
        <f t="shared" ref="X132:X134" si="28">V132*W132</f>
        <v>0</v>
      </c>
    </row>
    <row r="133" spans="1:24">
      <c r="A133" s="798">
        <f t="shared" si="23"/>
        <v>71</v>
      </c>
      <c r="B133" s="297" t="s">
        <v>861</v>
      </c>
      <c r="C133" s="827">
        <f t="shared" si="25"/>
        <v>0</v>
      </c>
      <c r="D133" s="534">
        <f>IF($I$136&lt;&gt;0,D$136/$I$136*$I133,0)</f>
        <v>328915.46791659936</v>
      </c>
      <c r="E133" s="534">
        <f>IF($I$136&lt;&gt;0,E$136/$I$136*$I133,0)</f>
        <v>44679.345581236645</v>
      </c>
      <c r="F133" s="534">
        <f>IF($I$136&lt;&gt;0,F$136/$I$136*$I133,0)</f>
        <v>186584.77452723452</v>
      </c>
      <c r="G133" s="534">
        <f>IF($I$136&lt;&gt;0,G$136/$I$136*$I133,0)</f>
        <v>485067.25571538892</v>
      </c>
      <c r="H133" s="799">
        <f>ROUND(SUM(C133:G133),0)</f>
        <v>1045247</v>
      </c>
      <c r="I133" s="534">
        <v>1480</v>
      </c>
      <c r="J133" s="534">
        <f t="shared" si="26"/>
        <v>706.247972972973</v>
      </c>
      <c r="K133" s="666">
        <v>19200</v>
      </c>
      <c r="L133" s="666"/>
      <c r="M133" s="189"/>
      <c r="N133" s="774">
        <f t="shared" si="24"/>
        <v>41448</v>
      </c>
      <c r="O133" s="772">
        <v>41451</v>
      </c>
      <c r="P133" s="773" t="s">
        <v>862</v>
      </c>
      <c r="Q133" s="305"/>
      <c r="R133" s="258"/>
      <c r="S133" s="8">
        <f t="shared" si="27"/>
        <v>0</v>
      </c>
      <c r="T133" s="449"/>
      <c r="U133" s="774"/>
      <c r="V133" s="802"/>
      <c r="W133" s="802"/>
      <c r="X133" s="8">
        <f t="shared" si="28"/>
        <v>0</v>
      </c>
    </row>
    <row r="134" spans="1:24">
      <c r="A134" s="798">
        <f t="shared" si="23"/>
        <v>72</v>
      </c>
      <c r="B134" s="297" t="s">
        <v>1137</v>
      </c>
      <c r="C134" s="827">
        <f t="shared" si="25"/>
        <v>0</v>
      </c>
      <c r="D134" s="534">
        <f>IF($I$136&lt;&gt;0,D$136/$I$136*$I134,0)</f>
        <v>683833.03701309196</v>
      </c>
      <c r="E134" s="534">
        <f>IF($I$136&lt;&gt;0,E$136/$I$136*$I134,0)</f>
        <v>92890.774563152125</v>
      </c>
      <c r="F134" s="534">
        <f>IF($I$136&lt;&gt;0,F$136/$I$136*$I134,0)</f>
        <v>387919.83190560853</v>
      </c>
      <c r="G134" s="534">
        <f>IF($I$136&lt;&gt;0,G$136/$I$136*$I134,0)</f>
        <v>1008481.0444839539</v>
      </c>
      <c r="H134" s="799">
        <f>ROUND(SUM(C134:G134),0)</f>
        <v>2173125</v>
      </c>
      <c r="I134" s="534">
        <v>3077</v>
      </c>
      <c r="J134" s="534">
        <f t="shared" si="26"/>
        <v>706.24796880077997</v>
      </c>
      <c r="K134" s="666">
        <v>6250</v>
      </c>
      <c r="L134" s="666"/>
      <c r="M134" s="189"/>
      <c r="N134" s="774">
        <f t="shared" si="24"/>
        <v>41449</v>
      </c>
      <c r="O134" s="772">
        <v>41452</v>
      </c>
      <c r="P134" s="773" t="s">
        <v>863</v>
      </c>
      <c r="Q134" s="305"/>
      <c r="R134" s="258"/>
      <c r="S134" s="8">
        <f t="shared" si="27"/>
        <v>0</v>
      </c>
      <c r="T134" s="449"/>
      <c r="U134" s="774"/>
      <c r="V134" s="802"/>
      <c r="W134" s="802"/>
      <c r="X134" s="8">
        <f t="shared" si="28"/>
        <v>0</v>
      </c>
    </row>
    <row r="135" spans="1:24" s="778" customFormat="1">
      <c r="A135" s="757"/>
      <c r="B135" s="786"/>
      <c r="C135" s="787"/>
      <c r="D135" s="788"/>
      <c r="E135" s="789"/>
      <c r="F135" s="789"/>
      <c r="G135" s="789"/>
      <c r="H135" s="788"/>
      <c r="I135" s="791"/>
      <c r="J135" s="789"/>
      <c r="K135" s="666"/>
      <c r="L135" s="666"/>
      <c r="M135" s="449"/>
      <c r="N135" s="774"/>
      <c r="O135" s="772"/>
      <c r="P135" s="773"/>
      <c r="Q135" s="830"/>
      <c r="R135" s="804"/>
      <c r="S135" s="25"/>
      <c r="T135" s="449"/>
      <c r="U135" s="774"/>
      <c r="V135" s="804"/>
      <c r="W135" s="804"/>
      <c r="X135" s="792"/>
    </row>
    <row r="136" spans="1:24" s="755" customFormat="1">
      <c r="A136" s="759"/>
      <c r="B136" s="760" t="s">
        <v>249</v>
      </c>
      <c r="C136" s="535">
        <f>SUM(C63:C135)</f>
        <v>0</v>
      </c>
      <c r="D136" s="535">
        <v>12375000</v>
      </c>
      <c r="E136" s="535">
        <f>X136</f>
        <v>1681000</v>
      </c>
      <c r="F136" s="535">
        <v>7020000</v>
      </c>
      <c r="G136" s="535">
        <v>18250000</v>
      </c>
      <c r="H136" s="535">
        <f>ROUND(SUM(H63:H135),0)</f>
        <v>39326005</v>
      </c>
      <c r="I136" s="535">
        <f>ROUND(SUM(I63:I135),0)</f>
        <v>55683</v>
      </c>
      <c r="J136" s="535"/>
      <c r="K136" s="768"/>
      <c r="L136" s="768"/>
      <c r="M136" s="779"/>
      <c r="N136" s="780"/>
      <c r="O136" s="780"/>
      <c r="P136" s="781"/>
      <c r="Q136" s="825"/>
      <c r="R136" s="27"/>
      <c r="S136" s="47">
        <f>SUM(S63:S135)</f>
        <v>0</v>
      </c>
      <c r="T136" s="779"/>
      <c r="U136" s="780"/>
      <c r="V136" s="793"/>
      <c r="W136" s="27"/>
      <c r="X136" s="47">
        <f>SUM(X63:X135)</f>
        <v>1681000</v>
      </c>
    </row>
    <row r="137" spans="1:24" s="755" customFormat="1">
      <c r="A137" s="761"/>
      <c r="B137" s="762"/>
      <c r="C137" s="756"/>
      <c r="D137" s="756"/>
      <c r="E137" s="756"/>
      <c r="F137" s="756"/>
      <c r="G137" s="756"/>
      <c r="H137" s="756">
        <v>446648505</v>
      </c>
      <c r="I137" s="756"/>
      <c r="J137" s="756"/>
      <c r="K137" s="768"/>
      <c r="L137" s="768"/>
      <c r="M137" s="450"/>
      <c r="N137" s="782"/>
      <c r="O137" s="782"/>
      <c r="P137" s="783"/>
      <c r="Q137" s="823"/>
      <c r="R137" s="770"/>
      <c r="S137" s="784"/>
      <c r="T137" s="450"/>
      <c r="U137" s="782"/>
      <c r="V137" s="770"/>
      <c r="W137" s="770"/>
      <c r="X137" s="794"/>
    </row>
    <row r="138" spans="1:24" s="755" customFormat="1">
      <c r="A138" s="761"/>
      <c r="B138" s="762"/>
      <c r="C138" s="756"/>
      <c r="D138" s="756"/>
      <c r="E138" s="756"/>
      <c r="F138" s="756"/>
      <c r="G138" s="756"/>
      <c r="H138" s="756">
        <f>H137-H136</f>
        <v>407322500</v>
      </c>
      <c r="I138" s="756"/>
      <c r="J138" s="756"/>
      <c r="K138" s="768"/>
      <c r="L138" s="768"/>
      <c r="M138" s="450"/>
      <c r="N138" s="782"/>
      <c r="O138" s="782"/>
      <c r="P138" s="783"/>
      <c r="Q138" s="823"/>
      <c r="R138" s="770"/>
      <c r="S138" s="784"/>
      <c r="T138" s="450"/>
      <c r="U138" s="782"/>
      <c r="V138" s="770"/>
      <c r="W138" s="770"/>
      <c r="X138" s="794"/>
    </row>
    <row r="139" spans="1:24">
      <c r="M139" s="450"/>
      <c r="N139" s="782"/>
      <c r="O139" s="782"/>
      <c r="P139" s="783"/>
      <c r="Q139" s="823"/>
      <c r="R139" s="770"/>
      <c r="S139" s="784"/>
      <c r="T139" s="450"/>
      <c r="U139" s="782"/>
      <c r="V139" s="770"/>
      <c r="W139" s="770"/>
      <c r="X139" s="794"/>
    </row>
    <row r="140" spans="1:24" ht="18" hidden="1" customHeight="1">
      <c r="A140" s="572" t="str">
        <f>TH!$A$1</f>
        <v>Đơn vị: CÔNG TY TNHH SX TM KIM DUNG PHÁT</v>
      </c>
      <c r="B140" s="755"/>
      <c r="C140" s="293"/>
      <c r="D140" s="293"/>
      <c r="E140" s="293"/>
      <c r="F140" s="293"/>
      <c r="G140" s="293"/>
      <c r="H140" s="293"/>
      <c r="I140" s="600"/>
      <c r="J140" s="293"/>
      <c r="L140" s="768"/>
      <c r="M140" s="450"/>
      <c r="N140" s="782"/>
      <c r="O140" s="782"/>
      <c r="P140" s="783"/>
      <c r="Q140" s="823"/>
      <c r="R140" s="770"/>
      <c r="S140" s="784"/>
      <c r="T140" s="450"/>
      <c r="U140" s="782"/>
      <c r="V140" s="770"/>
      <c r="W140" s="770"/>
      <c r="X140" s="794"/>
    </row>
    <row r="141" spans="1:24" ht="18.75" customHeight="1">
      <c r="A141" s="756" t="s">
        <v>1285</v>
      </c>
      <c r="B141" s="756"/>
      <c r="C141" s="756"/>
      <c r="D141" s="756"/>
      <c r="E141" s="756"/>
      <c r="F141" s="756"/>
      <c r="G141" s="756"/>
      <c r="H141" s="756"/>
      <c r="I141" s="756"/>
      <c r="J141" s="756"/>
      <c r="L141" s="768"/>
      <c r="M141" s="450"/>
      <c r="N141" s="782"/>
      <c r="O141" s="782"/>
      <c r="P141" s="783"/>
      <c r="Q141" s="823"/>
      <c r="R141" s="770"/>
      <c r="S141" s="784"/>
      <c r="T141" s="450"/>
      <c r="U141" s="782"/>
      <c r="V141" s="770"/>
      <c r="W141" s="770"/>
      <c r="X141" s="794"/>
    </row>
    <row r="142" spans="1:24" ht="12.75" customHeight="1">
      <c r="A142" s="808"/>
      <c r="B142" s="800"/>
      <c r="C142" s="800"/>
      <c r="D142" s="800"/>
      <c r="E142" s="800"/>
      <c r="F142" s="800"/>
      <c r="G142" s="800"/>
      <c r="H142" s="800"/>
      <c r="I142" s="769"/>
      <c r="J142" s="800"/>
      <c r="L142" s="768"/>
      <c r="M142" s="450"/>
      <c r="N142" s="782"/>
      <c r="O142" s="782"/>
      <c r="P142" s="783"/>
      <c r="Q142" s="823"/>
      <c r="R142" s="770"/>
      <c r="S142" s="784"/>
      <c r="T142" s="450"/>
      <c r="U142" s="782"/>
      <c r="V142" s="770"/>
      <c r="W142" s="770"/>
      <c r="X142" s="763"/>
    </row>
    <row r="143" spans="1:24" s="447" customFormat="1" ht="30.75" customHeight="1">
      <c r="A143" s="829" t="s">
        <v>35</v>
      </c>
      <c r="B143" s="442" t="s">
        <v>240</v>
      </c>
      <c r="C143" s="443" t="s">
        <v>243</v>
      </c>
      <c r="D143" s="443" t="s">
        <v>442</v>
      </c>
      <c r="E143" s="443" t="s">
        <v>244</v>
      </c>
      <c r="F143" s="443" t="s">
        <v>435</v>
      </c>
      <c r="G143" s="444" t="s">
        <v>245</v>
      </c>
      <c r="H143" s="443" t="s">
        <v>246</v>
      </c>
      <c r="I143" s="445" t="s">
        <v>241</v>
      </c>
      <c r="J143" s="443" t="s">
        <v>247</v>
      </c>
      <c r="K143" s="446"/>
      <c r="L143" s="446"/>
      <c r="M143" s="442" t="s">
        <v>240</v>
      </c>
      <c r="N143" s="443" t="s">
        <v>234</v>
      </c>
      <c r="O143" s="443"/>
      <c r="P143" s="750"/>
      <c r="Q143" s="819" t="s">
        <v>199</v>
      </c>
      <c r="R143" s="443" t="s">
        <v>242</v>
      </c>
      <c r="S143" s="443" t="s">
        <v>248</v>
      </c>
      <c r="T143" s="442" t="s">
        <v>240</v>
      </c>
      <c r="U143" s="443" t="s">
        <v>234</v>
      </c>
      <c r="V143" s="443" t="s">
        <v>199</v>
      </c>
      <c r="W143" s="443" t="s">
        <v>242</v>
      </c>
      <c r="X143" s="442" t="s">
        <v>248</v>
      </c>
    </row>
    <row r="144" spans="1:24" ht="13.5" customHeight="1">
      <c r="A144" s="757">
        <f>IF(B144&lt;&gt;"",ROW()-(ROW()-1),"")</f>
        <v>1</v>
      </c>
      <c r="B144" s="297" t="s">
        <v>1165</v>
      </c>
      <c r="C144" s="25">
        <f>S144</f>
        <v>0</v>
      </c>
      <c r="D144" s="758">
        <f>IF($I$243&lt;&gt;0,D$243/$I$243*$I144,0)</f>
        <v>79193.989071038261</v>
      </c>
      <c r="E144" s="758">
        <f>IF($I$243&lt;&gt;0,E$243/$I$243*$I144,0)</f>
        <v>10757.583485124469</v>
      </c>
      <c r="F144" s="758">
        <f>IF($I$243&lt;&gt;0,F$243/$I$243*$I144,0)</f>
        <v>124790.52823315118</v>
      </c>
      <c r="G144" s="758">
        <f>IF($I$243&lt;&gt;0,G$243/$I$243*$I144,0)</f>
        <v>116791.13539769278</v>
      </c>
      <c r="H144" s="25">
        <f>SUM(C144:G144)</f>
        <v>331533.2361870067</v>
      </c>
      <c r="I144" s="758">
        <v>527</v>
      </c>
      <c r="J144" s="758">
        <f>IF(I144&lt;&gt;"",H144/I144,"")</f>
        <v>629.09532483302974</v>
      </c>
      <c r="K144" s="666">
        <v>6700</v>
      </c>
      <c r="L144" s="666"/>
      <c r="M144" s="297"/>
      <c r="N144" s="772">
        <f>O144-3</f>
        <v>41457</v>
      </c>
      <c r="O144" s="772">
        <v>41460</v>
      </c>
      <c r="P144" s="773" t="s">
        <v>864</v>
      </c>
      <c r="Q144" s="305"/>
      <c r="R144" s="804"/>
      <c r="S144" s="25">
        <f t="shared" ref="S144:S145" si="29">ROUND(Q144*R144,0)</f>
        <v>0</v>
      </c>
      <c r="T144" s="448" t="s">
        <v>374</v>
      </c>
      <c r="U144" s="772">
        <v>41456</v>
      </c>
      <c r="V144" s="804">
        <v>25</v>
      </c>
      <c r="W144" s="804">
        <v>25000</v>
      </c>
      <c r="X144" s="25">
        <f t="shared" ref="X144:X242" si="30">ROUND(V144*W144,0)</f>
        <v>625000</v>
      </c>
    </row>
    <row r="145" spans="1:24" ht="13.5" customHeight="1">
      <c r="A145" s="757">
        <f>IF(B145&lt;&gt;"",A144+1,"")</f>
        <v>2</v>
      </c>
      <c r="B145" s="297" t="s">
        <v>866</v>
      </c>
      <c r="C145" s="25">
        <f t="shared" ref="C145:C191" si="31">S145</f>
        <v>0</v>
      </c>
      <c r="D145" s="758">
        <f>IF($I$243&lt;&gt;0,D$243/$I$243*$I145,0)</f>
        <v>76038.251366120225</v>
      </c>
      <c r="E145" s="758">
        <f>IF($I$243&lt;&gt;0,E$243/$I$243*$I145,0)</f>
        <v>10328.913175470552</v>
      </c>
      <c r="F145" s="758">
        <f>IF($I$243&lt;&gt;0,F$243/$I$243*$I145,0)</f>
        <v>119817.85063752277</v>
      </c>
      <c r="G145" s="758">
        <f>IF($I$243&lt;&gt;0,G$243/$I$243*$I145,0)</f>
        <v>112137.21918639951</v>
      </c>
      <c r="H145" s="25">
        <f>SUM(C145:G145)</f>
        <v>318322.23436551308</v>
      </c>
      <c r="I145" s="758">
        <v>506</v>
      </c>
      <c r="J145" s="758">
        <f t="shared" ref="J145:J148" si="32">IF(I145&lt;&gt;"",H145/I145,"")</f>
        <v>629.09532483302985</v>
      </c>
      <c r="K145" s="666">
        <v>6800</v>
      </c>
      <c r="L145" s="666"/>
      <c r="M145" s="40"/>
      <c r="N145" s="772">
        <f t="shared" ref="N145:N208" si="33">O145-3</f>
        <v>41457</v>
      </c>
      <c r="O145" s="772">
        <v>41460</v>
      </c>
      <c r="P145" s="773" t="s">
        <v>864</v>
      </c>
      <c r="Q145" s="305"/>
      <c r="R145" s="804"/>
      <c r="S145" s="25">
        <f t="shared" si="29"/>
        <v>0</v>
      </c>
      <c r="T145" s="449" t="s">
        <v>346</v>
      </c>
      <c r="U145" s="772">
        <v>41456</v>
      </c>
      <c r="V145" s="802">
        <v>24</v>
      </c>
      <c r="W145" s="802">
        <v>44000</v>
      </c>
      <c r="X145" s="25">
        <f t="shared" si="30"/>
        <v>1056000</v>
      </c>
    </row>
    <row r="146" spans="1:24" ht="13.5" customHeight="1">
      <c r="A146" s="757">
        <f t="shared" ref="A146:A209" si="34">IF(B146&lt;&gt;"",A145+1,"")</f>
        <v>3</v>
      </c>
      <c r="B146" s="297" t="s">
        <v>867</v>
      </c>
      <c r="C146" s="25">
        <f t="shared" si="31"/>
        <v>0</v>
      </c>
      <c r="D146" s="758">
        <f>IF($I$243&lt;&gt;0,D$243/$I$243*$I146,0)</f>
        <v>21639.344262295082</v>
      </c>
      <c r="E146" s="758">
        <f>IF($I$243&lt;&gt;0,E$243/$I$243*$I146,0)</f>
        <v>2939.4535519125684</v>
      </c>
      <c r="F146" s="758">
        <f>IF($I$243&lt;&gt;0,F$243/$I$243*$I146,0)</f>
        <v>34098.360655737706</v>
      </c>
      <c r="G146" s="758">
        <f>IF($I$243&lt;&gt;0,G$243/$I$243*$I146,0)</f>
        <v>31912.56830601093</v>
      </c>
      <c r="H146" s="25">
        <f>SUM(C146:G146)</f>
        <v>90589.726775956282</v>
      </c>
      <c r="I146" s="758">
        <v>144</v>
      </c>
      <c r="J146" s="758">
        <f t="shared" si="32"/>
        <v>629.09532483302974</v>
      </c>
      <c r="K146" s="666">
        <v>20300</v>
      </c>
      <c r="L146" s="666"/>
      <c r="M146" s="40"/>
      <c r="N146" s="772">
        <f t="shared" si="33"/>
        <v>41460</v>
      </c>
      <c r="O146" s="772">
        <v>41463</v>
      </c>
      <c r="P146" s="773" t="s">
        <v>868</v>
      </c>
      <c r="Q146" s="305"/>
      <c r="R146" s="804"/>
      <c r="S146" s="25">
        <f t="shared" ref="S146:S242" si="35">ROUND(Q146*R146,0)</f>
        <v>0</v>
      </c>
      <c r="T146" s="449"/>
      <c r="U146" s="774"/>
      <c r="V146" s="804"/>
      <c r="W146" s="802"/>
      <c r="X146" s="25">
        <f t="shared" si="30"/>
        <v>0</v>
      </c>
    </row>
    <row r="147" spans="1:24" ht="13.5" customHeight="1">
      <c r="A147" s="757">
        <f t="shared" si="34"/>
        <v>4</v>
      </c>
      <c r="B147" s="297" t="s">
        <v>869</v>
      </c>
      <c r="C147" s="25">
        <f t="shared" si="31"/>
        <v>0</v>
      </c>
      <c r="D147" s="758">
        <f>IF($I$243&lt;&gt;0,D$243/$I$243*$I147,0)</f>
        <v>17281.420765027324</v>
      </c>
      <c r="E147" s="758">
        <f>IF($I$243&lt;&gt;0,E$243/$I$243*$I147,0)</f>
        <v>2347.4802671523985</v>
      </c>
      <c r="F147" s="758">
        <f>IF($I$243&lt;&gt;0,F$243/$I$243*$I147,0)</f>
        <v>27231.329690346083</v>
      </c>
      <c r="G147" s="758">
        <f>IF($I$243&lt;&gt;0,G$243/$I$243*$I147,0)</f>
        <v>25485.731633272619</v>
      </c>
      <c r="H147" s="25">
        <f>SUM(C147:G147)</f>
        <v>72345.962355798431</v>
      </c>
      <c r="I147" s="758">
        <v>115</v>
      </c>
      <c r="J147" s="758">
        <f t="shared" si="32"/>
        <v>629.09532483302985</v>
      </c>
      <c r="K147" s="666">
        <v>21300</v>
      </c>
      <c r="L147" s="666"/>
      <c r="M147" s="189"/>
      <c r="N147" s="772">
        <f t="shared" si="33"/>
        <v>41460</v>
      </c>
      <c r="O147" s="772">
        <v>41463</v>
      </c>
      <c r="P147" s="773" t="s">
        <v>868</v>
      </c>
      <c r="Q147" s="305"/>
      <c r="R147" s="804"/>
      <c r="S147" s="25">
        <f t="shared" si="35"/>
        <v>0</v>
      </c>
      <c r="T147" s="449"/>
      <c r="U147" s="774"/>
      <c r="V147" s="804"/>
      <c r="W147" s="804"/>
      <c r="X147" s="25">
        <f t="shared" si="30"/>
        <v>0</v>
      </c>
    </row>
    <row r="148" spans="1:24" ht="13.5" customHeight="1">
      <c r="A148" s="757">
        <f>IF(B148&lt;&gt;"",A147+1,"")</f>
        <v>5</v>
      </c>
      <c r="B148" s="297" t="s">
        <v>723</v>
      </c>
      <c r="C148" s="25">
        <f t="shared" si="31"/>
        <v>0</v>
      </c>
      <c r="D148" s="758">
        <f>IF($I$243&lt;&gt;0,D$243/$I$243*$I148,0)</f>
        <v>88961.74863387979</v>
      </c>
      <c r="E148" s="758">
        <f>IF($I$243&lt;&gt;0,E$243/$I$243*$I148,0)</f>
        <v>12084.420157862782</v>
      </c>
      <c r="F148" s="758">
        <f>IF($I$243&lt;&gt;0,F$243/$I$243*$I148,0)</f>
        <v>140182.14936247724</v>
      </c>
      <c r="G148" s="758">
        <f>IF($I$243&lt;&gt;0,G$243/$I$243*$I148,0)</f>
        <v>131196.11414693383</v>
      </c>
      <c r="H148" s="25">
        <f>SUM(C148:G148)</f>
        <v>372424.43230115366</v>
      </c>
      <c r="I148" s="758">
        <v>592</v>
      </c>
      <c r="J148" s="758">
        <f t="shared" si="32"/>
        <v>629.09532483302985</v>
      </c>
      <c r="K148" s="666">
        <v>5700</v>
      </c>
      <c r="L148" s="666"/>
      <c r="M148" s="189"/>
      <c r="N148" s="772">
        <f t="shared" si="33"/>
        <v>41460</v>
      </c>
      <c r="O148" s="772">
        <v>41463</v>
      </c>
      <c r="P148" s="773" t="s">
        <v>870</v>
      </c>
      <c r="Q148" s="305"/>
      <c r="R148" s="804"/>
      <c r="S148" s="25">
        <f t="shared" si="35"/>
        <v>0</v>
      </c>
      <c r="T148" s="449"/>
      <c r="U148" s="774"/>
      <c r="V148" s="804"/>
      <c r="W148" s="804"/>
      <c r="X148" s="25">
        <f t="shared" si="30"/>
        <v>0</v>
      </c>
    </row>
    <row r="149" spans="1:24" ht="13.5" customHeight="1">
      <c r="A149" s="757">
        <f t="shared" si="34"/>
        <v>6</v>
      </c>
      <c r="B149" s="297" t="s">
        <v>725</v>
      </c>
      <c r="C149" s="25">
        <f t="shared" si="31"/>
        <v>0</v>
      </c>
      <c r="D149" s="758">
        <f>IF($I$243&lt;&gt;0,D$243/$I$243*$I149,0)</f>
        <v>91516.393442622953</v>
      </c>
      <c r="E149" s="758">
        <f>IF($I$243&lt;&gt;0,E$243/$I$243*$I149,0)</f>
        <v>12431.43897996357</v>
      </c>
      <c r="F149" s="758">
        <f>IF($I$243&lt;&gt;0,F$243/$I$243*$I149,0)</f>
        <v>144207.65027322405</v>
      </c>
      <c r="G149" s="758">
        <f>IF($I$243&lt;&gt;0,G$243/$I$243*$I149,0)</f>
        <v>134963.57012750456</v>
      </c>
      <c r="H149" s="25">
        <f>SUM(C149:G149)</f>
        <v>383119.05282331514</v>
      </c>
      <c r="I149" s="758">
        <v>609</v>
      </c>
      <c r="J149" s="758">
        <f t="shared" ref="J149:J175" si="36">IF(I149&lt;&gt;"",H149/I149,"")</f>
        <v>629.09532483302974</v>
      </c>
      <c r="K149" s="666">
        <v>4600</v>
      </c>
      <c r="L149" s="666"/>
      <c r="M149" s="297"/>
      <c r="N149" s="772">
        <f t="shared" si="33"/>
        <v>41460</v>
      </c>
      <c r="O149" s="772">
        <v>41463</v>
      </c>
      <c r="P149" s="773" t="s">
        <v>870</v>
      </c>
      <c r="Q149" s="305"/>
      <c r="R149" s="804"/>
      <c r="S149" s="25">
        <f t="shared" si="35"/>
        <v>0</v>
      </c>
      <c r="T149" s="449"/>
      <c r="U149" s="774"/>
      <c r="V149" s="804"/>
      <c r="W149" s="804"/>
      <c r="X149" s="25"/>
    </row>
    <row r="150" spans="1:24" ht="13.5" customHeight="1">
      <c r="A150" s="757">
        <f t="shared" si="34"/>
        <v>7</v>
      </c>
      <c r="B150" s="297" t="s">
        <v>871</v>
      </c>
      <c r="C150" s="25">
        <f t="shared" si="31"/>
        <v>0</v>
      </c>
      <c r="D150" s="758">
        <f>IF($I$243&lt;&gt;0,D$243/$I$243*$I150,0)</f>
        <v>122172.13114754099</v>
      </c>
      <c r="E150" s="758">
        <f>IF($I$243&lt;&gt;0,E$243/$I$243*$I150,0)</f>
        <v>16595.664845173043</v>
      </c>
      <c r="F150" s="758">
        <f>IF($I$243&lt;&gt;0,F$243/$I$243*$I150,0)</f>
        <v>192513.66120218579</v>
      </c>
      <c r="G150" s="758">
        <f>IF($I$243&lt;&gt;0,G$243/$I$243*$I150,0)</f>
        <v>180173.04189435337</v>
      </c>
      <c r="H150" s="25">
        <f>SUM(C150:G150)</f>
        <v>511454.49908925314</v>
      </c>
      <c r="I150" s="758">
        <v>813</v>
      </c>
      <c r="J150" s="758">
        <f t="shared" si="36"/>
        <v>629.09532483302974</v>
      </c>
      <c r="K150" s="666">
        <v>8900</v>
      </c>
      <c r="L150" s="666"/>
      <c r="M150" s="189"/>
      <c r="N150" s="772">
        <f t="shared" si="33"/>
        <v>41460</v>
      </c>
      <c r="O150" s="772">
        <v>41463</v>
      </c>
      <c r="P150" s="773" t="s">
        <v>870</v>
      </c>
      <c r="Q150" s="305"/>
      <c r="R150" s="804"/>
      <c r="S150" s="25">
        <f t="shared" si="35"/>
        <v>0</v>
      </c>
      <c r="T150" s="449"/>
      <c r="U150" s="774"/>
      <c r="V150" s="804"/>
      <c r="W150" s="804"/>
      <c r="X150" s="25"/>
    </row>
    <row r="151" spans="1:24" ht="13.5" customHeight="1">
      <c r="A151" s="757">
        <f t="shared" si="34"/>
        <v>8</v>
      </c>
      <c r="B151" s="297" t="s">
        <v>872</v>
      </c>
      <c r="C151" s="25">
        <f t="shared" si="31"/>
        <v>0</v>
      </c>
      <c r="D151" s="758">
        <f>IF($I$243&lt;&gt;0,D$243/$I$243*$I151,0)</f>
        <v>98579.234972677601</v>
      </c>
      <c r="E151" s="758">
        <f>IF($I$243&lt;&gt;0,E$243/$I$243*$I151,0)</f>
        <v>13390.84395871281</v>
      </c>
      <c r="F151" s="758">
        <f>IF($I$243&lt;&gt;0,F$243/$I$243*$I151,0)</f>
        <v>155336.97632058288</v>
      </c>
      <c r="G151" s="758">
        <f>IF($I$243&lt;&gt;0,G$243/$I$243*$I151,0)</f>
        <v>145379.47783849423</v>
      </c>
      <c r="H151" s="25">
        <f>SUM(C151:G151)</f>
        <v>412686.53309046751</v>
      </c>
      <c r="I151" s="758">
        <v>656</v>
      </c>
      <c r="J151" s="758">
        <f t="shared" si="36"/>
        <v>629.09532483302974</v>
      </c>
      <c r="K151" s="666">
        <v>7200</v>
      </c>
      <c r="L151" s="666"/>
      <c r="M151" s="189"/>
      <c r="N151" s="772">
        <f t="shared" si="33"/>
        <v>41460</v>
      </c>
      <c r="O151" s="772">
        <v>41463</v>
      </c>
      <c r="P151" s="773" t="s">
        <v>870</v>
      </c>
      <c r="Q151" s="305"/>
      <c r="R151" s="804"/>
      <c r="S151" s="25">
        <f t="shared" si="35"/>
        <v>0</v>
      </c>
      <c r="T151" s="449"/>
      <c r="U151" s="774"/>
      <c r="V151" s="804"/>
      <c r="W151" s="804"/>
      <c r="X151" s="25"/>
    </row>
    <row r="152" spans="1:24" ht="13.5" customHeight="1">
      <c r="A152" s="757">
        <f t="shared" si="34"/>
        <v>9</v>
      </c>
      <c r="B152" s="297" t="s">
        <v>731</v>
      </c>
      <c r="C152" s="25">
        <f t="shared" si="31"/>
        <v>0</v>
      </c>
      <c r="D152" s="758">
        <f>IF($I$243&lt;&gt;0,D$243/$I$243*$I152,0)</f>
        <v>154330.60109289619</v>
      </c>
      <c r="E152" s="758">
        <f>IF($I$243&lt;&gt;0,E$243/$I$243*$I152,0)</f>
        <v>20964.019429265332</v>
      </c>
      <c r="F152" s="758">
        <f>IF($I$243&lt;&gt;0,F$243/$I$243*$I152,0)</f>
        <v>243187.61384335154</v>
      </c>
      <c r="G152" s="758">
        <f>IF($I$243&lt;&gt;0,G$243/$I$243*$I152,0)</f>
        <v>227598.6642380085</v>
      </c>
      <c r="H152" s="25">
        <f>SUM(C152:G152)</f>
        <v>646080.89860352152</v>
      </c>
      <c r="I152" s="758">
        <v>1027</v>
      </c>
      <c r="J152" s="758">
        <f t="shared" si="36"/>
        <v>629.09532483302974</v>
      </c>
      <c r="K152" s="666">
        <v>8740</v>
      </c>
      <c r="L152" s="666"/>
      <c r="M152" s="40"/>
      <c r="N152" s="772">
        <f t="shared" si="33"/>
        <v>41472</v>
      </c>
      <c r="O152" s="772">
        <v>41475</v>
      </c>
      <c r="P152" s="773" t="s">
        <v>873</v>
      </c>
      <c r="Q152" s="305"/>
      <c r="R152" s="804"/>
      <c r="S152" s="25">
        <f t="shared" si="35"/>
        <v>0</v>
      </c>
      <c r="T152" s="449"/>
      <c r="U152" s="774"/>
      <c r="V152" s="804"/>
      <c r="W152" s="804"/>
      <c r="X152" s="25"/>
    </row>
    <row r="153" spans="1:24" ht="13.5" customHeight="1">
      <c r="A153" s="757">
        <f t="shared" si="34"/>
        <v>10</v>
      </c>
      <c r="B153" s="297" t="s">
        <v>838</v>
      </c>
      <c r="C153" s="25">
        <f t="shared" si="31"/>
        <v>0</v>
      </c>
      <c r="D153" s="758">
        <f>IF($I$243&lt;&gt;0,D$243/$I$243*$I153,0)</f>
        <v>112554.64480874318</v>
      </c>
      <c r="E153" s="758">
        <f>IF($I$243&lt;&gt;0,E$243/$I$243*$I153,0)</f>
        <v>15289.241044323011</v>
      </c>
      <c r="F153" s="758">
        <f>IF($I$243&lt;&gt;0,F$243/$I$243*$I153,0)</f>
        <v>177358.83424408015</v>
      </c>
      <c r="G153" s="758">
        <f>IF($I$243&lt;&gt;0,G$243/$I$243*$I153,0)</f>
        <v>165989.67820279294</v>
      </c>
      <c r="H153" s="25">
        <f>SUM(C153:G153)</f>
        <v>471192.39829993929</v>
      </c>
      <c r="I153" s="758">
        <v>749</v>
      </c>
      <c r="J153" s="758">
        <f t="shared" si="36"/>
        <v>629.09532483302974</v>
      </c>
      <c r="K153" s="666">
        <v>10500</v>
      </c>
      <c r="L153" s="666"/>
      <c r="M153" s="189"/>
      <c r="N153" s="772">
        <f t="shared" si="33"/>
        <v>41472</v>
      </c>
      <c r="O153" s="772">
        <v>41475</v>
      </c>
      <c r="P153" s="773" t="s">
        <v>874</v>
      </c>
      <c r="Q153" s="305"/>
      <c r="R153" s="804"/>
      <c r="S153" s="25">
        <f t="shared" si="35"/>
        <v>0</v>
      </c>
      <c r="T153" s="449"/>
      <c r="U153" s="774"/>
      <c r="V153" s="804"/>
      <c r="W153" s="804"/>
      <c r="X153" s="25"/>
    </row>
    <row r="154" spans="1:24" ht="13.5" customHeight="1">
      <c r="A154" s="757">
        <f t="shared" si="34"/>
        <v>11</v>
      </c>
      <c r="B154" s="297" t="s">
        <v>1156</v>
      </c>
      <c r="C154" s="25">
        <f t="shared" si="31"/>
        <v>0</v>
      </c>
      <c r="D154" s="758">
        <f>IF($I$243&lt;&gt;0,D$243/$I$243*$I154,0)</f>
        <v>229467.21311475412</v>
      </c>
      <c r="E154" s="758">
        <f>IF($I$243&lt;&gt;0,E$243/$I$243*$I154,0)</f>
        <v>31170.455373406192</v>
      </c>
      <c r="F154" s="758">
        <f>IF($I$243&lt;&gt;0,F$243/$I$243*$I154,0)</f>
        <v>361584.6994535519</v>
      </c>
      <c r="G154" s="758">
        <f>IF($I$243&lt;&gt;0,G$243/$I$243*$I154,0)</f>
        <v>338406.1930783242</v>
      </c>
      <c r="H154" s="25">
        <f>SUM(C154:G154)</f>
        <v>960628.56102003646</v>
      </c>
      <c r="I154" s="758">
        <v>1527</v>
      </c>
      <c r="J154" s="758">
        <f t="shared" si="36"/>
        <v>629.09532483302974</v>
      </c>
      <c r="K154" s="666">
        <v>4540</v>
      </c>
      <c r="L154" s="666"/>
      <c r="M154" s="40"/>
      <c r="N154" s="772">
        <f t="shared" si="33"/>
        <v>41474</v>
      </c>
      <c r="O154" s="772">
        <v>41477</v>
      </c>
      <c r="P154" s="773" t="s">
        <v>875</v>
      </c>
      <c r="Q154" s="305"/>
      <c r="R154" s="804"/>
      <c r="S154" s="25">
        <f t="shared" si="35"/>
        <v>0</v>
      </c>
      <c r="T154" s="449"/>
      <c r="U154" s="774"/>
      <c r="V154" s="804"/>
      <c r="W154" s="804"/>
      <c r="X154" s="25"/>
    </row>
    <row r="155" spans="1:24" ht="13.5" customHeight="1">
      <c r="A155" s="757">
        <f t="shared" si="34"/>
        <v>12</v>
      </c>
      <c r="B155" s="297" t="s">
        <v>876</v>
      </c>
      <c r="C155" s="25">
        <f t="shared" si="31"/>
        <v>0</v>
      </c>
      <c r="D155" s="758">
        <f>IF($I$243&lt;&gt;0,D$243/$I$243*$I155,0)</f>
        <v>149672.13114754099</v>
      </c>
      <c r="E155" s="758">
        <f>IF($I$243&lt;&gt;0,E$243/$I$243*$I155,0)</f>
        <v>20331.220400728598</v>
      </c>
      <c r="F155" s="758">
        <f>IF($I$243&lt;&gt;0,F$243/$I$243*$I155,0)</f>
        <v>235846.99453551913</v>
      </c>
      <c r="G155" s="758">
        <f>IF($I$243&lt;&gt;0,G$243/$I$243*$I155,0)</f>
        <v>220728.59744990894</v>
      </c>
      <c r="H155" s="25">
        <f>SUM(C155:G155)</f>
        <v>626578.94353369763</v>
      </c>
      <c r="I155" s="758">
        <v>996</v>
      </c>
      <c r="J155" s="758">
        <f t="shared" si="36"/>
        <v>629.09532483302974</v>
      </c>
      <c r="K155" s="666">
        <v>11300</v>
      </c>
      <c r="L155" s="666"/>
      <c r="M155" s="189"/>
      <c r="N155" s="772">
        <f t="shared" si="33"/>
        <v>41474</v>
      </c>
      <c r="O155" s="772">
        <v>41477</v>
      </c>
      <c r="P155" s="773" t="s">
        <v>875</v>
      </c>
      <c r="Q155" s="305"/>
      <c r="R155" s="804"/>
      <c r="S155" s="25">
        <f t="shared" si="35"/>
        <v>0</v>
      </c>
      <c r="T155" s="449"/>
      <c r="U155" s="774"/>
      <c r="V155" s="804"/>
      <c r="W155" s="804"/>
      <c r="X155" s="25"/>
    </row>
    <row r="156" spans="1:24" ht="13.5" customHeight="1">
      <c r="A156" s="757">
        <f t="shared" si="34"/>
        <v>13</v>
      </c>
      <c r="B156" s="297" t="s">
        <v>877</v>
      </c>
      <c r="C156" s="25">
        <f t="shared" si="31"/>
        <v>0</v>
      </c>
      <c r="D156" s="758">
        <f>IF($I$243&lt;&gt;0,D$243/$I$243*$I156,0)</f>
        <v>7513.6612021857927</v>
      </c>
      <c r="E156" s="758">
        <f>IF($I$243&lt;&gt;0,E$243/$I$243*$I156,0)</f>
        <v>1020.6435944140862</v>
      </c>
      <c r="F156" s="758">
        <f>IF($I$243&lt;&gt;0,F$243/$I$243*$I156,0)</f>
        <v>11839.708561020036</v>
      </c>
      <c r="G156" s="758">
        <f>IF($I$243&lt;&gt;0,G$243/$I$243*$I156,0)</f>
        <v>11080.752884031572</v>
      </c>
      <c r="H156" s="25">
        <f>SUM(C156:G156)</f>
        <v>31454.766241651487</v>
      </c>
      <c r="I156" s="758">
        <v>50</v>
      </c>
      <c r="J156" s="758">
        <f t="shared" si="36"/>
        <v>629.09532483302974</v>
      </c>
      <c r="K156" s="666">
        <v>38800</v>
      </c>
      <c r="L156" s="666"/>
      <c r="M156" s="189"/>
      <c r="N156" s="772">
        <f t="shared" si="33"/>
        <v>41474</v>
      </c>
      <c r="O156" s="772">
        <v>41477</v>
      </c>
      <c r="P156" s="773" t="s">
        <v>878</v>
      </c>
      <c r="Q156" s="305"/>
      <c r="R156" s="804"/>
      <c r="S156" s="25">
        <f t="shared" si="35"/>
        <v>0</v>
      </c>
      <c r="T156" s="449"/>
      <c r="U156" s="774"/>
      <c r="V156" s="804"/>
      <c r="W156" s="804"/>
      <c r="X156" s="25"/>
    </row>
    <row r="157" spans="1:24" ht="13.5" customHeight="1">
      <c r="A157" s="757">
        <f t="shared" si="34"/>
        <v>14</v>
      </c>
      <c r="B157" s="297" t="s">
        <v>880</v>
      </c>
      <c r="C157" s="25">
        <f t="shared" si="31"/>
        <v>0</v>
      </c>
      <c r="D157" s="758">
        <f>IF($I$243&lt;&gt;0,D$243/$I$243*$I157,0)</f>
        <v>7513.6612021857927</v>
      </c>
      <c r="E157" s="758">
        <f>IF($I$243&lt;&gt;0,E$243/$I$243*$I157,0)</f>
        <v>1020.6435944140862</v>
      </c>
      <c r="F157" s="758">
        <f>IF($I$243&lt;&gt;0,F$243/$I$243*$I157,0)</f>
        <v>11839.708561020036</v>
      </c>
      <c r="G157" s="758">
        <f>IF($I$243&lt;&gt;0,G$243/$I$243*$I157,0)</f>
        <v>11080.752884031572</v>
      </c>
      <c r="H157" s="25">
        <f>SUM(C157:G157)</f>
        <v>31454.766241651487</v>
      </c>
      <c r="I157" s="758">
        <v>50</v>
      </c>
      <c r="J157" s="758">
        <f t="shared" si="36"/>
        <v>629.09532483302974</v>
      </c>
      <c r="K157" s="666">
        <v>45000</v>
      </c>
      <c r="L157" s="666"/>
      <c r="M157" s="40"/>
      <c r="N157" s="772">
        <f t="shared" si="33"/>
        <v>41474</v>
      </c>
      <c r="O157" s="772">
        <v>41477</v>
      </c>
      <c r="P157" s="773" t="s">
        <v>878</v>
      </c>
      <c r="Q157" s="305"/>
      <c r="R157" s="804"/>
      <c r="S157" s="25">
        <f t="shared" si="35"/>
        <v>0</v>
      </c>
      <c r="T157" s="449"/>
      <c r="U157" s="774"/>
      <c r="V157" s="804"/>
      <c r="W157" s="804"/>
      <c r="X157" s="25"/>
    </row>
    <row r="158" spans="1:24" ht="13.5" customHeight="1">
      <c r="A158" s="757">
        <f t="shared" si="34"/>
        <v>15</v>
      </c>
      <c r="B158" s="297" t="s">
        <v>881</v>
      </c>
      <c r="C158" s="25">
        <f t="shared" si="31"/>
        <v>0</v>
      </c>
      <c r="D158" s="758">
        <f>IF($I$243&lt;&gt;0,D$243/$I$243*$I158,0)</f>
        <v>3005.4644808743169</v>
      </c>
      <c r="E158" s="758">
        <f>IF($I$243&lt;&gt;0,E$243/$I$243*$I158,0)</f>
        <v>408.25743776563451</v>
      </c>
      <c r="F158" s="758">
        <f>IF($I$243&lt;&gt;0,F$243/$I$243*$I158,0)</f>
        <v>4735.8834244080144</v>
      </c>
      <c r="G158" s="758">
        <f>IF($I$243&lt;&gt;0,G$243/$I$243*$I158,0)</f>
        <v>4432.3011536126287</v>
      </c>
      <c r="H158" s="25">
        <f>SUM(C158:G158)</f>
        <v>12581.906496660595</v>
      </c>
      <c r="I158" s="758">
        <v>20</v>
      </c>
      <c r="J158" s="758">
        <f t="shared" si="36"/>
        <v>629.09532483302974</v>
      </c>
      <c r="K158" s="666">
        <v>50400</v>
      </c>
      <c r="L158" s="666"/>
      <c r="M158" s="189"/>
      <c r="N158" s="772">
        <f t="shared" si="33"/>
        <v>41474</v>
      </c>
      <c r="O158" s="772">
        <v>41477</v>
      </c>
      <c r="P158" s="773" t="s">
        <v>878</v>
      </c>
      <c r="Q158" s="305"/>
      <c r="R158" s="804"/>
      <c r="S158" s="25">
        <f t="shared" si="35"/>
        <v>0</v>
      </c>
      <c r="T158" s="449"/>
      <c r="U158" s="774"/>
      <c r="V158" s="804"/>
      <c r="W158" s="804"/>
      <c r="X158" s="25"/>
    </row>
    <row r="159" spans="1:24" ht="13.5" customHeight="1">
      <c r="A159" s="757">
        <f>IF(B159&lt;&gt;"",A158+1,"")</f>
        <v>16</v>
      </c>
      <c r="B159" s="297" t="s">
        <v>882</v>
      </c>
      <c r="C159" s="25">
        <f t="shared" si="31"/>
        <v>0</v>
      </c>
      <c r="D159" s="758">
        <f>IF($I$243&lt;&gt;0,D$243/$I$243*$I159,0)</f>
        <v>3005.4644808743169</v>
      </c>
      <c r="E159" s="758">
        <f>IF($I$243&lt;&gt;0,E$243/$I$243*$I159,0)</f>
        <v>408.25743776563451</v>
      </c>
      <c r="F159" s="758">
        <f>IF($I$243&lt;&gt;0,F$243/$I$243*$I159,0)</f>
        <v>4735.8834244080144</v>
      </c>
      <c r="G159" s="758">
        <f>IF($I$243&lt;&gt;0,G$243/$I$243*$I159,0)</f>
        <v>4432.3011536126287</v>
      </c>
      <c r="H159" s="25">
        <f>SUM(C159:G159)</f>
        <v>12581.906496660595</v>
      </c>
      <c r="I159" s="758">
        <v>20</v>
      </c>
      <c r="J159" s="758">
        <f t="shared" si="36"/>
        <v>629.09532483302974</v>
      </c>
      <c r="K159" s="666">
        <v>53500</v>
      </c>
      <c r="L159" s="666"/>
      <c r="M159" s="189"/>
      <c r="N159" s="772">
        <f t="shared" si="33"/>
        <v>41474</v>
      </c>
      <c r="O159" s="772">
        <v>41477</v>
      </c>
      <c r="P159" s="773" t="s">
        <v>878</v>
      </c>
      <c r="Q159" s="305"/>
      <c r="S159" s="25">
        <f t="shared" si="35"/>
        <v>0</v>
      </c>
      <c r="T159" s="449"/>
      <c r="U159" s="774"/>
      <c r="V159" s="804"/>
      <c r="W159" s="804"/>
      <c r="X159" s="25"/>
    </row>
    <row r="160" spans="1:24" ht="13.5" customHeight="1">
      <c r="A160" s="757">
        <f t="shared" si="34"/>
        <v>17</v>
      </c>
      <c r="B160" s="297" t="s">
        <v>883</v>
      </c>
      <c r="C160" s="25">
        <f t="shared" si="31"/>
        <v>0</v>
      </c>
      <c r="D160" s="758">
        <f>IF($I$243&lt;&gt;0,D$243/$I$243*$I160,0)</f>
        <v>3005.4644808743169</v>
      </c>
      <c r="E160" s="758">
        <f>IF($I$243&lt;&gt;0,E$243/$I$243*$I160,0)</f>
        <v>408.25743776563451</v>
      </c>
      <c r="F160" s="758">
        <f>IF($I$243&lt;&gt;0,F$243/$I$243*$I160,0)</f>
        <v>4735.8834244080144</v>
      </c>
      <c r="G160" s="758">
        <f>IF($I$243&lt;&gt;0,G$243/$I$243*$I160,0)</f>
        <v>4432.3011536126287</v>
      </c>
      <c r="H160" s="25">
        <f>SUM(C160:G160)</f>
        <v>12581.906496660595</v>
      </c>
      <c r="I160" s="758">
        <v>20</v>
      </c>
      <c r="J160" s="758">
        <f t="shared" si="36"/>
        <v>629.09532483302974</v>
      </c>
      <c r="K160" s="666">
        <v>57000</v>
      </c>
      <c r="L160" s="666"/>
      <c r="M160" s="189"/>
      <c r="N160" s="772">
        <f t="shared" si="33"/>
        <v>41474</v>
      </c>
      <c r="O160" s="772">
        <v>41477</v>
      </c>
      <c r="P160" s="773" t="s">
        <v>878</v>
      </c>
      <c r="Q160" s="305"/>
      <c r="R160" s="804"/>
      <c r="S160" s="25">
        <f t="shared" si="35"/>
        <v>0</v>
      </c>
      <c r="T160" s="449"/>
      <c r="U160" s="774"/>
      <c r="V160" s="804"/>
      <c r="W160" s="804"/>
      <c r="X160" s="25"/>
    </row>
    <row r="161" spans="1:24" ht="13.5" customHeight="1">
      <c r="A161" s="757">
        <f t="shared" si="34"/>
        <v>18</v>
      </c>
      <c r="B161" s="297" t="s">
        <v>884</v>
      </c>
      <c r="C161" s="25">
        <f t="shared" si="31"/>
        <v>0</v>
      </c>
      <c r="D161" s="758">
        <f>IF($I$243&lt;&gt;0,D$243/$I$243*$I161,0)</f>
        <v>3005.4644808743169</v>
      </c>
      <c r="E161" s="758">
        <f>IF($I$243&lt;&gt;0,E$243/$I$243*$I161,0)</f>
        <v>408.25743776563451</v>
      </c>
      <c r="F161" s="758">
        <f>IF($I$243&lt;&gt;0,F$243/$I$243*$I161,0)</f>
        <v>4735.8834244080144</v>
      </c>
      <c r="G161" s="758">
        <f>IF($I$243&lt;&gt;0,G$243/$I$243*$I161,0)</f>
        <v>4432.3011536126287</v>
      </c>
      <c r="H161" s="25">
        <f>SUM(C161:G161)</f>
        <v>12581.906496660595</v>
      </c>
      <c r="I161" s="758">
        <v>20</v>
      </c>
      <c r="J161" s="758">
        <f t="shared" si="36"/>
        <v>629.09532483302974</v>
      </c>
      <c r="K161" s="666">
        <v>69400</v>
      </c>
      <c r="L161" s="666"/>
      <c r="M161" s="189"/>
      <c r="N161" s="772">
        <f t="shared" si="33"/>
        <v>41474</v>
      </c>
      <c r="O161" s="772">
        <v>41477</v>
      </c>
      <c r="P161" s="773" t="s">
        <v>878</v>
      </c>
      <c r="Q161" s="305"/>
      <c r="R161" s="804"/>
      <c r="S161" s="25">
        <f t="shared" si="35"/>
        <v>0</v>
      </c>
      <c r="T161" s="449"/>
      <c r="U161" s="774"/>
      <c r="V161" s="804"/>
      <c r="W161" s="804"/>
      <c r="X161" s="25"/>
    </row>
    <row r="162" spans="1:24" ht="13.5" customHeight="1">
      <c r="A162" s="757">
        <f t="shared" si="34"/>
        <v>19</v>
      </c>
      <c r="B162" s="297" t="s">
        <v>885</v>
      </c>
      <c r="C162" s="25">
        <f t="shared" si="31"/>
        <v>0</v>
      </c>
      <c r="D162" s="758">
        <f>IF($I$243&lt;&gt;0,D$243/$I$243*$I162,0)</f>
        <v>38920.765027322406</v>
      </c>
      <c r="E162" s="758">
        <f>IF($I$243&lt;&gt;0,E$243/$I$243*$I162,0)</f>
        <v>5286.9338190649669</v>
      </c>
      <c r="F162" s="758">
        <f>IF($I$243&lt;&gt;0,F$243/$I$243*$I162,0)</f>
        <v>61329.690346083786</v>
      </c>
      <c r="G162" s="758">
        <f>IF($I$243&lt;&gt;0,G$243/$I$243*$I162,0)</f>
        <v>57398.299939283548</v>
      </c>
      <c r="H162" s="25">
        <f>SUM(C162:G162)</f>
        <v>162935.68913175471</v>
      </c>
      <c r="I162" s="758">
        <v>259</v>
      </c>
      <c r="J162" s="758">
        <f t="shared" si="36"/>
        <v>629.09532483302974</v>
      </c>
      <c r="K162" s="666">
        <v>8570</v>
      </c>
      <c r="L162" s="666"/>
      <c r="M162" s="189"/>
      <c r="N162" s="772">
        <f t="shared" si="33"/>
        <v>41476</v>
      </c>
      <c r="O162" s="772">
        <v>41479</v>
      </c>
      <c r="P162" s="773" t="s">
        <v>886</v>
      </c>
      <c r="Q162" s="305"/>
      <c r="R162" s="804"/>
      <c r="S162" s="25">
        <f t="shared" si="35"/>
        <v>0</v>
      </c>
      <c r="T162" s="449"/>
      <c r="U162" s="774"/>
      <c r="V162" s="804"/>
      <c r="W162" s="804"/>
      <c r="X162" s="25"/>
    </row>
    <row r="163" spans="1:24" ht="13.5" customHeight="1">
      <c r="A163" s="757">
        <f t="shared" si="34"/>
        <v>20</v>
      </c>
      <c r="B163" s="297" t="s">
        <v>843</v>
      </c>
      <c r="C163" s="25">
        <f t="shared" si="31"/>
        <v>0</v>
      </c>
      <c r="D163" s="758">
        <f>IF($I$243&lt;&gt;0,D$243/$I$243*$I163,0)</f>
        <v>15177.595628415302</v>
      </c>
      <c r="E163" s="758">
        <f>IF($I$243&lt;&gt;0,E$243/$I$243*$I163,0)</f>
        <v>2061.7000607164541</v>
      </c>
      <c r="F163" s="758">
        <f>IF($I$243&lt;&gt;0,F$243/$I$243*$I163,0)</f>
        <v>23916.211293260472</v>
      </c>
      <c r="G163" s="758">
        <f>IF($I$243&lt;&gt;0,G$243/$I$243*$I163,0)</f>
        <v>22383.120825743776</v>
      </c>
      <c r="H163" s="25">
        <f>SUM(C163:G163)</f>
        <v>63538.627808136</v>
      </c>
      <c r="I163" s="758">
        <v>101</v>
      </c>
      <c r="J163" s="758">
        <f t="shared" si="36"/>
        <v>629.09532483302974</v>
      </c>
      <c r="K163" s="666">
        <v>11000</v>
      </c>
      <c r="L163" s="666"/>
      <c r="M163" s="189"/>
      <c r="N163" s="772">
        <f t="shared" si="33"/>
        <v>41476</v>
      </c>
      <c r="O163" s="772">
        <v>41479</v>
      </c>
      <c r="P163" s="773" t="s">
        <v>886</v>
      </c>
      <c r="Q163" s="305"/>
      <c r="R163" s="804"/>
      <c r="S163" s="25">
        <f t="shared" si="35"/>
        <v>0</v>
      </c>
      <c r="T163" s="449"/>
      <c r="U163" s="774"/>
      <c r="V163" s="804"/>
      <c r="W163" s="804"/>
      <c r="X163" s="25"/>
    </row>
    <row r="164" spans="1:24" ht="13.5" customHeight="1">
      <c r="A164" s="757">
        <f t="shared" si="34"/>
        <v>21</v>
      </c>
      <c r="B164" s="297" t="s">
        <v>844</v>
      </c>
      <c r="C164" s="25">
        <f t="shared" si="31"/>
        <v>0</v>
      </c>
      <c r="D164" s="758">
        <f>IF($I$243&lt;&gt;0,D$243/$I$243*$I164,0)</f>
        <v>14726.775956284155</v>
      </c>
      <c r="E164" s="758">
        <f>IF($I$243&lt;&gt;0,E$243/$I$243*$I164,0)</f>
        <v>2000.461445051609</v>
      </c>
      <c r="F164" s="758">
        <f>IF($I$243&lt;&gt;0,F$243/$I$243*$I164,0)</f>
        <v>23205.828779599273</v>
      </c>
      <c r="G164" s="758">
        <f>IF($I$243&lt;&gt;0,G$243/$I$243*$I164,0)</f>
        <v>21718.275652701883</v>
      </c>
      <c r="H164" s="25">
        <f>SUM(C164:G164)</f>
        <v>61651.341833636921</v>
      </c>
      <c r="I164" s="758">
        <v>98</v>
      </c>
      <c r="J164" s="758">
        <f t="shared" si="36"/>
        <v>629.09532483302985</v>
      </c>
      <c r="K164" s="666">
        <v>10500</v>
      </c>
      <c r="L164" s="666"/>
      <c r="M164" s="189"/>
      <c r="N164" s="772">
        <f t="shared" si="33"/>
        <v>41476</v>
      </c>
      <c r="O164" s="772">
        <v>41479</v>
      </c>
      <c r="P164" s="773" t="s">
        <v>886</v>
      </c>
      <c r="Q164" s="305"/>
      <c r="R164" s="804"/>
      <c r="S164" s="25">
        <f t="shared" si="35"/>
        <v>0</v>
      </c>
      <c r="T164" s="449"/>
      <c r="U164" s="774"/>
      <c r="V164" s="804"/>
      <c r="W164" s="804"/>
      <c r="X164" s="25"/>
    </row>
    <row r="165" spans="1:24" ht="13.5" customHeight="1">
      <c r="A165" s="757">
        <f t="shared" si="34"/>
        <v>22</v>
      </c>
      <c r="B165" s="297" t="s">
        <v>887</v>
      </c>
      <c r="C165" s="25">
        <f t="shared" si="31"/>
        <v>0</v>
      </c>
      <c r="D165" s="758">
        <f>IF($I$243&lt;&gt;0,D$243/$I$243*$I165,0)</f>
        <v>30054.644808743171</v>
      </c>
      <c r="E165" s="758">
        <f>IF($I$243&lt;&gt;0,E$243/$I$243*$I165,0)</f>
        <v>4082.574377656345</v>
      </c>
      <c r="F165" s="758">
        <f>IF($I$243&lt;&gt;0,F$243/$I$243*$I165,0)</f>
        <v>47358.834244080143</v>
      </c>
      <c r="G165" s="758">
        <f>IF($I$243&lt;&gt;0,G$243/$I$243*$I165,0)</f>
        <v>44323.011536126287</v>
      </c>
      <c r="H165" s="25">
        <f>SUM(C165:G165)</f>
        <v>125819.06496660595</v>
      </c>
      <c r="I165" s="758">
        <v>200</v>
      </c>
      <c r="J165" s="758">
        <f t="shared" si="36"/>
        <v>629.09532483302974</v>
      </c>
      <c r="K165" s="666">
        <v>8200</v>
      </c>
      <c r="L165" s="666"/>
      <c r="M165" s="189"/>
      <c r="N165" s="772">
        <f t="shared" si="33"/>
        <v>41477</v>
      </c>
      <c r="O165" s="772">
        <v>41480</v>
      </c>
      <c r="P165" s="773" t="s">
        <v>888</v>
      </c>
      <c r="Q165" s="305"/>
      <c r="R165" s="804"/>
      <c r="S165" s="25">
        <f t="shared" si="35"/>
        <v>0</v>
      </c>
      <c r="T165" s="449"/>
      <c r="U165" s="774"/>
      <c r="V165" s="804"/>
      <c r="W165" s="804"/>
      <c r="X165" s="25"/>
    </row>
    <row r="166" spans="1:24" ht="13.5" customHeight="1">
      <c r="A166" s="757">
        <f t="shared" si="34"/>
        <v>23</v>
      </c>
      <c r="B166" s="297" t="s">
        <v>1121</v>
      </c>
      <c r="C166" s="25">
        <f t="shared" si="31"/>
        <v>0</v>
      </c>
      <c r="D166" s="758">
        <f>IF($I$243&lt;&gt;0,D$243/$I$243*$I166,0)</f>
        <v>74535.519125683059</v>
      </c>
      <c r="E166" s="758">
        <f>IF($I$243&lt;&gt;0,E$243/$I$243*$I166,0)</f>
        <v>10124.784456587735</v>
      </c>
      <c r="F166" s="758">
        <f>IF($I$243&lt;&gt;0,F$243/$I$243*$I166,0)</f>
        <v>117449.90892531876</v>
      </c>
      <c r="G166" s="758">
        <f>IF($I$243&lt;&gt;0,G$243/$I$243*$I166,0)</f>
        <v>109921.0686095932</v>
      </c>
      <c r="H166" s="25">
        <f>SUM(C166:G166)</f>
        <v>312031.28111718275</v>
      </c>
      <c r="I166" s="758">
        <v>496</v>
      </c>
      <c r="J166" s="758">
        <f t="shared" si="36"/>
        <v>629.09532483302974</v>
      </c>
      <c r="K166" s="666">
        <v>7500</v>
      </c>
      <c r="L166" s="666"/>
      <c r="M166" s="297"/>
      <c r="N166" s="772">
        <f t="shared" si="33"/>
        <v>41477</v>
      </c>
      <c r="O166" s="772">
        <v>41480</v>
      </c>
      <c r="P166" s="773" t="s">
        <v>888</v>
      </c>
      <c r="Q166" s="305"/>
      <c r="R166" s="804"/>
      <c r="S166" s="25">
        <f t="shared" si="35"/>
        <v>0</v>
      </c>
      <c r="T166" s="449"/>
      <c r="U166" s="774"/>
      <c r="V166" s="804"/>
      <c r="W166" s="804"/>
      <c r="X166" s="25"/>
    </row>
    <row r="167" spans="1:24" ht="13.5" customHeight="1">
      <c r="A167" s="757">
        <f t="shared" si="34"/>
        <v>24</v>
      </c>
      <c r="B167" s="297" t="s">
        <v>1165</v>
      </c>
      <c r="C167" s="25">
        <f t="shared" si="31"/>
        <v>0</v>
      </c>
      <c r="D167" s="758">
        <f>IF($I$243&lt;&gt;0,D$243/$I$243*$I167,0)</f>
        <v>75887.978142076507</v>
      </c>
      <c r="E167" s="758">
        <f>IF($I$243&lt;&gt;0,E$243/$I$243*$I167,0)</f>
        <v>10308.50030358227</v>
      </c>
      <c r="F167" s="758">
        <f>IF($I$243&lt;&gt;0,F$243/$I$243*$I167,0)</f>
        <v>119581.05646630237</v>
      </c>
      <c r="G167" s="758">
        <f>IF($I$243&lt;&gt;0,G$243/$I$243*$I167,0)</f>
        <v>111915.60412871889</v>
      </c>
      <c r="H167" s="25">
        <f>SUM(C167:G167)</f>
        <v>317693.13904068002</v>
      </c>
      <c r="I167" s="758">
        <v>505</v>
      </c>
      <c r="J167" s="758">
        <f t="shared" si="36"/>
        <v>629.09532483302974</v>
      </c>
      <c r="K167" s="666">
        <v>6700</v>
      </c>
      <c r="L167" s="666"/>
      <c r="M167" s="40"/>
      <c r="N167" s="772">
        <f t="shared" si="33"/>
        <v>41477</v>
      </c>
      <c r="O167" s="772">
        <v>41480</v>
      </c>
      <c r="P167" s="773" t="s">
        <v>888</v>
      </c>
      <c r="Q167" s="305"/>
      <c r="R167" s="256"/>
      <c r="S167" s="25">
        <f t="shared" si="35"/>
        <v>0</v>
      </c>
      <c r="T167" s="449"/>
      <c r="U167" s="774"/>
      <c r="V167" s="804"/>
      <c r="W167" s="804"/>
      <c r="X167" s="25"/>
    </row>
    <row r="168" spans="1:24" ht="13.5" customHeight="1">
      <c r="A168" s="757">
        <f t="shared" si="34"/>
        <v>25</v>
      </c>
      <c r="B168" s="297" t="s">
        <v>889</v>
      </c>
      <c r="C168" s="25">
        <f t="shared" si="31"/>
        <v>0</v>
      </c>
      <c r="D168" s="758">
        <f>IF($I$243&lt;&gt;0,D$243/$I$243*$I168,0)</f>
        <v>150273.22404371586</v>
      </c>
      <c r="E168" s="758">
        <f>IF($I$243&lt;&gt;0,E$243/$I$243*$I168,0)</f>
        <v>20412.871888281723</v>
      </c>
      <c r="F168" s="758">
        <f>IF($I$243&lt;&gt;0,F$243/$I$243*$I168,0)</f>
        <v>236794.17122040072</v>
      </c>
      <c r="G168" s="758">
        <f>IF($I$243&lt;&gt;0,G$243/$I$243*$I168,0)</f>
        <v>221615.05768063146</v>
      </c>
      <c r="H168" s="25">
        <f>SUM(C168:G168)</f>
        <v>629095.32483302976</v>
      </c>
      <c r="I168" s="758">
        <v>1000</v>
      </c>
      <c r="J168" s="758">
        <f t="shared" si="36"/>
        <v>629.09532483302974</v>
      </c>
      <c r="K168" s="666">
        <v>6300</v>
      </c>
      <c r="L168" s="666"/>
      <c r="M168" s="40"/>
      <c r="N168" s="772">
        <f t="shared" si="33"/>
        <v>41477</v>
      </c>
      <c r="O168" s="772">
        <v>41480</v>
      </c>
      <c r="P168" s="773" t="s">
        <v>888</v>
      </c>
      <c r="Q168" s="305"/>
      <c r="R168" s="804"/>
      <c r="S168" s="25">
        <f t="shared" si="35"/>
        <v>0</v>
      </c>
      <c r="T168" s="449"/>
      <c r="U168" s="774"/>
      <c r="V168" s="804"/>
      <c r="W168" s="804"/>
      <c r="X168" s="25"/>
    </row>
    <row r="169" spans="1:24" ht="13.5" customHeight="1">
      <c r="A169" s="757">
        <f t="shared" si="34"/>
        <v>26</v>
      </c>
      <c r="B169" s="297" t="s">
        <v>1137</v>
      </c>
      <c r="C169" s="25">
        <f t="shared" si="31"/>
        <v>0</v>
      </c>
      <c r="D169" s="758">
        <f>IF($I$243&lt;&gt;0,D$243/$I$243*$I169,0)</f>
        <v>450819.67213114758</v>
      </c>
      <c r="E169" s="758">
        <f>IF($I$243&lt;&gt;0,E$243/$I$243*$I169,0)</f>
        <v>61238.615664845172</v>
      </c>
      <c r="F169" s="758">
        <f>IF($I$243&lt;&gt;0,F$243/$I$243*$I169,0)</f>
        <v>710382.51366120216</v>
      </c>
      <c r="G169" s="758">
        <f>IF($I$243&lt;&gt;0,G$243/$I$243*$I169,0)</f>
        <v>664845.17304189433</v>
      </c>
      <c r="H169" s="25">
        <f>SUM(C169:G169)</f>
        <v>1887285.9744990892</v>
      </c>
      <c r="I169" s="758">
        <v>3000</v>
      </c>
      <c r="J169" s="758">
        <f t="shared" si="36"/>
        <v>629.09532483302974</v>
      </c>
      <c r="K169" s="666">
        <v>6250</v>
      </c>
      <c r="L169" s="666"/>
      <c r="M169" s="40"/>
      <c r="N169" s="772">
        <f t="shared" si="33"/>
        <v>41478</v>
      </c>
      <c r="O169" s="772">
        <v>41481</v>
      </c>
      <c r="P169" s="773" t="s">
        <v>890</v>
      </c>
      <c r="Q169" s="305"/>
      <c r="R169" s="804"/>
      <c r="S169" s="25">
        <f t="shared" si="35"/>
        <v>0</v>
      </c>
      <c r="T169" s="449"/>
      <c r="U169" s="774"/>
      <c r="V169" s="804"/>
      <c r="W169" s="804"/>
      <c r="X169" s="25"/>
    </row>
    <row r="170" spans="1:24" ht="13.5" customHeight="1">
      <c r="A170" s="757">
        <f t="shared" si="34"/>
        <v>27</v>
      </c>
      <c r="B170" s="297" t="s">
        <v>838</v>
      </c>
      <c r="C170" s="25">
        <f t="shared" si="31"/>
        <v>0</v>
      </c>
      <c r="D170" s="758">
        <f>IF($I$243&lt;&gt;0,D$243/$I$243*$I170,0)</f>
        <v>75136.612021857931</v>
      </c>
      <c r="E170" s="758">
        <f>IF($I$243&lt;&gt;0,E$243/$I$243*$I170,0)</f>
        <v>10206.435944140861</v>
      </c>
      <c r="F170" s="758">
        <f>IF($I$243&lt;&gt;0,F$243/$I$243*$I170,0)</f>
        <v>118397.08561020036</v>
      </c>
      <c r="G170" s="758">
        <f>IF($I$243&lt;&gt;0,G$243/$I$243*$I170,0)</f>
        <v>110807.52884031573</v>
      </c>
      <c r="H170" s="25">
        <f>SUM(C170:G170)</f>
        <v>314547.66241651488</v>
      </c>
      <c r="I170" s="758">
        <v>500</v>
      </c>
      <c r="J170" s="758">
        <f t="shared" si="36"/>
        <v>629.09532483302974</v>
      </c>
      <c r="K170" s="666">
        <v>10500</v>
      </c>
      <c r="L170" s="666"/>
      <c r="M170" s="189"/>
      <c r="N170" s="772">
        <f t="shared" si="33"/>
        <v>41481</v>
      </c>
      <c r="O170" s="772">
        <v>41484</v>
      </c>
      <c r="P170" s="773" t="s">
        <v>891</v>
      </c>
      <c r="Q170" s="305"/>
      <c r="R170" s="804"/>
      <c r="S170" s="25">
        <f t="shared" si="35"/>
        <v>0</v>
      </c>
      <c r="T170" s="449"/>
      <c r="U170" s="774"/>
      <c r="V170" s="804"/>
      <c r="W170" s="804"/>
      <c r="X170" s="25"/>
    </row>
    <row r="171" spans="1:24" ht="13.5" customHeight="1">
      <c r="A171" s="757">
        <f t="shared" si="34"/>
        <v>28</v>
      </c>
      <c r="B171" s="297" t="s">
        <v>1145</v>
      </c>
      <c r="C171" s="25">
        <f t="shared" si="31"/>
        <v>0</v>
      </c>
      <c r="D171" s="758">
        <f>IF($I$243&lt;&gt;0,D$243/$I$243*$I171,0)</f>
        <v>14877.049180327869</v>
      </c>
      <c r="E171" s="758">
        <f>IF($I$243&lt;&gt;0,E$243/$I$243*$I171,0)</f>
        <v>2020.8743169398908</v>
      </c>
      <c r="F171" s="758">
        <f>IF($I$243&lt;&gt;0,F$243/$I$243*$I171,0)</f>
        <v>23442.62295081967</v>
      </c>
      <c r="G171" s="758">
        <f>IF($I$243&lt;&gt;0,G$243/$I$243*$I171,0)</f>
        <v>21939.890710382515</v>
      </c>
      <c r="H171" s="25">
        <f>SUM(C171:G171)</f>
        <v>62280.43715846994</v>
      </c>
      <c r="I171" s="758">
        <v>99</v>
      </c>
      <c r="J171" s="758">
        <f t="shared" si="36"/>
        <v>629.09532483302974</v>
      </c>
      <c r="K171" s="666">
        <v>13650</v>
      </c>
      <c r="L171" s="666"/>
      <c r="M171" s="40"/>
      <c r="N171" s="772">
        <f t="shared" si="33"/>
        <v>41484</v>
      </c>
      <c r="O171" s="772">
        <v>41487</v>
      </c>
      <c r="P171" s="773" t="s">
        <v>892</v>
      </c>
      <c r="Q171" s="305"/>
      <c r="R171" s="804"/>
      <c r="S171" s="25">
        <f t="shared" si="35"/>
        <v>0</v>
      </c>
      <c r="T171" s="449"/>
      <c r="U171" s="774"/>
      <c r="V171" s="804"/>
      <c r="W171" s="804"/>
      <c r="X171" s="25"/>
    </row>
    <row r="172" spans="1:24" ht="13.5" customHeight="1">
      <c r="A172" s="757">
        <f t="shared" si="34"/>
        <v>29</v>
      </c>
      <c r="B172" s="297" t="s">
        <v>867</v>
      </c>
      <c r="C172" s="25">
        <f t="shared" si="31"/>
        <v>0</v>
      </c>
      <c r="D172" s="758">
        <f>IF($I$243&lt;&gt;0,D$243/$I$243*$I172,0)</f>
        <v>30054.644808743171</v>
      </c>
      <c r="E172" s="758">
        <f>IF($I$243&lt;&gt;0,E$243/$I$243*$I172,0)</f>
        <v>4082.574377656345</v>
      </c>
      <c r="F172" s="758">
        <f>IF($I$243&lt;&gt;0,F$243/$I$243*$I172,0)</f>
        <v>47358.834244080143</v>
      </c>
      <c r="G172" s="758">
        <f>IF($I$243&lt;&gt;0,G$243/$I$243*$I172,0)</f>
        <v>44323.011536126287</v>
      </c>
      <c r="H172" s="25">
        <f>SUM(C172:G172)</f>
        <v>125819.06496660595</v>
      </c>
      <c r="I172" s="758">
        <v>200</v>
      </c>
      <c r="J172" s="758">
        <f t="shared" si="36"/>
        <v>629.09532483302974</v>
      </c>
      <c r="K172" s="666">
        <v>20300</v>
      </c>
      <c r="L172" s="666"/>
      <c r="M172" s="189"/>
      <c r="N172" s="772">
        <f t="shared" si="33"/>
        <v>41484</v>
      </c>
      <c r="O172" s="772">
        <v>41487</v>
      </c>
      <c r="P172" s="773" t="s">
        <v>893</v>
      </c>
      <c r="Q172" s="305"/>
      <c r="R172" s="256"/>
      <c r="S172" s="25">
        <f t="shared" si="35"/>
        <v>0</v>
      </c>
      <c r="T172" s="449"/>
      <c r="U172" s="774"/>
      <c r="V172" s="804"/>
      <c r="W172" s="804"/>
      <c r="X172" s="25"/>
    </row>
    <row r="173" spans="1:24" ht="13.5" customHeight="1">
      <c r="A173" s="757">
        <f t="shared" si="34"/>
        <v>30</v>
      </c>
      <c r="B173" s="297" t="s">
        <v>887</v>
      </c>
      <c r="C173" s="25">
        <f t="shared" si="31"/>
        <v>0</v>
      </c>
      <c r="D173" s="758">
        <f>IF($I$243&lt;&gt;0,D$243/$I$243*$I173,0)</f>
        <v>76639.344262295082</v>
      </c>
      <c r="E173" s="758">
        <f>IF($I$243&lt;&gt;0,E$243/$I$243*$I173,0)</f>
        <v>10410.564663023679</v>
      </c>
      <c r="F173" s="758">
        <f>IF($I$243&lt;&gt;0,F$243/$I$243*$I173,0)</f>
        <v>120765.02732240438</v>
      </c>
      <c r="G173" s="758">
        <f>IF($I$243&lt;&gt;0,G$243/$I$243*$I173,0)</f>
        <v>113023.67941712204</v>
      </c>
      <c r="H173" s="25">
        <f>SUM(C173:G173)</f>
        <v>320838.61566484516</v>
      </c>
      <c r="I173" s="758">
        <v>510</v>
      </c>
      <c r="J173" s="758">
        <f t="shared" si="36"/>
        <v>629.09532483302974</v>
      </c>
      <c r="K173" s="666">
        <v>8200</v>
      </c>
      <c r="L173" s="666"/>
      <c r="M173" s="40"/>
      <c r="N173" s="772">
        <f t="shared" si="33"/>
        <v>41485</v>
      </c>
      <c r="O173" s="772">
        <v>41488</v>
      </c>
      <c r="P173" s="773" t="s">
        <v>894</v>
      </c>
      <c r="Q173" s="305"/>
      <c r="R173" s="256"/>
      <c r="S173" s="25">
        <f t="shared" si="35"/>
        <v>0</v>
      </c>
      <c r="T173" s="449"/>
      <c r="U173" s="774"/>
      <c r="V173" s="804"/>
      <c r="W173" s="804"/>
      <c r="X173" s="25"/>
    </row>
    <row r="174" spans="1:24" ht="13.5" customHeight="1">
      <c r="A174" s="757">
        <f t="shared" si="34"/>
        <v>31</v>
      </c>
      <c r="B174" s="297" t="s">
        <v>1149</v>
      </c>
      <c r="C174" s="25">
        <f t="shared" si="31"/>
        <v>0</v>
      </c>
      <c r="D174" s="758">
        <f>IF($I$243&lt;&gt;0,D$243/$I$243*$I174,0)</f>
        <v>422718.57923497271</v>
      </c>
      <c r="E174" s="758">
        <f>IF($I$243&lt;&gt;0,E$243/$I$243*$I174,0)</f>
        <v>57421.408621736489</v>
      </c>
      <c r="F174" s="758">
        <f>IF($I$243&lt;&gt;0,F$243/$I$243*$I174,0)</f>
        <v>666102.00364298723</v>
      </c>
      <c r="G174" s="758">
        <f>IF($I$243&lt;&gt;0,G$243/$I$243*$I174,0)</f>
        <v>623403.15725561627</v>
      </c>
      <c r="H174" s="25">
        <f>SUM(C174:G174)</f>
        <v>1769645.1487553127</v>
      </c>
      <c r="I174" s="758">
        <v>2813</v>
      </c>
      <c r="J174" s="758">
        <f t="shared" si="36"/>
        <v>629.09532483302974</v>
      </c>
      <c r="K174" s="666">
        <v>4450</v>
      </c>
      <c r="L174" s="666"/>
      <c r="M174" s="40"/>
      <c r="N174" s="772">
        <f t="shared" si="33"/>
        <v>41485</v>
      </c>
      <c r="O174" s="772">
        <v>41488</v>
      </c>
      <c r="P174" s="773" t="s">
        <v>895</v>
      </c>
      <c r="Q174" s="305"/>
      <c r="R174" s="804"/>
      <c r="S174" s="25">
        <f t="shared" si="35"/>
        <v>0</v>
      </c>
      <c r="T174" s="449"/>
      <c r="U174" s="774"/>
      <c r="V174" s="804"/>
      <c r="W174" s="804"/>
      <c r="X174" s="25"/>
    </row>
    <row r="175" spans="1:24" ht="13.5" customHeight="1">
      <c r="A175" s="757">
        <f t="shared" si="34"/>
        <v>32</v>
      </c>
      <c r="B175" s="297" t="s">
        <v>1149</v>
      </c>
      <c r="C175" s="25">
        <f t="shared" si="31"/>
        <v>0</v>
      </c>
      <c r="D175" s="758">
        <f>IF($I$243&lt;&gt;0,D$243/$I$243*$I175,0)</f>
        <v>421516.39344262297</v>
      </c>
      <c r="E175" s="758">
        <f>IF($I$243&lt;&gt;0,E$243/$I$243*$I175,0)</f>
        <v>57258.10564663024</v>
      </c>
      <c r="F175" s="758">
        <f>IF($I$243&lt;&gt;0,F$243/$I$243*$I175,0)</f>
        <v>664207.65027322399</v>
      </c>
      <c r="G175" s="758">
        <f>IF($I$243&lt;&gt;0,G$243/$I$243*$I175,0)</f>
        <v>621630.23679417127</v>
      </c>
      <c r="H175" s="25">
        <f>SUM(C175:G175)</f>
        <v>1764612.3861566484</v>
      </c>
      <c r="I175" s="758">
        <v>2805</v>
      </c>
      <c r="J175" s="758">
        <f t="shared" si="36"/>
        <v>629.09532483302974</v>
      </c>
      <c r="K175" s="666">
        <v>4450</v>
      </c>
      <c r="L175" s="666"/>
      <c r="M175" s="189"/>
      <c r="N175" s="772">
        <f t="shared" si="33"/>
        <v>41486</v>
      </c>
      <c r="O175" s="772">
        <v>41489</v>
      </c>
      <c r="P175" s="773" t="s">
        <v>897</v>
      </c>
      <c r="Q175" s="305"/>
      <c r="R175" s="804"/>
      <c r="S175" s="25">
        <f t="shared" si="35"/>
        <v>0</v>
      </c>
      <c r="T175" s="449"/>
      <c r="U175" s="774"/>
      <c r="V175" s="804"/>
      <c r="W175" s="804"/>
      <c r="X175" s="25"/>
    </row>
    <row r="176" spans="1:24" ht="13.5" customHeight="1">
      <c r="A176" s="757">
        <f t="shared" si="34"/>
        <v>33</v>
      </c>
      <c r="B176" s="297" t="s">
        <v>1149</v>
      </c>
      <c r="C176" s="25">
        <f t="shared" si="31"/>
        <v>0</v>
      </c>
      <c r="D176" s="758">
        <f>IF($I$243&lt;&gt;0,D$243/$I$243*$I176,0)</f>
        <v>425122.95081967214</v>
      </c>
      <c r="E176" s="758">
        <f>IF($I$243&lt;&gt;0,E$243/$I$243*$I176,0)</f>
        <v>57748.014571948996</v>
      </c>
      <c r="F176" s="758">
        <f>IF($I$243&lt;&gt;0,F$243/$I$243*$I176,0)</f>
        <v>669890.7103825137</v>
      </c>
      <c r="G176" s="758">
        <f>IF($I$243&lt;&gt;0,G$243/$I$243*$I176,0)</f>
        <v>626948.99817850639</v>
      </c>
      <c r="H176" s="25">
        <f>SUM(C176:G176)</f>
        <v>1779710.673952641</v>
      </c>
      <c r="I176" s="758">
        <v>2829</v>
      </c>
      <c r="J176" s="758">
        <f t="shared" ref="J176:J239" si="37">IF(I176&lt;&gt;"",H176/I176,"")</f>
        <v>629.09532483302974</v>
      </c>
      <c r="K176" s="666">
        <v>4450</v>
      </c>
      <c r="L176" s="666"/>
      <c r="M176" s="189"/>
      <c r="N176" s="772">
        <f t="shared" si="33"/>
        <v>41489</v>
      </c>
      <c r="O176" s="772">
        <v>41492</v>
      </c>
      <c r="P176" s="773" t="s">
        <v>898</v>
      </c>
      <c r="Q176" s="305"/>
      <c r="R176" s="256"/>
      <c r="S176" s="25">
        <f t="shared" si="35"/>
        <v>0</v>
      </c>
      <c r="T176" s="449"/>
      <c r="U176" s="774"/>
      <c r="V176" s="804"/>
      <c r="W176" s="804"/>
      <c r="X176" s="25"/>
    </row>
    <row r="177" spans="1:24" ht="13.5" customHeight="1">
      <c r="A177" s="757">
        <f t="shared" si="34"/>
        <v>34</v>
      </c>
      <c r="B177" s="297" t="s">
        <v>899</v>
      </c>
      <c r="C177" s="25">
        <f t="shared" si="31"/>
        <v>0</v>
      </c>
      <c r="D177" s="758">
        <f>IF($I$243&lt;&gt;0,D$243/$I$243*$I177,0)</f>
        <v>151775.95628415301</v>
      </c>
      <c r="E177" s="758">
        <f>IF($I$243&lt;&gt;0,E$243/$I$243*$I177,0)</f>
        <v>20617.00060716454</v>
      </c>
      <c r="F177" s="758">
        <f>IF($I$243&lt;&gt;0,F$243/$I$243*$I177,0)</f>
        <v>239162.11293260474</v>
      </c>
      <c r="G177" s="758">
        <f>IF($I$243&lt;&gt;0,G$243/$I$243*$I177,0)</f>
        <v>223831.20825743777</v>
      </c>
      <c r="H177" s="25">
        <f>SUM(C177:G177)</f>
        <v>635386.27808136004</v>
      </c>
      <c r="I177" s="758">
        <v>1010</v>
      </c>
      <c r="J177" s="758">
        <f t="shared" si="37"/>
        <v>629.09532483302974</v>
      </c>
      <c r="K177" s="666">
        <v>6400</v>
      </c>
      <c r="L177" s="666"/>
      <c r="M177" s="189"/>
      <c r="N177" s="772">
        <f t="shared" si="33"/>
        <v>41489</v>
      </c>
      <c r="O177" s="772">
        <v>41492</v>
      </c>
      <c r="P177" s="773" t="s">
        <v>900</v>
      </c>
      <c r="Q177" s="305"/>
      <c r="R177" s="256"/>
      <c r="S177" s="25">
        <f>ROUND(Q177*R177,0)</f>
        <v>0</v>
      </c>
      <c r="T177" s="449"/>
      <c r="U177" s="774"/>
      <c r="V177" s="804"/>
      <c r="W177" s="804"/>
      <c r="X177" s="25"/>
    </row>
    <row r="178" spans="1:24" ht="13.5" customHeight="1">
      <c r="A178" s="757">
        <f t="shared" si="34"/>
        <v>35</v>
      </c>
      <c r="B178" s="297" t="s">
        <v>1138</v>
      </c>
      <c r="C178" s="25">
        <f t="shared" si="31"/>
        <v>0</v>
      </c>
      <c r="D178" s="758">
        <f>IF($I$243&lt;&gt;0,D$243/$I$243*$I178,0)</f>
        <v>144262.29508196723</v>
      </c>
      <c r="E178" s="758">
        <f>IF($I$243&lt;&gt;0,E$243/$I$243*$I178,0)</f>
        <v>19596.357012750457</v>
      </c>
      <c r="F178" s="758">
        <f>IF($I$243&lt;&gt;0,F$243/$I$243*$I178,0)</f>
        <v>227322.40437158471</v>
      </c>
      <c r="G178" s="758">
        <f>IF($I$243&lt;&gt;0,G$243/$I$243*$I178,0)</f>
        <v>212750.45537340621</v>
      </c>
      <c r="H178" s="25">
        <f>SUM(C178:G178)</f>
        <v>603931.51183970855</v>
      </c>
      <c r="I178" s="758">
        <v>960</v>
      </c>
      <c r="J178" s="758">
        <f t="shared" si="37"/>
        <v>629.09532483302974</v>
      </c>
      <c r="K178" s="666">
        <v>5300</v>
      </c>
      <c r="L178" s="666"/>
      <c r="M178" s="189"/>
      <c r="N178" s="772">
        <f t="shared" si="33"/>
        <v>41489</v>
      </c>
      <c r="O178" s="772">
        <v>41492</v>
      </c>
      <c r="P178" s="773" t="s">
        <v>900</v>
      </c>
      <c r="Q178" s="305"/>
      <c r="R178" s="256"/>
      <c r="S178" s="25">
        <f>ROUND(Q178*R178,0)</f>
        <v>0</v>
      </c>
      <c r="T178" s="449"/>
      <c r="U178" s="774"/>
      <c r="V178" s="804"/>
      <c r="W178" s="804"/>
      <c r="X178" s="25"/>
    </row>
    <row r="179" spans="1:24" ht="13.5" customHeight="1">
      <c r="A179" s="757">
        <f>IF(B179&lt;&gt;"",A178+1,"")</f>
        <v>36</v>
      </c>
      <c r="B179" s="297" t="s">
        <v>725</v>
      </c>
      <c r="C179" s="25">
        <f t="shared" si="31"/>
        <v>0</v>
      </c>
      <c r="D179" s="758">
        <f>IF($I$243&lt;&gt;0,D$243/$I$243*$I179,0)</f>
        <v>196407.10382513661</v>
      </c>
      <c r="E179" s="758">
        <f>IF($I$243&lt;&gt;0,E$243/$I$243*$I179,0)</f>
        <v>26679.623557984214</v>
      </c>
      <c r="F179" s="758">
        <f>IF($I$243&lt;&gt;0,F$243/$I$243*$I179,0)</f>
        <v>309489.98178506375</v>
      </c>
      <c r="G179" s="758">
        <f>IF($I$243&lt;&gt;0,G$243/$I$243*$I179,0)</f>
        <v>289650.88038858533</v>
      </c>
      <c r="H179" s="25">
        <f>SUM(C179:G179)</f>
        <v>822227.58955676993</v>
      </c>
      <c r="I179" s="758">
        <v>1307</v>
      </c>
      <c r="J179" s="758">
        <f t="shared" si="37"/>
        <v>629.09532483302974</v>
      </c>
      <c r="K179" s="666">
        <v>5100</v>
      </c>
      <c r="L179" s="666"/>
      <c r="M179" s="189"/>
      <c r="N179" s="772">
        <f t="shared" si="33"/>
        <v>41489</v>
      </c>
      <c r="O179" s="772">
        <v>41492</v>
      </c>
      <c r="P179" s="773" t="s">
        <v>901</v>
      </c>
      <c r="Q179" s="305"/>
      <c r="R179" s="804"/>
      <c r="S179" s="25">
        <f>ROUND(Q179*R179,0)</f>
        <v>0</v>
      </c>
      <c r="T179" s="449"/>
      <c r="U179" s="774"/>
      <c r="V179" s="804"/>
      <c r="W179" s="804"/>
      <c r="X179" s="25"/>
    </row>
    <row r="180" spans="1:24" ht="13.5" customHeight="1">
      <c r="A180" s="757">
        <f t="shared" si="34"/>
        <v>37</v>
      </c>
      <c r="B180" s="297" t="s">
        <v>871</v>
      </c>
      <c r="C180" s="25">
        <f t="shared" si="31"/>
        <v>0</v>
      </c>
      <c r="D180" s="758">
        <f>IF($I$243&lt;&gt;0,D$243/$I$243*$I180,0)</f>
        <v>93620.218579234977</v>
      </c>
      <c r="E180" s="758">
        <f>IF($I$243&lt;&gt;0,E$243/$I$243*$I180,0)</f>
        <v>12717.219186399514</v>
      </c>
      <c r="F180" s="758">
        <f>IF($I$243&lt;&gt;0,F$243/$I$243*$I180,0)</f>
        <v>147522.76867030966</v>
      </c>
      <c r="G180" s="758">
        <f>IF($I$243&lt;&gt;0,G$243/$I$243*$I180,0)</f>
        <v>138066.18093503339</v>
      </c>
      <c r="H180" s="25">
        <f>SUM(C180:G180)</f>
        <v>391926.38737097755</v>
      </c>
      <c r="I180" s="758">
        <v>623</v>
      </c>
      <c r="J180" s="758">
        <f t="shared" si="37"/>
        <v>629.09532483302974</v>
      </c>
      <c r="K180" s="666">
        <v>9800</v>
      </c>
      <c r="L180" s="666"/>
      <c r="M180" s="189"/>
      <c r="N180" s="772">
        <f t="shared" si="33"/>
        <v>41489</v>
      </c>
      <c r="O180" s="772">
        <v>41492</v>
      </c>
      <c r="P180" s="773" t="s">
        <v>901</v>
      </c>
      <c r="Q180" s="305"/>
      <c r="R180" s="804"/>
      <c r="S180" s="25">
        <f t="shared" si="35"/>
        <v>0</v>
      </c>
      <c r="T180" s="449"/>
      <c r="U180" s="774"/>
      <c r="V180" s="804"/>
      <c r="W180" s="804"/>
      <c r="X180" s="25"/>
    </row>
    <row r="181" spans="1:24" ht="13.5" customHeight="1">
      <c r="A181" s="757">
        <f t="shared" si="34"/>
        <v>38</v>
      </c>
      <c r="B181" s="297" t="s">
        <v>838</v>
      </c>
      <c r="C181" s="25">
        <f t="shared" si="31"/>
        <v>0</v>
      </c>
      <c r="D181" s="758">
        <f>IF($I$243&lt;&gt;0,D$243/$I$243*$I181,0)</f>
        <v>150273.22404371586</v>
      </c>
      <c r="E181" s="758">
        <f>IF($I$243&lt;&gt;0,E$243/$I$243*$I181,0)</f>
        <v>20412.871888281723</v>
      </c>
      <c r="F181" s="758">
        <f>IF($I$243&lt;&gt;0,F$243/$I$243*$I181,0)</f>
        <v>236794.17122040072</v>
      </c>
      <c r="G181" s="758">
        <f>IF($I$243&lt;&gt;0,G$243/$I$243*$I181,0)</f>
        <v>221615.05768063146</v>
      </c>
      <c r="H181" s="25">
        <f>SUM(C181:G181)</f>
        <v>629095.32483302976</v>
      </c>
      <c r="I181" s="758">
        <v>1000</v>
      </c>
      <c r="J181" s="758">
        <f t="shared" si="37"/>
        <v>629.09532483302974</v>
      </c>
      <c r="K181" s="666">
        <v>10500</v>
      </c>
      <c r="L181" s="666"/>
      <c r="M181" s="297"/>
      <c r="N181" s="772">
        <f t="shared" si="33"/>
        <v>41492</v>
      </c>
      <c r="O181" s="772">
        <v>41495</v>
      </c>
      <c r="P181" s="773" t="s">
        <v>902</v>
      </c>
      <c r="Q181" s="305"/>
      <c r="R181" s="804"/>
      <c r="S181" s="25">
        <f t="shared" si="35"/>
        <v>0</v>
      </c>
      <c r="T181" s="449"/>
      <c r="U181" s="774"/>
      <c r="V181" s="804"/>
      <c r="W181" s="804"/>
      <c r="X181" s="25"/>
    </row>
    <row r="182" spans="1:24" ht="13.5" customHeight="1">
      <c r="A182" s="757">
        <f t="shared" si="34"/>
        <v>39</v>
      </c>
      <c r="B182" s="297" t="s">
        <v>1149</v>
      </c>
      <c r="C182" s="25">
        <f t="shared" si="31"/>
        <v>0</v>
      </c>
      <c r="D182" s="758">
        <f>IF($I$243&lt;&gt;0,D$243/$I$243*$I182,0)</f>
        <v>410245.90163934429</v>
      </c>
      <c r="E182" s="758">
        <f>IF($I$243&lt;&gt;0,E$243/$I$243*$I182,0)</f>
        <v>55727.140255009108</v>
      </c>
      <c r="F182" s="758">
        <f>IF($I$243&lt;&gt;0,F$243/$I$243*$I182,0)</f>
        <v>646448.08743169403</v>
      </c>
      <c r="G182" s="758">
        <f>IF($I$243&lt;&gt;0,G$243/$I$243*$I182,0)</f>
        <v>605009.1074681239</v>
      </c>
      <c r="H182" s="25">
        <f>SUM(C182:G182)</f>
        <v>1717430.2367941714</v>
      </c>
      <c r="I182" s="758">
        <v>2730</v>
      </c>
      <c r="J182" s="758">
        <f t="shared" si="37"/>
        <v>629.09532483302985</v>
      </c>
      <c r="K182" s="666">
        <v>4210</v>
      </c>
      <c r="L182" s="666"/>
      <c r="M182" s="189"/>
      <c r="N182" s="772">
        <f t="shared" si="33"/>
        <v>41492</v>
      </c>
      <c r="O182" s="772">
        <v>41495</v>
      </c>
      <c r="P182" s="773" t="s">
        <v>903</v>
      </c>
      <c r="Q182" s="305"/>
      <c r="R182" s="826"/>
      <c r="S182" s="25">
        <f t="shared" si="35"/>
        <v>0</v>
      </c>
      <c r="T182" s="449"/>
      <c r="U182" s="774"/>
      <c r="V182" s="804"/>
      <c r="W182" s="804"/>
      <c r="X182" s="25"/>
    </row>
    <row r="183" spans="1:24" ht="13.5" customHeight="1">
      <c r="A183" s="757">
        <f>IF(B183&lt;&gt;"",A182+1,"")</f>
        <v>40</v>
      </c>
      <c r="B183" s="297" t="s">
        <v>1137</v>
      </c>
      <c r="C183" s="25">
        <f t="shared" si="31"/>
        <v>0</v>
      </c>
      <c r="D183" s="758">
        <f>IF($I$243&lt;&gt;0,D$243/$I$243*$I183,0)</f>
        <v>299043.71584699454</v>
      </c>
      <c r="E183" s="758">
        <f>IF($I$243&lt;&gt;0,E$243/$I$243*$I183,0)</f>
        <v>40621.615057680632</v>
      </c>
      <c r="F183" s="758">
        <f>IF($I$243&lt;&gt;0,F$243/$I$243*$I183,0)</f>
        <v>471220.40072859742</v>
      </c>
      <c r="G183" s="758">
        <f>IF($I$243&lt;&gt;0,G$243/$I$243*$I183,0)</f>
        <v>441013.96478445659</v>
      </c>
      <c r="H183" s="25">
        <f>SUM(C183:G183)</f>
        <v>1251899.6964177291</v>
      </c>
      <c r="I183" s="758">
        <v>1990</v>
      </c>
      <c r="J183" s="758">
        <f t="shared" si="37"/>
        <v>629.09532483302974</v>
      </c>
      <c r="K183" s="666">
        <v>6250</v>
      </c>
      <c r="L183" s="666"/>
      <c r="M183" s="297"/>
      <c r="N183" s="772">
        <f t="shared" si="33"/>
        <v>41493</v>
      </c>
      <c r="O183" s="772">
        <v>41496</v>
      </c>
      <c r="P183" s="773" t="s">
        <v>904</v>
      </c>
      <c r="Q183" s="305"/>
      <c r="R183" s="804"/>
      <c r="S183" s="25">
        <f t="shared" si="35"/>
        <v>0</v>
      </c>
      <c r="T183" s="449"/>
      <c r="U183" s="774"/>
      <c r="V183" s="804"/>
      <c r="W183" s="804"/>
      <c r="X183" s="25"/>
    </row>
    <row r="184" spans="1:24" ht="13.5" customHeight="1">
      <c r="A184" s="757">
        <f t="shared" si="34"/>
        <v>41</v>
      </c>
      <c r="B184" s="297" t="s">
        <v>905</v>
      </c>
      <c r="C184" s="25">
        <f t="shared" si="31"/>
        <v>0</v>
      </c>
      <c r="D184" s="758">
        <f>IF($I$243&lt;&gt;0,D$243/$I$243*$I184,0)</f>
        <v>72131.147540983613</v>
      </c>
      <c r="E184" s="758">
        <f>IF($I$243&lt;&gt;0,E$243/$I$243*$I184,0)</f>
        <v>9798.1785063752286</v>
      </c>
      <c r="F184" s="758">
        <f>IF($I$243&lt;&gt;0,F$243/$I$243*$I184,0)</f>
        <v>113661.20218579235</v>
      </c>
      <c r="G184" s="758">
        <f>IF($I$243&lt;&gt;0,G$243/$I$243*$I184,0)</f>
        <v>106375.2276867031</v>
      </c>
      <c r="H184" s="25">
        <f>SUM(C184:G184)</f>
        <v>301965.75591985427</v>
      </c>
      <c r="I184" s="758">
        <v>480</v>
      </c>
      <c r="J184" s="758">
        <f t="shared" si="37"/>
        <v>629.09532483302974</v>
      </c>
      <c r="K184" s="666">
        <v>6200</v>
      </c>
      <c r="L184" s="666"/>
      <c r="M184" s="297"/>
      <c r="N184" s="772">
        <f t="shared" si="33"/>
        <v>41493</v>
      </c>
      <c r="O184" s="772">
        <v>41496</v>
      </c>
      <c r="P184" s="773" t="s">
        <v>906</v>
      </c>
      <c r="Q184" s="305"/>
      <c r="R184" s="804"/>
      <c r="S184" s="25">
        <f t="shared" si="35"/>
        <v>0</v>
      </c>
      <c r="T184" s="449"/>
      <c r="U184" s="774"/>
      <c r="V184" s="804"/>
      <c r="W184" s="804"/>
      <c r="X184" s="25"/>
    </row>
    <row r="185" spans="1:24" ht="13.5" customHeight="1">
      <c r="A185" s="757">
        <f t="shared" si="34"/>
        <v>42</v>
      </c>
      <c r="B185" s="297" t="s">
        <v>905</v>
      </c>
      <c r="C185" s="25">
        <f t="shared" si="31"/>
        <v>0</v>
      </c>
      <c r="D185" s="758">
        <f>IF($I$243&lt;&gt;0,D$243/$I$243*$I185,0)</f>
        <v>66120.218579234977</v>
      </c>
      <c r="E185" s="758">
        <f>IF($I$243&lt;&gt;0,E$243/$I$243*$I185,0)</f>
        <v>8981.6636308439593</v>
      </c>
      <c r="F185" s="758">
        <f>IF($I$243&lt;&gt;0,F$243/$I$243*$I185,0)</f>
        <v>104189.43533697633</v>
      </c>
      <c r="G185" s="758">
        <f>IF($I$243&lt;&gt;0,G$243/$I$243*$I185,0)</f>
        <v>97510.625379477846</v>
      </c>
      <c r="H185" s="25">
        <f>SUM(C185:G185)</f>
        <v>276801.94292653311</v>
      </c>
      <c r="I185" s="758">
        <v>440</v>
      </c>
      <c r="J185" s="758">
        <f t="shared" si="37"/>
        <v>629.09532483302985</v>
      </c>
      <c r="K185" s="666">
        <v>7080</v>
      </c>
      <c r="L185" s="666"/>
      <c r="M185" s="40"/>
      <c r="N185" s="772">
        <f t="shared" si="33"/>
        <v>41493</v>
      </c>
      <c r="O185" s="772">
        <v>41496</v>
      </c>
      <c r="P185" s="773" t="s">
        <v>906</v>
      </c>
      <c r="Q185" s="305"/>
      <c r="R185" s="826"/>
      <c r="S185" s="25">
        <f t="shared" si="35"/>
        <v>0</v>
      </c>
      <c r="T185" s="449"/>
      <c r="U185" s="774"/>
      <c r="V185" s="804"/>
      <c r="W185" s="804"/>
      <c r="X185" s="25"/>
    </row>
    <row r="186" spans="1:24" ht="13.5" customHeight="1">
      <c r="A186" s="757">
        <f t="shared" si="34"/>
        <v>43</v>
      </c>
      <c r="B186" s="297" t="s">
        <v>731</v>
      </c>
      <c r="C186" s="25">
        <f t="shared" si="31"/>
        <v>0</v>
      </c>
      <c r="D186" s="758">
        <f>IF($I$243&lt;&gt;0,D$243/$I$243*$I186,0)</f>
        <v>150273.22404371586</v>
      </c>
      <c r="E186" s="758">
        <f>IF($I$243&lt;&gt;0,E$243/$I$243*$I186,0)</f>
        <v>20412.871888281723</v>
      </c>
      <c r="F186" s="758">
        <f>IF($I$243&lt;&gt;0,F$243/$I$243*$I186,0)</f>
        <v>236794.17122040072</v>
      </c>
      <c r="G186" s="758">
        <f>IF($I$243&lt;&gt;0,G$243/$I$243*$I186,0)</f>
        <v>221615.05768063146</v>
      </c>
      <c r="H186" s="25">
        <f>SUM(C186:G186)</f>
        <v>629095.32483302976</v>
      </c>
      <c r="I186" s="758">
        <v>1000</v>
      </c>
      <c r="J186" s="758">
        <f t="shared" si="37"/>
        <v>629.09532483302974</v>
      </c>
      <c r="K186" s="666">
        <v>8740</v>
      </c>
      <c r="L186" s="666"/>
      <c r="M186" s="189"/>
      <c r="N186" s="772">
        <f t="shared" si="33"/>
        <v>41495</v>
      </c>
      <c r="O186" s="772">
        <v>41498</v>
      </c>
      <c r="P186" s="773" t="s">
        <v>908</v>
      </c>
      <c r="Q186" s="305"/>
      <c r="R186" s="804"/>
      <c r="S186" s="25">
        <f t="shared" si="35"/>
        <v>0</v>
      </c>
      <c r="T186" s="449"/>
      <c r="U186" s="774"/>
      <c r="V186" s="804"/>
      <c r="W186" s="804"/>
      <c r="X186" s="25"/>
    </row>
    <row r="187" spans="1:24" ht="13.5" customHeight="1">
      <c r="A187" s="757">
        <f t="shared" si="34"/>
        <v>44</v>
      </c>
      <c r="B187" s="297" t="s">
        <v>814</v>
      </c>
      <c r="C187" s="25">
        <f t="shared" si="31"/>
        <v>0</v>
      </c>
      <c r="D187" s="758">
        <f>IF($I$243&lt;&gt;0,D$243/$I$243*$I187,0)</f>
        <v>30054.644808743171</v>
      </c>
      <c r="E187" s="758">
        <f>IF($I$243&lt;&gt;0,E$243/$I$243*$I187,0)</f>
        <v>4082.574377656345</v>
      </c>
      <c r="F187" s="758">
        <f>IF($I$243&lt;&gt;0,F$243/$I$243*$I187,0)</f>
        <v>47358.834244080143</v>
      </c>
      <c r="G187" s="758">
        <f>IF($I$243&lt;&gt;0,G$243/$I$243*$I187,0)</f>
        <v>44323.011536126287</v>
      </c>
      <c r="H187" s="25">
        <f>SUM(C187:G187)</f>
        <v>125819.06496660595</v>
      </c>
      <c r="I187" s="758">
        <v>200</v>
      </c>
      <c r="J187" s="758">
        <f t="shared" si="37"/>
        <v>629.09532483302974</v>
      </c>
      <c r="K187" s="666">
        <v>9800</v>
      </c>
      <c r="L187" s="666"/>
      <c r="M187" s="189"/>
      <c r="N187" s="772">
        <f t="shared" si="33"/>
        <v>41496</v>
      </c>
      <c r="O187" s="772">
        <v>41499</v>
      </c>
      <c r="P187" s="773" t="s">
        <v>909</v>
      </c>
      <c r="Q187" s="305"/>
      <c r="R187" s="256"/>
      <c r="S187" s="25">
        <f t="shared" si="35"/>
        <v>0</v>
      </c>
      <c r="T187" s="449"/>
      <c r="U187" s="774"/>
      <c r="V187" s="804"/>
      <c r="W187" s="804"/>
      <c r="X187" s="25"/>
    </row>
    <row r="188" spans="1:24" ht="13.5" customHeight="1">
      <c r="A188" s="757">
        <f t="shared" si="34"/>
        <v>45</v>
      </c>
      <c r="B188" s="297" t="s">
        <v>1134</v>
      </c>
      <c r="C188" s="25">
        <f t="shared" si="31"/>
        <v>0</v>
      </c>
      <c r="D188" s="758">
        <f>IF($I$243&lt;&gt;0,D$243/$I$243*$I188,0)</f>
        <v>37568.306010928965</v>
      </c>
      <c r="E188" s="758">
        <f>IF($I$243&lt;&gt;0,E$243/$I$243*$I188,0)</f>
        <v>5103.2179720704307</v>
      </c>
      <c r="F188" s="758">
        <f>IF($I$243&lt;&gt;0,F$243/$I$243*$I188,0)</f>
        <v>59198.54280510018</v>
      </c>
      <c r="G188" s="758">
        <f>IF($I$243&lt;&gt;0,G$243/$I$243*$I188,0)</f>
        <v>55403.764420157866</v>
      </c>
      <c r="H188" s="25">
        <f>SUM(C188:G188)</f>
        <v>157273.83120825744</v>
      </c>
      <c r="I188" s="758">
        <v>250</v>
      </c>
      <c r="J188" s="758">
        <f t="shared" si="37"/>
        <v>629.09532483302974</v>
      </c>
      <c r="K188" s="666">
        <v>12900</v>
      </c>
      <c r="L188" s="666"/>
      <c r="M188" s="40"/>
      <c r="N188" s="772">
        <f t="shared" si="33"/>
        <v>41496</v>
      </c>
      <c r="O188" s="772">
        <v>41499</v>
      </c>
      <c r="P188" s="773" t="s">
        <v>909</v>
      </c>
      <c r="Q188" s="305"/>
      <c r="R188" s="804"/>
      <c r="S188" s="25">
        <f t="shared" si="35"/>
        <v>0</v>
      </c>
      <c r="T188" s="449"/>
      <c r="U188" s="774"/>
      <c r="V188" s="804"/>
      <c r="W188" s="804"/>
      <c r="X188" s="25"/>
    </row>
    <row r="189" spans="1:24" ht="13.5" customHeight="1">
      <c r="A189" s="757">
        <f t="shared" si="34"/>
        <v>46</v>
      </c>
      <c r="B189" s="297" t="s">
        <v>885</v>
      </c>
      <c r="C189" s="25">
        <f t="shared" si="31"/>
        <v>0</v>
      </c>
      <c r="D189" s="758">
        <f>IF($I$243&lt;&gt;0,D$243/$I$243*$I189,0)</f>
        <v>75887.978142076507</v>
      </c>
      <c r="E189" s="758">
        <f>IF($I$243&lt;&gt;0,E$243/$I$243*$I189,0)</f>
        <v>10308.50030358227</v>
      </c>
      <c r="F189" s="758">
        <f>IF($I$243&lt;&gt;0,F$243/$I$243*$I189,0)</f>
        <v>119581.05646630237</v>
      </c>
      <c r="G189" s="758">
        <f>IF($I$243&lt;&gt;0,G$243/$I$243*$I189,0)</f>
        <v>111915.60412871889</v>
      </c>
      <c r="H189" s="25">
        <f>SUM(C189:G189)</f>
        <v>317693.13904068002</v>
      </c>
      <c r="I189" s="758">
        <v>505</v>
      </c>
      <c r="J189" s="758">
        <f t="shared" si="37"/>
        <v>629.09532483302974</v>
      </c>
      <c r="K189" s="666">
        <v>8600</v>
      </c>
      <c r="L189" s="666"/>
      <c r="M189" s="189"/>
      <c r="N189" s="772">
        <f t="shared" si="33"/>
        <v>41496</v>
      </c>
      <c r="O189" s="772">
        <v>41499</v>
      </c>
      <c r="P189" s="773" t="s">
        <v>909</v>
      </c>
      <c r="Q189" s="305"/>
      <c r="R189" s="256"/>
      <c r="S189" s="25">
        <f t="shared" si="35"/>
        <v>0</v>
      </c>
      <c r="T189" s="449"/>
      <c r="U189" s="774"/>
      <c r="V189" s="804"/>
      <c r="W189" s="804"/>
      <c r="X189" s="25"/>
    </row>
    <row r="190" spans="1:24" ht="13.5" customHeight="1">
      <c r="A190" s="757">
        <f t="shared" si="34"/>
        <v>47</v>
      </c>
      <c r="B190" s="297" t="s">
        <v>910</v>
      </c>
      <c r="C190" s="25">
        <f t="shared" si="31"/>
        <v>0</v>
      </c>
      <c r="D190" s="758">
        <f>IF($I$243&lt;&gt;0,D$243/$I$243*$I190,0)</f>
        <v>12773.224043715847</v>
      </c>
      <c r="E190" s="758">
        <f>IF($I$243&lt;&gt;0,E$243/$I$243*$I190,0)</f>
        <v>1735.0941105039467</v>
      </c>
      <c r="F190" s="758">
        <f>IF($I$243&lt;&gt;0,F$243/$I$243*$I190,0)</f>
        <v>20127.504553734063</v>
      </c>
      <c r="G190" s="758">
        <f>IF($I$243&lt;&gt;0,G$243/$I$243*$I190,0)</f>
        <v>18837.279902853672</v>
      </c>
      <c r="H190" s="25">
        <f>SUM(C190:G190)</f>
        <v>53473.102610807531</v>
      </c>
      <c r="I190" s="758">
        <v>85</v>
      </c>
      <c r="J190" s="758">
        <f t="shared" si="37"/>
        <v>629.09532483302974</v>
      </c>
      <c r="K190" s="666">
        <v>9700</v>
      </c>
      <c r="L190" s="666"/>
      <c r="M190" s="40"/>
      <c r="N190" s="772">
        <f t="shared" si="33"/>
        <v>41497</v>
      </c>
      <c r="O190" s="772">
        <v>41500</v>
      </c>
      <c r="P190" s="773" t="s">
        <v>911</v>
      </c>
      <c r="Q190" s="305"/>
      <c r="R190" s="804"/>
      <c r="S190" s="25">
        <f t="shared" si="35"/>
        <v>0</v>
      </c>
      <c r="T190" s="449"/>
      <c r="U190" s="774"/>
      <c r="V190" s="804"/>
      <c r="W190" s="804"/>
      <c r="X190" s="25"/>
    </row>
    <row r="191" spans="1:24" ht="13.5" customHeight="1">
      <c r="A191" s="757">
        <f t="shared" si="34"/>
        <v>48</v>
      </c>
      <c r="B191" s="297" t="s">
        <v>1133</v>
      </c>
      <c r="C191" s="25">
        <f t="shared" si="31"/>
        <v>0</v>
      </c>
      <c r="D191" s="758">
        <f>IF($I$243&lt;&gt;0,D$243/$I$243*$I191,0)</f>
        <v>45532.786885245907</v>
      </c>
      <c r="E191" s="758">
        <f>IF($I$243&lt;&gt;0,E$243/$I$243*$I191,0)</f>
        <v>6185.1001821493628</v>
      </c>
      <c r="F191" s="758">
        <f>IF($I$243&lt;&gt;0,F$243/$I$243*$I191,0)</f>
        <v>71748.633879781424</v>
      </c>
      <c r="G191" s="758">
        <f>IF($I$243&lt;&gt;0,G$243/$I$243*$I191,0)</f>
        <v>67149.362477231334</v>
      </c>
      <c r="H191" s="25">
        <f>SUM(C191:G191)</f>
        <v>190615.88342440804</v>
      </c>
      <c r="I191" s="758">
        <v>303</v>
      </c>
      <c r="J191" s="758">
        <f t="shared" si="37"/>
        <v>629.09532483302985</v>
      </c>
      <c r="K191" s="666">
        <v>9400</v>
      </c>
      <c r="L191" s="666"/>
      <c r="M191" s="189"/>
      <c r="N191" s="772">
        <f t="shared" si="33"/>
        <v>41499</v>
      </c>
      <c r="O191" s="772">
        <v>41502</v>
      </c>
      <c r="P191" s="773" t="s">
        <v>912</v>
      </c>
      <c r="Q191" s="305"/>
      <c r="R191" s="256"/>
      <c r="S191" s="25">
        <f t="shared" si="35"/>
        <v>0</v>
      </c>
      <c r="T191" s="449"/>
      <c r="U191" s="774"/>
      <c r="V191" s="804"/>
      <c r="W191" s="804"/>
      <c r="X191" s="25"/>
    </row>
    <row r="192" spans="1:24" ht="13.5" customHeight="1">
      <c r="A192" s="757">
        <f t="shared" si="34"/>
        <v>49</v>
      </c>
      <c r="B192" s="297" t="s">
        <v>744</v>
      </c>
      <c r="C192" s="25">
        <f t="shared" ref="C192:C239" si="38">S192</f>
        <v>0</v>
      </c>
      <c r="D192" s="758">
        <f>IF($I$243&lt;&gt;0,D$243/$I$243*$I192,0)</f>
        <v>42827.868852459018</v>
      </c>
      <c r="E192" s="758">
        <f>IF($I$243&lt;&gt;0,E$243/$I$243*$I192,0)</f>
        <v>5817.6684881602914</v>
      </c>
      <c r="F192" s="758">
        <f>IF($I$243&lt;&gt;0,F$243/$I$243*$I192,0)</f>
        <v>67486.338797814213</v>
      </c>
      <c r="G192" s="758">
        <f>IF($I$243&lt;&gt;0,G$243/$I$243*$I192,0)</f>
        <v>63160.291438979963</v>
      </c>
      <c r="H192" s="25">
        <f>SUM(C192:G192)</f>
        <v>179292.16757741349</v>
      </c>
      <c r="I192" s="758">
        <v>285</v>
      </c>
      <c r="J192" s="758">
        <f t="shared" si="37"/>
        <v>629.09532483302985</v>
      </c>
      <c r="K192" s="666">
        <v>25000</v>
      </c>
      <c r="L192" s="666"/>
      <c r="M192" s="189"/>
      <c r="N192" s="772">
        <f t="shared" si="33"/>
        <v>41499</v>
      </c>
      <c r="O192" s="772">
        <v>41502</v>
      </c>
      <c r="P192" s="773" t="s">
        <v>913</v>
      </c>
      <c r="Q192" s="305"/>
      <c r="R192" s="256"/>
      <c r="S192" s="25">
        <f t="shared" si="35"/>
        <v>0</v>
      </c>
      <c r="T192" s="449"/>
      <c r="U192" s="774"/>
      <c r="V192" s="804"/>
      <c r="W192" s="804"/>
      <c r="X192" s="25"/>
    </row>
    <row r="193" spans="1:24" ht="13.5" customHeight="1">
      <c r="A193" s="757">
        <f t="shared" si="34"/>
        <v>50</v>
      </c>
      <c r="B193" s="297" t="s">
        <v>867</v>
      </c>
      <c r="C193" s="25">
        <f t="shared" si="38"/>
        <v>0</v>
      </c>
      <c r="D193" s="758">
        <f>IF($I$243&lt;&gt;0,D$243/$I$243*$I193,0)</f>
        <v>75887.978142076507</v>
      </c>
      <c r="E193" s="758">
        <f>IF($I$243&lt;&gt;0,E$243/$I$243*$I193,0)</f>
        <v>10308.50030358227</v>
      </c>
      <c r="F193" s="758">
        <f>IF($I$243&lt;&gt;0,F$243/$I$243*$I193,0)</f>
        <v>119581.05646630237</v>
      </c>
      <c r="G193" s="758">
        <f>IF($I$243&lt;&gt;0,G$243/$I$243*$I193,0)</f>
        <v>111915.60412871889</v>
      </c>
      <c r="H193" s="25">
        <f>SUM(C193:G193)</f>
        <v>317693.13904068002</v>
      </c>
      <c r="I193" s="758">
        <v>505</v>
      </c>
      <c r="J193" s="758">
        <f t="shared" si="37"/>
        <v>629.09532483302974</v>
      </c>
      <c r="K193" s="666">
        <v>20300</v>
      </c>
      <c r="L193" s="666"/>
      <c r="M193" s="40"/>
      <c r="N193" s="772">
        <f t="shared" si="33"/>
        <v>41502</v>
      </c>
      <c r="O193" s="772">
        <v>41505</v>
      </c>
      <c r="P193" s="773" t="s">
        <v>914</v>
      </c>
      <c r="Q193" s="305"/>
      <c r="R193" s="804"/>
      <c r="S193" s="25">
        <f t="shared" si="35"/>
        <v>0</v>
      </c>
      <c r="T193" s="449"/>
      <c r="U193" s="774"/>
      <c r="V193" s="804"/>
      <c r="W193" s="804"/>
      <c r="X193" s="25"/>
    </row>
    <row r="194" spans="1:24" ht="13.5" customHeight="1">
      <c r="A194" s="757">
        <f t="shared" si="34"/>
        <v>51</v>
      </c>
      <c r="B194" s="297" t="s">
        <v>1154</v>
      </c>
      <c r="C194" s="25">
        <f t="shared" si="38"/>
        <v>0</v>
      </c>
      <c r="D194" s="758">
        <f>IF($I$243&lt;&gt;0,D$243/$I$243*$I194,0)</f>
        <v>386653.0054644809</v>
      </c>
      <c r="E194" s="758">
        <f>IF($I$243&lt;&gt;0,E$243/$I$243*$I194,0)</f>
        <v>52522.31936854888</v>
      </c>
      <c r="F194" s="758">
        <f>IF($I$243&lt;&gt;0,F$243/$I$243*$I194,0)</f>
        <v>609271.40255009104</v>
      </c>
      <c r="G194" s="758">
        <f>IF($I$243&lt;&gt;0,G$243/$I$243*$I194,0)</f>
        <v>570215.54341226467</v>
      </c>
      <c r="H194" s="25">
        <f>SUM(C194:G194)</f>
        <v>1618662.2707953854</v>
      </c>
      <c r="I194" s="758">
        <v>2573</v>
      </c>
      <c r="J194" s="758">
        <f t="shared" si="37"/>
        <v>629.09532483302962</v>
      </c>
      <c r="K194" s="666">
        <v>5300</v>
      </c>
      <c r="L194" s="666"/>
      <c r="M194" s="189"/>
      <c r="N194" s="772">
        <f t="shared" si="33"/>
        <v>41503</v>
      </c>
      <c r="O194" s="772">
        <v>41506</v>
      </c>
      <c r="P194" s="773" t="s">
        <v>915</v>
      </c>
      <c r="Q194" s="305"/>
      <c r="R194" s="804"/>
      <c r="S194" s="25">
        <f t="shared" si="35"/>
        <v>0</v>
      </c>
      <c r="T194" s="449"/>
      <c r="U194" s="774"/>
      <c r="V194" s="804"/>
      <c r="W194" s="804"/>
      <c r="X194" s="25"/>
    </row>
    <row r="195" spans="1:24" ht="13.5" customHeight="1">
      <c r="A195" s="757">
        <f t="shared" si="34"/>
        <v>52</v>
      </c>
      <c r="B195" s="297" t="s">
        <v>1149</v>
      </c>
      <c r="C195" s="25">
        <f t="shared" si="38"/>
        <v>0</v>
      </c>
      <c r="D195" s="758">
        <f>IF($I$243&lt;&gt;0,D$243/$I$243*$I195,0)</f>
        <v>375683.06010928965</v>
      </c>
      <c r="E195" s="758">
        <f>IF($I$243&lt;&gt;0,E$243/$I$243*$I195,0)</f>
        <v>51032.179720704313</v>
      </c>
      <c r="F195" s="758">
        <f>IF($I$243&lt;&gt;0,F$243/$I$243*$I195,0)</f>
        <v>591985.42805100186</v>
      </c>
      <c r="G195" s="758">
        <f>IF($I$243&lt;&gt;0,G$243/$I$243*$I195,0)</f>
        <v>554037.64420157857</v>
      </c>
      <c r="H195" s="25">
        <f>SUM(C195:G195)</f>
        <v>1572738.3120825745</v>
      </c>
      <c r="I195" s="758">
        <v>2500</v>
      </c>
      <c r="J195" s="758">
        <f t="shared" si="37"/>
        <v>629.09532483302974</v>
      </c>
      <c r="K195" s="666">
        <v>4200</v>
      </c>
      <c r="L195" s="666"/>
      <c r="M195" s="40"/>
      <c r="N195" s="772">
        <f t="shared" si="33"/>
        <v>41503</v>
      </c>
      <c r="O195" s="772">
        <v>41506</v>
      </c>
      <c r="P195" s="773" t="s">
        <v>917</v>
      </c>
      <c r="Q195" s="305"/>
      <c r="R195" s="804"/>
      <c r="S195" s="25">
        <f t="shared" si="35"/>
        <v>0</v>
      </c>
      <c r="T195" s="449"/>
      <c r="U195" s="774"/>
      <c r="V195" s="804"/>
      <c r="W195" s="804"/>
      <c r="X195" s="25"/>
    </row>
    <row r="196" spans="1:24" ht="13.5" customHeight="1">
      <c r="A196" s="757">
        <f t="shared" si="34"/>
        <v>53</v>
      </c>
      <c r="B196" s="297" t="s">
        <v>1149</v>
      </c>
      <c r="C196" s="25">
        <f t="shared" si="38"/>
        <v>0</v>
      </c>
      <c r="D196" s="758">
        <f>IF($I$243&lt;&gt;0,D$243/$I$243*$I196,0)</f>
        <v>480874.31693989073</v>
      </c>
      <c r="E196" s="758">
        <f>IF($I$243&lt;&gt;0,E$243/$I$243*$I196,0)</f>
        <v>65321.190042501519</v>
      </c>
      <c r="F196" s="758">
        <f>IF($I$243&lt;&gt;0,F$243/$I$243*$I196,0)</f>
        <v>757741.34790528228</v>
      </c>
      <c r="G196" s="758">
        <f>IF($I$243&lt;&gt;0,G$243/$I$243*$I196,0)</f>
        <v>709168.18457802059</v>
      </c>
      <c r="H196" s="25">
        <f>SUM(C196:G196)</f>
        <v>2013105.0394656952</v>
      </c>
      <c r="I196" s="758">
        <v>3200</v>
      </c>
      <c r="J196" s="758">
        <f t="shared" si="37"/>
        <v>629.09532483302974</v>
      </c>
      <c r="K196" s="666">
        <v>4210</v>
      </c>
      <c r="L196" s="666"/>
      <c r="M196" s="189"/>
      <c r="N196" s="772">
        <f t="shared" si="33"/>
        <v>41503</v>
      </c>
      <c r="O196" s="772">
        <v>41506</v>
      </c>
      <c r="P196" s="773" t="s">
        <v>918</v>
      </c>
      <c r="Q196" s="305"/>
      <c r="R196" s="804"/>
      <c r="S196" s="25">
        <f t="shared" si="35"/>
        <v>0</v>
      </c>
      <c r="T196" s="449"/>
      <c r="U196" s="774"/>
      <c r="V196" s="804"/>
      <c r="W196" s="804"/>
      <c r="X196" s="25"/>
    </row>
    <row r="197" spans="1:24" ht="13.5" customHeight="1">
      <c r="A197" s="757">
        <f t="shared" si="34"/>
        <v>54</v>
      </c>
      <c r="B197" s="297" t="s">
        <v>760</v>
      </c>
      <c r="C197" s="25">
        <f t="shared" si="38"/>
        <v>0</v>
      </c>
      <c r="D197" s="758">
        <f>IF($I$243&lt;&gt;0,D$243/$I$243*$I197,0)</f>
        <v>44480.874316939895</v>
      </c>
      <c r="E197" s="758">
        <f>IF($I$243&lt;&gt;0,E$243/$I$243*$I197,0)</f>
        <v>6042.2100789313909</v>
      </c>
      <c r="F197" s="758">
        <f>IF($I$243&lt;&gt;0,F$243/$I$243*$I197,0)</f>
        <v>70091.074681238621</v>
      </c>
      <c r="G197" s="758">
        <f>IF($I$243&lt;&gt;0,G$243/$I$243*$I197,0)</f>
        <v>65598.057073466916</v>
      </c>
      <c r="H197" s="25">
        <f>SUM(C197:G197)</f>
        <v>186212.21615057683</v>
      </c>
      <c r="I197" s="758">
        <v>296</v>
      </c>
      <c r="J197" s="758">
        <f t="shared" si="37"/>
        <v>629.09532483302985</v>
      </c>
      <c r="K197" s="666">
        <v>8500</v>
      </c>
      <c r="L197" s="666"/>
      <c r="M197" s="189"/>
      <c r="N197" s="772">
        <f t="shared" si="33"/>
        <v>41504</v>
      </c>
      <c r="O197" s="772">
        <v>41507</v>
      </c>
      <c r="P197" s="773" t="s">
        <v>919</v>
      </c>
      <c r="Q197" s="305"/>
      <c r="R197" s="804"/>
      <c r="S197" s="25">
        <f t="shared" si="35"/>
        <v>0</v>
      </c>
      <c r="T197" s="449"/>
      <c r="U197" s="774"/>
      <c r="V197" s="804"/>
      <c r="W197" s="804"/>
      <c r="X197" s="25"/>
    </row>
    <row r="198" spans="1:24" ht="13.5" customHeight="1">
      <c r="A198" s="757">
        <f t="shared" si="34"/>
        <v>55</v>
      </c>
      <c r="B198" s="297" t="s">
        <v>920</v>
      </c>
      <c r="C198" s="25">
        <f t="shared" si="38"/>
        <v>0</v>
      </c>
      <c r="D198" s="758">
        <f>IF($I$243&lt;&gt;0,D$243/$I$243*$I198,0)</f>
        <v>7814.2076502732243</v>
      </c>
      <c r="E198" s="758">
        <f>IF($I$243&lt;&gt;0,E$243/$I$243*$I198,0)</f>
        <v>1061.4693381906498</v>
      </c>
      <c r="F198" s="758">
        <f>IF($I$243&lt;&gt;0,F$243/$I$243*$I198,0)</f>
        <v>12313.296903460838</v>
      </c>
      <c r="G198" s="758">
        <f>IF($I$243&lt;&gt;0,G$243/$I$243*$I198,0)</f>
        <v>11523.982999392836</v>
      </c>
      <c r="H198" s="25">
        <f>SUM(C198:G198)</f>
        <v>32712.956891317546</v>
      </c>
      <c r="I198" s="758">
        <v>52</v>
      </c>
      <c r="J198" s="758">
        <f t="shared" si="37"/>
        <v>629.09532483302974</v>
      </c>
      <c r="K198" s="666">
        <v>9600</v>
      </c>
      <c r="L198" s="666"/>
      <c r="M198" s="297"/>
      <c r="N198" s="772">
        <f t="shared" si="33"/>
        <v>41508</v>
      </c>
      <c r="O198" s="772">
        <v>41511</v>
      </c>
      <c r="P198" s="773" t="s">
        <v>921</v>
      </c>
      <c r="Q198" s="305"/>
      <c r="R198" s="804"/>
      <c r="S198" s="25">
        <f t="shared" si="35"/>
        <v>0</v>
      </c>
      <c r="T198" s="449"/>
      <c r="U198" s="774"/>
      <c r="V198" s="804"/>
      <c r="W198" s="804"/>
      <c r="X198" s="25"/>
    </row>
    <row r="199" spans="1:24" ht="13.5" customHeight="1">
      <c r="A199" s="757">
        <f t="shared" si="34"/>
        <v>56</v>
      </c>
      <c r="B199" s="297" t="s">
        <v>1162</v>
      </c>
      <c r="C199" s="25">
        <f t="shared" si="38"/>
        <v>0</v>
      </c>
      <c r="D199" s="758">
        <f>IF($I$243&lt;&gt;0,D$243/$I$243*$I199,0)</f>
        <v>208879.78142076504</v>
      </c>
      <c r="E199" s="758">
        <f>IF($I$243&lt;&gt;0,E$243/$I$243*$I199,0)</f>
        <v>28373.891924711595</v>
      </c>
      <c r="F199" s="758">
        <f>IF($I$243&lt;&gt;0,F$243/$I$243*$I199,0)</f>
        <v>329143.897996357</v>
      </c>
      <c r="G199" s="758">
        <f>IF($I$243&lt;&gt;0,G$243/$I$243*$I199,0)</f>
        <v>308044.9301760777</v>
      </c>
      <c r="H199" s="25">
        <f>SUM(C199:G199)</f>
        <v>874442.50151791121</v>
      </c>
      <c r="I199" s="758">
        <v>1390</v>
      </c>
      <c r="J199" s="758">
        <f t="shared" si="37"/>
        <v>629.09532483302962</v>
      </c>
      <c r="K199" s="666">
        <v>5950</v>
      </c>
      <c r="L199" s="666"/>
      <c r="M199" s="40"/>
      <c r="N199" s="772">
        <f t="shared" si="33"/>
        <v>41508</v>
      </c>
      <c r="O199" s="772">
        <v>41511</v>
      </c>
      <c r="P199" s="773" t="s">
        <v>921</v>
      </c>
      <c r="Q199" s="305"/>
      <c r="R199" s="804"/>
      <c r="S199" s="25">
        <f t="shared" si="35"/>
        <v>0</v>
      </c>
      <c r="T199" s="449"/>
      <c r="U199" s="774"/>
      <c r="V199" s="804"/>
      <c r="W199" s="804"/>
      <c r="X199" s="25"/>
    </row>
    <row r="200" spans="1:24" ht="13.5" customHeight="1">
      <c r="A200" s="757">
        <f t="shared" si="34"/>
        <v>57</v>
      </c>
      <c r="B200" s="297" t="s">
        <v>922</v>
      </c>
      <c r="C200" s="25">
        <f t="shared" si="38"/>
        <v>0</v>
      </c>
      <c r="D200" s="758">
        <f>IF($I$243&lt;&gt;0,D$243/$I$243*$I200,0)</f>
        <v>46584.699453551919</v>
      </c>
      <c r="E200" s="758">
        <f>IF($I$243&lt;&gt;0,E$243/$I$243*$I200,0)</f>
        <v>6327.9902853673348</v>
      </c>
      <c r="F200" s="758">
        <f>IF($I$243&lt;&gt;0,F$243/$I$243*$I200,0)</f>
        <v>73406.193078324228</v>
      </c>
      <c r="G200" s="758">
        <f>IF($I$243&lt;&gt;0,G$243/$I$243*$I200,0)</f>
        <v>68700.667880995752</v>
      </c>
      <c r="H200" s="25">
        <f>SUM(C200:G200)</f>
        <v>195019.55069823924</v>
      </c>
      <c r="I200" s="758">
        <v>310</v>
      </c>
      <c r="J200" s="758">
        <f t="shared" si="37"/>
        <v>629.09532483302985</v>
      </c>
      <c r="K200" s="666">
        <v>5860</v>
      </c>
      <c r="L200" s="666"/>
      <c r="M200" s="189"/>
      <c r="N200" s="772">
        <f t="shared" si="33"/>
        <v>41508</v>
      </c>
      <c r="O200" s="772">
        <v>41511</v>
      </c>
      <c r="P200" s="773" t="s">
        <v>921</v>
      </c>
      <c r="Q200" s="305"/>
      <c r="R200" s="804"/>
      <c r="S200" s="25">
        <f t="shared" si="35"/>
        <v>0</v>
      </c>
      <c r="T200" s="449"/>
      <c r="U200" s="774"/>
      <c r="V200" s="804"/>
      <c r="W200" s="804"/>
      <c r="X200" s="25"/>
    </row>
    <row r="201" spans="1:24" ht="13.5" customHeight="1">
      <c r="A201" s="757">
        <f t="shared" si="34"/>
        <v>58</v>
      </c>
      <c r="B201" s="297" t="s">
        <v>920</v>
      </c>
      <c r="C201" s="25">
        <f t="shared" si="38"/>
        <v>0</v>
      </c>
      <c r="D201" s="758">
        <f>IF($I$243&lt;&gt;0,D$243/$I$243*$I201,0)</f>
        <v>13524.590163934427</v>
      </c>
      <c r="E201" s="758">
        <f>IF($I$243&lt;&gt;0,E$243/$I$243*$I201,0)</f>
        <v>1837.1584699453551</v>
      </c>
      <c r="F201" s="758">
        <f>IF($I$243&lt;&gt;0,F$243/$I$243*$I201,0)</f>
        <v>21311.475409836065</v>
      </c>
      <c r="G201" s="758">
        <f>IF($I$243&lt;&gt;0,G$243/$I$243*$I201,0)</f>
        <v>19945.355191256829</v>
      </c>
      <c r="H201" s="25">
        <f>SUM(C201:G201)</f>
        <v>56618.579234972676</v>
      </c>
      <c r="I201" s="758">
        <v>90</v>
      </c>
      <c r="J201" s="758">
        <f t="shared" si="37"/>
        <v>629.09532483302974</v>
      </c>
      <c r="K201" s="666">
        <v>9120</v>
      </c>
      <c r="L201" s="666"/>
      <c r="M201" s="189"/>
      <c r="N201" s="772">
        <f t="shared" si="33"/>
        <v>41508</v>
      </c>
      <c r="O201" s="772">
        <v>41511</v>
      </c>
      <c r="P201" s="773" t="s">
        <v>921</v>
      </c>
      <c r="Q201" s="305"/>
      <c r="R201" s="256"/>
      <c r="S201" s="25">
        <f t="shared" si="35"/>
        <v>0</v>
      </c>
      <c r="T201" s="449"/>
      <c r="U201" s="774"/>
      <c r="V201" s="804"/>
      <c r="W201" s="804"/>
      <c r="X201" s="25"/>
    </row>
    <row r="202" spans="1:24" ht="13.5" customHeight="1">
      <c r="A202" s="757">
        <f t="shared" si="34"/>
        <v>59</v>
      </c>
      <c r="B202" s="297" t="s">
        <v>1151</v>
      </c>
      <c r="C202" s="25">
        <f t="shared" si="38"/>
        <v>0</v>
      </c>
      <c r="D202" s="758">
        <f>IF($I$243&lt;&gt;0,D$243/$I$243*$I202,0)</f>
        <v>210382.51366120219</v>
      </c>
      <c r="E202" s="758">
        <f>IF($I$243&lt;&gt;0,E$243/$I$243*$I202,0)</f>
        <v>28578.020643594413</v>
      </c>
      <c r="F202" s="758">
        <f>IF($I$243&lt;&gt;0,F$243/$I$243*$I202,0)</f>
        <v>331511.83970856102</v>
      </c>
      <c r="G202" s="758">
        <f>IF($I$243&lt;&gt;0,G$243/$I$243*$I202,0)</f>
        <v>310261.08075288404</v>
      </c>
      <c r="H202" s="25">
        <f>SUM(C202:G202)</f>
        <v>880733.4547662416</v>
      </c>
      <c r="I202" s="758">
        <v>1400</v>
      </c>
      <c r="J202" s="758">
        <f t="shared" si="37"/>
        <v>629.09532483302974</v>
      </c>
      <c r="K202" s="666">
        <v>4720</v>
      </c>
      <c r="L202" s="666"/>
      <c r="M202" s="40"/>
      <c r="N202" s="772">
        <f t="shared" si="33"/>
        <v>41509</v>
      </c>
      <c r="O202" s="772">
        <v>41512</v>
      </c>
      <c r="P202" s="773" t="s">
        <v>923</v>
      </c>
      <c r="Q202" s="305"/>
      <c r="R202" s="804"/>
      <c r="S202" s="25">
        <f t="shared" si="35"/>
        <v>0</v>
      </c>
      <c r="T202" s="449"/>
      <c r="U202" s="774"/>
      <c r="V202" s="804"/>
      <c r="W202" s="804"/>
      <c r="X202" s="25"/>
    </row>
    <row r="203" spans="1:24" ht="13.5" customHeight="1">
      <c r="A203" s="757">
        <f t="shared" si="34"/>
        <v>60</v>
      </c>
      <c r="B203" s="297" t="s">
        <v>1151</v>
      </c>
      <c r="C203" s="25">
        <f t="shared" si="38"/>
        <v>0</v>
      </c>
      <c r="D203" s="758">
        <f>IF($I$243&lt;&gt;0,D$243/$I$243*$I203,0)</f>
        <v>360655.73770491808</v>
      </c>
      <c r="E203" s="758">
        <f>IF($I$243&lt;&gt;0,E$243/$I$243*$I203,0)</f>
        <v>48990.892531876139</v>
      </c>
      <c r="F203" s="758">
        <f>IF($I$243&lt;&gt;0,F$243/$I$243*$I203,0)</f>
        <v>568306.0109289618</v>
      </c>
      <c r="G203" s="758">
        <f>IF($I$243&lt;&gt;0,G$243/$I$243*$I203,0)</f>
        <v>531876.13843351544</v>
      </c>
      <c r="H203" s="25">
        <f>SUM(C203:G203)</f>
        <v>1509828.7795992715</v>
      </c>
      <c r="I203" s="758">
        <v>2400</v>
      </c>
      <c r="J203" s="758">
        <f t="shared" si="37"/>
        <v>629.09532483302974</v>
      </c>
      <c r="K203" s="666">
        <v>4720</v>
      </c>
      <c r="L203" s="666"/>
      <c r="M203" s="189"/>
      <c r="N203" s="772">
        <f t="shared" si="33"/>
        <v>41509</v>
      </c>
      <c r="O203" s="772">
        <v>41512</v>
      </c>
      <c r="P203" s="773" t="s">
        <v>923</v>
      </c>
      <c r="Q203" s="305"/>
      <c r="R203" s="256"/>
      <c r="S203" s="25">
        <f t="shared" si="35"/>
        <v>0</v>
      </c>
      <c r="T203" s="449"/>
      <c r="U203" s="774"/>
      <c r="V203" s="804"/>
      <c r="W203" s="804"/>
      <c r="X203" s="25"/>
    </row>
    <row r="204" spans="1:24" ht="13.5" customHeight="1">
      <c r="A204" s="757">
        <f t="shared" si="34"/>
        <v>61</v>
      </c>
      <c r="B204" s="297" t="s">
        <v>1142</v>
      </c>
      <c r="C204" s="25">
        <f t="shared" si="38"/>
        <v>0</v>
      </c>
      <c r="D204" s="758">
        <f>IF($I$243&lt;&gt;0,D$243/$I$243*$I204,0)</f>
        <v>151775.95628415301</v>
      </c>
      <c r="E204" s="758">
        <f>IF($I$243&lt;&gt;0,E$243/$I$243*$I204,0)</f>
        <v>20617.00060716454</v>
      </c>
      <c r="F204" s="758">
        <f>IF($I$243&lt;&gt;0,F$243/$I$243*$I204,0)</f>
        <v>239162.11293260474</v>
      </c>
      <c r="G204" s="758">
        <f>IF($I$243&lt;&gt;0,G$243/$I$243*$I204,0)</f>
        <v>223831.20825743777</v>
      </c>
      <c r="H204" s="25">
        <f>SUM(C204:G204)</f>
        <v>635386.27808136004</v>
      </c>
      <c r="I204" s="758">
        <v>1010</v>
      </c>
      <c r="J204" s="758">
        <f t="shared" si="37"/>
        <v>629.09532483302974</v>
      </c>
      <c r="K204" s="666">
        <v>5455</v>
      </c>
      <c r="L204" s="666"/>
      <c r="M204" s="40"/>
      <c r="N204" s="772">
        <f t="shared" si="33"/>
        <v>41509</v>
      </c>
      <c r="O204" s="772">
        <v>41512</v>
      </c>
      <c r="P204" s="773" t="s">
        <v>1116</v>
      </c>
      <c r="Q204" s="305"/>
      <c r="R204" s="804"/>
      <c r="S204" s="25">
        <f t="shared" si="35"/>
        <v>0</v>
      </c>
      <c r="T204" s="449"/>
      <c r="U204" s="774"/>
      <c r="V204" s="804"/>
      <c r="W204" s="804"/>
      <c r="X204" s="25"/>
    </row>
    <row r="205" spans="1:24" ht="13.5" customHeight="1">
      <c r="A205" s="757">
        <f t="shared" si="34"/>
        <v>62</v>
      </c>
      <c r="B205" s="297" t="s">
        <v>1146</v>
      </c>
      <c r="C205" s="25">
        <f t="shared" si="38"/>
        <v>0</v>
      </c>
      <c r="D205" s="758">
        <f>IF($I$243&lt;&gt;0,D$243/$I$243*$I205,0)</f>
        <v>15327.868852459018</v>
      </c>
      <c r="E205" s="758">
        <f>IF($I$243&lt;&gt;0,E$243/$I$243*$I205,0)</f>
        <v>2082.1129326047358</v>
      </c>
      <c r="F205" s="758">
        <f>IF($I$243&lt;&gt;0,F$243/$I$243*$I205,0)</f>
        <v>24153.005464480873</v>
      </c>
      <c r="G205" s="758">
        <f>IF($I$243&lt;&gt;0,G$243/$I$243*$I205,0)</f>
        <v>22604.735883424408</v>
      </c>
      <c r="H205" s="25">
        <f>SUM(C205:G205)</f>
        <v>64167.72313296904</v>
      </c>
      <c r="I205" s="758">
        <v>102</v>
      </c>
      <c r="J205" s="758">
        <f t="shared" si="37"/>
        <v>629.09532483302985</v>
      </c>
      <c r="K205" s="666">
        <v>12400</v>
      </c>
      <c r="L205" s="666"/>
      <c r="M205" s="40"/>
      <c r="N205" s="772">
        <f t="shared" si="33"/>
        <v>41509</v>
      </c>
      <c r="O205" s="772">
        <v>41512</v>
      </c>
      <c r="P205" s="773" t="s">
        <v>1116</v>
      </c>
      <c r="Q205" s="305"/>
      <c r="R205" s="804"/>
      <c r="S205" s="25">
        <f t="shared" si="35"/>
        <v>0</v>
      </c>
      <c r="T205" s="449"/>
      <c r="U205" s="774"/>
      <c r="V205" s="804"/>
      <c r="W205" s="804"/>
      <c r="X205" s="25"/>
    </row>
    <row r="206" spans="1:24" ht="13.5" customHeight="1">
      <c r="A206" s="757">
        <f t="shared" si="34"/>
        <v>63</v>
      </c>
      <c r="B206" s="297" t="s">
        <v>1010</v>
      </c>
      <c r="C206" s="25">
        <f t="shared" si="38"/>
        <v>0</v>
      </c>
      <c r="D206" s="758">
        <f>IF($I$243&lt;&gt;0,D$243/$I$243*$I206,0)</f>
        <v>60109.289617486342</v>
      </c>
      <c r="E206" s="758">
        <f>IF($I$243&lt;&gt;0,E$243/$I$243*$I206,0)</f>
        <v>8165.1487553126899</v>
      </c>
      <c r="F206" s="758">
        <f>IF($I$243&lt;&gt;0,F$243/$I$243*$I206,0)</f>
        <v>94717.668488160285</v>
      </c>
      <c r="G206" s="758">
        <f>IF($I$243&lt;&gt;0,G$243/$I$243*$I206,0)</f>
        <v>88646.023072252574</v>
      </c>
      <c r="H206" s="25">
        <f>SUM(C206:G206)</f>
        <v>251638.12993321189</v>
      </c>
      <c r="I206" s="758">
        <v>400</v>
      </c>
      <c r="J206" s="758">
        <f t="shared" si="37"/>
        <v>629.09532483302974</v>
      </c>
      <c r="K206" s="666">
        <v>13000</v>
      </c>
      <c r="L206" s="666"/>
      <c r="M206" s="40"/>
      <c r="N206" s="772">
        <f t="shared" si="33"/>
        <v>41513</v>
      </c>
      <c r="O206" s="772">
        <v>41516</v>
      </c>
      <c r="P206" s="773" t="s">
        <v>1117</v>
      </c>
      <c r="Q206" s="305"/>
      <c r="R206" s="804"/>
      <c r="S206" s="25">
        <f t="shared" si="35"/>
        <v>0</v>
      </c>
      <c r="T206" s="449"/>
      <c r="U206" s="774"/>
      <c r="V206" s="804"/>
      <c r="W206" s="804"/>
      <c r="X206" s="25"/>
    </row>
    <row r="207" spans="1:24" ht="13.5" customHeight="1">
      <c r="A207" s="757">
        <f t="shared" si="34"/>
        <v>64</v>
      </c>
      <c r="B207" s="297" t="s">
        <v>1009</v>
      </c>
      <c r="C207" s="25">
        <f t="shared" si="38"/>
        <v>0</v>
      </c>
      <c r="D207" s="758">
        <f>IF($I$243&lt;&gt;0,D$243/$I$243*$I207,0)</f>
        <v>31557.37704918033</v>
      </c>
      <c r="E207" s="758">
        <f>IF($I$243&lt;&gt;0,E$243/$I$243*$I207,0)</f>
        <v>4286.7030965391623</v>
      </c>
      <c r="F207" s="758">
        <f>IF($I$243&lt;&gt;0,F$243/$I$243*$I207,0)</f>
        <v>49726.775956284153</v>
      </c>
      <c r="G207" s="758">
        <f>IF($I$243&lt;&gt;0,G$243/$I$243*$I207,0)</f>
        <v>46539.162112932601</v>
      </c>
      <c r="H207" s="25">
        <f>SUM(C207:G207)</f>
        <v>132110.01821493625</v>
      </c>
      <c r="I207" s="758">
        <v>210</v>
      </c>
      <c r="J207" s="758">
        <f t="shared" si="37"/>
        <v>629.09532483302974</v>
      </c>
      <c r="K207" s="666">
        <v>14200</v>
      </c>
      <c r="L207" s="666"/>
      <c r="M207" s="40"/>
      <c r="N207" s="772">
        <f t="shared" si="33"/>
        <v>41513</v>
      </c>
      <c r="O207" s="772">
        <v>41516</v>
      </c>
      <c r="P207" s="773" t="s">
        <v>1117</v>
      </c>
      <c r="Q207" s="305"/>
      <c r="R207" s="804"/>
      <c r="S207" s="25">
        <f t="shared" si="35"/>
        <v>0</v>
      </c>
      <c r="T207" s="449"/>
      <c r="U207" s="774"/>
      <c r="V207" s="804"/>
      <c r="W207" s="804"/>
      <c r="X207" s="25"/>
    </row>
    <row r="208" spans="1:24" ht="13.5" customHeight="1">
      <c r="A208" s="757">
        <f t="shared" si="34"/>
        <v>65</v>
      </c>
      <c r="B208" s="297" t="s">
        <v>1006</v>
      </c>
      <c r="C208" s="25">
        <f t="shared" si="38"/>
        <v>0</v>
      </c>
      <c r="D208" s="758">
        <f>IF($I$243&lt;&gt;0,D$243/$I$243*$I208,0)</f>
        <v>22540.98360655738</v>
      </c>
      <c r="E208" s="758">
        <f>IF($I$243&lt;&gt;0,E$243/$I$243*$I208,0)</f>
        <v>3061.9307832422587</v>
      </c>
      <c r="F208" s="758">
        <f>IF($I$243&lt;&gt;0,F$243/$I$243*$I208,0)</f>
        <v>35519.125683060112</v>
      </c>
      <c r="G208" s="758">
        <f>IF($I$243&lt;&gt;0,G$243/$I$243*$I208,0)</f>
        <v>33242.258652094715</v>
      </c>
      <c r="H208" s="25">
        <f>SUM(C208:G208)</f>
        <v>94364.298724954468</v>
      </c>
      <c r="I208" s="758">
        <v>150</v>
      </c>
      <c r="J208" s="758">
        <f t="shared" si="37"/>
        <v>629.09532483302974</v>
      </c>
      <c r="K208" s="666">
        <v>8000</v>
      </c>
      <c r="L208" s="666"/>
      <c r="M208" s="189"/>
      <c r="N208" s="772">
        <f t="shared" si="33"/>
        <v>41513</v>
      </c>
      <c r="O208" s="772">
        <v>41516</v>
      </c>
      <c r="P208" s="773" t="s">
        <v>1117</v>
      </c>
      <c r="Q208" s="305"/>
      <c r="R208" s="804"/>
      <c r="S208" s="25">
        <f t="shared" si="35"/>
        <v>0</v>
      </c>
      <c r="T208" s="449"/>
      <c r="U208" s="774"/>
      <c r="V208" s="804"/>
      <c r="W208" s="804"/>
      <c r="X208" s="25"/>
    </row>
    <row r="209" spans="1:24" ht="13.5" customHeight="1">
      <c r="A209" s="757">
        <f t="shared" si="34"/>
        <v>66</v>
      </c>
      <c r="B209" s="297" t="s">
        <v>940</v>
      </c>
      <c r="C209" s="25">
        <f t="shared" si="38"/>
        <v>0</v>
      </c>
      <c r="D209" s="758">
        <f>IF($I$243&lt;&gt;0,D$243/$I$243*$I209,0)</f>
        <v>87909.836065573778</v>
      </c>
      <c r="E209" s="758">
        <f>IF($I$243&lt;&gt;0,E$243/$I$243*$I209,0)</f>
        <v>11941.530054644809</v>
      </c>
      <c r="F209" s="758">
        <f>IF($I$243&lt;&gt;0,F$243/$I$243*$I209,0)</f>
        <v>138524.59016393442</v>
      </c>
      <c r="G209" s="758">
        <f>IF($I$243&lt;&gt;0,G$243/$I$243*$I209,0)</f>
        <v>129644.8087431694</v>
      </c>
      <c r="H209" s="25">
        <f>SUM(C209:G209)</f>
        <v>368020.7650273224</v>
      </c>
      <c r="I209" s="758">
        <v>585</v>
      </c>
      <c r="J209" s="758">
        <f t="shared" si="37"/>
        <v>629.09532483302974</v>
      </c>
      <c r="K209" s="666">
        <v>18600</v>
      </c>
      <c r="L209" s="666"/>
      <c r="M209" s="40"/>
      <c r="N209" s="772">
        <f t="shared" ref="N209:N241" si="39">O209-3</f>
        <v>41509</v>
      </c>
      <c r="O209" s="772">
        <v>41512</v>
      </c>
      <c r="P209" s="773" t="s">
        <v>1118</v>
      </c>
      <c r="Q209" s="305"/>
      <c r="R209" s="804"/>
      <c r="S209" s="25">
        <f t="shared" si="35"/>
        <v>0</v>
      </c>
      <c r="T209" s="449"/>
      <c r="U209" s="774"/>
      <c r="V209" s="804"/>
      <c r="W209" s="804"/>
      <c r="X209" s="25"/>
    </row>
    <row r="210" spans="1:24" ht="13.5" customHeight="1">
      <c r="A210" s="757">
        <f t="shared" ref="A210:A241" si="40">IF(B210&lt;&gt;"",A209+1,"")</f>
        <v>67</v>
      </c>
      <c r="B210" s="297" t="s">
        <v>942</v>
      </c>
      <c r="C210" s="25">
        <f t="shared" si="38"/>
        <v>0</v>
      </c>
      <c r="D210" s="758">
        <f>IF($I$243&lt;&gt;0,D$243/$I$243*$I210,0)</f>
        <v>55751.366120218583</v>
      </c>
      <c r="E210" s="758">
        <f>IF($I$243&lt;&gt;0,E$243/$I$243*$I210,0)</f>
        <v>7573.17547055252</v>
      </c>
      <c r="F210" s="758">
        <f>IF($I$243&lt;&gt;0,F$243/$I$243*$I210,0)</f>
        <v>87850.637522768666</v>
      </c>
      <c r="G210" s="758">
        <f>IF($I$243&lt;&gt;0,G$243/$I$243*$I210,0)</f>
        <v>82219.186399514263</v>
      </c>
      <c r="H210" s="25">
        <f>SUM(C210:G210)</f>
        <v>233394.36551305401</v>
      </c>
      <c r="I210" s="758">
        <v>371</v>
      </c>
      <c r="J210" s="758">
        <f t="shared" si="37"/>
        <v>629.09532483302974</v>
      </c>
      <c r="K210" s="666">
        <v>16300</v>
      </c>
      <c r="L210" s="666"/>
      <c r="M210" s="189"/>
      <c r="N210" s="772">
        <f t="shared" si="39"/>
        <v>41509</v>
      </c>
      <c r="O210" s="772">
        <v>41512</v>
      </c>
      <c r="P210" s="773" t="s">
        <v>1118</v>
      </c>
      <c r="Q210" s="305"/>
      <c r="R210" s="804"/>
      <c r="S210" s="25">
        <f t="shared" si="35"/>
        <v>0</v>
      </c>
      <c r="T210" s="449"/>
      <c r="U210" s="774"/>
      <c r="V210" s="804"/>
      <c r="W210" s="804"/>
      <c r="X210" s="25"/>
    </row>
    <row r="211" spans="1:24" ht="13.5" customHeight="1">
      <c r="A211" s="757">
        <f t="shared" si="40"/>
        <v>68</v>
      </c>
      <c r="B211" s="297" t="s">
        <v>1150</v>
      </c>
      <c r="C211" s="25">
        <f t="shared" si="38"/>
        <v>0</v>
      </c>
      <c r="D211" s="758">
        <f>IF($I$243&lt;&gt;0,D$243/$I$243*$I211,0)</f>
        <v>405737.7049180328</v>
      </c>
      <c r="E211" s="758">
        <f>IF($I$243&lt;&gt;0,E$243/$I$243*$I211,0)</f>
        <v>55114.75409836066</v>
      </c>
      <c r="F211" s="758">
        <f>IF($I$243&lt;&gt;0,F$243/$I$243*$I211,0)</f>
        <v>639344.26229508198</v>
      </c>
      <c r="G211" s="758">
        <f>IF($I$243&lt;&gt;0,G$243/$I$243*$I211,0)</f>
        <v>598360.65573770495</v>
      </c>
      <c r="H211" s="25">
        <f>SUM(C211:G211)</f>
        <v>1698557.3770491802</v>
      </c>
      <c r="I211" s="758">
        <v>2700</v>
      </c>
      <c r="J211" s="758">
        <f t="shared" si="37"/>
        <v>629.09532483302974</v>
      </c>
      <c r="K211" s="666">
        <v>4700</v>
      </c>
      <c r="L211" s="666"/>
      <c r="M211" s="40"/>
      <c r="N211" s="772">
        <f t="shared" si="39"/>
        <v>41519</v>
      </c>
      <c r="O211" s="772">
        <v>41522</v>
      </c>
      <c r="P211" s="773" t="s">
        <v>1119</v>
      </c>
      <c r="Q211" s="305"/>
      <c r="R211" s="804"/>
      <c r="S211" s="25">
        <f t="shared" si="35"/>
        <v>0</v>
      </c>
      <c r="T211" s="449"/>
      <c r="U211" s="774"/>
      <c r="V211" s="804"/>
      <c r="W211" s="804"/>
      <c r="X211" s="25"/>
    </row>
    <row r="212" spans="1:24" ht="13.5" customHeight="1">
      <c r="A212" s="757">
        <f t="shared" si="40"/>
        <v>69</v>
      </c>
      <c r="B212" s="297" t="s">
        <v>1121</v>
      </c>
      <c r="C212" s="25">
        <f t="shared" si="38"/>
        <v>0</v>
      </c>
      <c r="D212" s="758">
        <f>IF($I$243&lt;&gt;0,D$243/$I$243*$I212,0)</f>
        <v>151775.95628415301</v>
      </c>
      <c r="E212" s="758">
        <f>IF($I$243&lt;&gt;0,E$243/$I$243*$I212,0)</f>
        <v>20617.00060716454</v>
      </c>
      <c r="F212" s="758">
        <f>IF($I$243&lt;&gt;0,F$243/$I$243*$I212,0)</f>
        <v>239162.11293260474</v>
      </c>
      <c r="G212" s="758">
        <f>IF($I$243&lt;&gt;0,G$243/$I$243*$I212,0)</f>
        <v>223831.20825743777</v>
      </c>
      <c r="H212" s="25">
        <f>SUM(C212:G212)</f>
        <v>635386.27808136004</v>
      </c>
      <c r="I212" s="758">
        <v>1010</v>
      </c>
      <c r="J212" s="758">
        <f t="shared" si="37"/>
        <v>629.09532483302974</v>
      </c>
      <c r="K212" s="666">
        <v>7500</v>
      </c>
      <c r="L212" s="666"/>
      <c r="M212" s="189"/>
      <c r="N212" s="772">
        <f t="shared" si="39"/>
        <v>41520</v>
      </c>
      <c r="O212" s="772">
        <v>41523</v>
      </c>
      <c r="P212" s="773" t="s">
        <v>1120</v>
      </c>
      <c r="Q212" s="305"/>
      <c r="R212" s="804"/>
      <c r="S212" s="25">
        <f t="shared" si="35"/>
        <v>0</v>
      </c>
      <c r="T212" s="449"/>
      <c r="U212" s="774"/>
      <c r="V212" s="804"/>
      <c r="W212" s="804"/>
      <c r="X212" s="25"/>
    </row>
    <row r="213" spans="1:24" ht="13.5" customHeight="1">
      <c r="A213" s="757">
        <f t="shared" si="40"/>
        <v>70</v>
      </c>
      <c r="B213" s="297" t="s">
        <v>1122</v>
      </c>
      <c r="C213" s="25">
        <f t="shared" si="38"/>
        <v>0</v>
      </c>
      <c r="D213" s="758">
        <f>IF($I$243&lt;&gt;0,D$243/$I$243*$I213,0)</f>
        <v>150273.22404371586</v>
      </c>
      <c r="E213" s="758">
        <f>IF($I$243&lt;&gt;0,E$243/$I$243*$I213,0)</f>
        <v>20412.871888281723</v>
      </c>
      <c r="F213" s="758">
        <f>IF($I$243&lt;&gt;0,F$243/$I$243*$I213,0)</f>
        <v>236794.17122040072</v>
      </c>
      <c r="G213" s="758">
        <f>IF($I$243&lt;&gt;0,G$243/$I$243*$I213,0)</f>
        <v>221615.05768063146</v>
      </c>
      <c r="H213" s="25">
        <f>SUM(C213:G213)</f>
        <v>629095.32483302976</v>
      </c>
      <c r="I213" s="758">
        <v>1000</v>
      </c>
      <c r="J213" s="758">
        <f t="shared" si="37"/>
        <v>629.09532483302974</v>
      </c>
      <c r="K213" s="666">
        <v>6400</v>
      </c>
      <c r="L213" s="666"/>
      <c r="M213" s="40"/>
      <c r="N213" s="772">
        <f t="shared" si="39"/>
        <v>41520</v>
      </c>
      <c r="O213" s="772">
        <v>41523</v>
      </c>
      <c r="P213" s="773" t="s">
        <v>1120</v>
      </c>
      <c r="Q213" s="305"/>
      <c r="R213" s="802"/>
      <c r="S213" s="25">
        <f t="shared" si="35"/>
        <v>0</v>
      </c>
      <c r="T213" s="449"/>
      <c r="U213" s="774"/>
      <c r="V213" s="804"/>
      <c r="W213" s="804"/>
      <c r="X213" s="25"/>
    </row>
    <row r="214" spans="1:24" ht="13.5" customHeight="1">
      <c r="A214" s="757">
        <f t="shared" si="40"/>
        <v>71</v>
      </c>
      <c r="B214" s="297" t="s">
        <v>1137</v>
      </c>
      <c r="C214" s="25">
        <f t="shared" si="38"/>
        <v>0</v>
      </c>
      <c r="D214" s="758">
        <f>IF($I$243&lt;&gt;0,D$243/$I$243*$I214,0)</f>
        <v>148770.49180327871</v>
      </c>
      <c r="E214" s="758">
        <f>IF($I$243&lt;&gt;0,E$243/$I$243*$I214,0)</f>
        <v>20208.743169398906</v>
      </c>
      <c r="F214" s="758">
        <f>IF($I$243&lt;&gt;0,F$243/$I$243*$I214,0)</f>
        <v>234426.22950819673</v>
      </c>
      <c r="G214" s="758">
        <f>IF($I$243&lt;&gt;0,G$243/$I$243*$I214,0)</f>
        <v>219398.90710382513</v>
      </c>
      <c r="H214" s="25">
        <f>SUM(C214:G214)</f>
        <v>622804.37158469949</v>
      </c>
      <c r="I214" s="758">
        <v>990</v>
      </c>
      <c r="J214" s="758">
        <f t="shared" si="37"/>
        <v>629.09532483302974</v>
      </c>
      <c r="K214" s="666">
        <v>6250</v>
      </c>
      <c r="L214" s="666"/>
      <c r="M214" s="189"/>
      <c r="N214" s="772">
        <f t="shared" si="39"/>
        <v>41523</v>
      </c>
      <c r="O214" s="772">
        <v>41526</v>
      </c>
      <c r="P214" s="773" t="s">
        <v>1123</v>
      </c>
      <c r="Q214" s="305"/>
      <c r="R214" s="804"/>
      <c r="S214" s="25">
        <f t="shared" si="35"/>
        <v>0</v>
      </c>
      <c r="T214" s="449"/>
      <c r="U214" s="774"/>
      <c r="V214" s="804"/>
      <c r="W214" s="804"/>
      <c r="X214" s="25"/>
    </row>
    <row r="215" spans="1:24" ht="13.5" customHeight="1">
      <c r="A215" s="757">
        <f>IF(B215&lt;&gt;"",A214+1,"")</f>
        <v>72</v>
      </c>
      <c r="B215" s="297" t="s">
        <v>867</v>
      </c>
      <c r="C215" s="25">
        <f t="shared" si="38"/>
        <v>0</v>
      </c>
      <c r="D215" s="758">
        <f>IF($I$243&lt;&gt;0,D$243/$I$243*$I215,0)</f>
        <v>75887.978142076507</v>
      </c>
      <c r="E215" s="758">
        <f>IF($I$243&lt;&gt;0,E$243/$I$243*$I215,0)</f>
        <v>10308.50030358227</v>
      </c>
      <c r="F215" s="758">
        <f>IF($I$243&lt;&gt;0,F$243/$I$243*$I215,0)</f>
        <v>119581.05646630237</v>
      </c>
      <c r="G215" s="758">
        <f>IF($I$243&lt;&gt;0,G$243/$I$243*$I215,0)</f>
        <v>111915.60412871889</v>
      </c>
      <c r="H215" s="25">
        <f>SUM(C215:G215)</f>
        <v>317693.13904068002</v>
      </c>
      <c r="I215" s="758">
        <v>505</v>
      </c>
      <c r="J215" s="758">
        <f t="shared" si="37"/>
        <v>629.09532483302974</v>
      </c>
      <c r="K215" s="666">
        <v>20300</v>
      </c>
      <c r="L215" s="666"/>
      <c r="M215" s="189"/>
      <c r="N215" s="772">
        <f t="shared" si="39"/>
        <v>41523</v>
      </c>
      <c r="O215" s="772">
        <v>41526</v>
      </c>
      <c r="P215" s="773" t="s">
        <v>1124</v>
      </c>
      <c r="Q215" s="305"/>
      <c r="R215" s="804"/>
      <c r="S215" s="25">
        <f t="shared" si="35"/>
        <v>0</v>
      </c>
      <c r="T215" s="449"/>
      <c r="U215" s="774"/>
      <c r="V215" s="804"/>
      <c r="W215" s="804"/>
      <c r="X215" s="25"/>
    </row>
    <row r="216" spans="1:24" ht="13.5" customHeight="1">
      <c r="A216" s="757">
        <f t="shared" si="40"/>
        <v>73</v>
      </c>
      <c r="B216" s="297" t="s">
        <v>940</v>
      </c>
      <c r="C216" s="25">
        <f t="shared" si="38"/>
        <v>0</v>
      </c>
      <c r="D216" s="758">
        <f>IF($I$243&lt;&gt;0,D$243/$I$243*$I216,0)</f>
        <v>87909.836065573778</v>
      </c>
      <c r="E216" s="758">
        <f>IF($I$243&lt;&gt;0,E$243/$I$243*$I216,0)</f>
        <v>11941.530054644809</v>
      </c>
      <c r="F216" s="758">
        <f>IF($I$243&lt;&gt;0,F$243/$I$243*$I216,0)</f>
        <v>138524.59016393442</v>
      </c>
      <c r="G216" s="758">
        <f>IF($I$243&lt;&gt;0,G$243/$I$243*$I216,0)</f>
        <v>129644.8087431694</v>
      </c>
      <c r="H216" s="25">
        <f>SUM(C216:G216)</f>
        <v>368020.7650273224</v>
      </c>
      <c r="I216" s="758">
        <v>585</v>
      </c>
      <c r="J216" s="758">
        <f t="shared" si="37"/>
        <v>629.09532483302974</v>
      </c>
      <c r="K216" s="666">
        <v>18600</v>
      </c>
      <c r="L216" s="666"/>
      <c r="M216" s="189"/>
      <c r="N216" s="772">
        <f t="shared" si="39"/>
        <v>41523</v>
      </c>
      <c r="O216" s="772">
        <v>41526</v>
      </c>
      <c r="P216" s="773" t="s">
        <v>1125</v>
      </c>
      <c r="Q216" s="305"/>
      <c r="R216" s="256"/>
      <c r="S216" s="25">
        <f t="shared" si="35"/>
        <v>0</v>
      </c>
      <c r="T216" s="449"/>
      <c r="U216" s="774"/>
      <c r="V216" s="804"/>
      <c r="W216" s="804"/>
      <c r="X216" s="25"/>
    </row>
    <row r="217" spans="1:24" ht="13.5" customHeight="1">
      <c r="A217" s="757">
        <f t="shared" si="40"/>
        <v>74</v>
      </c>
      <c r="B217" s="297" t="s">
        <v>942</v>
      </c>
      <c r="C217" s="25">
        <f t="shared" si="38"/>
        <v>0</v>
      </c>
      <c r="D217" s="758">
        <f>IF($I$243&lt;&gt;0,D$243/$I$243*$I217,0)</f>
        <v>45081.96721311476</v>
      </c>
      <c r="E217" s="758">
        <f>IF($I$243&lt;&gt;0,E$243/$I$243*$I217,0)</f>
        <v>6123.8615664845174</v>
      </c>
      <c r="F217" s="758">
        <f>IF($I$243&lt;&gt;0,F$243/$I$243*$I217,0)</f>
        <v>71038.251366120225</v>
      </c>
      <c r="G217" s="758">
        <f>IF($I$243&lt;&gt;0,G$243/$I$243*$I217,0)</f>
        <v>66484.51730418943</v>
      </c>
      <c r="H217" s="25">
        <f>SUM(C217:G217)</f>
        <v>188728.59744990894</v>
      </c>
      <c r="I217" s="758">
        <v>300</v>
      </c>
      <c r="J217" s="758">
        <f t="shared" si="37"/>
        <v>629.09532483302974</v>
      </c>
      <c r="K217" s="666">
        <v>16300</v>
      </c>
      <c r="L217" s="666"/>
      <c r="M217" s="189"/>
      <c r="N217" s="772">
        <f t="shared" si="39"/>
        <v>41523</v>
      </c>
      <c r="O217" s="772">
        <v>41526</v>
      </c>
      <c r="P217" s="773" t="s">
        <v>1125</v>
      </c>
      <c r="Q217" s="305"/>
      <c r="R217" s="804"/>
      <c r="S217" s="25">
        <f t="shared" si="35"/>
        <v>0</v>
      </c>
      <c r="T217" s="449"/>
      <c r="U217" s="774"/>
      <c r="V217" s="804"/>
      <c r="W217" s="804"/>
      <c r="X217" s="25"/>
    </row>
    <row r="218" spans="1:24" ht="13.5" customHeight="1">
      <c r="A218" s="757">
        <f t="shared" si="40"/>
        <v>75</v>
      </c>
      <c r="B218" s="297" t="s">
        <v>1150</v>
      </c>
      <c r="C218" s="25">
        <f t="shared" si="38"/>
        <v>0</v>
      </c>
      <c r="D218" s="758">
        <f>IF($I$243&lt;&gt;0,D$243/$I$243*$I218,0)</f>
        <v>402732.2404371585</v>
      </c>
      <c r="E218" s="758">
        <f>IF($I$243&lt;&gt;0,E$243/$I$243*$I218,0)</f>
        <v>54706.496660595025</v>
      </c>
      <c r="F218" s="758">
        <f>IF($I$243&lt;&gt;0,F$243/$I$243*$I218,0)</f>
        <v>634608.37887067394</v>
      </c>
      <c r="G218" s="758">
        <f>IF($I$243&lt;&gt;0,G$243/$I$243*$I218,0)</f>
        <v>593928.35458409227</v>
      </c>
      <c r="H218" s="25">
        <f>SUM(C218:G218)</f>
        <v>1685975.4705525197</v>
      </c>
      <c r="I218" s="758">
        <v>2680</v>
      </c>
      <c r="J218" s="758">
        <f t="shared" si="37"/>
        <v>629.09532483302974</v>
      </c>
      <c r="K218" s="666">
        <v>4700</v>
      </c>
      <c r="L218" s="666"/>
      <c r="M218" s="189"/>
      <c r="N218" s="772">
        <f t="shared" si="39"/>
        <v>41523</v>
      </c>
      <c r="O218" s="772">
        <v>41526</v>
      </c>
      <c r="P218" s="773" t="s">
        <v>924</v>
      </c>
      <c r="Q218" s="305"/>
      <c r="R218" s="826"/>
      <c r="S218" s="25">
        <f t="shared" si="35"/>
        <v>0</v>
      </c>
      <c r="T218" s="449"/>
      <c r="U218" s="774"/>
      <c r="V218" s="804"/>
      <c r="W218" s="804"/>
      <c r="X218" s="25"/>
    </row>
    <row r="219" spans="1:24" ht="13.5" customHeight="1">
      <c r="A219" s="757">
        <f t="shared" si="40"/>
        <v>76</v>
      </c>
      <c r="B219" s="297" t="s">
        <v>925</v>
      </c>
      <c r="C219" s="25">
        <f t="shared" si="38"/>
        <v>0</v>
      </c>
      <c r="D219" s="758">
        <f>IF($I$243&lt;&gt;0,D$243/$I$243*$I219,0)</f>
        <v>15027.322404371585</v>
      </c>
      <c r="E219" s="758">
        <f>IF($I$243&lt;&gt;0,E$243/$I$243*$I219,0)</f>
        <v>2041.2871888281725</v>
      </c>
      <c r="F219" s="758">
        <f>IF($I$243&lt;&gt;0,F$243/$I$243*$I219,0)</f>
        <v>23679.417122040071</v>
      </c>
      <c r="G219" s="758">
        <f>IF($I$243&lt;&gt;0,G$243/$I$243*$I219,0)</f>
        <v>22161.505768063143</v>
      </c>
      <c r="H219" s="25">
        <f>SUM(C219:G219)</f>
        <v>62909.532483302974</v>
      </c>
      <c r="I219" s="758">
        <v>100</v>
      </c>
      <c r="J219" s="758">
        <f t="shared" si="37"/>
        <v>629.09532483302974</v>
      </c>
      <c r="K219" s="666">
        <v>13000</v>
      </c>
      <c r="L219" s="666"/>
      <c r="M219" s="40"/>
      <c r="N219" s="772">
        <f t="shared" si="39"/>
        <v>41525</v>
      </c>
      <c r="O219" s="772">
        <v>41528</v>
      </c>
      <c r="P219" s="773" t="s">
        <v>926</v>
      </c>
      <c r="Q219" s="305"/>
      <c r="R219" s="804"/>
      <c r="S219" s="25">
        <f t="shared" si="35"/>
        <v>0</v>
      </c>
      <c r="T219" s="449"/>
      <c r="U219" s="774"/>
      <c r="V219" s="804"/>
      <c r="W219" s="804"/>
      <c r="X219" s="25"/>
    </row>
    <row r="220" spans="1:24" ht="13.5" customHeight="1">
      <c r="A220" s="757">
        <f t="shared" si="40"/>
        <v>77</v>
      </c>
      <c r="B220" s="297" t="s">
        <v>928</v>
      </c>
      <c r="C220" s="25">
        <f t="shared" si="38"/>
        <v>0</v>
      </c>
      <c r="D220" s="758">
        <f>IF($I$243&lt;&gt;0,D$243/$I$243*$I220,0)</f>
        <v>15327.868852459018</v>
      </c>
      <c r="E220" s="758">
        <f>IF($I$243&lt;&gt;0,E$243/$I$243*$I220,0)</f>
        <v>2082.1129326047358</v>
      </c>
      <c r="F220" s="758">
        <f>IF($I$243&lt;&gt;0,F$243/$I$243*$I220,0)</f>
        <v>24153.005464480873</v>
      </c>
      <c r="G220" s="758">
        <f>IF($I$243&lt;&gt;0,G$243/$I$243*$I220,0)</f>
        <v>22604.735883424408</v>
      </c>
      <c r="H220" s="25">
        <f>SUM(C220:G220)</f>
        <v>64167.72313296904</v>
      </c>
      <c r="I220" s="758">
        <v>102</v>
      </c>
      <c r="J220" s="758">
        <f t="shared" si="37"/>
        <v>629.09532483302985</v>
      </c>
      <c r="K220" s="666">
        <v>14600</v>
      </c>
      <c r="L220" s="666"/>
      <c r="M220" s="189"/>
      <c r="N220" s="772">
        <f t="shared" si="39"/>
        <v>41525</v>
      </c>
      <c r="O220" s="772">
        <v>41528</v>
      </c>
      <c r="P220" s="773" t="s">
        <v>926</v>
      </c>
      <c r="Q220" s="305"/>
      <c r="R220" s="804"/>
      <c r="S220" s="25">
        <f t="shared" si="35"/>
        <v>0</v>
      </c>
      <c r="T220" s="449"/>
      <c r="U220" s="774"/>
      <c r="V220" s="804"/>
      <c r="W220" s="804"/>
      <c r="X220" s="25"/>
    </row>
    <row r="221" spans="1:24" ht="13.5" customHeight="1">
      <c r="A221" s="757">
        <f t="shared" si="40"/>
        <v>78</v>
      </c>
      <c r="B221" s="297" t="s">
        <v>838</v>
      </c>
      <c r="C221" s="25">
        <f t="shared" si="38"/>
        <v>0</v>
      </c>
      <c r="D221" s="758">
        <f>IF($I$243&lt;&gt;0,D$243/$I$243*$I221,0)</f>
        <v>149071.03825136612</v>
      </c>
      <c r="E221" s="758">
        <f>IF($I$243&lt;&gt;0,E$243/$I$243*$I221,0)</f>
        <v>20249.56891317547</v>
      </c>
      <c r="F221" s="758">
        <f>IF($I$243&lt;&gt;0,F$243/$I$243*$I221,0)</f>
        <v>234899.81785063751</v>
      </c>
      <c r="G221" s="758">
        <f>IF($I$243&lt;&gt;0,G$243/$I$243*$I221,0)</f>
        <v>219842.13721918641</v>
      </c>
      <c r="H221" s="25">
        <f>SUM(C221:G221)</f>
        <v>624062.5622343655</v>
      </c>
      <c r="I221" s="758">
        <v>992</v>
      </c>
      <c r="J221" s="758">
        <f t="shared" si="37"/>
        <v>629.09532483302974</v>
      </c>
      <c r="K221" s="666">
        <v>10500</v>
      </c>
      <c r="L221" s="666"/>
      <c r="M221" s="189"/>
      <c r="N221" s="772">
        <f t="shared" si="39"/>
        <v>41530</v>
      </c>
      <c r="O221" s="772">
        <v>41533</v>
      </c>
      <c r="P221" s="773" t="s">
        <v>929</v>
      </c>
      <c r="Q221" s="305"/>
      <c r="R221" s="804"/>
      <c r="S221" s="25">
        <f t="shared" si="35"/>
        <v>0</v>
      </c>
      <c r="T221" s="449"/>
      <c r="U221" s="774"/>
      <c r="V221" s="804"/>
      <c r="W221" s="804"/>
      <c r="X221" s="25"/>
    </row>
    <row r="222" spans="1:24" ht="13.5" customHeight="1">
      <c r="A222" s="757">
        <f t="shared" si="40"/>
        <v>79</v>
      </c>
      <c r="B222" s="297" t="s">
        <v>867</v>
      </c>
      <c r="C222" s="25">
        <f t="shared" si="38"/>
        <v>0</v>
      </c>
      <c r="D222" s="758">
        <f>IF($I$243&lt;&gt;0,D$243/$I$243*$I222,0)</f>
        <v>74535.519125683059</v>
      </c>
      <c r="E222" s="758">
        <f>IF($I$243&lt;&gt;0,E$243/$I$243*$I222,0)</f>
        <v>10124.784456587735</v>
      </c>
      <c r="F222" s="758">
        <f>IF($I$243&lt;&gt;0,F$243/$I$243*$I222,0)</f>
        <v>117449.90892531876</v>
      </c>
      <c r="G222" s="758">
        <f>IF($I$243&lt;&gt;0,G$243/$I$243*$I222,0)</f>
        <v>109921.0686095932</v>
      </c>
      <c r="H222" s="25">
        <f>SUM(C222:G222)</f>
        <v>312031.28111718275</v>
      </c>
      <c r="I222" s="758">
        <v>496</v>
      </c>
      <c r="J222" s="758">
        <f t="shared" si="37"/>
        <v>629.09532483302974</v>
      </c>
      <c r="K222" s="666">
        <v>20300</v>
      </c>
      <c r="L222" s="666"/>
      <c r="M222" s="189"/>
      <c r="N222" s="772">
        <f t="shared" si="39"/>
        <v>41532</v>
      </c>
      <c r="O222" s="772">
        <v>41535</v>
      </c>
      <c r="P222" s="773" t="s">
        <v>930</v>
      </c>
      <c r="Q222" s="305"/>
      <c r="R222" s="804"/>
      <c r="S222" s="25">
        <f t="shared" si="35"/>
        <v>0</v>
      </c>
      <c r="T222" s="449"/>
      <c r="U222" s="774"/>
      <c r="V222" s="804"/>
      <c r="W222" s="804"/>
      <c r="X222" s="25"/>
    </row>
    <row r="223" spans="1:24" ht="13.5" customHeight="1">
      <c r="A223" s="757">
        <f t="shared" si="40"/>
        <v>80</v>
      </c>
      <c r="B223" s="297" t="s">
        <v>931</v>
      </c>
      <c r="C223" s="25">
        <f t="shared" si="38"/>
        <v>0</v>
      </c>
      <c r="D223" s="758">
        <f>IF($I$243&lt;&gt;0,D$243/$I$243*$I223,0)</f>
        <v>44180.327868852459</v>
      </c>
      <c r="E223" s="758">
        <f>IF($I$243&lt;&gt;0,E$243/$I$243*$I223,0)</f>
        <v>6001.3843351548267</v>
      </c>
      <c r="F223" s="758">
        <f>IF($I$243&lt;&gt;0,F$243/$I$243*$I223,0)</f>
        <v>69617.486338797811</v>
      </c>
      <c r="G223" s="758">
        <f>IF($I$243&lt;&gt;0,G$243/$I$243*$I223,0)</f>
        <v>65154.826958105645</v>
      </c>
      <c r="H223" s="25">
        <f>SUM(C223:G223)</f>
        <v>184954.02550091073</v>
      </c>
      <c r="I223" s="758">
        <v>294</v>
      </c>
      <c r="J223" s="758">
        <f t="shared" si="37"/>
        <v>629.09532483302974</v>
      </c>
      <c r="K223" s="666">
        <v>4870</v>
      </c>
      <c r="L223" s="666"/>
      <c r="M223" s="189"/>
      <c r="N223" s="772">
        <f t="shared" si="39"/>
        <v>41533</v>
      </c>
      <c r="O223" s="772">
        <v>41536</v>
      </c>
      <c r="P223" s="773" t="s">
        <v>932</v>
      </c>
      <c r="Q223" s="305"/>
      <c r="R223" s="826"/>
      <c r="S223" s="25">
        <f t="shared" si="35"/>
        <v>0</v>
      </c>
      <c r="T223" s="449"/>
      <c r="U223" s="774"/>
      <c r="V223" s="804"/>
      <c r="W223" s="804"/>
      <c r="X223" s="25"/>
    </row>
    <row r="224" spans="1:24" ht="13.5" customHeight="1">
      <c r="A224" s="757">
        <f t="shared" si="40"/>
        <v>81</v>
      </c>
      <c r="B224" s="297" t="s">
        <v>887</v>
      </c>
      <c r="C224" s="25">
        <f t="shared" si="38"/>
        <v>0</v>
      </c>
      <c r="D224" s="758">
        <f>IF($I$243&lt;&gt;0,D$243/$I$243*$I224,0)</f>
        <v>76639.344262295082</v>
      </c>
      <c r="E224" s="758">
        <f>IF($I$243&lt;&gt;0,E$243/$I$243*$I224,0)</f>
        <v>10410.564663023679</v>
      </c>
      <c r="F224" s="758">
        <f>IF($I$243&lt;&gt;0,F$243/$I$243*$I224,0)</f>
        <v>120765.02732240438</v>
      </c>
      <c r="G224" s="758">
        <f>IF($I$243&lt;&gt;0,G$243/$I$243*$I224,0)</f>
        <v>113023.67941712204</v>
      </c>
      <c r="H224" s="25">
        <f>SUM(C224:G224)</f>
        <v>320838.61566484516</v>
      </c>
      <c r="I224" s="758">
        <v>510</v>
      </c>
      <c r="J224" s="758">
        <f t="shared" si="37"/>
        <v>629.09532483302974</v>
      </c>
      <c r="K224" s="666">
        <v>8200</v>
      </c>
      <c r="L224" s="666"/>
      <c r="M224" s="189"/>
      <c r="N224" s="772">
        <f t="shared" si="39"/>
        <v>41534</v>
      </c>
      <c r="O224" s="772">
        <v>41537</v>
      </c>
      <c r="P224" s="773" t="s">
        <v>933</v>
      </c>
      <c r="Q224" s="305"/>
      <c r="R224" s="802"/>
      <c r="S224" s="25">
        <f t="shared" si="35"/>
        <v>0</v>
      </c>
      <c r="T224" s="449"/>
      <c r="U224" s="774"/>
      <c r="V224" s="804"/>
      <c r="W224" s="804"/>
      <c r="X224" s="25"/>
    </row>
    <row r="225" spans="1:24" ht="13.5" customHeight="1">
      <c r="A225" s="757">
        <f>IF(B225&lt;&gt;"",A224+1,"")</f>
        <v>82</v>
      </c>
      <c r="B225" s="297" t="s">
        <v>744</v>
      </c>
      <c r="C225" s="25">
        <f t="shared" si="38"/>
        <v>0</v>
      </c>
      <c r="D225" s="758">
        <f>IF($I$243&lt;&gt;0,D$243/$I$243*$I225,0)</f>
        <v>49740.437158469947</v>
      </c>
      <c r="E225" s="758">
        <f>IF($I$243&lt;&gt;0,E$243/$I$243*$I225,0)</f>
        <v>6756.6605950212506</v>
      </c>
      <c r="F225" s="758">
        <f>IF($I$243&lt;&gt;0,F$243/$I$243*$I225,0)</f>
        <v>78378.870673952639</v>
      </c>
      <c r="G225" s="758">
        <f>IF($I$243&lt;&gt;0,G$243/$I$243*$I225,0)</f>
        <v>73354.584092289006</v>
      </c>
      <c r="H225" s="25">
        <f>SUM(C225:G225)</f>
        <v>208230.55251973282</v>
      </c>
      <c r="I225" s="758">
        <v>331</v>
      </c>
      <c r="J225" s="758">
        <f t="shared" si="37"/>
        <v>629.09532483302974</v>
      </c>
      <c r="K225" s="666">
        <v>25000</v>
      </c>
      <c r="L225" s="666"/>
      <c r="M225" s="189"/>
      <c r="N225" s="772">
        <f t="shared" si="39"/>
        <v>41535</v>
      </c>
      <c r="O225" s="772">
        <v>41538</v>
      </c>
      <c r="P225" s="773" t="s">
        <v>934</v>
      </c>
      <c r="Q225" s="305"/>
      <c r="R225" s="826"/>
      <c r="S225" s="25">
        <f t="shared" si="35"/>
        <v>0</v>
      </c>
      <c r="T225" s="449"/>
      <c r="U225" s="774"/>
      <c r="V225" s="804"/>
      <c r="W225" s="804"/>
      <c r="X225" s="25"/>
    </row>
    <row r="226" spans="1:24" ht="13.5" customHeight="1">
      <c r="A226" s="757">
        <f t="shared" si="40"/>
        <v>83</v>
      </c>
      <c r="B226" s="297" t="s">
        <v>885</v>
      </c>
      <c r="C226" s="25">
        <f t="shared" si="38"/>
        <v>0</v>
      </c>
      <c r="D226" s="758">
        <f>IF($I$243&lt;&gt;0,D$243/$I$243*$I226,0)</f>
        <v>64617.486338797818</v>
      </c>
      <c r="E226" s="758">
        <f>IF($I$243&lt;&gt;0,E$243/$I$243*$I226,0)</f>
        <v>8777.5349119611419</v>
      </c>
      <c r="F226" s="758">
        <f>IF($I$243&lt;&gt;0,F$243/$I$243*$I226,0)</f>
        <v>101821.49362477231</v>
      </c>
      <c r="G226" s="758">
        <f>IF($I$243&lt;&gt;0,G$243/$I$243*$I226,0)</f>
        <v>95294.474802671524</v>
      </c>
      <c r="H226" s="25">
        <f>SUM(C226:G226)</f>
        <v>270510.98967820278</v>
      </c>
      <c r="I226" s="758">
        <v>430</v>
      </c>
      <c r="J226" s="758">
        <f t="shared" si="37"/>
        <v>629.09532483302974</v>
      </c>
      <c r="K226" s="666">
        <v>8600</v>
      </c>
      <c r="L226" s="666"/>
      <c r="M226" s="189"/>
      <c r="N226" s="772">
        <f t="shared" si="39"/>
        <v>41537</v>
      </c>
      <c r="O226" s="772">
        <v>41540</v>
      </c>
      <c r="P226" s="773" t="s">
        <v>1126</v>
      </c>
      <c r="Q226" s="305"/>
      <c r="R226" s="804"/>
      <c r="S226" s="25">
        <f t="shared" si="35"/>
        <v>0</v>
      </c>
      <c r="T226" s="449"/>
      <c r="U226" s="774"/>
      <c r="V226" s="804"/>
      <c r="W226" s="804"/>
      <c r="X226" s="25"/>
    </row>
    <row r="227" spans="1:24" ht="13.5" customHeight="1">
      <c r="A227" s="757">
        <f t="shared" si="40"/>
        <v>84</v>
      </c>
      <c r="B227" s="297" t="s">
        <v>1134</v>
      </c>
      <c r="C227" s="25">
        <f t="shared" si="38"/>
        <v>0</v>
      </c>
      <c r="D227" s="758">
        <f>IF($I$243&lt;&gt;0,D$243/$I$243*$I227,0)</f>
        <v>30054.644808743171</v>
      </c>
      <c r="E227" s="758">
        <f>IF($I$243&lt;&gt;0,E$243/$I$243*$I227,0)</f>
        <v>4082.574377656345</v>
      </c>
      <c r="F227" s="758">
        <f>IF($I$243&lt;&gt;0,F$243/$I$243*$I227,0)</f>
        <v>47358.834244080143</v>
      </c>
      <c r="G227" s="758">
        <f>IF($I$243&lt;&gt;0,G$243/$I$243*$I227,0)</f>
        <v>44323.011536126287</v>
      </c>
      <c r="H227" s="25">
        <f>SUM(C227:G227)</f>
        <v>125819.06496660595</v>
      </c>
      <c r="I227" s="758">
        <v>200</v>
      </c>
      <c r="J227" s="758">
        <f t="shared" si="37"/>
        <v>629.09532483302974</v>
      </c>
      <c r="K227" s="666">
        <v>12900</v>
      </c>
      <c r="L227" s="666"/>
      <c r="M227" s="189"/>
      <c r="N227" s="772">
        <f t="shared" si="39"/>
        <v>41537</v>
      </c>
      <c r="O227" s="772">
        <v>41540</v>
      </c>
      <c r="P227" s="773" t="s">
        <v>1126</v>
      </c>
      <c r="Q227" s="305"/>
      <c r="R227" s="804"/>
      <c r="S227" s="25">
        <f t="shared" si="35"/>
        <v>0</v>
      </c>
      <c r="T227" s="449"/>
      <c r="U227" s="774"/>
      <c r="V227" s="804"/>
      <c r="W227" s="804"/>
      <c r="X227" s="25"/>
    </row>
    <row r="228" spans="1:24" ht="13.5" customHeight="1">
      <c r="A228" s="757">
        <f t="shared" si="40"/>
        <v>85</v>
      </c>
      <c r="B228" s="297" t="s">
        <v>1132</v>
      </c>
      <c r="C228" s="25">
        <f t="shared" si="38"/>
        <v>0</v>
      </c>
      <c r="D228" s="758">
        <f>IF($I$243&lt;&gt;0,D$243/$I$243*$I228,0)</f>
        <v>16229.508196721312</v>
      </c>
      <c r="E228" s="758">
        <f>IF($I$243&lt;&gt;0,E$243/$I$243*$I228,0)</f>
        <v>2204.5901639344261</v>
      </c>
      <c r="F228" s="758">
        <f>IF($I$243&lt;&gt;0,F$243/$I$243*$I228,0)</f>
        <v>25573.77049180328</v>
      </c>
      <c r="G228" s="758">
        <f>IF($I$243&lt;&gt;0,G$243/$I$243*$I228,0)</f>
        <v>23934.426229508197</v>
      </c>
      <c r="H228" s="25">
        <f>SUM(C228:G228)</f>
        <v>67942.295081967211</v>
      </c>
      <c r="I228" s="758">
        <v>108</v>
      </c>
      <c r="J228" s="758">
        <f t="shared" si="37"/>
        <v>629.09532483302974</v>
      </c>
      <c r="K228" s="666">
        <v>13500</v>
      </c>
      <c r="L228" s="666"/>
      <c r="M228" s="189"/>
      <c r="N228" s="772">
        <f t="shared" si="39"/>
        <v>41537</v>
      </c>
      <c r="O228" s="772">
        <v>41540</v>
      </c>
      <c r="P228" s="773" t="s">
        <v>1126</v>
      </c>
      <c r="Q228" s="305"/>
      <c r="S228" s="25">
        <f t="shared" si="35"/>
        <v>0</v>
      </c>
      <c r="T228" s="449"/>
      <c r="U228" s="774"/>
      <c r="V228" s="804"/>
      <c r="W228" s="804"/>
      <c r="X228" s="25"/>
    </row>
    <row r="229" spans="1:24" ht="13.5" customHeight="1">
      <c r="A229" s="757">
        <f t="shared" si="40"/>
        <v>86</v>
      </c>
      <c r="B229" s="297" t="s">
        <v>1135</v>
      </c>
      <c r="C229" s="25">
        <f t="shared" si="38"/>
        <v>0</v>
      </c>
      <c r="D229" s="758">
        <f>IF($I$243&lt;&gt;0,D$243/$I$243*$I229,0)</f>
        <v>38620.218579234977</v>
      </c>
      <c r="E229" s="758">
        <f>IF($I$243&lt;&gt;0,E$243/$I$243*$I229,0)</f>
        <v>5246.1080752884036</v>
      </c>
      <c r="F229" s="758">
        <f>IF($I$243&lt;&gt;0,F$243/$I$243*$I229,0)</f>
        <v>60856.102003642984</v>
      </c>
      <c r="G229" s="758">
        <f>IF($I$243&lt;&gt;0,G$243/$I$243*$I229,0)</f>
        <v>56955.069823922284</v>
      </c>
      <c r="H229" s="25">
        <f>SUM(C229:G229)</f>
        <v>161677.49848208865</v>
      </c>
      <c r="I229" s="758">
        <v>257</v>
      </c>
      <c r="J229" s="758">
        <f t="shared" si="37"/>
        <v>629.09532483302974</v>
      </c>
      <c r="K229" s="666">
        <v>7000</v>
      </c>
      <c r="L229" s="666"/>
      <c r="M229" s="189"/>
      <c r="N229" s="772">
        <f t="shared" si="39"/>
        <v>41537</v>
      </c>
      <c r="O229" s="772">
        <v>41540</v>
      </c>
      <c r="P229" s="773" t="s">
        <v>1126</v>
      </c>
      <c r="Q229" s="305"/>
      <c r="R229" s="804"/>
      <c r="S229" s="25">
        <f t="shared" si="35"/>
        <v>0</v>
      </c>
      <c r="T229" s="449"/>
      <c r="U229" s="774"/>
      <c r="V229" s="804"/>
      <c r="W229" s="804"/>
      <c r="X229" s="25"/>
    </row>
    <row r="230" spans="1:24" ht="13.5" customHeight="1">
      <c r="A230" s="757">
        <f t="shared" si="40"/>
        <v>87</v>
      </c>
      <c r="B230" s="297" t="s">
        <v>817</v>
      </c>
      <c r="C230" s="25">
        <f t="shared" si="38"/>
        <v>0</v>
      </c>
      <c r="D230" s="758">
        <f>IF($I$243&lt;&gt;0,D$243/$I$243*$I230,0)</f>
        <v>63715.846994535525</v>
      </c>
      <c r="E230" s="758">
        <f>IF($I$243&lt;&gt;0,E$243/$I$243*$I230,0)</f>
        <v>8655.0576806314511</v>
      </c>
      <c r="F230" s="758">
        <f>IF($I$243&lt;&gt;0,F$243/$I$243*$I230,0)</f>
        <v>100400.72859744991</v>
      </c>
      <c r="G230" s="758">
        <f>IF($I$243&lt;&gt;0,G$243/$I$243*$I230,0)</f>
        <v>93964.784456587731</v>
      </c>
      <c r="H230" s="25">
        <f>SUM(C230:G230)</f>
        <v>266736.41772920464</v>
      </c>
      <c r="I230" s="758">
        <v>424</v>
      </c>
      <c r="J230" s="758">
        <f t="shared" si="37"/>
        <v>629.09532483302985</v>
      </c>
      <c r="K230" s="666">
        <v>17300</v>
      </c>
      <c r="L230" s="666"/>
      <c r="M230" s="189"/>
      <c r="N230" s="772">
        <f t="shared" si="39"/>
        <v>41537</v>
      </c>
      <c r="O230" s="772">
        <v>41540</v>
      </c>
      <c r="P230" s="773" t="s">
        <v>935</v>
      </c>
      <c r="Q230" s="305"/>
      <c r="R230" s="804"/>
      <c r="S230" s="25">
        <f t="shared" si="35"/>
        <v>0</v>
      </c>
      <c r="T230" s="449"/>
      <c r="U230" s="774"/>
      <c r="V230" s="804"/>
      <c r="W230" s="804"/>
      <c r="X230" s="25"/>
    </row>
    <row r="231" spans="1:24" ht="13.5" customHeight="1">
      <c r="A231" s="757">
        <f t="shared" si="40"/>
        <v>88</v>
      </c>
      <c r="B231" s="297" t="s">
        <v>889</v>
      </c>
      <c r="C231" s="25">
        <f t="shared" si="38"/>
        <v>0</v>
      </c>
      <c r="D231" s="758">
        <f>IF($I$243&lt;&gt;0,D$243/$I$243*$I231,0)</f>
        <v>147267.75956284153</v>
      </c>
      <c r="E231" s="758">
        <f>IF($I$243&lt;&gt;0,E$243/$I$243*$I231,0)</f>
        <v>20004.614450516092</v>
      </c>
      <c r="F231" s="758">
        <f>IF($I$243&lt;&gt;0,F$243/$I$243*$I231,0)</f>
        <v>232058.28779599271</v>
      </c>
      <c r="G231" s="758">
        <f>IF($I$243&lt;&gt;0,G$243/$I$243*$I231,0)</f>
        <v>217182.75652701882</v>
      </c>
      <c r="H231" s="25">
        <f>SUM(C231:G231)</f>
        <v>616513.41833636921</v>
      </c>
      <c r="I231" s="758">
        <v>980</v>
      </c>
      <c r="J231" s="758">
        <f t="shared" si="37"/>
        <v>629.09532483302985</v>
      </c>
      <c r="K231" s="666">
        <v>6300</v>
      </c>
      <c r="L231" s="666"/>
      <c r="M231" s="189"/>
      <c r="N231" s="772">
        <f t="shared" si="39"/>
        <v>41537</v>
      </c>
      <c r="O231" s="772">
        <v>41540</v>
      </c>
      <c r="P231" s="773" t="s">
        <v>936</v>
      </c>
      <c r="Q231" s="305"/>
      <c r="R231" s="804"/>
      <c r="S231" s="25">
        <f t="shared" si="35"/>
        <v>0</v>
      </c>
      <c r="T231" s="449"/>
      <c r="U231" s="774"/>
      <c r="V231" s="804"/>
      <c r="W231" s="804"/>
      <c r="X231" s="25"/>
    </row>
    <row r="232" spans="1:24" ht="13.5" customHeight="1">
      <c r="A232" s="757">
        <f t="shared" si="40"/>
        <v>89</v>
      </c>
      <c r="B232" s="297" t="s">
        <v>1150</v>
      </c>
      <c r="C232" s="25">
        <f t="shared" si="38"/>
        <v>0</v>
      </c>
      <c r="D232" s="758">
        <f>IF($I$243&lt;&gt;0,D$243/$I$243*$I232,0)</f>
        <v>405737.7049180328</v>
      </c>
      <c r="E232" s="758">
        <f>IF($I$243&lt;&gt;0,E$243/$I$243*$I232,0)</f>
        <v>55114.75409836066</v>
      </c>
      <c r="F232" s="758">
        <f>IF($I$243&lt;&gt;0,F$243/$I$243*$I232,0)</f>
        <v>639344.26229508198</v>
      </c>
      <c r="G232" s="758">
        <f>IF($I$243&lt;&gt;0,G$243/$I$243*$I232,0)</f>
        <v>598360.65573770495</v>
      </c>
      <c r="H232" s="25">
        <f>SUM(C232:G232)</f>
        <v>1698557.3770491802</v>
      </c>
      <c r="I232" s="758">
        <v>2700</v>
      </c>
      <c r="J232" s="758">
        <f t="shared" si="37"/>
        <v>629.09532483302974</v>
      </c>
      <c r="K232" s="666">
        <v>4700</v>
      </c>
      <c r="L232" s="666"/>
      <c r="M232" s="189"/>
      <c r="N232" s="772">
        <f t="shared" si="39"/>
        <v>41539</v>
      </c>
      <c r="O232" s="772">
        <v>41542</v>
      </c>
      <c r="P232" s="773" t="s">
        <v>937</v>
      </c>
      <c r="Q232" s="305"/>
      <c r="R232" s="804"/>
      <c r="S232" s="25">
        <f t="shared" si="35"/>
        <v>0</v>
      </c>
      <c r="T232" s="449"/>
      <c r="U232" s="774"/>
      <c r="V232" s="804"/>
      <c r="W232" s="804"/>
      <c r="X232" s="25"/>
    </row>
    <row r="233" spans="1:24" ht="13.5" customHeight="1">
      <c r="A233" s="757">
        <f t="shared" si="40"/>
        <v>90</v>
      </c>
      <c r="B233" s="297" t="s">
        <v>1153</v>
      </c>
      <c r="C233" s="25">
        <f t="shared" si="38"/>
        <v>0</v>
      </c>
      <c r="D233" s="758">
        <f>IF($I$243&lt;&gt;0,D$243/$I$243*$I233,0)</f>
        <v>525956.28415300546</v>
      </c>
      <c r="E233" s="758">
        <f>IF($I$243&lt;&gt;0,E$243/$I$243*$I233,0)</f>
        <v>71445.051608986032</v>
      </c>
      <c r="F233" s="758">
        <f>IF($I$243&lt;&gt;0,F$243/$I$243*$I233,0)</f>
        <v>828779.59927140258</v>
      </c>
      <c r="G233" s="758">
        <f>IF($I$243&lt;&gt;0,G$243/$I$243*$I233,0)</f>
        <v>775652.70188221009</v>
      </c>
      <c r="H233" s="25">
        <f>SUM(C233:G233)</f>
        <v>2201833.6369156041</v>
      </c>
      <c r="I233" s="758">
        <v>3500</v>
      </c>
      <c r="J233" s="758">
        <f t="shared" si="37"/>
        <v>629.09532483302974</v>
      </c>
      <c r="K233" s="666">
        <v>4080</v>
      </c>
      <c r="L233" s="666"/>
      <c r="M233" s="189"/>
      <c r="N233" s="772">
        <f t="shared" si="39"/>
        <v>41540</v>
      </c>
      <c r="O233" s="772">
        <v>41543</v>
      </c>
      <c r="P233" s="773" t="s">
        <v>938</v>
      </c>
      <c r="Q233" s="305"/>
      <c r="R233" s="804"/>
      <c r="S233" s="25">
        <f t="shared" si="35"/>
        <v>0</v>
      </c>
      <c r="T233" s="449"/>
      <c r="U233" s="774"/>
      <c r="V233" s="804"/>
      <c r="W233" s="804"/>
      <c r="X233" s="25"/>
    </row>
    <row r="234" spans="1:24" ht="13.5" customHeight="1">
      <c r="A234" s="757">
        <f t="shared" si="40"/>
        <v>91</v>
      </c>
      <c r="B234" s="297" t="s">
        <v>838</v>
      </c>
      <c r="C234" s="25">
        <f t="shared" si="38"/>
        <v>0</v>
      </c>
      <c r="D234" s="758">
        <f>IF($I$243&lt;&gt;0,D$243/$I$243*$I234,0)</f>
        <v>150874.31693989073</v>
      </c>
      <c r="E234" s="758">
        <f>IF($I$243&lt;&gt;0,E$243/$I$243*$I234,0)</f>
        <v>20494.523375834851</v>
      </c>
      <c r="F234" s="758">
        <f>IF($I$243&lt;&gt;0,F$243/$I$243*$I234,0)</f>
        <v>237741.34790528234</v>
      </c>
      <c r="G234" s="758">
        <f>IF($I$243&lt;&gt;0,G$243/$I$243*$I234,0)</f>
        <v>222501.51791135396</v>
      </c>
      <c r="H234" s="25">
        <f>SUM(C234:G234)</f>
        <v>631611.7061323619</v>
      </c>
      <c r="I234" s="758">
        <v>1004</v>
      </c>
      <c r="J234" s="758">
        <f t="shared" si="37"/>
        <v>629.09532483302974</v>
      </c>
      <c r="K234" s="666">
        <v>10500</v>
      </c>
      <c r="L234" s="666"/>
      <c r="M234" s="297"/>
      <c r="N234" s="772">
        <f t="shared" si="39"/>
        <v>41544</v>
      </c>
      <c r="O234" s="772">
        <v>41547</v>
      </c>
      <c r="P234" s="773" t="s">
        <v>939</v>
      </c>
      <c r="Q234" s="305"/>
      <c r="R234" s="804"/>
      <c r="S234" s="25">
        <f t="shared" si="35"/>
        <v>0</v>
      </c>
      <c r="T234" s="449"/>
      <c r="U234" s="774"/>
      <c r="V234" s="804"/>
      <c r="W234" s="804"/>
      <c r="X234" s="25"/>
    </row>
    <row r="235" spans="1:24" ht="13.5" customHeight="1">
      <c r="A235" s="757">
        <f t="shared" si="40"/>
        <v>92</v>
      </c>
      <c r="B235" s="297" t="s">
        <v>940</v>
      </c>
      <c r="C235" s="25">
        <f t="shared" si="38"/>
        <v>0</v>
      </c>
      <c r="D235" s="758">
        <f>IF($I$243&lt;&gt;0,D$243/$I$243*$I235,0)</f>
        <v>78893.442622950824</v>
      </c>
      <c r="E235" s="758">
        <f>IF($I$243&lt;&gt;0,E$243/$I$243*$I235,0)</f>
        <v>10716.757741347905</v>
      </c>
      <c r="F235" s="758">
        <f>IF($I$243&lt;&gt;0,F$243/$I$243*$I235,0)</f>
        <v>124316.93989071038</v>
      </c>
      <c r="G235" s="758">
        <f>IF($I$243&lt;&gt;0,G$243/$I$243*$I235,0)</f>
        <v>116347.90528233151</v>
      </c>
      <c r="H235" s="25">
        <f>SUM(C235:G235)</f>
        <v>330275.04553734063</v>
      </c>
      <c r="I235" s="758">
        <v>525</v>
      </c>
      <c r="J235" s="758">
        <f t="shared" si="37"/>
        <v>629.09532483302974</v>
      </c>
      <c r="K235" s="666">
        <v>18600</v>
      </c>
      <c r="L235" s="666"/>
      <c r="M235" s="40"/>
      <c r="N235" s="772">
        <f t="shared" si="39"/>
        <v>41544</v>
      </c>
      <c r="O235" s="772">
        <v>41547</v>
      </c>
      <c r="P235" s="773" t="s">
        <v>941</v>
      </c>
      <c r="Q235" s="305"/>
      <c r="R235" s="804"/>
      <c r="S235" s="25">
        <f t="shared" si="35"/>
        <v>0</v>
      </c>
      <c r="T235" s="449"/>
      <c r="U235" s="774"/>
      <c r="V235" s="804"/>
      <c r="W235" s="804"/>
      <c r="X235" s="25"/>
    </row>
    <row r="236" spans="1:24" ht="13.5" customHeight="1">
      <c r="A236" s="757">
        <f t="shared" si="40"/>
        <v>93</v>
      </c>
      <c r="B236" s="297" t="s">
        <v>942</v>
      </c>
      <c r="C236" s="25">
        <f t="shared" si="38"/>
        <v>0</v>
      </c>
      <c r="D236" s="758">
        <f>IF($I$243&lt;&gt;0,D$243/$I$243*$I236,0)</f>
        <v>51693.989071038253</v>
      </c>
      <c r="E236" s="758">
        <f>IF($I$243&lt;&gt;0,E$243/$I$243*$I236,0)</f>
        <v>7022.0279295689134</v>
      </c>
      <c r="F236" s="758">
        <f>IF($I$243&lt;&gt;0,F$243/$I$243*$I236,0)</f>
        <v>81457.194899817856</v>
      </c>
      <c r="G236" s="758">
        <f>IF($I$243&lt;&gt;0,G$243/$I$243*$I236,0)</f>
        <v>76235.579842137216</v>
      </c>
      <c r="H236" s="25">
        <f>SUM(C236:G236)</f>
        <v>216408.79174256226</v>
      </c>
      <c r="I236" s="758">
        <v>344</v>
      </c>
      <c r="J236" s="758">
        <f t="shared" si="37"/>
        <v>629.09532483302985</v>
      </c>
      <c r="K236" s="666">
        <v>16300</v>
      </c>
      <c r="L236" s="666"/>
      <c r="M236" s="189"/>
      <c r="N236" s="772">
        <f t="shared" si="39"/>
        <v>41544</v>
      </c>
      <c r="O236" s="772">
        <v>41547</v>
      </c>
      <c r="P236" s="773" t="s">
        <v>941</v>
      </c>
      <c r="Q236" s="305"/>
      <c r="R236" s="256"/>
      <c r="S236" s="25">
        <f t="shared" si="35"/>
        <v>0</v>
      </c>
      <c r="T236" s="449"/>
      <c r="U236" s="774"/>
      <c r="V236" s="804"/>
      <c r="W236" s="804"/>
      <c r="X236" s="25"/>
    </row>
    <row r="237" spans="1:24" ht="13.5" customHeight="1">
      <c r="A237" s="757">
        <f t="shared" si="40"/>
        <v>94</v>
      </c>
      <c r="B237" s="297" t="s">
        <v>943</v>
      </c>
      <c r="C237" s="25">
        <f t="shared" si="38"/>
        <v>0</v>
      </c>
      <c r="D237" s="758">
        <f>IF($I$243&lt;&gt;0,D$243/$I$243*$I237,0)</f>
        <v>74986.338797814213</v>
      </c>
      <c r="E237" s="758">
        <f>IF($I$243&lt;&gt;0,E$243/$I$243*$I237,0)</f>
        <v>10186.023072252581</v>
      </c>
      <c r="F237" s="758">
        <f>IF($I$243&lt;&gt;0,F$243/$I$243*$I237,0)</f>
        <v>118160.29143897997</v>
      </c>
      <c r="G237" s="758">
        <f>IF($I$243&lt;&gt;0,G$243/$I$243*$I237,0)</f>
        <v>110585.91378263509</v>
      </c>
      <c r="H237" s="25">
        <f>SUM(C237:G237)</f>
        <v>313918.56709168188</v>
      </c>
      <c r="I237" s="758">
        <v>499</v>
      </c>
      <c r="J237" s="758">
        <f t="shared" si="37"/>
        <v>629.09532483302985</v>
      </c>
      <c r="K237" s="666">
        <v>9470</v>
      </c>
      <c r="L237" s="666"/>
      <c r="M237" s="189"/>
      <c r="N237" s="772">
        <f t="shared" si="39"/>
        <v>41544</v>
      </c>
      <c r="O237" s="772">
        <v>41547</v>
      </c>
      <c r="P237" s="773" t="s">
        <v>944</v>
      </c>
      <c r="Q237" s="305"/>
      <c r="R237" s="804"/>
      <c r="S237" s="25">
        <f t="shared" si="35"/>
        <v>0</v>
      </c>
      <c r="T237" s="449"/>
      <c r="U237" s="774"/>
      <c r="V237" s="804"/>
      <c r="W237" s="804"/>
      <c r="X237" s="25"/>
    </row>
    <row r="238" spans="1:24" ht="13.5" customHeight="1">
      <c r="A238" s="757">
        <f t="shared" si="40"/>
        <v>95</v>
      </c>
      <c r="B238" s="297" t="s">
        <v>945</v>
      </c>
      <c r="C238" s="25">
        <f t="shared" si="38"/>
        <v>0</v>
      </c>
      <c r="D238" s="758">
        <f>IF($I$243&lt;&gt;0,D$243/$I$243*$I238,0)</f>
        <v>75587.43169398907</v>
      </c>
      <c r="E238" s="758">
        <f>IF($I$243&lt;&gt;0,E$243/$I$243*$I238,0)</f>
        <v>10267.674559805708</v>
      </c>
      <c r="F238" s="758">
        <f>IF($I$243&lt;&gt;0,F$243/$I$243*$I238,0)</f>
        <v>119107.46812386156</v>
      </c>
      <c r="G238" s="758">
        <f>IF($I$243&lt;&gt;0,G$243/$I$243*$I238,0)</f>
        <v>111472.37401335762</v>
      </c>
      <c r="H238" s="25">
        <f>SUM(C238:G238)</f>
        <v>316434.94839101395</v>
      </c>
      <c r="I238" s="758">
        <v>503</v>
      </c>
      <c r="J238" s="758">
        <f t="shared" si="37"/>
        <v>629.09532483302974</v>
      </c>
      <c r="K238" s="666">
        <v>4600</v>
      </c>
      <c r="L238" s="666"/>
      <c r="M238" s="189"/>
      <c r="N238" s="772">
        <f t="shared" si="39"/>
        <v>41544</v>
      </c>
      <c r="O238" s="772">
        <v>41547</v>
      </c>
      <c r="P238" s="773" t="s">
        <v>944</v>
      </c>
      <c r="Q238" s="305"/>
      <c r="R238" s="826"/>
      <c r="S238" s="25">
        <f t="shared" si="35"/>
        <v>0</v>
      </c>
      <c r="T238" s="449"/>
      <c r="U238" s="774"/>
      <c r="V238" s="804"/>
      <c r="W238" s="804"/>
      <c r="X238" s="25"/>
    </row>
    <row r="239" spans="1:24" ht="13.5" customHeight="1">
      <c r="A239" s="757">
        <f t="shared" si="40"/>
        <v>96</v>
      </c>
      <c r="B239" s="297" t="s">
        <v>945</v>
      </c>
      <c r="C239" s="25">
        <f t="shared" si="38"/>
        <v>0</v>
      </c>
      <c r="D239" s="758">
        <f>IF($I$243&lt;&gt;0,D$243/$I$243*$I239,0)</f>
        <v>75587.43169398907</v>
      </c>
      <c r="E239" s="758">
        <f>IF($I$243&lt;&gt;0,E$243/$I$243*$I239,0)</f>
        <v>10267.674559805708</v>
      </c>
      <c r="F239" s="758">
        <f>IF($I$243&lt;&gt;0,F$243/$I$243*$I239,0)</f>
        <v>119107.46812386156</v>
      </c>
      <c r="G239" s="758">
        <f>IF($I$243&lt;&gt;0,G$243/$I$243*$I239,0)</f>
        <v>111472.37401335762</v>
      </c>
      <c r="H239" s="25">
        <f>SUM(C239:G239)</f>
        <v>316434.94839101395</v>
      </c>
      <c r="I239" s="758">
        <v>503</v>
      </c>
      <c r="J239" s="758">
        <f t="shared" si="37"/>
        <v>629.09532483302974</v>
      </c>
      <c r="K239" s="666">
        <v>4600</v>
      </c>
      <c r="L239" s="666"/>
      <c r="M239" s="189"/>
      <c r="N239" s="772">
        <f t="shared" si="39"/>
        <v>41544</v>
      </c>
      <c r="O239" s="772">
        <v>41547</v>
      </c>
      <c r="P239" s="773" t="s">
        <v>944</v>
      </c>
      <c r="Q239" s="305"/>
      <c r="R239" s="804"/>
      <c r="S239" s="25">
        <f t="shared" si="35"/>
        <v>0</v>
      </c>
      <c r="T239" s="449"/>
      <c r="U239" s="774"/>
      <c r="V239" s="804"/>
      <c r="W239" s="804"/>
      <c r="X239" s="25"/>
    </row>
    <row r="240" spans="1:24" ht="13.5" customHeight="1">
      <c r="A240" s="757">
        <f t="shared" si="40"/>
        <v>97</v>
      </c>
      <c r="B240" s="297" t="s">
        <v>946</v>
      </c>
      <c r="C240" s="25">
        <f t="shared" ref="C240:C241" si="41">S240</f>
        <v>0</v>
      </c>
      <c r="D240" s="758">
        <f>IF($I$243&lt;&gt;0,D$243/$I$243*$I240,0)</f>
        <v>76639.344262295082</v>
      </c>
      <c r="E240" s="758">
        <f>IF($I$243&lt;&gt;0,E$243/$I$243*$I240,0)</f>
        <v>10410.564663023679</v>
      </c>
      <c r="F240" s="758">
        <f>IF($I$243&lt;&gt;0,F$243/$I$243*$I240,0)</f>
        <v>120765.02732240438</v>
      </c>
      <c r="G240" s="758">
        <f>IF($I$243&lt;&gt;0,G$243/$I$243*$I240,0)</f>
        <v>113023.67941712204</v>
      </c>
      <c r="H240" s="25">
        <f>SUM(C240:G240)</f>
        <v>320838.61566484516</v>
      </c>
      <c r="I240" s="758">
        <v>510</v>
      </c>
      <c r="J240" s="758">
        <f t="shared" ref="J240:J241" si="42">IF(I240&lt;&gt;"",H240/I240,"")</f>
        <v>629.09532483302974</v>
      </c>
      <c r="K240" s="666">
        <v>4980</v>
      </c>
      <c r="L240" s="666"/>
      <c r="M240" s="40"/>
      <c r="N240" s="772">
        <f t="shared" si="39"/>
        <v>41544</v>
      </c>
      <c r="O240" s="772">
        <v>41547</v>
      </c>
      <c r="P240" s="773" t="s">
        <v>944</v>
      </c>
      <c r="Q240" s="305"/>
      <c r="R240" s="804"/>
      <c r="S240" s="25">
        <f t="shared" si="35"/>
        <v>0</v>
      </c>
      <c r="T240" s="449"/>
      <c r="U240" s="774"/>
      <c r="V240" s="804"/>
      <c r="W240" s="804"/>
      <c r="X240" s="25"/>
    </row>
    <row r="241" spans="1:24" ht="13.5" customHeight="1">
      <c r="A241" s="757">
        <f t="shared" si="40"/>
        <v>98</v>
      </c>
      <c r="B241" s="297" t="s">
        <v>1137</v>
      </c>
      <c r="C241" s="25">
        <f t="shared" si="41"/>
        <v>0</v>
      </c>
      <c r="D241" s="758">
        <f>IF($I$243&lt;&gt;0,D$243/$I$243*$I241,0)</f>
        <v>405737.7049180328</v>
      </c>
      <c r="E241" s="758">
        <f>IF($I$243&lt;&gt;0,E$243/$I$243*$I241,0)</f>
        <v>55114.75409836066</v>
      </c>
      <c r="F241" s="758">
        <f>IF($I$243&lt;&gt;0,F$243/$I$243*$I241,0)</f>
        <v>639344.26229508198</v>
      </c>
      <c r="G241" s="758">
        <f>IF($I$243&lt;&gt;0,G$243/$I$243*$I241,0)</f>
        <v>598360.65573770495</v>
      </c>
      <c r="H241" s="25">
        <f>SUM(C241:G241)</f>
        <v>1698557.3770491802</v>
      </c>
      <c r="I241" s="758">
        <v>2700</v>
      </c>
      <c r="J241" s="758">
        <f t="shared" si="42"/>
        <v>629.09532483302974</v>
      </c>
      <c r="K241" s="666">
        <v>6250</v>
      </c>
      <c r="L241" s="666"/>
      <c r="M241" s="40"/>
      <c r="N241" s="772">
        <f t="shared" si="39"/>
        <v>41544</v>
      </c>
      <c r="O241" s="772">
        <v>41547</v>
      </c>
      <c r="P241" s="773" t="s">
        <v>947</v>
      </c>
      <c r="Q241" s="305"/>
      <c r="R241" s="804"/>
      <c r="S241" s="25">
        <f t="shared" si="35"/>
        <v>0</v>
      </c>
      <c r="T241" s="449"/>
      <c r="U241" s="774"/>
      <c r="V241" s="804"/>
      <c r="W241" s="804"/>
      <c r="X241" s="25"/>
    </row>
    <row r="242" spans="1:24" s="778" customFormat="1" ht="13.5" customHeight="1">
      <c r="A242" s="757" t="str">
        <f>IF(B242&lt;&gt;"",#REF!+1,"")</f>
        <v/>
      </c>
      <c r="B242" s="790"/>
      <c r="C242" s="25"/>
      <c r="D242" s="758"/>
      <c r="E242" s="758"/>
      <c r="F242" s="758"/>
      <c r="G242" s="758"/>
      <c r="H242" s="25"/>
      <c r="I242" s="257"/>
      <c r="J242" s="758"/>
      <c r="K242" s="666"/>
      <c r="L242" s="666"/>
      <c r="M242" s="449"/>
      <c r="N242" s="774"/>
      <c r="O242" s="772"/>
      <c r="P242" s="773"/>
      <c r="Q242" s="305"/>
      <c r="R242" s="804"/>
      <c r="S242" s="25">
        <f t="shared" si="35"/>
        <v>0</v>
      </c>
      <c r="T242" s="449"/>
      <c r="U242" s="774"/>
      <c r="V242" s="804"/>
      <c r="W242" s="804"/>
      <c r="X242" s="25">
        <f t="shared" si="30"/>
        <v>0</v>
      </c>
    </row>
    <row r="243" spans="1:24" s="755" customFormat="1" ht="13.5" customHeight="1">
      <c r="A243" s="759"/>
      <c r="B243" s="760" t="s">
        <v>249</v>
      </c>
      <c r="C243" s="535">
        <f>SUM(C144:C242)</f>
        <v>0</v>
      </c>
      <c r="D243" s="535">
        <v>12375000</v>
      </c>
      <c r="E243" s="535">
        <f>X243</f>
        <v>1681000</v>
      </c>
      <c r="F243" s="535">
        <v>19500000</v>
      </c>
      <c r="G243" s="535">
        <v>18250000</v>
      </c>
      <c r="H243" s="535">
        <f>SUM(H144:H242)</f>
        <v>51805999.999999963</v>
      </c>
      <c r="I243" s="535">
        <f>ROUND(SUM(I144:I242),0)</f>
        <v>82350</v>
      </c>
      <c r="J243" s="535"/>
      <c r="K243" s="768"/>
      <c r="L243" s="768"/>
      <c r="M243" s="779"/>
      <c r="N243" s="780"/>
      <c r="O243" s="780"/>
      <c r="P243" s="781"/>
      <c r="Q243" s="825"/>
      <c r="R243" s="27"/>
      <c r="S243" s="47">
        <f>SUM(S144:S242)</f>
        <v>0</v>
      </c>
      <c r="T243" s="779"/>
      <c r="U243" s="780"/>
      <c r="V243" s="793"/>
      <c r="W243" s="27"/>
      <c r="X243" s="47">
        <f>SUM(X144:X242)</f>
        <v>1681000</v>
      </c>
    </row>
    <row r="244" spans="1:24" s="755" customFormat="1" ht="13.5" customHeight="1">
      <c r="A244" s="761"/>
      <c r="B244" s="762"/>
      <c r="C244" s="756"/>
      <c r="D244" s="756"/>
      <c r="E244" s="756"/>
      <c r="F244" s="756"/>
      <c r="G244" s="756"/>
      <c r="H244" s="756">
        <v>584933650</v>
      </c>
      <c r="I244" s="756"/>
      <c r="J244" s="756"/>
      <c r="K244" s="768"/>
      <c r="L244" s="768"/>
      <c r="M244" s="794"/>
      <c r="N244" s="794"/>
      <c r="O244" s="794"/>
      <c r="P244" s="893"/>
      <c r="Q244" s="894"/>
      <c r="R244" s="770"/>
      <c r="S244" s="794"/>
      <c r="T244" s="794"/>
      <c r="U244" s="794"/>
      <c r="V244" s="794"/>
      <c r="W244" s="770"/>
      <c r="X244" s="794"/>
    </row>
    <row r="245" spans="1:24" s="755" customFormat="1">
      <c r="A245" s="761"/>
      <c r="B245" s="762"/>
      <c r="C245" s="756"/>
      <c r="D245" s="756"/>
      <c r="E245" s="756"/>
      <c r="F245" s="756"/>
      <c r="G245" s="756"/>
      <c r="H245" s="756">
        <f>H244-H243</f>
        <v>533127650.00000006</v>
      </c>
      <c r="I245" s="756"/>
      <c r="J245" s="756"/>
      <c r="K245" s="768"/>
      <c r="L245" s="768"/>
      <c r="M245" s="293"/>
      <c r="N245" s="749"/>
      <c r="O245" s="749"/>
      <c r="P245" s="767"/>
      <c r="Q245" s="817"/>
      <c r="R245" s="293"/>
      <c r="S245" s="754"/>
      <c r="T245" s="293"/>
      <c r="U245" s="749"/>
      <c r="V245" s="293"/>
      <c r="W245" s="293"/>
      <c r="X245" s="754"/>
    </row>
    <row r="246" spans="1:24" ht="18" hidden="1" customHeight="1">
      <c r="A246" s="572" t="str">
        <f>TH!$A$1</f>
        <v>Đơn vị: CÔNG TY TNHH SX TM KIM DUNG PHÁT</v>
      </c>
      <c r="B246" s="755"/>
      <c r="C246" s="293"/>
      <c r="D246" s="293"/>
      <c r="E246" s="293"/>
      <c r="F246" s="293"/>
      <c r="G246" s="293"/>
      <c r="H246" s="293"/>
      <c r="I246" s="600"/>
      <c r="J246" s="293"/>
      <c r="L246" s="768"/>
      <c r="M246" s="293"/>
      <c r="N246" s="749"/>
      <c r="O246" s="749"/>
      <c r="T246" s="293"/>
      <c r="U246" s="749"/>
    </row>
    <row r="247" spans="1:24" ht="18.75" customHeight="1">
      <c r="A247" s="756" t="s">
        <v>1168</v>
      </c>
      <c r="B247" s="756"/>
      <c r="C247" s="756"/>
      <c r="D247" s="756"/>
      <c r="E247" s="756"/>
      <c r="F247" s="756"/>
      <c r="G247" s="756"/>
      <c r="H247" s="756"/>
      <c r="I247" s="756"/>
      <c r="J247" s="756"/>
      <c r="L247" s="768"/>
      <c r="M247" s="293"/>
      <c r="N247" s="749"/>
      <c r="O247" s="749"/>
      <c r="T247" s="293"/>
      <c r="U247" s="749"/>
    </row>
    <row r="248" spans="1:24" ht="12.75" customHeight="1">
      <c r="A248" s="808"/>
      <c r="B248" s="800"/>
      <c r="C248" s="800"/>
      <c r="D248" s="800"/>
      <c r="E248" s="800"/>
      <c r="F248" s="800"/>
      <c r="G248" s="800"/>
      <c r="H248" s="800"/>
      <c r="I248" s="769"/>
      <c r="J248" s="800"/>
      <c r="L248" s="768"/>
      <c r="M248" s="293"/>
      <c r="N248" s="749"/>
      <c r="O248" s="749"/>
      <c r="T248" s="293"/>
      <c r="U248" s="749"/>
    </row>
    <row r="249" spans="1:24" s="447" customFormat="1" ht="30.75" customHeight="1">
      <c r="A249" s="829" t="s">
        <v>35</v>
      </c>
      <c r="B249" s="442" t="s">
        <v>240</v>
      </c>
      <c r="C249" s="443" t="s">
        <v>243</v>
      </c>
      <c r="D249" s="443" t="s">
        <v>442</v>
      </c>
      <c r="E249" s="443" t="s">
        <v>244</v>
      </c>
      <c r="F249" s="443" t="s">
        <v>435</v>
      </c>
      <c r="G249" s="444" t="s">
        <v>245</v>
      </c>
      <c r="H249" s="443" t="s">
        <v>246</v>
      </c>
      <c r="I249" s="445" t="s">
        <v>241</v>
      </c>
      <c r="J249" s="443" t="s">
        <v>247</v>
      </c>
      <c r="K249" s="446"/>
      <c r="L249" s="446"/>
      <c r="M249" s="442" t="s">
        <v>240</v>
      </c>
      <c r="N249" s="443" t="s">
        <v>234</v>
      </c>
      <c r="O249" s="443"/>
      <c r="P249" s="750"/>
      <c r="Q249" s="819" t="s">
        <v>199</v>
      </c>
      <c r="R249" s="443" t="s">
        <v>242</v>
      </c>
      <c r="S249" s="443" t="s">
        <v>248</v>
      </c>
      <c r="T249" s="442" t="s">
        <v>240</v>
      </c>
      <c r="U249" s="443" t="s">
        <v>234</v>
      </c>
      <c r="V249" s="443" t="s">
        <v>199</v>
      </c>
      <c r="W249" s="443" t="s">
        <v>242</v>
      </c>
      <c r="X249" s="442" t="s">
        <v>248</v>
      </c>
    </row>
    <row r="250" spans="1:24" ht="16.5" customHeight="1">
      <c r="A250" s="757">
        <v>1</v>
      </c>
      <c r="B250" s="297" t="s">
        <v>940</v>
      </c>
      <c r="C250" s="25">
        <f>S250</f>
        <v>0</v>
      </c>
      <c r="D250" s="758">
        <f>IF($I$367&lt;&gt;0,D$367/$I$367*$I250,0)</f>
        <v>10780.712325584773</v>
      </c>
      <c r="E250" s="758">
        <f>IF($I$367&lt;&gt;0,E$367/$I$367*$I250,0)</f>
        <v>1464.4345389339799</v>
      </c>
      <c r="F250" s="758">
        <f>IF($I$367&lt;&gt;0,F$367/$I$367*$I250,0)</f>
        <v>19422.705559508078</v>
      </c>
      <c r="G250" s="758">
        <f>IF($I$367&lt;&gt;0,G$367/$I$367*$I250,0)</f>
        <v>15898.828278135119</v>
      </c>
      <c r="H250" s="25">
        <f>SUM(C250:G250)</f>
        <v>47566.680702161946</v>
      </c>
      <c r="I250" s="758">
        <v>60</v>
      </c>
      <c r="J250" s="758">
        <f>IF(I250&lt;&gt;"",H250/I250,"")</f>
        <v>792.77801170269913</v>
      </c>
      <c r="K250" s="666">
        <v>18600</v>
      </c>
      <c r="L250" s="666"/>
      <c r="M250" s="40"/>
      <c r="N250" s="772">
        <f>O250-3</f>
        <v>41545</v>
      </c>
      <c r="O250" s="772">
        <v>41548</v>
      </c>
      <c r="P250" s="773" t="s">
        <v>948</v>
      </c>
      <c r="Q250" s="305"/>
      <c r="R250" s="795"/>
      <c r="S250" s="25">
        <f t="shared" ref="S250:S366" si="43">ROUND(Q250*R250,0)</f>
        <v>0</v>
      </c>
      <c r="T250" s="448" t="s">
        <v>374</v>
      </c>
      <c r="U250" s="772">
        <v>41548</v>
      </c>
      <c r="V250" s="804">
        <v>25</v>
      </c>
      <c r="W250" s="804">
        <v>25000</v>
      </c>
      <c r="X250" s="25">
        <f t="shared" ref="X250:X366" si="44">ROUND(V250*W250,0)</f>
        <v>625000</v>
      </c>
    </row>
    <row r="251" spans="1:24" ht="16.5" customHeight="1">
      <c r="A251" s="757">
        <f t="shared" ref="A251:A314" si="45">IF(B251&lt;&gt;"",A250+1,"")</f>
        <v>2</v>
      </c>
      <c r="B251" s="297" t="s">
        <v>942</v>
      </c>
      <c r="C251" s="25">
        <f t="shared" ref="C251:C314" si="46">S251</f>
        <v>0</v>
      </c>
      <c r="D251" s="758">
        <f>IF($I$367&lt;&gt;0,D$367/$I$367*$I251,0)</f>
        <v>17608.496798455129</v>
      </c>
      <c r="E251" s="758">
        <f>IF($I$367&lt;&gt;0,E$367/$I$367*$I251,0)</f>
        <v>2391.9097469255007</v>
      </c>
      <c r="F251" s="758">
        <f>IF($I$367&lt;&gt;0,F$367/$I$367*$I251,0)</f>
        <v>31723.752413863196</v>
      </c>
      <c r="G251" s="758">
        <f>IF($I$367&lt;&gt;0,G$367/$I$367*$I251,0)</f>
        <v>25968.086187620695</v>
      </c>
      <c r="H251" s="25">
        <f>SUM(C251:G251)</f>
        <v>77692.245146864516</v>
      </c>
      <c r="I251" s="758">
        <v>98</v>
      </c>
      <c r="J251" s="758">
        <f t="shared" ref="J251" si="47">IF(I251&lt;&gt;"",H251/I251,"")</f>
        <v>792.77801170269913</v>
      </c>
      <c r="K251" s="666">
        <v>16300</v>
      </c>
      <c r="L251" s="666"/>
      <c r="M251" s="40"/>
      <c r="N251" s="772">
        <f t="shared" ref="N251:N314" si="48">O251-3</f>
        <v>41545</v>
      </c>
      <c r="O251" s="772">
        <v>41548</v>
      </c>
      <c r="P251" s="773" t="s">
        <v>948</v>
      </c>
      <c r="Q251" s="305"/>
      <c r="R251" s="802"/>
      <c r="S251" s="25">
        <f t="shared" si="43"/>
        <v>0</v>
      </c>
      <c r="T251" s="449" t="s">
        <v>346</v>
      </c>
      <c r="U251" s="772">
        <v>41548</v>
      </c>
      <c r="V251" s="802">
        <v>24</v>
      </c>
      <c r="W251" s="802">
        <v>44000</v>
      </c>
      <c r="X251" s="25">
        <f t="shared" si="44"/>
        <v>1056000</v>
      </c>
    </row>
    <row r="252" spans="1:24" ht="16.5" customHeight="1">
      <c r="A252" s="757">
        <f t="shared" si="45"/>
        <v>3</v>
      </c>
      <c r="B252" s="297" t="s">
        <v>1156</v>
      </c>
      <c r="C252" s="25">
        <f t="shared" si="46"/>
        <v>0</v>
      </c>
      <c r="D252" s="758">
        <f>IF($I$367&lt;&gt;0,D$367/$I$367*$I252,0)</f>
        <v>279220.44923264562</v>
      </c>
      <c r="E252" s="758">
        <f>IF($I$367&lt;&gt;0,E$367/$I$367*$I252,0)</f>
        <v>37928.854558390078</v>
      </c>
      <c r="F252" s="758">
        <f>IF($I$367&lt;&gt;0,F$367/$I$367*$I252,0)</f>
        <v>503048.07399125927</v>
      </c>
      <c r="G252" s="758">
        <f>IF($I$367&lt;&gt;0,G$367/$I$367*$I252,0)</f>
        <v>411779.65240369958</v>
      </c>
      <c r="H252" s="25">
        <f>SUM(C252:G252)</f>
        <v>1231977.0301859947</v>
      </c>
      <c r="I252" s="758">
        <v>1554</v>
      </c>
      <c r="J252" s="758">
        <f t="shared" ref="J252:J315" si="49">IF(I252&lt;&gt;"",H252/I252,"")</f>
        <v>792.77801170269925</v>
      </c>
      <c r="K252" s="666">
        <v>4650</v>
      </c>
      <c r="L252" s="666"/>
      <c r="M252" s="189"/>
      <c r="N252" s="772">
        <f t="shared" si="48"/>
        <v>41545</v>
      </c>
      <c r="O252" s="772">
        <v>41548</v>
      </c>
      <c r="P252" s="773" t="s">
        <v>949</v>
      </c>
      <c r="Q252" s="305"/>
      <c r="R252" s="802"/>
      <c r="S252" s="25">
        <f t="shared" ref="S252:S315" si="50">ROUND(Q252*R252,0)</f>
        <v>0</v>
      </c>
      <c r="T252" s="449"/>
      <c r="U252" s="772"/>
      <c r="V252" s="802"/>
      <c r="W252" s="802"/>
      <c r="X252" s="25">
        <f t="shared" ref="X252:X315" si="51">ROUND(V252*W252,0)</f>
        <v>0</v>
      </c>
    </row>
    <row r="253" spans="1:24" ht="16.5" customHeight="1">
      <c r="A253" s="757">
        <f t="shared" si="45"/>
        <v>4</v>
      </c>
      <c r="B253" s="297" t="s">
        <v>876</v>
      </c>
      <c r="C253" s="25">
        <f t="shared" si="46"/>
        <v>0</v>
      </c>
      <c r="D253" s="758">
        <f>IF($I$367&lt;&gt;0,D$367/$I$367*$I253,0)</f>
        <v>94331.232848866755</v>
      </c>
      <c r="E253" s="758">
        <f>IF($I$367&lt;&gt;0,E$367/$I$367*$I253,0)</f>
        <v>12813.802215672324</v>
      </c>
      <c r="F253" s="758">
        <f>IF($I$367&lt;&gt;0,F$367/$I$367*$I253,0)</f>
        <v>169948.6736456957</v>
      </c>
      <c r="G253" s="758">
        <f>IF($I$367&lt;&gt;0,G$367/$I$367*$I253,0)</f>
        <v>139114.74743368229</v>
      </c>
      <c r="H253" s="25">
        <f>SUM(C253:G253)</f>
        <v>416208.45614391705</v>
      </c>
      <c r="I253" s="758">
        <v>525</v>
      </c>
      <c r="J253" s="758">
        <f t="shared" si="49"/>
        <v>792.77801170269913</v>
      </c>
      <c r="K253" s="666">
        <v>12000</v>
      </c>
      <c r="L253" s="666"/>
      <c r="M253" s="189"/>
      <c r="N253" s="772">
        <f t="shared" si="48"/>
        <v>41545</v>
      </c>
      <c r="O253" s="772">
        <v>41548</v>
      </c>
      <c r="P253" s="773" t="s">
        <v>949</v>
      </c>
      <c r="Q253" s="305"/>
      <c r="R253" s="802"/>
      <c r="S253" s="25">
        <f t="shared" si="50"/>
        <v>0</v>
      </c>
      <c r="T253" s="449"/>
      <c r="U253" s="772"/>
      <c r="V253" s="753"/>
      <c r="W253" s="256"/>
      <c r="X253" s="25">
        <f t="shared" si="51"/>
        <v>0</v>
      </c>
    </row>
    <row r="254" spans="1:24" ht="16.5" customHeight="1">
      <c r="A254" s="757">
        <f t="shared" si="45"/>
        <v>5</v>
      </c>
      <c r="B254" s="297" t="s">
        <v>847</v>
      </c>
      <c r="C254" s="25">
        <f t="shared" si="46"/>
        <v>0</v>
      </c>
      <c r="D254" s="758">
        <f>IF($I$367&lt;&gt;0,D$367/$I$367*$I254,0)</f>
        <v>39529.278527144168</v>
      </c>
      <c r="E254" s="758">
        <f>IF($I$367&lt;&gt;0,E$367/$I$367*$I254,0)</f>
        <v>5369.5933094245929</v>
      </c>
      <c r="F254" s="758">
        <f>IF($I$367&lt;&gt;0,F$367/$I$367*$I254,0)</f>
        <v>71216.587051529626</v>
      </c>
      <c r="G254" s="758">
        <f>IF($I$367&lt;&gt;0,G$367/$I$367*$I254,0)</f>
        <v>58295.703686495443</v>
      </c>
      <c r="H254" s="25">
        <f>SUM(C254:G254)</f>
        <v>174411.16257459385</v>
      </c>
      <c r="I254" s="758">
        <v>220</v>
      </c>
      <c r="J254" s="758">
        <f t="shared" si="49"/>
        <v>792.77801170269936</v>
      </c>
      <c r="K254" s="666">
        <v>19000</v>
      </c>
      <c r="L254" s="666"/>
      <c r="M254" s="295"/>
      <c r="N254" s="772">
        <f t="shared" si="48"/>
        <v>41545</v>
      </c>
      <c r="O254" s="772">
        <v>41548</v>
      </c>
      <c r="P254" s="773" t="s">
        <v>950</v>
      </c>
      <c r="Q254" s="305"/>
      <c r="R254" s="802"/>
      <c r="S254" s="25">
        <f t="shared" si="50"/>
        <v>0</v>
      </c>
      <c r="T254" s="449"/>
      <c r="U254" s="772"/>
      <c r="V254" s="804"/>
      <c r="W254" s="802"/>
      <c r="X254" s="25">
        <f t="shared" si="51"/>
        <v>0</v>
      </c>
    </row>
    <row r="255" spans="1:24" ht="16.5" customHeight="1">
      <c r="A255" s="757">
        <f t="shared" si="45"/>
        <v>6</v>
      </c>
      <c r="B255" s="297" t="s">
        <v>1153</v>
      </c>
      <c r="C255" s="25">
        <f t="shared" si="46"/>
        <v>0</v>
      </c>
      <c r="D255" s="758">
        <f>IF($I$367&lt;&gt;0,D$367/$I$367*$I255,0)</f>
        <v>610367.99616685789</v>
      </c>
      <c r="E255" s="758">
        <f>IF($I$367&lt;&gt;0,E$367/$I$367*$I255,0)</f>
        <v>82911.402145978835</v>
      </c>
      <c r="F255" s="758">
        <f>IF($I$367&lt;&gt;0,F$367/$I$367*$I255,0)</f>
        <v>1099648.8464274826</v>
      </c>
      <c r="G255" s="758">
        <f>IF($I$367&lt;&gt;0,G$367/$I$367*$I255,0)</f>
        <v>900138.66101375001</v>
      </c>
      <c r="H255" s="25">
        <f>SUM(C255:G255)</f>
        <v>2693066.9057540693</v>
      </c>
      <c r="I255" s="758">
        <v>3397</v>
      </c>
      <c r="J255" s="758">
        <f t="shared" si="49"/>
        <v>792.77801170269925</v>
      </c>
      <c r="K255" s="666">
        <v>4080</v>
      </c>
      <c r="L255" s="666"/>
      <c r="M255" s="189"/>
      <c r="N255" s="772">
        <f t="shared" si="48"/>
        <v>41546</v>
      </c>
      <c r="O255" s="772">
        <v>41549</v>
      </c>
      <c r="P255" s="773" t="s">
        <v>951</v>
      </c>
      <c r="Q255" s="305"/>
      <c r="R255" s="802"/>
      <c r="S255" s="25">
        <f t="shared" si="50"/>
        <v>0</v>
      </c>
      <c r="T255" s="449"/>
      <c r="U255" s="772"/>
      <c r="V255" s="804"/>
      <c r="W255" s="802"/>
      <c r="X255" s="25">
        <f t="shared" si="51"/>
        <v>0</v>
      </c>
    </row>
    <row r="256" spans="1:24" ht="16.5" customHeight="1">
      <c r="A256" s="757">
        <f t="shared" si="45"/>
        <v>7</v>
      </c>
      <c r="B256" s="297" t="s">
        <v>946</v>
      </c>
      <c r="C256" s="25">
        <f t="shared" si="46"/>
        <v>0</v>
      </c>
      <c r="D256" s="758">
        <f>IF($I$367&lt;&gt;0,D$367/$I$367*$I256,0)</f>
        <v>88761.19814731463</v>
      </c>
      <c r="E256" s="758">
        <f>IF($I$367&lt;&gt;0,E$367/$I$367*$I256,0)</f>
        <v>12057.177703889769</v>
      </c>
      <c r="F256" s="758">
        <f>IF($I$367&lt;&gt;0,F$367/$I$367*$I256,0)</f>
        <v>159913.60910661652</v>
      </c>
      <c r="G256" s="758">
        <f>IF($I$367&lt;&gt;0,G$367/$I$367*$I256,0)</f>
        <v>130900.35282331248</v>
      </c>
      <c r="H256" s="25">
        <f>SUM(C256:G256)</f>
        <v>391632.33778113336</v>
      </c>
      <c r="I256" s="758">
        <v>494</v>
      </c>
      <c r="J256" s="758">
        <f t="shared" si="49"/>
        <v>792.77801170269913</v>
      </c>
      <c r="K256" s="666">
        <v>4980</v>
      </c>
      <c r="L256" s="666"/>
      <c r="M256" s="40"/>
      <c r="N256" s="772">
        <f t="shared" si="48"/>
        <v>41547</v>
      </c>
      <c r="O256" s="772">
        <v>41550</v>
      </c>
      <c r="P256" s="773" t="s">
        <v>953</v>
      </c>
      <c r="Q256" s="305"/>
      <c r="R256" s="802"/>
      <c r="S256" s="25">
        <f t="shared" si="50"/>
        <v>0</v>
      </c>
      <c r="T256" s="449"/>
      <c r="U256" s="772"/>
      <c r="V256" s="804"/>
      <c r="W256" s="802"/>
      <c r="X256" s="25">
        <f t="shared" si="51"/>
        <v>0</v>
      </c>
    </row>
    <row r="257" spans="1:24" ht="16.5" customHeight="1">
      <c r="A257" s="757">
        <f t="shared" si="45"/>
        <v>8</v>
      </c>
      <c r="B257" s="297" t="s">
        <v>954</v>
      </c>
      <c r="C257" s="25">
        <f t="shared" si="46"/>
        <v>0</v>
      </c>
      <c r="D257" s="758">
        <f>IF($I$367&lt;&gt;0,D$367/$I$367*$I257,0)</f>
        <v>91456.376228710811</v>
      </c>
      <c r="E257" s="758">
        <f>IF($I$367&lt;&gt;0,E$367/$I$367*$I257,0)</f>
        <v>12423.286338623264</v>
      </c>
      <c r="F257" s="758">
        <f>IF($I$367&lt;&gt;0,F$367/$I$367*$I257,0)</f>
        <v>164769.28549649354</v>
      </c>
      <c r="G257" s="758">
        <f>IF($I$367&lt;&gt;0,G$367/$I$367*$I257,0)</f>
        <v>134875.05989284627</v>
      </c>
      <c r="H257" s="25">
        <f>SUM(C257:G257)</f>
        <v>403524.00795667386</v>
      </c>
      <c r="I257" s="758">
        <v>509</v>
      </c>
      <c r="J257" s="758">
        <f t="shared" si="49"/>
        <v>792.77801170269913</v>
      </c>
      <c r="K257" s="666">
        <v>4980</v>
      </c>
      <c r="L257" s="666"/>
      <c r="M257" s="40"/>
      <c r="N257" s="772">
        <f t="shared" si="48"/>
        <v>41547</v>
      </c>
      <c r="O257" s="772">
        <v>41550</v>
      </c>
      <c r="P257" s="773" t="s">
        <v>953</v>
      </c>
      <c r="Q257" s="305"/>
      <c r="R257" s="802"/>
      <c r="S257" s="25">
        <f t="shared" si="50"/>
        <v>0</v>
      </c>
      <c r="T257" s="449"/>
      <c r="U257" s="772"/>
      <c r="V257" s="804"/>
      <c r="W257" s="802"/>
      <c r="X257" s="25">
        <f t="shared" si="51"/>
        <v>0</v>
      </c>
    </row>
    <row r="258" spans="1:24" ht="16.5" customHeight="1">
      <c r="A258" s="757">
        <f t="shared" si="45"/>
        <v>9</v>
      </c>
      <c r="B258" s="297" t="s">
        <v>1153</v>
      </c>
      <c r="C258" s="25">
        <f t="shared" si="46"/>
        <v>0</v>
      </c>
      <c r="D258" s="758">
        <f>IF($I$367&lt;&gt;0,D$367/$I$367*$I258,0)</f>
        <v>18506.88949225386</v>
      </c>
      <c r="E258" s="758">
        <f>IF($I$367&lt;&gt;0,E$367/$I$367*$I258,0)</f>
        <v>2513.9459585033323</v>
      </c>
      <c r="F258" s="758">
        <f>IF($I$367&lt;&gt;0,F$367/$I$367*$I258,0)</f>
        <v>33342.311210488871</v>
      </c>
      <c r="G258" s="758">
        <f>IF($I$367&lt;&gt;0,G$367/$I$367*$I258,0)</f>
        <v>27292.988544131957</v>
      </c>
      <c r="H258" s="25">
        <f>SUM(C258:G258)</f>
        <v>81656.135205378028</v>
      </c>
      <c r="I258" s="758">
        <v>103</v>
      </c>
      <c r="J258" s="758">
        <f t="shared" si="49"/>
        <v>792.77801170269936</v>
      </c>
      <c r="K258" s="666">
        <v>4080</v>
      </c>
      <c r="L258" s="666"/>
      <c r="M258" s="40"/>
      <c r="N258" s="772">
        <f t="shared" si="48"/>
        <v>41549</v>
      </c>
      <c r="O258" s="772">
        <v>41552</v>
      </c>
      <c r="P258" s="773" t="s">
        <v>955</v>
      </c>
      <c r="Q258" s="305"/>
      <c r="R258" s="802"/>
      <c r="S258" s="25">
        <f t="shared" si="50"/>
        <v>0</v>
      </c>
      <c r="T258" s="449"/>
      <c r="U258" s="772"/>
      <c r="V258" s="804"/>
      <c r="W258" s="802"/>
      <c r="X258" s="25">
        <f t="shared" si="51"/>
        <v>0</v>
      </c>
    </row>
    <row r="259" spans="1:24" ht="16.5" customHeight="1">
      <c r="A259" s="757">
        <f t="shared" si="45"/>
        <v>10</v>
      </c>
      <c r="B259" s="297" t="s">
        <v>1150</v>
      </c>
      <c r="C259" s="25">
        <f t="shared" si="46"/>
        <v>0</v>
      </c>
      <c r="D259" s="758">
        <f>IF($I$367&lt;&gt;0,D$367/$I$367*$I259,0)</f>
        <v>477585.5560234054</v>
      </c>
      <c r="E259" s="758">
        <f>IF($I$367&lt;&gt;0,E$367/$I$367*$I259,0)</f>
        <v>64874.450074775312</v>
      </c>
      <c r="F259" s="758">
        <f>IF($I$367&lt;&gt;0,F$367/$I$367*$I259,0)</f>
        <v>860425.85628620791</v>
      </c>
      <c r="G259" s="758">
        <f>IF($I$367&lt;&gt;0,G$367/$I$367*$I259,0)</f>
        <v>704318.09272138576</v>
      </c>
      <c r="H259" s="25">
        <f>SUM(C259:G259)</f>
        <v>2107203.9551057746</v>
      </c>
      <c r="I259" s="758">
        <v>2658</v>
      </c>
      <c r="J259" s="758">
        <f t="shared" si="49"/>
        <v>792.77801170269925</v>
      </c>
      <c r="K259" s="666">
        <v>4700</v>
      </c>
      <c r="L259" s="666"/>
      <c r="M259" s="40"/>
      <c r="N259" s="772">
        <f t="shared" si="48"/>
        <v>41549</v>
      </c>
      <c r="O259" s="772">
        <v>41552</v>
      </c>
      <c r="P259" s="773" t="s">
        <v>955</v>
      </c>
      <c r="Q259" s="305"/>
      <c r="R259" s="802"/>
      <c r="S259" s="25">
        <f t="shared" si="50"/>
        <v>0</v>
      </c>
      <c r="T259" s="449"/>
      <c r="U259" s="772"/>
      <c r="V259" s="804"/>
      <c r="W259" s="802"/>
      <c r="X259" s="25">
        <f t="shared" si="51"/>
        <v>0</v>
      </c>
    </row>
    <row r="260" spans="1:24" ht="16.5" customHeight="1">
      <c r="A260" s="757">
        <f t="shared" si="45"/>
        <v>11</v>
      </c>
      <c r="B260" s="297" t="s">
        <v>1137</v>
      </c>
      <c r="C260" s="25">
        <f t="shared" si="46"/>
        <v>0</v>
      </c>
      <c r="D260" s="758">
        <f>IF($I$367&lt;&gt;0,D$367/$I$367*$I260,0)</f>
        <v>406073.49759702641</v>
      </c>
      <c r="E260" s="758">
        <f>IF($I$367&lt;&gt;0,E$367/$I$367*$I260,0)</f>
        <v>55160.367633179914</v>
      </c>
      <c r="F260" s="758">
        <f>IF($I$367&lt;&gt;0,F$367/$I$367*$I260,0)</f>
        <v>731588.5760748043</v>
      </c>
      <c r="G260" s="758">
        <f>IF($I$367&lt;&gt;0,G$367/$I$367*$I260,0)</f>
        <v>598855.86514308956</v>
      </c>
      <c r="H260" s="25">
        <f>SUM(C260:G260)</f>
        <v>1791678.3064481001</v>
      </c>
      <c r="I260" s="758">
        <v>2260</v>
      </c>
      <c r="J260" s="758">
        <f t="shared" si="49"/>
        <v>792.77801170269913</v>
      </c>
      <c r="K260" s="666">
        <v>6250</v>
      </c>
      <c r="L260" s="666"/>
      <c r="M260" s="40"/>
      <c r="N260" s="772">
        <f t="shared" si="48"/>
        <v>41549</v>
      </c>
      <c r="O260" s="772">
        <v>41552</v>
      </c>
      <c r="P260" s="773" t="s">
        <v>956</v>
      </c>
      <c r="Q260" s="305"/>
      <c r="R260" s="802"/>
      <c r="S260" s="25">
        <f t="shared" si="50"/>
        <v>0</v>
      </c>
      <c r="T260" s="449"/>
      <c r="U260" s="772"/>
      <c r="V260" s="804"/>
      <c r="W260" s="802"/>
      <c r="X260" s="25">
        <f t="shared" si="51"/>
        <v>0</v>
      </c>
    </row>
    <row r="261" spans="1:24" ht="16.5" customHeight="1">
      <c r="A261" s="757">
        <f t="shared" si="45"/>
        <v>12</v>
      </c>
      <c r="B261" s="297" t="s">
        <v>867</v>
      </c>
      <c r="C261" s="25">
        <f t="shared" si="46"/>
        <v>0</v>
      </c>
      <c r="D261" s="758">
        <f>IF($I$367&lt;&gt;0,D$367/$I$367*$I261,0)</f>
        <v>92714.126000029035</v>
      </c>
      <c r="E261" s="758">
        <f>IF($I$367&lt;&gt;0,E$367/$I$367*$I261,0)</f>
        <v>12594.137034832227</v>
      </c>
      <c r="F261" s="758">
        <f>IF($I$367&lt;&gt;0,F$367/$I$367*$I261,0)</f>
        <v>167035.26781176947</v>
      </c>
      <c r="G261" s="758">
        <f>IF($I$367&lt;&gt;0,G$367/$I$367*$I261,0)</f>
        <v>136729.92319196204</v>
      </c>
      <c r="H261" s="25">
        <f>SUM(C261:G261)</f>
        <v>409073.45403859275</v>
      </c>
      <c r="I261" s="758">
        <v>516</v>
      </c>
      <c r="J261" s="758">
        <f t="shared" si="49"/>
        <v>792.77801170269913</v>
      </c>
      <c r="K261" s="666">
        <v>20300</v>
      </c>
      <c r="L261" s="666"/>
      <c r="M261" s="40"/>
      <c r="N261" s="772">
        <f t="shared" si="48"/>
        <v>41552</v>
      </c>
      <c r="O261" s="772">
        <v>41555</v>
      </c>
      <c r="P261" s="773" t="s">
        <v>957</v>
      </c>
      <c r="Q261" s="305"/>
      <c r="R261" s="802"/>
      <c r="S261" s="25">
        <f t="shared" si="50"/>
        <v>0</v>
      </c>
      <c r="T261" s="449"/>
      <c r="U261" s="772"/>
      <c r="V261" s="804"/>
      <c r="W261" s="802"/>
      <c r="X261" s="25">
        <f t="shared" si="51"/>
        <v>0</v>
      </c>
    </row>
    <row r="262" spans="1:24" ht="16.5" customHeight="1">
      <c r="A262" s="757">
        <f t="shared" si="45"/>
        <v>13</v>
      </c>
      <c r="B262" s="297" t="s">
        <v>1131</v>
      </c>
      <c r="C262" s="25">
        <f t="shared" si="46"/>
        <v>0</v>
      </c>
      <c r="D262" s="758">
        <f>IF($I$367&lt;&gt;0,D$367/$I$367*$I262,0)</f>
        <v>54622.275782962846</v>
      </c>
      <c r="E262" s="758">
        <f>IF($I$367&lt;&gt;0,E$367/$I$367*$I262,0)</f>
        <v>7419.801663932165</v>
      </c>
      <c r="F262" s="758">
        <f>IF($I$367&lt;&gt;0,F$367/$I$367*$I262,0)</f>
        <v>98408.374834840943</v>
      </c>
      <c r="G262" s="758">
        <f>IF($I$367&lt;&gt;0,G$367/$I$367*$I262,0)</f>
        <v>80554.063275884604</v>
      </c>
      <c r="H262" s="25">
        <f>SUM(C262:G262)</f>
        <v>241004.51555762056</v>
      </c>
      <c r="I262" s="758">
        <v>304</v>
      </c>
      <c r="J262" s="758">
        <f t="shared" si="49"/>
        <v>792.77801170269925</v>
      </c>
      <c r="K262" s="666">
        <v>6400</v>
      </c>
      <c r="L262" s="666"/>
      <c r="M262" s="40"/>
      <c r="N262" s="772">
        <f t="shared" si="48"/>
        <v>41554</v>
      </c>
      <c r="O262" s="772">
        <v>41557</v>
      </c>
      <c r="P262" s="773" t="s">
        <v>958</v>
      </c>
      <c r="Q262" s="305"/>
      <c r="R262" s="802"/>
      <c r="S262" s="25">
        <f t="shared" si="50"/>
        <v>0</v>
      </c>
      <c r="T262" s="449"/>
      <c r="U262" s="772"/>
      <c r="V262" s="804"/>
      <c r="W262" s="802"/>
      <c r="X262" s="25">
        <f t="shared" si="51"/>
        <v>0</v>
      </c>
    </row>
    <row r="263" spans="1:24" ht="16.5" customHeight="1">
      <c r="A263" s="757">
        <f t="shared" si="45"/>
        <v>14</v>
      </c>
      <c r="B263" s="297" t="s">
        <v>838</v>
      </c>
      <c r="C263" s="25">
        <f t="shared" si="46"/>
        <v>0</v>
      </c>
      <c r="D263" s="758">
        <f>IF($I$367&lt;&gt;0,D$367/$I$367*$I263,0)</f>
        <v>178959.82460470722</v>
      </c>
      <c r="E263" s="758">
        <f>IF($I$367&lt;&gt;0,E$367/$I$367*$I263,0)</f>
        <v>24309.613346304068</v>
      </c>
      <c r="F263" s="758">
        <f>IF($I$367&lt;&gt;0,F$367/$I$367*$I263,0)</f>
        <v>322416.9122878341</v>
      </c>
      <c r="G263" s="758">
        <f>IF($I$367&lt;&gt;0,G$367/$I$367*$I263,0)</f>
        <v>263920.54941704299</v>
      </c>
      <c r="H263" s="25">
        <f>SUM(C263:G263)</f>
        <v>789606.89965588844</v>
      </c>
      <c r="I263" s="758">
        <v>996</v>
      </c>
      <c r="J263" s="758">
        <f t="shared" si="49"/>
        <v>792.77801170269925</v>
      </c>
      <c r="K263" s="666">
        <v>10500</v>
      </c>
      <c r="L263" s="666"/>
      <c r="M263" s="189"/>
      <c r="N263" s="772">
        <f t="shared" si="48"/>
        <v>41560</v>
      </c>
      <c r="O263" s="772">
        <v>41563</v>
      </c>
      <c r="P263" s="773" t="s">
        <v>959</v>
      </c>
      <c r="Q263" s="305"/>
      <c r="R263" s="802"/>
      <c r="S263" s="25">
        <f t="shared" si="50"/>
        <v>0</v>
      </c>
      <c r="T263" s="449"/>
      <c r="U263" s="772"/>
      <c r="V263" s="804"/>
      <c r="W263" s="802"/>
      <c r="X263" s="25">
        <f t="shared" si="51"/>
        <v>0</v>
      </c>
    </row>
    <row r="264" spans="1:24" ht="16.5" customHeight="1">
      <c r="A264" s="757">
        <f t="shared" si="45"/>
        <v>15</v>
      </c>
      <c r="B264" s="297" t="s">
        <v>1160</v>
      </c>
      <c r="C264" s="25">
        <f t="shared" si="46"/>
        <v>0</v>
      </c>
      <c r="D264" s="758">
        <f>IF($I$367&lt;&gt;0,D$367/$I$367*$I264,0)</f>
        <v>251549.95426364467</v>
      </c>
      <c r="E264" s="758">
        <f>IF($I$367&lt;&gt;0,E$367/$I$367*$I264,0)</f>
        <v>34170.139241792866</v>
      </c>
      <c r="F264" s="758">
        <f>IF($I$367&lt;&gt;0,F$367/$I$367*$I264,0)</f>
        <v>453196.46305518853</v>
      </c>
      <c r="G264" s="758">
        <f>IF($I$367&lt;&gt;0,G$367/$I$367*$I264,0)</f>
        <v>370972.65982315282</v>
      </c>
      <c r="H264" s="25">
        <f>SUM(C264:G264)</f>
        <v>1109889.216383779</v>
      </c>
      <c r="I264" s="758">
        <v>1400</v>
      </c>
      <c r="J264" s="758">
        <f t="shared" si="49"/>
        <v>792.77801170269925</v>
      </c>
      <c r="K264" s="666">
        <v>4890</v>
      </c>
      <c r="L264" s="666"/>
      <c r="M264" s="189"/>
      <c r="N264" s="772">
        <f t="shared" si="48"/>
        <v>41560</v>
      </c>
      <c r="O264" s="772">
        <v>41563</v>
      </c>
      <c r="P264" s="773" t="s">
        <v>960</v>
      </c>
      <c r="Q264" s="305"/>
      <c r="R264" s="802"/>
      <c r="S264" s="25">
        <f t="shared" si="50"/>
        <v>0</v>
      </c>
      <c r="T264" s="449"/>
      <c r="U264" s="772"/>
      <c r="V264" s="804"/>
      <c r="W264" s="802"/>
      <c r="X264" s="25">
        <f t="shared" si="51"/>
        <v>0</v>
      </c>
    </row>
    <row r="265" spans="1:24" ht="16.5" customHeight="1">
      <c r="A265" s="757">
        <f t="shared" si="45"/>
        <v>16</v>
      </c>
      <c r="B265" s="297" t="s">
        <v>1150</v>
      </c>
      <c r="C265" s="25">
        <f t="shared" si="46"/>
        <v>0</v>
      </c>
      <c r="D265" s="758">
        <f>IF($I$367&lt;&gt;0,D$367/$I$367*$I265,0)</f>
        <v>968647.00245379179</v>
      </c>
      <c r="E265" s="758">
        <f>IF($I$367&lt;&gt;0,E$367/$I$367*$I265,0)</f>
        <v>131579.44332321809</v>
      </c>
      <c r="F265" s="758">
        <f>IF($I$367&lt;&gt;0,F$367/$I$367*$I265,0)</f>
        <v>1745130.094521801</v>
      </c>
      <c r="G265" s="758">
        <f>IF($I$367&lt;&gt;0,G$367/$I$367*$I265,0)</f>
        <v>1428509.7207904404</v>
      </c>
      <c r="H265" s="25">
        <f>SUM(C265:G265)</f>
        <v>4273866.2610892514</v>
      </c>
      <c r="I265" s="758">
        <v>5391</v>
      </c>
      <c r="J265" s="758">
        <f t="shared" si="49"/>
        <v>792.77801170269925</v>
      </c>
      <c r="K265" s="666">
        <v>4700</v>
      </c>
      <c r="L265" s="666"/>
      <c r="M265" s="189"/>
      <c r="N265" s="772">
        <f t="shared" si="48"/>
        <v>41560</v>
      </c>
      <c r="O265" s="772">
        <v>41563</v>
      </c>
      <c r="P265" s="773" t="s">
        <v>961</v>
      </c>
      <c r="Q265" s="8"/>
      <c r="S265" s="25">
        <f t="shared" si="50"/>
        <v>0</v>
      </c>
      <c r="T265" s="449"/>
      <c r="U265" s="772"/>
      <c r="V265" s="804"/>
      <c r="W265" s="802"/>
      <c r="X265" s="25">
        <f t="shared" si="51"/>
        <v>0</v>
      </c>
    </row>
    <row r="266" spans="1:24" ht="16.5" customHeight="1">
      <c r="A266" s="757">
        <f t="shared" si="45"/>
        <v>17</v>
      </c>
      <c r="B266" s="297" t="s">
        <v>940</v>
      </c>
      <c r="C266" s="25">
        <f t="shared" si="46"/>
        <v>0</v>
      </c>
      <c r="D266" s="758">
        <f>IF($I$367&lt;&gt;0,D$367/$I$367*$I266,0)</f>
        <v>17967.853875974619</v>
      </c>
      <c r="E266" s="758">
        <f>IF($I$367&lt;&gt;0,E$367/$I$367*$I266,0)</f>
        <v>2440.7242315566332</v>
      </c>
      <c r="F266" s="758">
        <f>IF($I$367&lt;&gt;0,F$367/$I$367*$I266,0)</f>
        <v>32371.175932513466</v>
      </c>
      <c r="G266" s="758">
        <f>IF($I$367&lt;&gt;0,G$367/$I$367*$I266,0)</f>
        <v>26498.047130225201</v>
      </c>
      <c r="H266" s="25">
        <f>SUM(C266:G266)</f>
        <v>79277.801170269915</v>
      </c>
      <c r="I266" s="758">
        <v>100</v>
      </c>
      <c r="J266" s="758">
        <f t="shared" si="49"/>
        <v>792.77801170269913</v>
      </c>
      <c r="K266" s="666">
        <v>18600</v>
      </c>
      <c r="L266" s="666"/>
      <c r="M266" s="189"/>
      <c r="N266" s="772">
        <f t="shared" si="48"/>
        <v>41562</v>
      </c>
      <c r="O266" s="772">
        <v>41565</v>
      </c>
      <c r="P266" s="773" t="s">
        <v>962</v>
      </c>
      <c r="Q266" s="305"/>
      <c r="R266" s="802"/>
      <c r="S266" s="25">
        <f t="shared" si="50"/>
        <v>0</v>
      </c>
      <c r="T266" s="449"/>
      <c r="U266" s="772"/>
      <c r="V266" s="804"/>
      <c r="W266" s="802"/>
      <c r="X266" s="25">
        <f t="shared" si="51"/>
        <v>0</v>
      </c>
    </row>
    <row r="267" spans="1:24" ht="16.5" customHeight="1">
      <c r="A267" s="757">
        <f t="shared" si="45"/>
        <v>18</v>
      </c>
      <c r="B267" s="297" t="s">
        <v>1142</v>
      </c>
      <c r="C267" s="25">
        <f t="shared" si="46"/>
        <v>0</v>
      </c>
      <c r="D267" s="758">
        <f>IF($I$367&lt;&gt;0,D$367/$I$367*$I267,0)</f>
        <v>207888.06934502636</v>
      </c>
      <c r="E267" s="758">
        <f>IF($I$367&lt;&gt;0,E$367/$I$367*$I267,0)</f>
        <v>28239.179359110247</v>
      </c>
      <c r="F267" s="758">
        <f>IF($I$367&lt;&gt;0,F$367/$I$367*$I267,0)</f>
        <v>374534.50553918083</v>
      </c>
      <c r="G267" s="758">
        <f>IF($I$367&lt;&gt;0,G$367/$I$367*$I267,0)</f>
        <v>306582.40529670555</v>
      </c>
      <c r="H267" s="25">
        <f>SUM(C267:G267)</f>
        <v>917244.15954002296</v>
      </c>
      <c r="I267" s="758">
        <v>1157</v>
      </c>
      <c r="J267" s="758">
        <f t="shared" si="49"/>
        <v>792.77801170269913</v>
      </c>
      <c r="K267" s="666">
        <v>4700</v>
      </c>
      <c r="L267" s="666"/>
      <c r="M267" s="40"/>
      <c r="N267" s="772">
        <f t="shared" si="48"/>
        <v>41563</v>
      </c>
      <c r="O267" s="772">
        <v>41566</v>
      </c>
      <c r="P267" s="773" t="s">
        <v>963</v>
      </c>
      <c r="Q267" s="305"/>
      <c r="R267" s="802"/>
      <c r="S267" s="25">
        <f t="shared" si="50"/>
        <v>0</v>
      </c>
      <c r="T267" s="449"/>
      <c r="U267" s="772"/>
      <c r="V267" s="804"/>
      <c r="W267" s="802"/>
      <c r="X267" s="25">
        <f t="shared" si="51"/>
        <v>0</v>
      </c>
    </row>
    <row r="268" spans="1:24" ht="16.5" customHeight="1">
      <c r="A268" s="757">
        <f t="shared" si="45"/>
        <v>19</v>
      </c>
      <c r="B268" s="297" t="s">
        <v>964</v>
      </c>
      <c r="C268" s="25">
        <f t="shared" si="46"/>
        <v>0</v>
      </c>
      <c r="D268" s="758">
        <f>IF($I$367&lt;&gt;0,D$367/$I$367*$I268,0)</f>
        <v>39529.278527144168</v>
      </c>
      <c r="E268" s="758">
        <f>IF($I$367&lt;&gt;0,E$367/$I$367*$I268,0)</f>
        <v>5369.5933094245929</v>
      </c>
      <c r="F268" s="758">
        <f>IF($I$367&lt;&gt;0,F$367/$I$367*$I268,0)</f>
        <v>71216.587051529626</v>
      </c>
      <c r="G268" s="758">
        <f>IF($I$367&lt;&gt;0,G$367/$I$367*$I268,0)</f>
        <v>58295.703686495443</v>
      </c>
      <c r="H268" s="25">
        <f>SUM(C268:G268)</f>
        <v>174411.16257459385</v>
      </c>
      <c r="I268" s="758">
        <v>220</v>
      </c>
      <c r="J268" s="758">
        <f t="shared" si="49"/>
        <v>792.77801170269936</v>
      </c>
      <c r="K268" s="666">
        <v>8280</v>
      </c>
      <c r="L268" s="666"/>
      <c r="M268" s="189"/>
      <c r="N268" s="772">
        <f t="shared" si="48"/>
        <v>41563</v>
      </c>
      <c r="O268" s="772">
        <v>41566</v>
      </c>
      <c r="P268" s="773" t="s">
        <v>963</v>
      </c>
      <c r="Q268" s="8"/>
      <c r="S268" s="25">
        <f t="shared" si="50"/>
        <v>0</v>
      </c>
      <c r="T268" s="449"/>
      <c r="U268" s="772"/>
      <c r="V268" s="804"/>
      <c r="W268" s="802"/>
      <c r="X268" s="25">
        <f t="shared" si="51"/>
        <v>0</v>
      </c>
    </row>
    <row r="269" spans="1:24" ht="16.5" customHeight="1">
      <c r="A269" s="757">
        <f t="shared" si="45"/>
        <v>20</v>
      </c>
      <c r="B269" s="297" t="s">
        <v>731</v>
      </c>
      <c r="C269" s="25">
        <f t="shared" si="46"/>
        <v>0</v>
      </c>
      <c r="D269" s="758">
        <f>IF($I$367&lt;&gt;0,D$367/$I$367*$I269,0)</f>
        <v>95049.947003905749</v>
      </c>
      <c r="E269" s="758">
        <f>IF($I$367&lt;&gt;0,E$367/$I$367*$I269,0)</f>
        <v>12911.43118493459</v>
      </c>
      <c r="F269" s="758">
        <f>IF($I$367&lt;&gt;0,F$367/$I$367*$I269,0)</f>
        <v>171243.52068299623</v>
      </c>
      <c r="G269" s="758">
        <f>IF($I$367&lt;&gt;0,G$367/$I$367*$I269,0)</f>
        <v>140174.66931889131</v>
      </c>
      <c r="H269" s="25">
        <f>SUM(C269:G269)</f>
        <v>419379.56819072791</v>
      </c>
      <c r="I269" s="758">
        <v>529</v>
      </c>
      <c r="J269" s="758">
        <f t="shared" si="49"/>
        <v>792.77801170269925</v>
      </c>
      <c r="K269" s="666">
        <v>8740</v>
      </c>
      <c r="L269" s="666"/>
      <c r="M269" s="189"/>
      <c r="N269" s="772">
        <f t="shared" si="48"/>
        <v>41565</v>
      </c>
      <c r="O269" s="772">
        <v>41568</v>
      </c>
      <c r="P269" s="773" t="s">
        <v>965</v>
      </c>
      <c r="Q269" s="305"/>
      <c r="R269" s="802"/>
      <c r="S269" s="25">
        <f t="shared" si="50"/>
        <v>0</v>
      </c>
      <c r="T269" s="449"/>
      <c r="U269" s="772"/>
      <c r="V269" s="804"/>
      <c r="W269" s="802"/>
      <c r="X269" s="25">
        <f t="shared" si="51"/>
        <v>0</v>
      </c>
    </row>
    <row r="270" spans="1:24" ht="16.5" customHeight="1">
      <c r="A270" s="757">
        <f t="shared" si="45"/>
        <v>21</v>
      </c>
      <c r="B270" s="297" t="s">
        <v>966</v>
      </c>
      <c r="C270" s="25">
        <f t="shared" si="46"/>
        <v>0</v>
      </c>
      <c r="D270" s="758">
        <f>IF($I$367&lt;&gt;0,D$367/$I$367*$I270,0)</f>
        <v>14374.283100779696</v>
      </c>
      <c r="E270" s="758">
        <f>IF($I$367&lt;&gt;0,E$367/$I$367*$I270,0)</f>
        <v>1952.5793852453066</v>
      </c>
      <c r="F270" s="758">
        <f>IF($I$367&lt;&gt;0,F$367/$I$367*$I270,0)</f>
        <v>25896.940746010772</v>
      </c>
      <c r="G270" s="758">
        <f>IF($I$367&lt;&gt;0,G$367/$I$367*$I270,0)</f>
        <v>21198.43770418016</v>
      </c>
      <c r="H270" s="25">
        <f>SUM(C270:G270)</f>
        <v>63422.240936215938</v>
      </c>
      <c r="I270" s="758">
        <v>80</v>
      </c>
      <c r="J270" s="758">
        <f t="shared" si="49"/>
        <v>792.77801170269925</v>
      </c>
      <c r="K270" s="666">
        <v>3600</v>
      </c>
      <c r="L270" s="666"/>
      <c r="M270" s="40"/>
      <c r="N270" s="772">
        <f t="shared" si="48"/>
        <v>41565</v>
      </c>
      <c r="O270" s="772">
        <v>41568</v>
      </c>
      <c r="P270" s="773" t="s">
        <v>967</v>
      </c>
      <c r="Q270" s="305"/>
      <c r="R270" s="802"/>
      <c r="S270" s="25">
        <f t="shared" si="50"/>
        <v>0</v>
      </c>
      <c r="T270" s="449"/>
      <c r="U270" s="772"/>
      <c r="V270" s="804"/>
      <c r="W270" s="802"/>
      <c r="X270" s="25">
        <f t="shared" si="51"/>
        <v>0</v>
      </c>
    </row>
    <row r="271" spans="1:24" ht="16.5" customHeight="1">
      <c r="A271" s="757">
        <f t="shared" si="45"/>
        <v>22</v>
      </c>
      <c r="B271" s="297" t="s">
        <v>968</v>
      </c>
      <c r="C271" s="25">
        <f t="shared" si="46"/>
        <v>0</v>
      </c>
      <c r="D271" s="758">
        <f>IF($I$367&lt;&gt;0,D$367/$I$367*$I271,0)</f>
        <v>14374.283100779696</v>
      </c>
      <c r="E271" s="758">
        <f>IF($I$367&lt;&gt;0,E$367/$I$367*$I271,0)</f>
        <v>1952.5793852453066</v>
      </c>
      <c r="F271" s="758">
        <f>IF($I$367&lt;&gt;0,F$367/$I$367*$I271,0)</f>
        <v>25896.940746010772</v>
      </c>
      <c r="G271" s="758">
        <f>IF($I$367&lt;&gt;0,G$367/$I$367*$I271,0)</f>
        <v>21198.43770418016</v>
      </c>
      <c r="H271" s="25">
        <f>SUM(C271:G271)</f>
        <v>63422.240936215938</v>
      </c>
      <c r="I271" s="758">
        <v>80</v>
      </c>
      <c r="J271" s="758">
        <f t="shared" si="49"/>
        <v>792.77801170269925</v>
      </c>
      <c r="K271" s="666">
        <v>3600</v>
      </c>
      <c r="L271" s="666"/>
      <c r="M271" s="189"/>
      <c r="N271" s="772">
        <f t="shared" si="48"/>
        <v>41565</v>
      </c>
      <c r="O271" s="772">
        <v>41568</v>
      </c>
      <c r="P271" s="773" t="s">
        <v>967</v>
      </c>
      <c r="Q271" s="305"/>
      <c r="R271" s="802"/>
      <c r="S271" s="25">
        <f t="shared" si="50"/>
        <v>0</v>
      </c>
      <c r="T271" s="449"/>
      <c r="U271" s="772"/>
      <c r="V271" s="804"/>
      <c r="W271" s="802"/>
      <c r="X271" s="25">
        <f t="shared" si="51"/>
        <v>0</v>
      </c>
    </row>
    <row r="272" spans="1:24" ht="16.5" customHeight="1">
      <c r="A272" s="757">
        <f t="shared" si="45"/>
        <v>23</v>
      </c>
      <c r="B272" s="297" t="s">
        <v>1164</v>
      </c>
      <c r="C272" s="25">
        <f t="shared" si="46"/>
        <v>0</v>
      </c>
      <c r="D272" s="758">
        <f>IF($I$367&lt;&gt;0,D$367/$I$367*$I272,0)</f>
        <v>14194.604562019949</v>
      </c>
      <c r="E272" s="758">
        <f>IF($I$367&lt;&gt;0,E$367/$I$367*$I272,0)</f>
        <v>1928.1721429297402</v>
      </c>
      <c r="F272" s="758">
        <f>IF($I$367&lt;&gt;0,F$367/$I$367*$I272,0)</f>
        <v>25573.228986685637</v>
      </c>
      <c r="G272" s="758">
        <f>IF($I$367&lt;&gt;0,G$367/$I$367*$I272,0)</f>
        <v>20933.457232877907</v>
      </c>
      <c r="H272" s="25">
        <f>SUM(C272:G272)</f>
        <v>62629.462924513238</v>
      </c>
      <c r="I272" s="758">
        <v>79</v>
      </c>
      <c r="J272" s="758">
        <f t="shared" si="49"/>
        <v>792.77801170269925</v>
      </c>
      <c r="K272" s="666">
        <v>4850</v>
      </c>
      <c r="L272" s="666"/>
      <c r="M272" s="189"/>
      <c r="N272" s="772">
        <f t="shared" si="48"/>
        <v>41565</v>
      </c>
      <c r="O272" s="772">
        <v>41568</v>
      </c>
      <c r="P272" s="773" t="s">
        <v>967</v>
      </c>
      <c r="Q272" s="305"/>
      <c r="R272" s="802"/>
      <c r="S272" s="25">
        <f t="shared" si="50"/>
        <v>0</v>
      </c>
      <c r="T272" s="449"/>
      <c r="U272" s="772"/>
      <c r="V272" s="804"/>
      <c r="W272" s="802"/>
      <c r="X272" s="25">
        <f t="shared" si="51"/>
        <v>0</v>
      </c>
    </row>
    <row r="273" spans="1:24" ht="16.5" customHeight="1">
      <c r="A273" s="757">
        <f t="shared" si="45"/>
        <v>24</v>
      </c>
      <c r="B273" s="297" t="s">
        <v>1161</v>
      </c>
      <c r="C273" s="25">
        <f t="shared" si="46"/>
        <v>0</v>
      </c>
      <c r="D273" s="758">
        <f>IF($I$367&lt;&gt;0,D$367/$I$367*$I273,0)</f>
        <v>14733.640178299189</v>
      </c>
      <c r="E273" s="758">
        <f>IF($I$367&lt;&gt;0,E$367/$I$367*$I273,0)</f>
        <v>2001.3938698764393</v>
      </c>
      <c r="F273" s="758">
        <f>IF($I$367&lt;&gt;0,F$367/$I$367*$I273,0)</f>
        <v>26544.364264661042</v>
      </c>
      <c r="G273" s="758">
        <f>IF($I$367&lt;&gt;0,G$367/$I$367*$I273,0)</f>
        <v>21728.398646784663</v>
      </c>
      <c r="H273" s="25">
        <f>SUM(C273:G273)</f>
        <v>65007.79695962133</v>
      </c>
      <c r="I273" s="758">
        <v>82</v>
      </c>
      <c r="J273" s="758">
        <f t="shared" si="49"/>
        <v>792.77801170269913</v>
      </c>
      <c r="K273" s="666">
        <v>4200</v>
      </c>
      <c r="L273" s="666"/>
      <c r="M273" s="189"/>
      <c r="N273" s="772">
        <f t="shared" si="48"/>
        <v>41565</v>
      </c>
      <c r="O273" s="772">
        <v>41568</v>
      </c>
      <c r="P273" s="773" t="s">
        <v>967</v>
      </c>
      <c r="Q273" s="305"/>
      <c r="R273" s="802"/>
      <c r="S273" s="25">
        <f t="shared" si="50"/>
        <v>0</v>
      </c>
      <c r="T273" s="449"/>
      <c r="U273" s="772"/>
      <c r="V273" s="804"/>
      <c r="W273" s="802"/>
      <c r="X273" s="25">
        <f t="shared" si="51"/>
        <v>0</v>
      </c>
    </row>
    <row r="274" spans="1:24" ht="16.5" customHeight="1">
      <c r="A274" s="757">
        <f t="shared" si="45"/>
        <v>25</v>
      </c>
      <c r="B274" s="297" t="s">
        <v>969</v>
      </c>
      <c r="C274" s="25">
        <f t="shared" si="46"/>
        <v>0</v>
      </c>
      <c r="D274" s="758">
        <f>IF($I$367&lt;&gt;0,D$367/$I$367*$I274,0)</f>
        <v>14553.961639539442</v>
      </c>
      <c r="E274" s="758">
        <f>IF($I$367&lt;&gt;0,E$367/$I$367*$I274,0)</f>
        <v>1976.9866275608729</v>
      </c>
      <c r="F274" s="758">
        <f>IF($I$367&lt;&gt;0,F$367/$I$367*$I274,0)</f>
        <v>26220.652505335907</v>
      </c>
      <c r="G274" s="758">
        <f>IF($I$367&lt;&gt;0,G$367/$I$367*$I274,0)</f>
        <v>21463.418175482413</v>
      </c>
      <c r="H274" s="25">
        <f>SUM(C274:G274)</f>
        <v>64215.018947918637</v>
      </c>
      <c r="I274" s="758">
        <v>81</v>
      </c>
      <c r="J274" s="758">
        <f t="shared" si="49"/>
        <v>792.77801170269925</v>
      </c>
      <c r="K274" s="666">
        <v>6000</v>
      </c>
      <c r="L274" s="666"/>
      <c r="M274" s="189"/>
      <c r="N274" s="772">
        <f t="shared" si="48"/>
        <v>41565</v>
      </c>
      <c r="O274" s="772">
        <v>41568</v>
      </c>
      <c r="P274" s="773" t="s">
        <v>967</v>
      </c>
      <c r="Q274" s="305"/>
      <c r="R274" s="802"/>
      <c r="S274" s="25">
        <f t="shared" si="50"/>
        <v>0</v>
      </c>
      <c r="T274" s="449"/>
      <c r="U274" s="772"/>
      <c r="V274" s="804"/>
      <c r="W274" s="802"/>
      <c r="X274" s="25">
        <f t="shared" si="51"/>
        <v>0</v>
      </c>
    </row>
    <row r="275" spans="1:24" ht="16.5" customHeight="1">
      <c r="A275" s="757">
        <f t="shared" si="45"/>
        <v>26</v>
      </c>
      <c r="B275" s="297" t="s">
        <v>970</v>
      </c>
      <c r="C275" s="25">
        <f t="shared" si="46"/>
        <v>0</v>
      </c>
      <c r="D275" s="758">
        <f>IF($I$367&lt;&gt;0,D$367/$I$367*$I275,0)</f>
        <v>14553.961639539442</v>
      </c>
      <c r="E275" s="758">
        <f>IF($I$367&lt;&gt;0,E$367/$I$367*$I275,0)</f>
        <v>1976.9866275608729</v>
      </c>
      <c r="F275" s="758">
        <f>IF($I$367&lt;&gt;0,F$367/$I$367*$I275,0)</f>
        <v>26220.652505335907</v>
      </c>
      <c r="G275" s="758">
        <f>IF($I$367&lt;&gt;0,G$367/$I$367*$I275,0)</f>
        <v>21463.418175482413</v>
      </c>
      <c r="H275" s="25">
        <f>SUM(C275:G275)</f>
        <v>64215.018947918637</v>
      </c>
      <c r="I275" s="758">
        <v>81</v>
      </c>
      <c r="J275" s="758">
        <f t="shared" si="49"/>
        <v>792.77801170269925</v>
      </c>
      <c r="K275" s="666">
        <v>6700</v>
      </c>
      <c r="L275" s="666"/>
      <c r="M275" s="40"/>
      <c r="N275" s="772">
        <f t="shared" si="48"/>
        <v>41565</v>
      </c>
      <c r="O275" s="772">
        <v>41568</v>
      </c>
      <c r="P275" s="773" t="s">
        <v>967</v>
      </c>
      <c r="Q275" s="305"/>
      <c r="R275" s="802"/>
      <c r="S275" s="25">
        <f t="shared" si="50"/>
        <v>0</v>
      </c>
      <c r="T275" s="449"/>
      <c r="U275" s="772"/>
      <c r="V275" s="804"/>
      <c r="W275" s="802"/>
      <c r="X275" s="25">
        <f t="shared" si="51"/>
        <v>0</v>
      </c>
    </row>
    <row r="276" spans="1:24" ht="16.5" customHeight="1">
      <c r="A276" s="757">
        <f t="shared" si="45"/>
        <v>27</v>
      </c>
      <c r="B276" s="297" t="s">
        <v>971</v>
      </c>
      <c r="C276" s="25">
        <f t="shared" si="46"/>
        <v>0</v>
      </c>
      <c r="D276" s="758">
        <f>IF($I$367&lt;&gt;0,D$367/$I$367*$I276,0)</f>
        <v>14374.283100779696</v>
      </c>
      <c r="E276" s="758">
        <f>IF($I$367&lt;&gt;0,E$367/$I$367*$I276,0)</f>
        <v>1952.5793852453066</v>
      </c>
      <c r="F276" s="758">
        <f>IF($I$367&lt;&gt;0,F$367/$I$367*$I276,0)</f>
        <v>25896.940746010772</v>
      </c>
      <c r="G276" s="758">
        <f>IF($I$367&lt;&gt;0,G$367/$I$367*$I276,0)</f>
        <v>21198.43770418016</v>
      </c>
      <c r="H276" s="25">
        <f>SUM(C276:G276)</f>
        <v>63422.240936215938</v>
      </c>
      <c r="I276" s="758">
        <v>80</v>
      </c>
      <c r="J276" s="758">
        <f t="shared" si="49"/>
        <v>792.77801170269925</v>
      </c>
      <c r="K276" s="666">
        <v>4500</v>
      </c>
      <c r="L276" s="666"/>
      <c r="M276" s="189"/>
      <c r="N276" s="772">
        <f t="shared" si="48"/>
        <v>41565</v>
      </c>
      <c r="O276" s="772">
        <v>41568</v>
      </c>
      <c r="P276" s="773" t="s">
        <v>972</v>
      </c>
      <c r="Q276" s="305"/>
      <c r="R276" s="802"/>
      <c r="S276" s="25">
        <f t="shared" si="50"/>
        <v>0</v>
      </c>
      <c r="T276" s="449"/>
      <c r="U276" s="772"/>
      <c r="V276" s="804"/>
      <c r="W276" s="802"/>
      <c r="X276" s="25">
        <f t="shared" si="51"/>
        <v>0</v>
      </c>
    </row>
    <row r="277" spans="1:24" ht="16.5" customHeight="1">
      <c r="A277" s="757">
        <f t="shared" si="45"/>
        <v>28</v>
      </c>
      <c r="B277" s="297" t="s">
        <v>973</v>
      </c>
      <c r="C277" s="25">
        <f t="shared" si="46"/>
        <v>0</v>
      </c>
      <c r="D277" s="758">
        <f>IF($I$367&lt;&gt;0,D$367/$I$367*$I277,0)</f>
        <v>10601.033786825026</v>
      </c>
      <c r="E277" s="758">
        <f>IF($I$367&lt;&gt;0,E$367/$I$367*$I277,0)</f>
        <v>1440.0272966184136</v>
      </c>
      <c r="F277" s="758">
        <f>IF($I$367&lt;&gt;0,F$367/$I$367*$I277,0)</f>
        <v>19098.993800182947</v>
      </c>
      <c r="G277" s="758">
        <f>IF($I$367&lt;&gt;0,G$367/$I$367*$I277,0)</f>
        <v>15633.847806832868</v>
      </c>
      <c r="H277" s="25">
        <f>SUM(C277:G277)</f>
        <v>46773.902690459254</v>
      </c>
      <c r="I277" s="758">
        <v>59</v>
      </c>
      <c r="J277" s="758">
        <f t="shared" si="49"/>
        <v>792.77801170269925</v>
      </c>
      <c r="K277" s="666">
        <v>4800</v>
      </c>
      <c r="L277" s="666"/>
      <c r="M277" s="297"/>
      <c r="N277" s="772">
        <f t="shared" si="48"/>
        <v>41565</v>
      </c>
      <c r="O277" s="772">
        <v>41568</v>
      </c>
      <c r="P277" s="773" t="s">
        <v>972</v>
      </c>
      <c r="Q277" s="305"/>
      <c r="R277" s="802"/>
      <c r="S277" s="25">
        <f t="shared" si="50"/>
        <v>0</v>
      </c>
      <c r="T277" s="449"/>
      <c r="U277" s="772"/>
      <c r="V277" s="804"/>
      <c r="W277" s="802"/>
      <c r="X277" s="25">
        <f t="shared" si="51"/>
        <v>0</v>
      </c>
    </row>
    <row r="278" spans="1:24" ht="16.5" customHeight="1">
      <c r="A278" s="757">
        <f t="shared" si="45"/>
        <v>29</v>
      </c>
      <c r="B278" s="297" t="s">
        <v>974</v>
      </c>
      <c r="C278" s="25">
        <f t="shared" si="46"/>
        <v>0</v>
      </c>
      <c r="D278" s="758">
        <f>IF($I$367&lt;&gt;0,D$367/$I$367*$I278,0)</f>
        <v>14374.283100779696</v>
      </c>
      <c r="E278" s="758">
        <f>IF($I$367&lt;&gt;0,E$367/$I$367*$I278,0)</f>
        <v>1952.5793852453066</v>
      </c>
      <c r="F278" s="758">
        <f>IF($I$367&lt;&gt;0,F$367/$I$367*$I278,0)</f>
        <v>25896.940746010772</v>
      </c>
      <c r="G278" s="758">
        <f>IF($I$367&lt;&gt;0,G$367/$I$367*$I278,0)</f>
        <v>21198.43770418016</v>
      </c>
      <c r="H278" s="25">
        <f>SUM(C278:G278)</f>
        <v>63422.240936215938</v>
      </c>
      <c r="I278" s="758">
        <v>80</v>
      </c>
      <c r="J278" s="758">
        <f t="shared" si="49"/>
        <v>792.77801170269925</v>
      </c>
      <c r="K278" s="666">
        <v>6800</v>
      </c>
      <c r="L278" s="666"/>
      <c r="M278" s="189"/>
      <c r="N278" s="772">
        <f t="shared" si="48"/>
        <v>41565</v>
      </c>
      <c r="O278" s="772">
        <v>41568</v>
      </c>
      <c r="P278" s="773" t="s">
        <v>972</v>
      </c>
      <c r="Q278" s="305"/>
      <c r="R278" s="802"/>
      <c r="S278" s="25">
        <f t="shared" si="50"/>
        <v>0</v>
      </c>
      <c r="T278" s="449"/>
      <c r="U278" s="772"/>
      <c r="V278" s="804"/>
      <c r="W278" s="802"/>
      <c r="X278" s="25">
        <f t="shared" si="51"/>
        <v>0</v>
      </c>
    </row>
    <row r="279" spans="1:24" ht="16.5" customHeight="1">
      <c r="A279" s="757">
        <f t="shared" si="45"/>
        <v>30</v>
      </c>
      <c r="B279" s="297" t="s">
        <v>975</v>
      </c>
      <c r="C279" s="25">
        <f t="shared" si="46"/>
        <v>0</v>
      </c>
      <c r="D279" s="758">
        <f>IF($I$367&lt;&gt;0,D$367/$I$367*$I279,0)</f>
        <v>2695.1780813961932</v>
      </c>
      <c r="E279" s="758">
        <f>IF($I$367&lt;&gt;0,E$367/$I$367*$I279,0)</f>
        <v>366.10863473349497</v>
      </c>
      <c r="F279" s="758">
        <f>IF($I$367&lt;&gt;0,F$367/$I$367*$I279,0)</f>
        <v>4855.6763898770196</v>
      </c>
      <c r="G279" s="758">
        <f>IF($I$367&lt;&gt;0,G$367/$I$367*$I279,0)</f>
        <v>3974.7070695337798</v>
      </c>
      <c r="H279" s="25">
        <f>SUM(C279:G279)</f>
        <v>11891.670175540487</v>
      </c>
      <c r="I279" s="758">
        <v>15</v>
      </c>
      <c r="J279" s="758">
        <f t="shared" si="49"/>
        <v>792.77801170269913</v>
      </c>
      <c r="K279" s="666">
        <v>9500</v>
      </c>
      <c r="L279" s="666"/>
      <c r="M279" s="40"/>
      <c r="N279" s="772">
        <f t="shared" si="48"/>
        <v>41565</v>
      </c>
      <c r="O279" s="772">
        <v>41568</v>
      </c>
      <c r="P279" s="773" t="s">
        <v>972</v>
      </c>
      <c r="Q279" s="305"/>
      <c r="R279" s="802"/>
      <c r="S279" s="25">
        <f t="shared" si="50"/>
        <v>0</v>
      </c>
      <c r="T279" s="449"/>
      <c r="U279" s="772"/>
      <c r="V279" s="804"/>
      <c r="W279" s="802"/>
      <c r="X279" s="25">
        <f t="shared" si="51"/>
        <v>0</v>
      </c>
    </row>
    <row r="280" spans="1:24" ht="16.5" customHeight="1">
      <c r="A280" s="757">
        <f t="shared" si="45"/>
        <v>31</v>
      </c>
      <c r="B280" s="297" t="s">
        <v>976</v>
      </c>
      <c r="C280" s="25">
        <f t="shared" si="46"/>
        <v>0</v>
      </c>
      <c r="D280" s="758">
        <f>IF($I$367&lt;&gt;0,D$367/$I$367*$I280,0)</f>
        <v>3773.2493139546705</v>
      </c>
      <c r="E280" s="758">
        <f>IF($I$367&lt;&gt;0,E$367/$I$367*$I280,0)</f>
        <v>512.55208862689301</v>
      </c>
      <c r="F280" s="758">
        <f>IF($I$367&lt;&gt;0,F$367/$I$367*$I280,0)</f>
        <v>6797.9469458278281</v>
      </c>
      <c r="G280" s="758">
        <f>IF($I$367&lt;&gt;0,G$367/$I$367*$I280,0)</f>
        <v>5564.5898973472922</v>
      </c>
      <c r="H280" s="25">
        <f>SUM(C280:G280)</f>
        <v>16648.338245756684</v>
      </c>
      <c r="I280" s="758">
        <v>21</v>
      </c>
      <c r="J280" s="758">
        <f t="shared" si="49"/>
        <v>792.77801170269925</v>
      </c>
      <c r="K280" s="666">
        <v>7700</v>
      </c>
      <c r="L280" s="666"/>
      <c r="M280" s="40"/>
      <c r="N280" s="772">
        <f t="shared" si="48"/>
        <v>41565</v>
      </c>
      <c r="O280" s="772">
        <v>41568</v>
      </c>
      <c r="P280" s="773" t="s">
        <v>972</v>
      </c>
      <c r="Q280" s="305"/>
      <c r="R280" s="802"/>
      <c r="S280" s="25">
        <f t="shared" si="50"/>
        <v>0</v>
      </c>
      <c r="T280" s="449"/>
      <c r="U280" s="772"/>
      <c r="V280" s="804"/>
      <c r="W280" s="802"/>
      <c r="X280" s="25">
        <f t="shared" si="51"/>
        <v>0</v>
      </c>
    </row>
    <row r="281" spans="1:24" ht="16.5" customHeight="1">
      <c r="A281" s="757">
        <f t="shared" si="45"/>
        <v>32</v>
      </c>
      <c r="B281" s="297" t="s">
        <v>977</v>
      </c>
      <c r="C281" s="25">
        <f t="shared" si="46"/>
        <v>0</v>
      </c>
      <c r="D281" s="758">
        <f>IF($I$367&lt;&gt;0,D$367/$I$367*$I281,0)</f>
        <v>1437.4283100779696</v>
      </c>
      <c r="E281" s="758">
        <f>IF($I$367&lt;&gt;0,E$367/$I$367*$I281,0)</f>
        <v>195.25793852453066</v>
      </c>
      <c r="F281" s="758">
        <f>IF($I$367&lt;&gt;0,F$367/$I$367*$I281,0)</f>
        <v>2589.6940746010773</v>
      </c>
      <c r="G281" s="758">
        <f>IF($I$367&lt;&gt;0,G$367/$I$367*$I281,0)</f>
        <v>2119.843770418016</v>
      </c>
      <c r="H281" s="25">
        <f>SUM(C281:G281)</f>
        <v>6342.2240936215931</v>
      </c>
      <c r="I281" s="758">
        <v>8</v>
      </c>
      <c r="J281" s="758">
        <f t="shared" si="49"/>
        <v>792.77801170269913</v>
      </c>
      <c r="K281" s="666">
        <v>9700</v>
      </c>
      <c r="L281" s="666"/>
      <c r="M281" s="40"/>
      <c r="N281" s="772">
        <f t="shared" si="48"/>
        <v>41565</v>
      </c>
      <c r="O281" s="772">
        <v>41568</v>
      </c>
      <c r="P281" s="773" t="s">
        <v>972</v>
      </c>
      <c r="Q281" s="305"/>
      <c r="R281" s="802"/>
      <c r="S281" s="25">
        <f t="shared" si="50"/>
        <v>0</v>
      </c>
      <c r="T281" s="449"/>
      <c r="U281" s="772"/>
      <c r="V281" s="804"/>
      <c r="W281" s="802"/>
      <c r="X281" s="25">
        <f t="shared" si="51"/>
        <v>0</v>
      </c>
    </row>
    <row r="282" spans="1:24" ht="16.5" customHeight="1">
      <c r="A282" s="757">
        <f t="shared" si="45"/>
        <v>33</v>
      </c>
      <c r="B282" s="297" t="s">
        <v>978</v>
      </c>
      <c r="C282" s="25">
        <f t="shared" si="46"/>
        <v>0</v>
      </c>
      <c r="D282" s="758">
        <f>IF($I$367&lt;&gt;0,D$367/$I$367*$I282,0)</f>
        <v>1796.785387597462</v>
      </c>
      <c r="E282" s="758">
        <f>IF($I$367&lt;&gt;0,E$367/$I$367*$I282,0)</f>
        <v>244.07242315566333</v>
      </c>
      <c r="F282" s="758">
        <f>IF($I$367&lt;&gt;0,F$367/$I$367*$I282,0)</f>
        <v>3237.1175932513465</v>
      </c>
      <c r="G282" s="758">
        <f>IF($I$367&lt;&gt;0,G$367/$I$367*$I282,0)</f>
        <v>2649.80471302252</v>
      </c>
      <c r="H282" s="25">
        <f>SUM(C282:G282)</f>
        <v>7927.7801170269922</v>
      </c>
      <c r="I282" s="758">
        <v>10</v>
      </c>
      <c r="J282" s="758">
        <f t="shared" si="49"/>
        <v>792.77801170269925</v>
      </c>
      <c r="K282" s="666">
        <v>10350</v>
      </c>
      <c r="L282" s="666"/>
      <c r="M282" s="189"/>
      <c r="N282" s="772">
        <f t="shared" si="48"/>
        <v>41565</v>
      </c>
      <c r="O282" s="772">
        <v>41568</v>
      </c>
      <c r="P282" s="773" t="s">
        <v>972</v>
      </c>
      <c r="Q282" s="305"/>
      <c r="R282" s="802"/>
      <c r="S282" s="25">
        <f t="shared" si="50"/>
        <v>0</v>
      </c>
      <c r="T282" s="449"/>
      <c r="U282" s="772"/>
      <c r="V282" s="804"/>
      <c r="W282" s="802"/>
      <c r="X282" s="25">
        <f t="shared" si="51"/>
        <v>0</v>
      </c>
    </row>
    <row r="283" spans="1:24" ht="16.5" customHeight="1">
      <c r="A283" s="757">
        <f t="shared" si="45"/>
        <v>34</v>
      </c>
      <c r="B283" s="297" t="s">
        <v>979</v>
      </c>
      <c r="C283" s="25">
        <f t="shared" si="46"/>
        <v>0</v>
      </c>
      <c r="D283" s="758">
        <f>IF($I$367&lt;&gt;0,D$367/$I$367*$I283,0)</f>
        <v>1796.785387597462</v>
      </c>
      <c r="E283" s="758">
        <f>IF($I$367&lt;&gt;0,E$367/$I$367*$I283,0)</f>
        <v>244.07242315566333</v>
      </c>
      <c r="F283" s="758">
        <f>IF($I$367&lt;&gt;0,F$367/$I$367*$I283,0)</f>
        <v>3237.1175932513465</v>
      </c>
      <c r="G283" s="758">
        <f>IF($I$367&lt;&gt;0,G$367/$I$367*$I283,0)</f>
        <v>2649.80471302252</v>
      </c>
      <c r="H283" s="25">
        <f>SUM(C283:G283)</f>
        <v>7927.7801170269922</v>
      </c>
      <c r="I283" s="758">
        <v>10</v>
      </c>
      <c r="J283" s="758">
        <f t="shared" si="49"/>
        <v>792.77801170269925</v>
      </c>
      <c r="K283" s="666">
        <v>12600</v>
      </c>
      <c r="L283" s="666"/>
      <c r="M283" s="40"/>
      <c r="N283" s="772">
        <f t="shared" si="48"/>
        <v>41565</v>
      </c>
      <c r="O283" s="772">
        <v>41568</v>
      </c>
      <c r="P283" s="773" t="s">
        <v>972</v>
      </c>
      <c r="Q283" s="305"/>
      <c r="R283" s="802"/>
      <c r="S283" s="25">
        <f t="shared" si="50"/>
        <v>0</v>
      </c>
      <c r="T283" s="449"/>
      <c r="U283" s="772"/>
      <c r="V283" s="804"/>
      <c r="W283" s="802"/>
      <c r="X283" s="25">
        <f t="shared" si="51"/>
        <v>0</v>
      </c>
    </row>
    <row r="284" spans="1:24" ht="16.5" customHeight="1">
      <c r="A284" s="757">
        <f t="shared" si="45"/>
        <v>35</v>
      </c>
      <c r="B284" s="297" t="s">
        <v>980</v>
      </c>
      <c r="C284" s="25">
        <f t="shared" si="46"/>
        <v>0</v>
      </c>
      <c r="D284" s="758">
        <f>IF($I$367&lt;&gt;0,D$367/$I$367*$I284,0)</f>
        <v>11140.069403104264</v>
      </c>
      <c r="E284" s="758">
        <f>IF($I$367&lt;&gt;0,E$367/$I$367*$I284,0)</f>
        <v>1513.2490235651126</v>
      </c>
      <c r="F284" s="758">
        <f>IF($I$367&lt;&gt;0,F$367/$I$367*$I284,0)</f>
        <v>20070.129078158348</v>
      </c>
      <c r="G284" s="758">
        <f>IF($I$367&lt;&gt;0,G$367/$I$367*$I284,0)</f>
        <v>16428.789220739625</v>
      </c>
      <c r="H284" s="25">
        <f>SUM(C284:G284)</f>
        <v>49152.236725567345</v>
      </c>
      <c r="I284" s="758">
        <v>62</v>
      </c>
      <c r="J284" s="758">
        <f t="shared" si="49"/>
        <v>792.77801170269913</v>
      </c>
      <c r="K284" s="666">
        <v>7650</v>
      </c>
      <c r="L284" s="666"/>
      <c r="M284" s="189"/>
      <c r="N284" s="772">
        <f t="shared" si="48"/>
        <v>41565</v>
      </c>
      <c r="O284" s="772">
        <v>41568</v>
      </c>
      <c r="P284" s="773" t="s">
        <v>981</v>
      </c>
      <c r="Q284" s="8"/>
      <c r="S284" s="25">
        <f t="shared" si="50"/>
        <v>0</v>
      </c>
      <c r="T284" s="449"/>
      <c r="U284" s="772"/>
      <c r="V284" s="804"/>
      <c r="W284" s="802"/>
      <c r="X284" s="25">
        <f t="shared" si="51"/>
        <v>0</v>
      </c>
    </row>
    <row r="285" spans="1:24" ht="16.5" customHeight="1">
      <c r="A285" s="757">
        <f t="shared" si="45"/>
        <v>36</v>
      </c>
      <c r="B285" s="297" t="s">
        <v>982</v>
      </c>
      <c r="C285" s="25">
        <f t="shared" si="46"/>
        <v>0</v>
      </c>
      <c r="D285" s="758">
        <f>IF($I$367&lt;&gt;0,D$367/$I$367*$I285,0)</f>
        <v>8983.9269379873094</v>
      </c>
      <c r="E285" s="758">
        <f>IF($I$367&lt;&gt;0,E$367/$I$367*$I285,0)</f>
        <v>1220.3621157783166</v>
      </c>
      <c r="F285" s="758">
        <f>IF($I$367&lt;&gt;0,F$367/$I$367*$I285,0)</f>
        <v>16185.587966256733</v>
      </c>
      <c r="G285" s="758">
        <f>IF($I$367&lt;&gt;0,G$367/$I$367*$I285,0)</f>
        <v>13249.0235651126</v>
      </c>
      <c r="H285" s="25">
        <f>SUM(C285:G285)</f>
        <v>39638.900585134958</v>
      </c>
      <c r="I285" s="758">
        <v>50</v>
      </c>
      <c r="J285" s="758">
        <f t="shared" si="49"/>
        <v>792.77801170269913</v>
      </c>
      <c r="K285" s="666">
        <v>13500</v>
      </c>
      <c r="L285" s="666"/>
      <c r="M285" s="189"/>
      <c r="N285" s="772">
        <f t="shared" si="48"/>
        <v>41565</v>
      </c>
      <c r="O285" s="772">
        <v>41568</v>
      </c>
      <c r="P285" s="773" t="s">
        <v>983</v>
      </c>
      <c r="Q285" s="305"/>
      <c r="R285" s="802"/>
      <c r="S285" s="25">
        <f t="shared" si="50"/>
        <v>0</v>
      </c>
      <c r="T285" s="449"/>
      <c r="U285" s="772"/>
      <c r="V285" s="804"/>
      <c r="W285" s="802"/>
      <c r="X285" s="25">
        <f t="shared" si="51"/>
        <v>0</v>
      </c>
    </row>
    <row r="286" spans="1:24" ht="16.5" customHeight="1">
      <c r="A286" s="757">
        <f t="shared" si="45"/>
        <v>37</v>
      </c>
      <c r="B286" s="297" t="s">
        <v>984</v>
      </c>
      <c r="C286" s="25">
        <f t="shared" si="46"/>
        <v>0</v>
      </c>
      <c r="D286" s="758">
        <f>IF($I$367&lt;&gt;0,D$367/$I$367*$I286,0)</f>
        <v>9163.6054767470559</v>
      </c>
      <c r="E286" s="758">
        <f>IF($I$367&lt;&gt;0,E$367/$I$367*$I286,0)</f>
        <v>1244.7693580938831</v>
      </c>
      <c r="F286" s="758">
        <f>IF($I$367&lt;&gt;0,F$367/$I$367*$I286,0)</f>
        <v>16509.299725581866</v>
      </c>
      <c r="G286" s="758">
        <f>IF($I$367&lt;&gt;0,G$367/$I$367*$I286,0)</f>
        <v>13514.004036414852</v>
      </c>
      <c r="H286" s="25">
        <f>SUM(C286:G286)</f>
        <v>40431.678596837657</v>
      </c>
      <c r="I286" s="758">
        <v>51</v>
      </c>
      <c r="J286" s="758">
        <f t="shared" si="49"/>
        <v>792.77801170269913</v>
      </c>
      <c r="K286" s="666">
        <v>12100</v>
      </c>
      <c r="L286" s="666"/>
      <c r="M286" s="40"/>
      <c r="N286" s="772">
        <f t="shared" si="48"/>
        <v>41565</v>
      </c>
      <c r="O286" s="772">
        <v>41568</v>
      </c>
      <c r="P286" s="773" t="s">
        <v>985</v>
      </c>
      <c r="Q286" s="305"/>
      <c r="R286" s="802"/>
      <c r="S286" s="25">
        <f t="shared" si="50"/>
        <v>0</v>
      </c>
      <c r="T286" s="449"/>
      <c r="U286" s="772"/>
      <c r="V286" s="804"/>
      <c r="W286" s="802"/>
      <c r="X286" s="25">
        <f t="shared" si="51"/>
        <v>0</v>
      </c>
    </row>
    <row r="287" spans="1:24" ht="16.5" customHeight="1">
      <c r="A287" s="757">
        <f t="shared" si="45"/>
        <v>38</v>
      </c>
      <c r="B287" s="297" t="s">
        <v>1158</v>
      </c>
      <c r="C287" s="25">
        <f t="shared" si="46"/>
        <v>0</v>
      </c>
      <c r="D287" s="758">
        <f>IF($I$367&lt;&gt;0,D$367/$I$367*$I287,0)</f>
        <v>11858.78355814325</v>
      </c>
      <c r="E287" s="758">
        <f>IF($I$367&lt;&gt;0,E$367/$I$367*$I287,0)</f>
        <v>1610.877992827378</v>
      </c>
      <c r="F287" s="758">
        <f>IF($I$367&lt;&gt;0,F$367/$I$367*$I287,0)</f>
        <v>21364.976115458889</v>
      </c>
      <c r="G287" s="758">
        <f>IF($I$367&lt;&gt;0,G$367/$I$367*$I287,0)</f>
        <v>17488.711105948631</v>
      </c>
      <c r="H287" s="25">
        <f>SUM(C287:G287)</f>
        <v>52323.348772378144</v>
      </c>
      <c r="I287" s="758">
        <v>66</v>
      </c>
      <c r="J287" s="758">
        <f t="shared" si="49"/>
        <v>792.77801170269913</v>
      </c>
      <c r="K287" s="666">
        <v>4800</v>
      </c>
      <c r="L287" s="666"/>
      <c r="M287" s="40"/>
      <c r="N287" s="772">
        <f t="shared" si="48"/>
        <v>41565</v>
      </c>
      <c r="O287" s="772">
        <v>41568</v>
      </c>
      <c r="P287" s="773" t="s">
        <v>986</v>
      </c>
      <c r="Q287" s="305"/>
      <c r="R287" s="802"/>
      <c r="S287" s="25">
        <f t="shared" si="50"/>
        <v>0</v>
      </c>
      <c r="T287" s="449"/>
      <c r="U287" s="772"/>
      <c r="V287" s="804"/>
      <c r="W287" s="802"/>
      <c r="X287" s="25">
        <f t="shared" si="51"/>
        <v>0</v>
      </c>
    </row>
    <row r="288" spans="1:24" ht="16.5" customHeight="1">
      <c r="A288" s="757">
        <f t="shared" si="45"/>
        <v>39</v>
      </c>
      <c r="B288" s="297" t="s">
        <v>1159</v>
      </c>
      <c r="C288" s="25">
        <f t="shared" si="46"/>
        <v>0</v>
      </c>
      <c r="D288" s="758">
        <f>IF($I$367&lt;&gt;0,D$367/$I$367*$I288,0)</f>
        <v>11140.069403104264</v>
      </c>
      <c r="E288" s="758">
        <f>IF($I$367&lt;&gt;0,E$367/$I$367*$I288,0)</f>
        <v>1513.2490235651126</v>
      </c>
      <c r="F288" s="758">
        <f>IF($I$367&lt;&gt;0,F$367/$I$367*$I288,0)</f>
        <v>20070.129078158348</v>
      </c>
      <c r="G288" s="758">
        <f>IF($I$367&lt;&gt;0,G$367/$I$367*$I288,0)</f>
        <v>16428.789220739625</v>
      </c>
      <c r="H288" s="25">
        <f>SUM(C288:G288)</f>
        <v>49152.236725567345</v>
      </c>
      <c r="I288" s="758">
        <v>62</v>
      </c>
      <c r="J288" s="758">
        <f t="shared" si="49"/>
        <v>792.77801170269913</v>
      </c>
      <c r="K288" s="666">
        <v>4700</v>
      </c>
      <c r="L288" s="666"/>
      <c r="M288" s="40"/>
      <c r="N288" s="772">
        <f t="shared" si="48"/>
        <v>41565</v>
      </c>
      <c r="O288" s="772">
        <v>41568</v>
      </c>
      <c r="P288" s="773" t="s">
        <v>644</v>
      </c>
      <c r="Q288" s="305"/>
      <c r="R288" s="802"/>
      <c r="S288" s="25">
        <f t="shared" si="50"/>
        <v>0</v>
      </c>
      <c r="T288" s="449"/>
      <c r="U288" s="772"/>
      <c r="V288" s="804"/>
      <c r="W288" s="802"/>
      <c r="X288" s="25">
        <f t="shared" si="51"/>
        <v>0</v>
      </c>
    </row>
    <row r="289" spans="1:24" ht="16.5" customHeight="1">
      <c r="A289" s="757">
        <f t="shared" si="45"/>
        <v>40</v>
      </c>
      <c r="B289" s="297" t="s">
        <v>987</v>
      </c>
      <c r="C289" s="25">
        <f t="shared" si="46"/>
        <v>0</v>
      </c>
      <c r="D289" s="758">
        <f>IF($I$367&lt;&gt;0,D$367/$I$367*$I289,0)</f>
        <v>2874.8566201559393</v>
      </c>
      <c r="E289" s="758">
        <f>IF($I$367&lt;&gt;0,E$367/$I$367*$I289,0)</f>
        <v>390.51587704906132</v>
      </c>
      <c r="F289" s="758">
        <f>IF($I$367&lt;&gt;0,F$367/$I$367*$I289,0)</f>
        <v>5179.3881492021546</v>
      </c>
      <c r="G289" s="758">
        <f>IF($I$367&lt;&gt;0,G$367/$I$367*$I289,0)</f>
        <v>4239.687540836032</v>
      </c>
      <c r="H289" s="25">
        <f>SUM(C289:G289)</f>
        <v>12684.448187243186</v>
      </c>
      <c r="I289" s="758">
        <v>16</v>
      </c>
      <c r="J289" s="758">
        <f t="shared" si="49"/>
        <v>792.77801170269913</v>
      </c>
      <c r="K289" s="666">
        <v>16600</v>
      </c>
      <c r="L289" s="666"/>
      <c r="M289" s="297"/>
      <c r="N289" s="772">
        <f t="shared" si="48"/>
        <v>41565</v>
      </c>
      <c r="O289" s="772">
        <v>41568</v>
      </c>
      <c r="P289" s="773" t="s">
        <v>988</v>
      </c>
      <c r="Q289" s="305"/>
      <c r="R289" s="802"/>
      <c r="S289" s="25">
        <f t="shared" si="50"/>
        <v>0</v>
      </c>
      <c r="T289" s="449"/>
      <c r="U289" s="772"/>
      <c r="V289" s="804"/>
      <c r="W289" s="802"/>
      <c r="X289" s="25">
        <f t="shared" si="51"/>
        <v>0</v>
      </c>
    </row>
    <row r="290" spans="1:24" ht="16.5" customHeight="1">
      <c r="A290" s="757">
        <f t="shared" si="45"/>
        <v>41</v>
      </c>
      <c r="B290" s="297" t="s">
        <v>989</v>
      </c>
      <c r="C290" s="25">
        <f t="shared" si="46"/>
        <v>0</v>
      </c>
      <c r="D290" s="758">
        <f>IF($I$367&lt;&gt;0,D$367/$I$367*$I290,0)</f>
        <v>2335.8210038767006</v>
      </c>
      <c r="E290" s="758">
        <f>IF($I$367&lt;&gt;0,E$367/$I$367*$I290,0)</f>
        <v>317.29415010236232</v>
      </c>
      <c r="F290" s="758">
        <f>IF($I$367&lt;&gt;0,F$367/$I$367*$I290,0)</f>
        <v>4208.2528712267504</v>
      </c>
      <c r="G290" s="758">
        <f>IF($I$367&lt;&gt;0,G$367/$I$367*$I290,0)</f>
        <v>3444.7461269292762</v>
      </c>
      <c r="H290" s="25">
        <f>SUM(C290:G290)</f>
        <v>10306.114152135089</v>
      </c>
      <c r="I290" s="758">
        <v>13</v>
      </c>
      <c r="J290" s="758">
        <f t="shared" si="49"/>
        <v>792.77801170269913</v>
      </c>
      <c r="K290" s="666">
        <v>16300</v>
      </c>
      <c r="L290" s="666"/>
      <c r="M290" s="189"/>
      <c r="N290" s="772">
        <f t="shared" si="48"/>
        <v>41565</v>
      </c>
      <c r="O290" s="772">
        <v>41568</v>
      </c>
      <c r="P290" s="773" t="s">
        <v>990</v>
      </c>
      <c r="Q290" s="305"/>
      <c r="R290" s="802"/>
      <c r="S290" s="25">
        <f t="shared" si="50"/>
        <v>0</v>
      </c>
      <c r="T290" s="449"/>
      <c r="U290" s="772"/>
      <c r="V290" s="804"/>
      <c r="W290" s="802"/>
      <c r="X290" s="25">
        <f t="shared" si="51"/>
        <v>0</v>
      </c>
    </row>
    <row r="291" spans="1:24" ht="16.5" customHeight="1">
      <c r="A291" s="757">
        <f t="shared" si="45"/>
        <v>42</v>
      </c>
      <c r="B291" s="297" t="s">
        <v>991</v>
      </c>
      <c r="C291" s="25">
        <f t="shared" si="46"/>
        <v>0</v>
      </c>
      <c r="D291" s="758">
        <f>IF($I$367&lt;&gt;0,D$367/$I$367*$I291,0)</f>
        <v>2335.8210038767006</v>
      </c>
      <c r="E291" s="758">
        <f>IF($I$367&lt;&gt;0,E$367/$I$367*$I291,0)</f>
        <v>317.29415010236232</v>
      </c>
      <c r="F291" s="758">
        <f>IF($I$367&lt;&gt;0,F$367/$I$367*$I291,0)</f>
        <v>4208.2528712267504</v>
      </c>
      <c r="G291" s="758">
        <f>IF($I$367&lt;&gt;0,G$367/$I$367*$I291,0)</f>
        <v>3444.7461269292762</v>
      </c>
      <c r="H291" s="25">
        <f>SUM(C291:G291)</f>
        <v>10306.114152135089</v>
      </c>
      <c r="I291" s="758">
        <v>13</v>
      </c>
      <c r="J291" s="758">
        <f t="shared" si="49"/>
        <v>792.77801170269913</v>
      </c>
      <c r="K291" s="666">
        <v>23850</v>
      </c>
      <c r="L291" s="666"/>
      <c r="M291" s="189"/>
      <c r="N291" s="772">
        <f t="shared" si="48"/>
        <v>41565</v>
      </c>
      <c r="O291" s="772">
        <v>41568</v>
      </c>
      <c r="P291" s="773" t="s">
        <v>992</v>
      </c>
      <c r="Q291" s="305"/>
      <c r="R291" s="802"/>
      <c r="S291" s="25">
        <f t="shared" si="50"/>
        <v>0</v>
      </c>
      <c r="T291" s="449"/>
      <c r="U291" s="772"/>
      <c r="V291" s="804"/>
      <c r="W291" s="802"/>
      <c r="X291" s="25">
        <f t="shared" si="51"/>
        <v>0</v>
      </c>
    </row>
    <row r="292" spans="1:24" ht="16.5" customHeight="1">
      <c r="A292" s="757">
        <f t="shared" si="45"/>
        <v>43</v>
      </c>
      <c r="B292" s="297" t="s">
        <v>1155</v>
      </c>
      <c r="C292" s="25">
        <f t="shared" si="46"/>
        <v>0</v>
      </c>
      <c r="D292" s="758">
        <f>IF($I$367&lt;&gt;0,D$367/$I$367*$I292,0)</f>
        <v>35935.707751949238</v>
      </c>
      <c r="E292" s="758">
        <f>IF($I$367&lt;&gt;0,E$367/$I$367*$I292,0)</f>
        <v>4881.4484631132664</v>
      </c>
      <c r="F292" s="758">
        <f>IF($I$367&lt;&gt;0,F$367/$I$367*$I292,0)</f>
        <v>64742.351865026933</v>
      </c>
      <c r="G292" s="758">
        <f>IF($I$367&lt;&gt;0,G$367/$I$367*$I292,0)</f>
        <v>52996.094260450402</v>
      </c>
      <c r="H292" s="25">
        <f>SUM(C292:G292)</f>
        <v>158555.60234053983</v>
      </c>
      <c r="I292" s="758">
        <v>200</v>
      </c>
      <c r="J292" s="758">
        <f t="shared" si="49"/>
        <v>792.77801170269913</v>
      </c>
      <c r="K292" s="666">
        <v>3900</v>
      </c>
      <c r="L292" s="666"/>
      <c r="M292" s="189"/>
      <c r="N292" s="772">
        <f t="shared" si="48"/>
        <v>41565</v>
      </c>
      <c r="O292" s="772">
        <v>41568</v>
      </c>
      <c r="P292" s="773" t="s">
        <v>983</v>
      </c>
      <c r="Q292" s="305"/>
      <c r="R292" s="802"/>
      <c r="S292" s="25">
        <f t="shared" si="50"/>
        <v>0</v>
      </c>
      <c r="T292" s="449"/>
      <c r="U292" s="772"/>
      <c r="V292" s="804"/>
      <c r="W292" s="802"/>
      <c r="X292" s="25">
        <f t="shared" si="51"/>
        <v>0</v>
      </c>
    </row>
    <row r="293" spans="1:24" ht="16.5" customHeight="1">
      <c r="A293" s="757">
        <f t="shared" si="45"/>
        <v>44</v>
      </c>
      <c r="B293" s="297" t="s">
        <v>993</v>
      </c>
      <c r="C293" s="25">
        <f t="shared" si="46"/>
        <v>0</v>
      </c>
      <c r="D293" s="758">
        <f>IF($I$367&lt;&gt;0,D$367/$I$367*$I293,0)</f>
        <v>8983.9269379873094</v>
      </c>
      <c r="E293" s="758">
        <f>IF($I$367&lt;&gt;0,E$367/$I$367*$I293,0)</f>
        <v>1220.3621157783166</v>
      </c>
      <c r="F293" s="758">
        <f>IF($I$367&lt;&gt;0,F$367/$I$367*$I293,0)</f>
        <v>16185.587966256733</v>
      </c>
      <c r="G293" s="758">
        <f>IF($I$367&lt;&gt;0,G$367/$I$367*$I293,0)</f>
        <v>13249.0235651126</v>
      </c>
      <c r="H293" s="25">
        <f>SUM(C293:G293)</f>
        <v>39638.900585134958</v>
      </c>
      <c r="I293" s="758">
        <v>50</v>
      </c>
      <c r="J293" s="758">
        <f t="shared" si="49"/>
        <v>792.77801170269913</v>
      </c>
      <c r="K293" s="666">
        <v>70000</v>
      </c>
      <c r="L293" s="666"/>
      <c r="M293" s="189"/>
      <c r="N293" s="772">
        <f t="shared" si="48"/>
        <v>41565</v>
      </c>
      <c r="O293" s="772">
        <v>41568</v>
      </c>
      <c r="P293" s="773" t="s">
        <v>988</v>
      </c>
      <c r="Q293" s="305"/>
      <c r="R293" s="802"/>
      <c r="S293" s="25">
        <f t="shared" si="50"/>
        <v>0</v>
      </c>
      <c r="T293" s="449"/>
      <c r="U293" s="772"/>
      <c r="V293" s="804"/>
      <c r="W293" s="802"/>
      <c r="X293" s="25">
        <f t="shared" si="51"/>
        <v>0</v>
      </c>
    </row>
    <row r="294" spans="1:24" ht="16.5" customHeight="1">
      <c r="A294" s="757">
        <f t="shared" si="45"/>
        <v>45</v>
      </c>
      <c r="B294" s="297" t="s">
        <v>994</v>
      </c>
      <c r="C294" s="25">
        <f t="shared" si="46"/>
        <v>0</v>
      </c>
      <c r="D294" s="758">
        <f>IF($I$367&lt;&gt;0,D$367/$I$367*$I294,0)</f>
        <v>8983.9269379873094</v>
      </c>
      <c r="E294" s="758">
        <f>IF($I$367&lt;&gt;0,E$367/$I$367*$I294,0)</f>
        <v>1220.3621157783166</v>
      </c>
      <c r="F294" s="758">
        <f>IF($I$367&lt;&gt;0,F$367/$I$367*$I294,0)</f>
        <v>16185.587966256733</v>
      </c>
      <c r="G294" s="758">
        <f>IF($I$367&lt;&gt;0,G$367/$I$367*$I294,0)</f>
        <v>13249.0235651126</v>
      </c>
      <c r="H294" s="25">
        <f>SUM(C294:G294)</f>
        <v>39638.900585134958</v>
      </c>
      <c r="I294" s="758">
        <v>50</v>
      </c>
      <c r="J294" s="758">
        <f t="shared" si="49"/>
        <v>792.77801170269913</v>
      </c>
      <c r="K294" s="666">
        <v>80000</v>
      </c>
      <c r="L294" s="666"/>
      <c r="M294" s="189"/>
      <c r="N294" s="772">
        <f t="shared" si="48"/>
        <v>41565</v>
      </c>
      <c r="O294" s="772">
        <v>41568</v>
      </c>
      <c r="P294" s="773" t="s">
        <v>988</v>
      </c>
      <c r="Q294" s="305"/>
      <c r="R294" s="802"/>
      <c r="S294" s="25">
        <f t="shared" si="50"/>
        <v>0</v>
      </c>
      <c r="T294" s="449"/>
      <c r="U294" s="772"/>
      <c r="V294" s="804"/>
      <c r="W294" s="802"/>
      <c r="X294" s="25">
        <f t="shared" si="51"/>
        <v>0</v>
      </c>
    </row>
    <row r="295" spans="1:24" ht="16.5" customHeight="1">
      <c r="A295" s="757">
        <f t="shared" si="45"/>
        <v>46</v>
      </c>
      <c r="B295" s="297" t="s">
        <v>1154</v>
      </c>
      <c r="C295" s="25">
        <f t="shared" si="46"/>
        <v>0</v>
      </c>
      <c r="D295" s="758">
        <f>IF($I$367&lt;&gt;0,D$367/$I$367*$I295,0)</f>
        <v>355763.50674429745</v>
      </c>
      <c r="E295" s="758">
        <f>IF($I$367&lt;&gt;0,E$367/$I$367*$I295,0)</f>
        <v>48326.339784821335</v>
      </c>
      <c r="F295" s="758">
        <f>IF($I$367&lt;&gt;0,F$367/$I$367*$I295,0)</f>
        <v>640949.28346376668</v>
      </c>
      <c r="G295" s="758">
        <f>IF($I$367&lt;&gt;0,G$367/$I$367*$I295,0)</f>
        <v>524661.33317845897</v>
      </c>
      <c r="H295" s="25">
        <f>SUM(C295:G295)</f>
        <v>1569700.4631713445</v>
      </c>
      <c r="I295" s="758">
        <v>1980</v>
      </c>
      <c r="J295" s="758">
        <f t="shared" si="49"/>
        <v>792.77801170269925</v>
      </c>
      <c r="K295" s="666">
        <v>5300</v>
      </c>
      <c r="L295" s="666"/>
      <c r="M295" s="189"/>
      <c r="N295" s="772">
        <f t="shared" si="48"/>
        <v>41566</v>
      </c>
      <c r="O295" s="772">
        <v>41569</v>
      </c>
      <c r="P295" s="773" t="s">
        <v>990</v>
      </c>
      <c r="Q295" s="305"/>
      <c r="R295" s="802"/>
      <c r="S295" s="25">
        <f t="shared" si="50"/>
        <v>0</v>
      </c>
      <c r="T295" s="449"/>
      <c r="U295" s="772"/>
      <c r="V295" s="804"/>
      <c r="W295" s="802"/>
      <c r="X295" s="25">
        <f t="shared" si="51"/>
        <v>0</v>
      </c>
    </row>
    <row r="296" spans="1:24" ht="16.5" customHeight="1">
      <c r="A296" s="757">
        <f t="shared" si="45"/>
        <v>47</v>
      </c>
      <c r="B296" s="297" t="s">
        <v>1131</v>
      </c>
      <c r="C296" s="25">
        <f t="shared" si="46"/>
        <v>0</v>
      </c>
      <c r="D296" s="758">
        <f>IF($I$367&lt;&gt;0,D$367/$I$367*$I296,0)</f>
        <v>17967.853875974619</v>
      </c>
      <c r="E296" s="758">
        <f>IF($I$367&lt;&gt;0,E$367/$I$367*$I296,0)</f>
        <v>2440.7242315566332</v>
      </c>
      <c r="F296" s="758">
        <f>IF($I$367&lt;&gt;0,F$367/$I$367*$I296,0)</f>
        <v>32371.175932513466</v>
      </c>
      <c r="G296" s="758">
        <f>IF($I$367&lt;&gt;0,G$367/$I$367*$I296,0)</f>
        <v>26498.047130225201</v>
      </c>
      <c r="H296" s="25">
        <f>SUM(C296:G296)</f>
        <v>79277.801170269915</v>
      </c>
      <c r="I296" s="758">
        <v>100</v>
      </c>
      <c r="J296" s="758">
        <f t="shared" si="49"/>
        <v>792.77801170269913</v>
      </c>
      <c r="K296" s="666">
        <v>6400</v>
      </c>
      <c r="L296" s="666"/>
      <c r="M296" s="40"/>
      <c r="N296" s="772">
        <f t="shared" si="48"/>
        <v>41568</v>
      </c>
      <c r="O296" s="772">
        <v>41571</v>
      </c>
      <c r="P296" s="773" t="s">
        <v>992</v>
      </c>
      <c r="Q296" s="305"/>
      <c r="R296" s="802"/>
      <c r="S296" s="25">
        <f t="shared" si="50"/>
        <v>0</v>
      </c>
      <c r="T296" s="449"/>
      <c r="U296" s="772"/>
      <c r="V296" s="804"/>
      <c r="W296" s="802"/>
      <c r="X296" s="25">
        <f t="shared" si="51"/>
        <v>0</v>
      </c>
    </row>
    <row r="297" spans="1:24" ht="16.5" customHeight="1">
      <c r="A297" s="757">
        <f t="shared" si="45"/>
        <v>48</v>
      </c>
      <c r="B297" s="297" t="s">
        <v>814</v>
      </c>
      <c r="C297" s="25">
        <f t="shared" si="46"/>
        <v>0</v>
      </c>
      <c r="D297" s="758">
        <f>IF($I$367&lt;&gt;0,D$367/$I$367*$I297,0)</f>
        <v>35935.707751949238</v>
      </c>
      <c r="E297" s="758">
        <f>IF($I$367&lt;&gt;0,E$367/$I$367*$I297,0)</f>
        <v>4881.4484631132664</v>
      </c>
      <c r="F297" s="758">
        <f>IF($I$367&lt;&gt;0,F$367/$I$367*$I297,0)</f>
        <v>64742.351865026933</v>
      </c>
      <c r="G297" s="758">
        <f>IF($I$367&lt;&gt;0,G$367/$I$367*$I297,0)</f>
        <v>52996.094260450402</v>
      </c>
      <c r="H297" s="25">
        <f>SUM(C297:G297)</f>
        <v>158555.60234053983</v>
      </c>
      <c r="I297" s="758">
        <v>200</v>
      </c>
      <c r="J297" s="758">
        <f t="shared" si="49"/>
        <v>792.77801170269913</v>
      </c>
      <c r="K297" s="666">
        <v>9800</v>
      </c>
      <c r="L297" s="666"/>
      <c r="M297" s="40"/>
      <c r="N297" s="772">
        <f t="shared" si="48"/>
        <v>41568</v>
      </c>
      <c r="O297" s="772">
        <v>41571</v>
      </c>
      <c r="P297" s="773" t="s">
        <v>992</v>
      </c>
      <c r="Q297" s="305"/>
      <c r="R297" s="802"/>
      <c r="S297" s="25">
        <f t="shared" si="50"/>
        <v>0</v>
      </c>
      <c r="T297" s="449"/>
      <c r="U297" s="772"/>
      <c r="V297" s="804"/>
      <c r="W297" s="802"/>
      <c r="X297" s="25">
        <f t="shared" si="51"/>
        <v>0</v>
      </c>
    </row>
    <row r="298" spans="1:24" ht="16.5" customHeight="1">
      <c r="A298" s="757">
        <f t="shared" si="45"/>
        <v>49</v>
      </c>
      <c r="B298" s="297" t="s">
        <v>1131</v>
      </c>
      <c r="C298" s="25">
        <f t="shared" si="46"/>
        <v>0</v>
      </c>
      <c r="D298" s="758">
        <f>IF($I$367&lt;&gt;0,D$367/$I$367*$I298,0)</f>
        <v>35935.707751949238</v>
      </c>
      <c r="E298" s="758">
        <f>IF($I$367&lt;&gt;0,E$367/$I$367*$I298,0)</f>
        <v>4881.4484631132664</v>
      </c>
      <c r="F298" s="758">
        <f>IF($I$367&lt;&gt;0,F$367/$I$367*$I298,0)</f>
        <v>64742.351865026933</v>
      </c>
      <c r="G298" s="758">
        <f>IF($I$367&lt;&gt;0,G$367/$I$367*$I298,0)</f>
        <v>52996.094260450402</v>
      </c>
      <c r="H298" s="25">
        <f>SUM(C298:G298)</f>
        <v>158555.60234053983</v>
      </c>
      <c r="I298" s="758">
        <v>200</v>
      </c>
      <c r="J298" s="758">
        <f t="shared" si="49"/>
        <v>792.77801170269913</v>
      </c>
      <c r="K298" s="666">
        <v>6400</v>
      </c>
      <c r="L298" s="666"/>
      <c r="M298" s="40"/>
      <c r="N298" s="772">
        <f t="shared" si="48"/>
        <v>41568</v>
      </c>
      <c r="O298" s="772">
        <v>41571</v>
      </c>
      <c r="P298" s="773" t="s">
        <v>992</v>
      </c>
      <c r="Q298" s="305"/>
      <c r="R298" s="802"/>
      <c r="S298" s="25">
        <f t="shared" si="50"/>
        <v>0</v>
      </c>
      <c r="T298" s="449"/>
      <c r="U298" s="772"/>
      <c r="V298" s="804"/>
      <c r="W298" s="802"/>
      <c r="X298" s="25">
        <f t="shared" si="51"/>
        <v>0</v>
      </c>
    </row>
    <row r="299" spans="1:24" ht="16.5" customHeight="1">
      <c r="A299" s="757">
        <f t="shared" si="45"/>
        <v>50</v>
      </c>
      <c r="B299" s="297" t="s">
        <v>940</v>
      </c>
      <c r="C299" s="25">
        <f t="shared" si="46"/>
        <v>0</v>
      </c>
      <c r="D299" s="758">
        <f>IF($I$367&lt;&gt;0,D$367/$I$367*$I299,0)</f>
        <v>105111.94517445152</v>
      </c>
      <c r="E299" s="758">
        <f>IF($I$367&lt;&gt;0,E$367/$I$367*$I299,0)</f>
        <v>14278.236754606305</v>
      </c>
      <c r="F299" s="758">
        <f>IF($I$367&lt;&gt;0,F$367/$I$367*$I299,0)</f>
        <v>189371.37920520379</v>
      </c>
      <c r="G299" s="758">
        <f>IF($I$367&lt;&gt;0,G$367/$I$367*$I299,0)</f>
        <v>155013.57571181742</v>
      </c>
      <c r="H299" s="25">
        <f>SUM(C299:G299)</f>
        <v>463775.13684607903</v>
      </c>
      <c r="I299" s="758">
        <v>585</v>
      </c>
      <c r="J299" s="758">
        <f t="shared" si="49"/>
        <v>792.77801170269913</v>
      </c>
      <c r="K299" s="666">
        <v>18600</v>
      </c>
      <c r="L299" s="666"/>
      <c r="M299" s="189"/>
      <c r="N299" s="772">
        <f t="shared" si="48"/>
        <v>41568</v>
      </c>
      <c r="O299" s="772">
        <v>41571</v>
      </c>
      <c r="P299" s="773" t="s">
        <v>995</v>
      </c>
      <c r="Q299" s="305"/>
      <c r="R299" s="802"/>
      <c r="S299" s="25">
        <f t="shared" si="50"/>
        <v>0</v>
      </c>
      <c r="T299" s="449"/>
      <c r="U299" s="772"/>
      <c r="V299" s="804"/>
      <c r="W299" s="802"/>
      <c r="X299" s="25">
        <f t="shared" si="51"/>
        <v>0</v>
      </c>
    </row>
    <row r="300" spans="1:24" ht="16.5" customHeight="1">
      <c r="A300" s="757">
        <f t="shared" si="45"/>
        <v>51</v>
      </c>
      <c r="B300" s="297" t="s">
        <v>1150</v>
      </c>
      <c r="C300" s="25">
        <f t="shared" si="46"/>
        <v>0</v>
      </c>
      <c r="D300" s="758">
        <f>IF($I$367&lt;&gt;0,D$367/$I$367*$I300,0)</f>
        <v>8804.2483992275647</v>
      </c>
      <c r="E300" s="758">
        <f>IF($I$367&lt;&gt;0,E$367/$I$367*$I300,0)</f>
        <v>1195.9548734627504</v>
      </c>
      <c r="F300" s="758">
        <f>IF($I$367&lt;&gt;0,F$367/$I$367*$I300,0)</f>
        <v>15861.876206931598</v>
      </c>
      <c r="G300" s="758">
        <f>IF($I$367&lt;&gt;0,G$367/$I$367*$I300,0)</f>
        <v>12984.043093810347</v>
      </c>
      <c r="H300" s="25">
        <f>SUM(C300:G300)</f>
        <v>38846.122573432258</v>
      </c>
      <c r="I300" s="758">
        <v>49</v>
      </c>
      <c r="J300" s="758">
        <f t="shared" si="49"/>
        <v>792.77801170269913</v>
      </c>
      <c r="K300" s="666">
        <v>4700</v>
      </c>
      <c r="L300" s="666"/>
      <c r="M300" s="189"/>
      <c r="N300" s="772">
        <f t="shared" si="48"/>
        <v>41570</v>
      </c>
      <c r="O300" s="772">
        <v>41573</v>
      </c>
      <c r="P300" s="773" t="s">
        <v>996</v>
      </c>
      <c r="Q300" s="305"/>
      <c r="R300" s="802"/>
      <c r="S300" s="25">
        <f t="shared" si="50"/>
        <v>0</v>
      </c>
      <c r="T300" s="449"/>
      <c r="U300" s="772"/>
      <c r="V300" s="804"/>
      <c r="W300" s="802"/>
      <c r="X300" s="25">
        <f t="shared" si="51"/>
        <v>0</v>
      </c>
    </row>
    <row r="301" spans="1:24" ht="16.5" customHeight="1">
      <c r="A301" s="757">
        <f t="shared" si="45"/>
        <v>52</v>
      </c>
      <c r="B301" s="297" t="s">
        <v>1149</v>
      </c>
      <c r="C301" s="25">
        <f t="shared" si="46"/>
        <v>0</v>
      </c>
      <c r="D301" s="758">
        <f>IF($I$367&lt;&gt;0,D$367/$I$367*$I301,0)</f>
        <v>573354.21718235011</v>
      </c>
      <c r="E301" s="758">
        <f>IF($I$367&lt;&gt;0,E$367/$I$367*$I301,0)</f>
        <v>77883.510228972169</v>
      </c>
      <c r="F301" s="758">
        <f>IF($I$367&lt;&gt;0,F$367/$I$367*$I301,0)</f>
        <v>1032964.2240065048</v>
      </c>
      <c r="G301" s="758">
        <f>IF($I$367&lt;&gt;0,G$367/$I$367*$I301,0)</f>
        <v>845552.68392548617</v>
      </c>
      <c r="H301" s="25">
        <f>SUM(C301:G301)</f>
        <v>2529754.6353433132</v>
      </c>
      <c r="I301" s="758">
        <v>3191</v>
      </c>
      <c r="J301" s="758">
        <f t="shared" si="49"/>
        <v>792.77801170269925</v>
      </c>
      <c r="K301" s="666">
        <v>4210</v>
      </c>
      <c r="L301" s="666"/>
      <c r="M301" s="189"/>
      <c r="N301" s="772">
        <f t="shared" si="48"/>
        <v>41570</v>
      </c>
      <c r="O301" s="772">
        <v>41573</v>
      </c>
      <c r="P301" s="773" t="s">
        <v>996</v>
      </c>
      <c r="Q301" s="305"/>
      <c r="R301" s="802"/>
      <c r="S301" s="25">
        <f t="shared" si="50"/>
        <v>0</v>
      </c>
      <c r="T301" s="449"/>
      <c r="U301" s="772"/>
      <c r="V301" s="804"/>
      <c r="W301" s="802"/>
      <c r="X301" s="25">
        <f t="shared" si="51"/>
        <v>0</v>
      </c>
    </row>
    <row r="302" spans="1:24" ht="16.5" customHeight="1">
      <c r="A302" s="757">
        <f t="shared" si="45"/>
        <v>53</v>
      </c>
      <c r="B302" s="297" t="s">
        <v>942</v>
      </c>
      <c r="C302" s="25">
        <f t="shared" si="46"/>
        <v>0</v>
      </c>
      <c r="D302" s="758">
        <f>IF($I$367&lt;&gt;0,D$367/$I$367*$I302,0)</f>
        <v>66660.737879865846</v>
      </c>
      <c r="E302" s="758">
        <f>IF($I$367&lt;&gt;0,E$367/$I$367*$I302,0)</f>
        <v>9055.0868990751096</v>
      </c>
      <c r="F302" s="758">
        <f>IF($I$367&lt;&gt;0,F$367/$I$367*$I302,0)</f>
        <v>120097.06270962497</v>
      </c>
      <c r="G302" s="758">
        <f>IF($I$367&lt;&gt;0,G$367/$I$367*$I302,0)</f>
        <v>98307.754853135499</v>
      </c>
      <c r="H302" s="25">
        <f>SUM(C302:G302)</f>
        <v>294120.64234170143</v>
      </c>
      <c r="I302" s="758">
        <v>371</v>
      </c>
      <c r="J302" s="758">
        <f t="shared" si="49"/>
        <v>792.77801170269925</v>
      </c>
      <c r="K302" s="666">
        <v>16300</v>
      </c>
      <c r="L302" s="666"/>
      <c r="M302" s="40"/>
      <c r="N302" s="772">
        <f t="shared" si="48"/>
        <v>41574</v>
      </c>
      <c r="O302" s="772">
        <v>41577</v>
      </c>
      <c r="P302" s="773" t="s">
        <v>997</v>
      </c>
      <c r="Q302" s="305"/>
      <c r="R302" s="802"/>
      <c r="S302" s="25">
        <f t="shared" si="50"/>
        <v>0</v>
      </c>
      <c r="T302" s="449"/>
      <c r="U302" s="772"/>
      <c r="V302" s="804"/>
      <c r="W302" s="802"/>
      <c r="X302" s="25">
        <f t="shared" si="51"/>
        <v>0</v>
      </c>
    </row>
    <row r="303" spans="1:24" ht="16.5" customHeight="1">
      <c r="A303" s="757">
        <f t="shared" si="45"/>
        <v>54</v>
      </c>
      <c r="B303" s="297" t="s">
        <v>731</v>
      </c>
      <c r="C303" s="25">
        <f t="shared" si="46"/>
        <v>0</v>
      </c>
      <c r="D303" s="758">
        <f>IF($I$367&lt;&gt;0,D$367/$I$367*$I303,0)</f>
        <v>179498.86022098645</v>
      </c>
      <c r="E303" s="758">
        <f>IF($I$367&lt;&gt;0,E$367/$I$367*$I303,0)</f>
        <v>24382.835073250764</v>
      </c>
      <c r="F303" s="758">
        <f>IF($I$367&lt;&gt;0,F$367/$I$367*$I303,0)</f>
        <v>323388.04756580951</v>
      </c>
      <c r="G303" s="758">
        <f>IF($I$367&lt;&gt;0,G$367/$I$367*$I303,0)</f>
        <v>264715.49083094974</v>
      </c>
      <c r="H303" s="25">
        <f>SUM(C303:G303)</f>
        <v>791985.23369099642</v>
      </c>
      <c r="I303" s="758">
        <v>999</v>
      </c>
      <c r="J303" s="758">
        <f t="shared" si="49"/>
        <v>792.77801170269913</v>
      </c>
      <c r="K303" s="666">
        <v>8740</v>
      </c>
      <c r="L303" s="666"/>
      <c r="M303" s="40"/>
      <c r="N303" s="772">
        <f t="shared" si="48"/>
        <v>41575</v>
      </c>
      <c r="O303" s="772">
        <v>41578</v>
      </c>
      <c r="P303" s="773" t="s">
        <v>998</v>
      </c>
      <c r="Q303" s="305"/>
      <c r="R303" s="802"/>
      <c r="S303" s="25">
        <f t="shared" si="50"/>
        <v>0</v>
      </c>
      <c r="T303" s="449"/>
      <c r="U303" s="772"/>
      <c r="V303" s="804"/>
      <c r="W303" s="802"/>
      <c r="X303" s="25">
        <f t="shared" si="51"/>
        <v>0</v>
      </c>
    </row>
    <row r="304" spans="1:24" ht="16.5" customHeight="1">
      <c r="A304" s="757">
        <f t="shared" si="45"/>
        <v>55</v>
      </c>
      <c r="B304" s="297" t="s">
        <v>838</v>
      </c>
      <c r="C304" s="25">
        <f t="shared" si="46"/>
        <v>0</v>
      </c>
      <c r="D304" s="758">
        <f>IF($I$367&lt;&gt;0,D$367/$I$367*$I304,0)</f>
        <v>71332.379887619245</v>
      </c>
      <c r="E304" s="758">
        <f>IF($I$367&lt;&gt;0,E$367/$I$367*$I304,0)</f>
        <v>9689.6751992798345</v>
      </c>
      <c r="F304" s="758">
        <f>IF($I$367&lt;&gt;0,F$367/$I$367*$I304,0)</f>
        <v>128513.56845207846</v>
      </c>
      <c r="G304" s="758">
        <f>IF($I$367&lt;&gt;0,G$367/$I$367*$I304,0)</f>
        <v>105197.24710699404</v>
      </c>
      <c r="H304" s="25">
        <f>SUM(C304:G304)</f>
        <v>314732.87064597156</v>
      </c>
      <c r="I304" s="758">
        <v>397</v>
      </c>
      <c r="J304" s="758">
        <f t="shared" si="49"/>
        <v>792.77801170269913</v>
      </c>
      <c r="K304" s="666">
        <v>10500</v>
      </c>
      <c r="L304" s="666"/>
      <c r="M304" s="189"/>
      <c r="N304" s="772">
        <f t="shared" si="48"/>
        <v>41575</v>
      </c>
      <c r="O304" s="772">
        <v>41578</v>
      </c>
      <c r="P304" s="773" t="s">
        <v>999</v>
      </c>
      <c r="Q304" s="305"/>
      <c r="R304" s="802"/>
      <c r="S304" s="25">
        <f t="shared" si="50"/>
        <v>0</v>
      </c>
      <c r="T304" s="449"/>
      <c r="U304" s="772"/>
      <c r="V304" s="804"/>
      <c r="W304" s="802"/>
      <c r="X304" s="25">
        <f t="shared" si="51"/>
        <v>0</v>
      </c>
    </row>
    <row r="305" spans="1:24" ht="16.5" customHeight="1">
      <c r="A305" s="757">
        <f t="shared" si="45"/>
        <v>56</v>
      </c>
      <c r="B305" s="297" t="s">
        <v>885</v>
      </c>
      <c r="C305" s="25">
        <f t="shared" si="46"/>
        <v>0</v>
      </c>
      <c r="D305" s="758">
        <f>IF($I$367&lt;&gt;0,D$367/$I$367*$I305,0)</f>
        <v>89300.23376359386</v>
      </c>
      <c r="E305" s="758">
        <f>IF($I$367&lt;&gt;0,E$367/$I$367*$I305,0)</f>
        <v>12130.399430836467</v>
      </c>
      <c r="F305" s="758">
        <f>IF($I$367&lt;&gt;0,F$367/$I$367*$I305,0)</f>
        <v>160884.74438459193</v>
      </c>
      <c r="G305" s="758">
        <f>IF($I$367&lt;&gt;0,G$367/$I$367*$I305,0)</f>
        <v>131695.29423721923</v>
      </c>
      <c r="H305" s="25">
        <f>SUM(C305:G305)</f>
        <v>394010.67181624146</v>
      </c>
      <c r="I305" s="758">
        <v>497</v>
      </c>
      <c r="J305" s="758">
        <f t="shared" si="49"/>
        <v>792.77801170269913</v>
      </c>
      <c r="K305" s="666">
        <v>8600</v>
      </c>
      <c r="L305" s="666"/>
      <c r="M305" s="189"/>
      <c r="N305" s="772">
        <f t="shared" si="48"/>
        <v>41575</v>
      </c>
      <c r="O305" s="772">
        <v>41578</v>
      </c>
      <c r="P305" s="773" t="s">
        <v>1000</v>
      </c>
      <c r="Q305" s="305"/>
      <c r="R305" s="802"/>
      <c r="S305" s="25">
        <f t="shared" si="50"/>
        <v>0</v>
      </c>
      <c r="T305" s="449"/>
      <c r="U305" s="772"/>
      <c r="V305" s="804"/>
      <c r="W305" s="802"/>
      <c r="X305" s="25">
        <f t="shared" si="51"/>
        <v>0</v>
      </c>
    </row>
    <row r="306" spans="1:24" ht="16.5" customHeight="1">
      <c r="A306" s="757">
        <f t="shared" si="45"/>
        <v>57</v>
      </c>
      <c r="B306" s="297" t="s">
        <v>808</v>
      </c>
      <c r="C306" s="25">
        <f t="shared" si="46"/>
        <v>0</v>
      </c>
      <c r="D306" s="758">
        <f>IF($I$367&lt;&gt;0,D$367/$I$367*$I306,0)</f>
        <v>52466.133317845888</v>
      </c>
      <c r="E306" s="758">
        <f>IF($I$367&lt;&gt;0,E$367/$I$367*$I306,0)</f>
        <v>7126.9147561453692</v>
      </c>
      <c r="F306" s="758">
        <f>IF($I$367&lt;&gt;0,F$367/$I$367*$I306,0)</f>
        <v>94523.833722939322</v>
      </c>
      <c r="G306" s="758">
        <f>IF($I$367&lt;&gt;0,G$367/$I$367*$I306,0)</f>
        <v>77374.297620257581</v>
      </c>
      <c r="H306" s="25">
        <f>SUM(C306:G306)</f>
        <v>231491.17941718816</v>
      </c>
      <c r="I306" s="758">
        <v>292</v>
      </c>
      <c r="J306" s="758">
        <f t="shared" si="49"/>
        <v>792.77801170269913</v>
      </c>
      <c r="K306" s="666">
        <v>9200</v>
      </c>
      <c r="L306" s="666"/>
      <c r="M306" s="189"/>
      <c r="N306" s="772">
        <f t="shared" si="48"/>
        <v>41575</v>
      </c>
      <c r="O306" s="772">
        <v>41578</v>
      </c>
      <c r="P306" s="773" t="s">
        <v>1001</v>
      </c>
      <c r="Q306" s="305"/>
      <c r="R306" s="802"/>
      <c r="S306" s="25">
        <f t="shared" si="50"/>
        <v>0</v>
      </c>
      <c r="T306" s="449"/>
      <c r="U306" s="772"/>
      <c r="V306" s="804"/>
      <c r="W306" s="802"/>
      <c r="X306" s="25">
        <f t="shared" si="51"/>
        <v>0</v>
      </c>
    </row>
    <row r="307" spans="1:24" ht="16.5" customHeight="1">
      <c r="A307" s="757">
        <f t="shared" si="45"/>
        <v>58</v>
      </c>
      <c r="B307" s="297" t="s">
        <v>817</v>
      </c>
      <c r="C307" s="25">
        <f t="shared" si="46"/>
        <v>0</v>
      </c>
      <c r="D307" s="758">
        <f>IF($I$367&lt;&gt;0,D$367/$I$367*$I307,0)</f>
        <v>89839.269379873105</v>
      </c>
      <c r="E307" s="758">
        <f>IF($I$367&lt;&gt;0,E$367/$I$367*$I307,0)</f>
        <v>12203.621157783165</v>
      </c>
      <c r="F307" s="758">
        <f>IF($I$367&lt;&gt;0,F$367/$I$367*$I307,0)</f>
        <v>161855.87966256734</v>
      </c>
      <c r="G307" s="758">
        <f>IF($I$367&lt;&gt;0,G$367/$I$367*$I307,0)</f>
        <v>132490.23565112599</v>
      </c>
      <c r="H307" s="25">
        <f>SUM(C307:G307)</f>
        <v>396389.00585134956</v>
      </c>
      <c r="I307" s="758">
        <v>500</v>
      </c>
      <c r="J307" s="758">
        <f t="shared" si="49"/>
        <v>792.77801170269913</v>
      </c>
      <c r="K307" s="666">
        <v>17300</v>
      </c>
      <c r="L307" s="666"/>
      <c r="M307" s="40"/>
      <c r="N307" s="772">
        <f t="shared" si="48"/>
        <v>41579</v>
      </c>
      <c r="O307" s="772">
        <v>41582</v>
      </c>
      <c r="P307" s="773" t="s">
        <v>1002</v>
      </c>
      <c r="Q307" s="305"/>
      <c r="R307" s="802"/>
      <c r="S307" s="25">
        <f t="shared" si="50"/>
        <v>0</v>
      </c>
      <c r="T307" s="449"/>
      <c r="U307" s="772"/>
      <c r="V307" s="804"/>
      <c r="W307" s="802"/>
      <c r="X307" s="25">
        <f t="shared" si="51"/>
        <v>0</v>
      </c>
    </row>
    <row r="308" spans="1:24" ht="16.5" customHeight="1">
      <c r="A308" s="757">
        <f t="shared" si="45"/>
        <v>59</v>
      </c>
      <c r="B308" s="297" t="s">
        <v>819</v>
      </c>
      <c r="C308" s="25">
        <f t="shared" si="46"/>
        <v>0</v>
      </c>
      <c r="D308" s="758">
        <f>IF($I$367&lt;&gt;0,D$367/$I$367*$I308,0)</f>
        <v>179678.53875974621</v>
      </c>
      <c r="E308" s="758">
        <f>IF($I$367&lt;&gt;0,E$367/$I$367*$I308,0)</f>
        <v>24407.242315566331</v>
      </c>
      <c r="F308" s="758">
        <f>IF($I$367&lt;&gt;0,F$367/$I$367*$I308,0)</f>
        <v>323711.75932513468</v>
      </c>
      <c r="G308" s="758">
        <f>IF($I$367&lt;&gt;0,G$367/$I$367*$I308,0)</f>
        <v>264980.47130225197</v>
      </c>
      <c r="H308" s="25">
        <f>SUM(C308:G308)</f>
        <v>792778.01170269912</v>
      </c>
      <c r="I308" s="758">
        <v>1000</v>
      </c>
      <c r="J308" s="758">
        <f t="shared" si="49"/>
        <v>792.77801170269913</v>
      </c>
      <c r="K308" s="666">
        <v>1500</v>
      </c>
      <c r="L308" s="666"/>
      <c r="M308" s="40"/>
      <c r="N308" s="772">
        <f t="shared" si="48"/>
        <v>41579</v>
      </c>
      <c r="O308" s="772">
        <v>41582</v>
      </c>
      <c r="P308" s="773" t="s">
        <v>1002</v>
      </c>
      <c r="Q308" s="305"/>
      <c r="R308" s="802"/>
      <c r="S308" s="25">
        <f t="shared" si="50"/>
        <v>0</v>
      </c>
      <c r="T308" s="449"/>
      <c r="U308" s="772"/>
      <c r="V308" s="804"/>
      <c r="W308" s="802"/>
      <c r="X308" s="25">
        <f t="shared" si="51"/>
        <v>0</v>
      </c>
    </row>
    <row r="309" spans="1:24" ht="16.5" customHeight="1">
      <c r="A309" s="757">
        <f t="shared" si="45"/>
        <v>60</v>
      </c>
      <c r="B309" s="297" t="s">
        <v>1003</v>
      </c>
      <c r="C309" s="25">
        <f t="shared" si="46"/>
        <v>0</v>
      </c>
      <c r="D309" s="758">
        <f>IF($I$367&lt;&gt;0,D$367/$I$367*$I309,0)</f>
        <v>180576.93145354494</v>
      </c>
      <c r="E309" s="758">
        <f>IF($I$367&lt;&gt;0,E$367/$I$367*$I309,0)</f>
        <v>24529.278527144164</v>
      </c>
      <c r="F309" s="758">
        <f>IF($I$367&lt;&gt;0,F$367/$I$367*$I309,0)</f>
        <v>325330.31812176033</v>
      </c>
      <c r="G309" s="758">
        <f>IF($I$367&lt;&gt;0,G$367/$I$367*$I309,0)</f>
        <v>266305.37365876324</v>
      </c>
      <c r="H309" s="25">
        <f>SUM(C309:G309)</f>
        <v>796741.90176121262</v>
      </c>
      <c r="I309" s="758">
        <v>1005</v>
      </c>
      <c r="J309" s="758">
        <f t="shared" si="49"/>
        <v>792.77801170269913</v>
      </c>
      <c r="K309" s="666">
        <v>5570</v>
      </c>
      <c r="L309" s="666"/>
      <c r="M309" s="449"/>
      <c r="N309" s="772">
        <f t="shared" si="48"/>
        <v>41580</v>
      </c>
      <c r="O309" s="772">
        <v>41583</v>
      </c>
      <c r="P309" s="773" t="s">
        <v>1004</v>
      </c>
      <c r="Q309" s="305"/>
      <c r="R309" s="802"/>
      <c r="S309" s="25">
        <f t="shared" si="50"/>
        <v>0</v>
      </c>
      <c r="T309" s="449"/>
      <c r="U309" s="772"/>
      <c r="V309" s="804"/>
      <c r="W309" s="802"/>
      <c r="X309" s="25">
        <f t="shared" si="51"/>
        <v>0</v>
      </c>
    </row>
    <row r="310" spans="1:24" ht="16.5" customHeight="1">
      <c r="A310" s="757">
        <f t="shared" si="45"/>
        <v>61</v>
      </c>
      <c r="B310" s="297" t="s">
        <v>861</v>
      </c>
      <c r="C310" s="25">
        <f t="shared" si="46"/>
        <v>0</v>
      </c>
      <c r="D310" s="758">
        <f>IF($I$367&lt;&gt;0,D$367/$I$367*$I310,0)</f>
        <v>178780.14606594748</v>
      </c>
      <c r="E310" s="758">
        <f>IF($I$367&lt;&gt;0,E$367/$I$367*$I310,0)</f>
        <v>24285.206103988501</v>
      </c>
      <c r="F310" s="758">
        <f>IF($I$367&lt;&gt;0,F$367/$I$367*$I310,0)</f>
        <v>322093.20052850898</v>
      </c>
      <c r="G310" s="758">
        <f>IF($I$367&lt;&gt;0,G$367/$I$367*$I310,0)</f>
        <v>263655.56894574076</v>
      </c>
      <c r="H310" s="25">
        <f>SUM(C310:G310)</f>
        <v>788814.12164418586</v>
      </c>
      <c r="I310" s="758">
        <v>995</v>
      </c>
      <c r="J310" s="758">
        <f t="shared" si="49"/>
        <v>792.77801170269936</v>
      </c>
      <c r="K310" s="666">
        <v>19200</v>
      </c>
      <c r="L310" s="666"/>
      <c r="M310" s="189"/>
      <c r="N310" s="772">
        <f t="shared" si="48"/>
        <v>41581</v>
      </c>
      <c r="O310" s="772">
        <v>41584</v>
      </c>
      <c r="P310" s="773" t="s">
        <v>1005</v>
      </c>
      <c r="Q310" s="305"/>
      <c r="R310" s="802"/>
      <c r="S310" s="25">
        <f t="shared" si="50"/>
        <v>0</v>
      </c>
      <c r="T310" s="449"/>
      <c r="U310" s="772"/>
      <c r="V310" s="804"/>
      <c r="W310" s="802"/>
      <c r="X310" s="25">
        <f t="shared" si="51"/>
        <v>0</v>
      </c>
    </row>
    <row r="311" spans="1:24" ht="16.5" customHeight="1">
      <c r="A311" s="757">
        <f t="shared" si="45"/>
        <v>62</v>
      </c>
      <c r="B311" s="297" t="s">
        <v>1135</v>
      </c>
      <c r="C311" s="25">
        <f t="shared" si="46"/>
        <v>0</v>
      </c>
      <c r="D311" s="758">
        <f>IF($I$367&lt;&gt;0,D$367/$I$367*$I311,0)</f>
        <v>35935.707751949238</v>
      </c>
      <c r="E311" s="758">
        <f>IF($I$367&lt;&gt;0,E$367/$I$367*$I311,0)</f>
        <v>4881.4484631132664</v>
      </c>
      <c r="F311" s="758">
        <f>IF($I$367&lt;&gt;0,F$367/$I$367*$I311,0)</f>
        <v>64742.351865026933</v>
      </c>
      <c r="G311" s="758">
        <f>IF($I$367&lt;&gt;0,G$367/$I$367*$I311,0)</f>
        <v>52996.094260450402</v>
      </c>
      <c r="H311" s="25">
        <f>SUM(C311:G311)</f>
        <v>158555.60234053983</v>
      </c>
      <c r="I311" s="758">
        <v>200</v>
      </c>
      <c r="J311" s="758">
        <f t="shared" si="49"/>
        <v>792.77801170269913</v>
      </c>
      <c r="K311" s="666">
        <v>7000</v>
      </c>
      <c r="L311" s="666"/>
      <c r="M311" s="40"/>
      <c r="N311" s="772">
        <f t="shared" si="48"/>
        <v>41583</v>
      </c>
      <c r="O311" s="772">
        <v>41586</v>
      </c>
      <c r="P311" s="773" t="s">
        <v>649</v>
      </c>
      <c r="Q311" s="305"/>
      <c r="R311" s="802"/>
      <c r="S311" s="25">
        <f t="shared" si="50"/>
        <v>0</v>
      </c>
      <c r="T311" s="449"/>
      <c r="U311" s="772"/>
      <c r="V311" s="804"/>
      <c r="W311" s="802"/>
      <c r="X311" s="25">
        <f t="shared" si="51"/>
        <v>0</v>
      </c>
    </row>
    <row r="312" spans="1:24" ht="16.5" customHeight="1">
      <c r="A312" s="757">
        <f t="shared" si="45"/>
        <v>63</v>
      </c>
      <c r="B312" s="297" t="s">
        <v>1136</v>
      </c>
      <c r="C312" s="25">
        <f t="shared" si="46"/>
        <v>0</v>
      </c>
      <c r="D312" s="758">
        <f>IF($I$367&lt;&gt;0,D$367/$I$367*$I312,0)</f>
        <v>28209.530585280154</v>
      </c>
      <c r="E312" s="758">
        <f>IF($I$367&lt;&gt;0,E$367/$I$367*$I312,0)</f>
        <v>3831.9370435439141</v>
      </c>
      <c r="F312" s="758">
        <f>IF($I$367&lt;&gt;0,F$367/$I$367*$I312,0)</f>
        <v>50822.746214046143</v>
      </c>
      <c r="G312" s="758">
        <f>IF($I$367&lt;&gt;0,G$367/$I$367*$I312,0)</f>
        <v>41601.93399445356</v>
      </c>
      <c r="H312" s="25">
        <f>SUM(C312:G312)</f>
        <v>124466.14783732376</v>
      </c>
      <c r="I312" s="758">
        <v>157</v>
      </c>
      <c r="J312" s="758">
        <f t="shared" si="49"/>
        <v>792.77801170269913</v>
      </c>
      <c r="K312" s="666">
        <v>21150</v>
      </c>
      <c r="L312" s="666"/>
      <c r="M312" s="189"/>
      <c r="N312" s="772">
        <f t="shared" si="48"/>
        <v>41583</v>
      </c>
      <c r="O312" s="772">
        <v>41586</v>
      </c>
      <c r="P312" s="773" t="s">
        <v>649</v>
      </c>
      <c r="Q312" s="305"/>
      <c r="R312" s="802"/>
      <c r="S312" s="25">
        <f t="shared" si="50"/>
        <v>0</v>
      </c>
      <c r="T312" s="449"/>
      <c r="U312" s="772"/>
      <c r="V312" s="804"/>
      <c r="W312" s="802"/>
      <c r="X312" s="25">
        <f t="shared" si="51"/>
        <v>0</v>
      </c>
    </row>
    <row r="313" spans="1:24" ht="16.5" customHeight="1">
      <c r="A313" s="757">
        <f t="shared" si="45"/>
        <v>64</v>
      </c>
      <c r="B313" s="297" t="s">
        <v>1006</v>
      </c>
      <c r="C313" s="25">
        <f t="shared" si="46"/>
        <v>0</v>
      </c>
      <c r="D313" s="758">
        <f>IF($I$367&lt;&gt;0,D$367/$I$367*$I313,0)</f>
        <v>35935.707751949238</v>
      </c>
      <c r="E313" s="758">
        <f>IF($I$367&lt;&gt;0,E$367/$I$367*$I313,0)</f>
        <v>4881.4484631132664</v>
      </c>
      <c r="F313" s="758">
        <f>IF($I$367&lt;&gt;0,F$367/$I$367*$I313,0)</f>
        <v>64742.351865026933</v>
      </c>
      <c r="G313" s="758">
        <f>IF($I$367&lt;&gt;0,G$367/$I$367*$I313,0)</f>
        <v>52996.094260450402</v>
      </c>
      <c r="H313" s="25">
        <f>SUM(C313:G313)</f>
        <v>158555.60234053983</v>
      </c>
      <c r="I313" s="758">
        <v>200</v>
      </c>
      <c r="J313" s="758">
        <f t="shared" si="49"/>
        <v>792.77801170269913</v>
      </c>
      <c r="K313" s="666">
        <v>8000</v>
      </c>
      <c r="L313" s="666"/>
      <c r="M313" s="40"/>
      <c r="N313" s="772">
        <f t="shared" si="48"/>
        <v>41583</v>
      </c>
      <c r="O313" s="772">
        <v>41586</v>
      </c>
      <c r="P313" s="773" t="s">
        <v>1007</v>
      </c>
      <c r="Q313" s="305"/>
      <c r="R313" s="802"/>
      <c r="S313" s="25">
        <f t="shared" si="50"/>
        <v>0</v>
      </c>
      <c r="T313" s="449"/>
      <c r="U313" s="772"/>
      <c r="V313" s="804"/>
      <c r="W313" s="802"/>
      <c r="X313" s="25">
        <f t="shared" si="51"/>
        <v>0</v>
      </c>
    </row>
    <row r="314" spans="1:24" ht="16.5" customHeight="1">
      <c r="A314" s="757">
        <f t="shared" si="45"/>
        <v>65</v>
      </c>
      <c r="B314" s="297" t="s">
        <v>1009</v>
      </c>
      <c r="C314" s="25">
        <f t="shared" si="46"/>
        <v>0</v>
      </c>
      <c r="D314" s="758">
        <f>IF($I$367&lt;&gt;0,D$367/$I$367*$I314,0)</f>
        <v>17967.853875974619</v>
      </c>
      <c r="E314" s="758">
        <f>IF($I$367&lt;&gt;0,E$367/$I$367*$I314,0)</f>
        <v>2440.7242315566332</v>
      </c>
      <c r="F314" s="758">
        <f>IF($I$367&lt;&gt;0,F$367/$I$367*$I314,0)</f>
        <v>32371.175932513466</v>
      </c>
      <c r="G314" s="758">
        <f>IF($I$367&lt;&gt;0,G$367/$I$367*$I314,0)</f>
        <v>26498.047130225201</v>
      </c>
      <c r="H314" s="25">
        <f>SUM(C314:G314)</f>
        <v>79277.801170269915</v>
      </c>
      <c r="I314" s="758">
        <v>100</v>
      </c>
      <c r="J314" s="758">
        <f t="shared" si="49"/>
        <v>792.77801170269913</v>
      </c>
      <c r="K314" s="666">
        <v>14200</v>
      </c>
      <c r="L314" s="666"/>
      <c r="M314" s="40"/>
      <c r="N314" s="772">
        <f t="shared" si="48"/>
        <v>41583</v>
      </c>
      <c r="O314" s="772">
        <v>41586</v>
      </c>
      <c r="P314" s="773" t="s">
        <v>1007</v>
      </c>
      <c r="Q314" s="305"/>
      <c r="R314" s="802"/>
      <c r="S314" s="25">
        <f t="shared" si="50"/>
        <v>0</v>
      </c>
      <c r="T314" s="449"/>
      <c r="U314" s="772"/>
      <c r="V314" s="804"/>
      <c r="W314" s="802"/>
      <c r="X314" s="25">
        <f t="shared" si="51"/>
        <v>0</v>
      </c>
    </row>
    <row r="315" spans="1:24" ht="16.5" customHeight="1">
      <c r="A315" s="757">
        <f t="shared" ref="A315:A365" si="52">IF(B315&lt;&gt;"",A314+1,"")</f>
        <v>66</v>
      </c>
      <c r="B315" s="297" t="s">
        <v>1010</v>
      </c>
      <c r="C315" s="25">
        <f t="shared" ref="C315:C365" si="53">S315</f>
        <v>0</v>
      </c>
      <c r="D315" s="758">
        <f>IF($I$367&lt;&gt;0,D$367/$I$367*$I315,0)</f>
        <v>26951.78081396193</v>
      </c>
      <c r="E315" s="758">
        <f>IF($I$367&lt;&gt;0,E$367/$I$367*$I315,0)</f>
        <v>3661.08634733495</v>
      </c>
      <c r="F315" s="758">
        <f>IF($I$367&lt;&gt;0,F$367/$I$367*$I315,0)</f>
        <v>48556.763898770201</v>
      </c>
      <c r="G315" s="758">
        <f>IF($I$367&lt;&gt;0,G$367/$I$367*$I315,0)</f>
        <v>39747.070695337803</v>
      </c>
      <c r="H315" s="25">
        <f>SUM(C315:G315)</f>
        <v>118916.70175540488</v>
      </c>
      <c r="I315" s="758">
        <v>150</v>
      </c>
      <c r="J315" s="758">
        <f t="shared" si="49"/>
        <v>792.77801170269925</v>
      </c>
      <c r="K315" s="666">
        <v>13000</v>
      </c>
      <c r="L315" s="666"/>
      <c r="M315" s="189"/>
      <c r="N315" s="772">
        <f t="shared" ref="N315:N365" si="54">O315-3</f>
        <v>41583</v>
      </c>
      <c r="O315" s="772">
        <v>41586</v>
      </c>
      <c r="P315" s="773" t="s">
        <v>1007</v>
      </c>
      <c r="Q315" s="305"/>
      <c r="R315" s="802"/>
      <c r="S315" s="25">
        <f t="shared" si="50"/>
        <v>0</v>
      </c>
      <c r="T315" s="449"/>
      <c r="U315" s="772"/>
      <c r="V315" s="804"/>
      <c r="W315" s="802"/>
      <c r="X315" s="25">
        <f t="shared" si="51"/>
        <v>0</v>
      </c>
    </row>
    <row r="316" spans="1:24" ht="16.5" customHeight="1">
      <c r="A316" s="757">
        <f t="shared" si="52"/>
        <v>67</v>
      </c>
      <c r="B316" s="297" t="s">
        <v>838</v>
      </c>
      <c r="C316" s="25">
        <f t="shared" si="53"/>
        <v>0</v>
      </c>
      <c r="D316" s="758">
        <f>IF($I$367&lt;&gt;0,D$367/$I$367*$I316,0)</f>
        <v>70973.022810099748</v>
      </c>
      <c r="E316" s="758">
        <f>IF($I$367&lt;&gt;0,E$367/$I$367*$I316,0)</f>
        <v>9640.8607146487011</v>
      </c>
      <c r="F316" s="758">
        <f>IF($I$367&lt;&gt;0,F$367/$I$367*$I316,0)</f>
        <v>127866.14493342819</v>
      </c>
      <c r="G316" s="758">
        <f>IF($I$367&lt;&gt;0,G$367/$I$367*$I316,0)</f>
        <v>104667.28616438954</v>
      </c>
      <c r="H316" s="25">
        <f>SUM(C316:G316)</f>
        <v>313147.31462256622</v>
      </c>
      <c r="I316" s="758">
        <v>395</v>
      </c>
      <c r="J316" s="758">
        <f t="shared" ref="J316:J365" si="55">IF(I316&lt;&gt;"",H316/I316,"")</f>
        <v>792.77801170269925</v>
      </c>
      <c r="K316" s="666">
        <v>10500</v>
      </c>
      <c r="L316" s="666"/>
      <c r="M316" s="40"/>
      <c r="N316" s="772">
        <f t="shared" si="54"/>
        <v>41588</v>
      </c>
      <c r="O316" s="772">
        <v>41591</v>
      </c>
      <c r="P316" s="773" t="s">
        <v>1011</v>
      </c>
      <c r="Q316" s="305"/>
      <c r="R316" s="802"/>
      <c r="S316" s="25">
        <f t="shared" ref="S316:S365" si="56">ROUND(Q316*R316,0)</f>
        <v>0</v>
      </c>
      <c r="T316" s="449"/>
      <c r="U316" s="772"/>
      <c r="V316" s="804"/>
      <c r="W316" s="802"/>
      <c r="X316" s="25">
        <f t="shared" ref="X316:X365" si="57">ROUND(V316*W316,0)</f>
        <v>0</v>
      </c>
    </row>
    <row r="317" spans="1:24" ht="16.5" customHeight="1">
      <c r="A317" s="757">
        <f t="shared" si="52"/>
        <v>68</v>
      </c>
      <c r="B317" s="297" t="s">
        <v>1129</v>
      </c>
      <c r="C317" s="25">
        <f t="shared" si="53"/>
        <v>0</v>
      </c>
      <c r="D317" s="758">
        <f>IF($I$367&lt;&gt;0,D$367/$I$367*$I317,0)</f>
        <v>89839.269379873105</v>
      </c>
      <c r="E317" s="758">
        <f>IF($I$367&lt;&gt;0,E$367/$I$367*$I317,0)</f>
        <v>12203.621157783165</v>
      </c>
      <c r="F317" s="758">
        <f>IF($I$367&lt;&gt;0,F$367/$I$367*$I317,0)</f>
        <v>161855.87966256734</v>
      </c>
      <c r="G317" s="758">
        <f>IF($I$367&lt;&gt;0,G$367/$I$367*$I317,0)</f>
        <v>132490.23565112599</v>
      </c>
      <c r="H317" s="25">
        <f>SUM(C317:G317)</f>
        <v>396389.00585134956</v>
      </c>
      <c r="I317" s="758">
        <v>500</v>
      </c>
      <c r="J317" s="758">
        <f t="shared" si="55"/>
        <v>792.77801170269913</v>
      </c>
      <c r="K317" s="666">
        <v>16380</v>
      </c>
      <c r="L317" s="666"/>
      <c r="M317" s="189"/>
      <c r="N317" s="772">
        <f t="shared" si="54"/>
        <v>41589</v>
      </c>
      <c r="O317" s="772">
        <v>41592</v>
      </c>
      <c r="P317" s="773" t="s">
        <v>1012</v>
      </c>
      <c r="Q317" s="305"/>
      <c r="R317" s="802"/>
      <c r="S317" s="25">
        <f t="shared" si="56"/>
        <v>0</v>
      </c>
      <c r="T317" s="449"/>
      <c r="U317" s="772"/>
      <c r="V317" s="804"/>
      <c r="W317" s="802"/>
      <c r="X317" s="25">
        <f t="shared" si="57"/>
        <v>0</v>
      </c>
    </row>
    <row r="318" spans="1:24" ht="16.5" customHeight="1">
      <c r="A318" s="757">
        <f t="shared" si="52"/>
        <v>69</v>
      </c>
      <c r="B318" s="297" t="s">
        <v>838</v>
      </c>
      <c r="C318" s="25">
        <f t="shared" si="53"/>
        <v>0</v>
      </c>
      <c r="D318" s="758">
        <f>IF($I$367&lt;&gt;0,D$367/$I$367*$I318,0)</f>
        <v>89839.269379873105</v>
      </c>
      <c r="E318" s="758">
        <f>IF($I$367&lt;&gt;0,E$367/$I$367*$I318,0)</f>
        <v>12203.621157783165</v>
      </c>
      <c r="F318" s="758">
        <f>IF($I$367&lt;&gt;0,F$367/$I$367*$I318,0)</f>
        <v>161855.87966256734</v>
      </c>
      <c r="G318" s="758">
        <f>IF($I$367&lt;&gt;0,G$367/$I$367*$I318,0)</f>
        <v>132490.23565112599</v>
      </c>
      <c r="H318" s="25">
        <f>SUM(C318:G318)</f>
        <v>396389.00585134956</v>
      </c>
      <c r="I318" s="758">
        <v>500</v>
      </c>
      <c r="J318" s="758">
        <f t="shared" si="55"/>
        <v>792.77801170269913</v>
      </c>
      <c r="K318" s="666">
        <v>10500</v>
      </c>
      <c r="L318" s="666"/>
      <c r="M318" s="189"/>
      <c r="N318" s="772">
        <f t="shared" si="54"/>
        <v>41589</v>
      </c>
      <c r="O318" s="772">
        <v>41592</v>
      </c>
      <c r="P318" s="773" t="s">
        <v>1013</v>
      </c>
      <c r="Q318" s="305"/>
      <c r="R318" s="802"/>
      <c r="S318" s="25">
        <f t="shared" si="56"/>
        <v>0</v>
      </c>
      <c r="T318" s="449"/>
      <c r="U318" s="772"/>
      <c r="V318" s="804"/>
      <c r="W318" s="802"/>
      <c r="X318" s="25">
        <f t="shared" si="57"/>
        <v>0</v>
      </c>
    </row>
    <row r="319" spans="1:24" ht="16.5" customHeight="1">
      <c r="A319" s="757">
        <f t="shared" si="52"/>
        <v>70</v>
      </c>
      <c r="B319" s="297" t="s">
        <v>1150</v>
      </c>
      <c r="C319" s="25">
        <f t="shared" si="53"/>
        <v>0</v>
      </c>
      <c r="D319" s="758">
        <f>IF($I$367&lt;&gt;0,D$367/$I$367*$I319,0)</f>
        <v>474710.69940324948</v>
      </c>
      <c r="E319" s="758">
        <f>IF($I$367&lt;&gt;0,E$367/$I$367*$I319,0)</f>
        <v>64483.934197726252</v>
      </c>
      <c r="F319" s="758">
        <f>IF($I$367&lt;&gt;0,F$367/$I$367*$I319,0)</f>
        <v>855246.46813700581</v>
      </c>
      <c r="G319" s="758">
        <f>IF($I$367&lt;&gt;0,G$367/$I$367*$I319,0)</f>
        <v>700078.40518054983</v>
      </c>
      <c r="H319" s="25">
        <f>SUM(C319:G319)</f>
        <v>2094519.5069185314</v>
      </c>
      <c r="I319" s="758">
        <v>2642</v>
      </c>
      <c r="J319" s="758">
        <f t="shared" si="55"/>
        <v>792.77801170269925</v>
      </c>
      <c r="K319" s="666">
        <v>4700</v>
      </c>
      <c r="L319" s="666"/>
      <c r="M319" s="189"/>
      <c r="N319" s="772">
        <f t="shared" si="54"/>
        <v>41589</v>
      </c>
      <c r="O319" s="772">
        <v>41592</v>
      </c>
      <c r="P319" s="773" t="s">
        <v>1014</v>
      </c>
      <c r="Q319" s="305"/>
      <c r="R319" s="802"/>
      <c r="S319" s="25">
        <f t="shared" si="56"/>
        <v>0</v>
      </c>
      <c r="T319" s="449"/>
      <c r="U319" s="772"/>
      <c r="V319" s="804"/>
      <c r="W319" s="802"/>
      <c r="X319" s="25">
        <f t="shared" si="57"/>
        <v>0</v>
      </c>
    </row>
    <row r="320" spans="1:24" ht="16.5" customHeight="1">
      <c r="A320" s="757">
        <f t="shared" si="52"/>
        <v>71</v>
      </c>
      <c r="B320" s="297" t="s">
        <v>1162</v>
      </c>
      <c r="C320" s="25">
        <f t="shared" si="53"/>
        <v>0</v>
      </c>
      <c r="D320" s="758">
        <f>IF($I$367&lt;&gt;0,D$367/$I$367*$I320,0)</f>
        <v>418650.99531020864</v>
      </c>
      <c r="E320" s="758">
        <f>IF($I$367&lt;&gt;0,E$367/$I$367*$I320,0)</f>
        <v>56868.874595269554</v>
      </c>
      <c r="F320" s="758">
        <f>IF($I$367&lt;&gt;0,F$367/$I$367*$I320,0)</f>
        <v>754248.39922756376</v>
      </c>
      <c r="G320" s="758">
        <f>IF($I$367&lt;&gt;0,G$367/$I$367*$I320,0)</f>
        <v>617404.49813424714</v>
      </c>
      <c r="H320" s="25">
        <f>SUM(C320:G320)</f>
        <v>1847172.7672672891</v>
      </c>
      <c r="I320" s="758">
        <v>2330</v>
      </c>
      <c r="J320" s="758">
        <f t="shared" si="55"/>
        <v>792.77801170269913</v>
      </c>
      <c r="K320" s="666">
        <v>5860</v>
      </c>
      <c r="L320" s="666"/>
      <c r="M320" s="40"/>
      <c r="N320" s="772">
        <f t="shared" si="54"/>
        <v>41590</v>
      </c>
      <c r="O320" s="772">
        <v>41593</v>
      </c>
      <c r="P320" s="773" t="s">
        <v>1015</v>
      </c>
      <c r="Q320" s="305"/>
      <c r="R320" s="802"/>
      <c r="S320" s="25">
        <f t="shared" si="56"/>
        <v>0</v>
      </c>
      <c r="T320" s="449"/>
      <c r="U320" s="772"/>
      <c r="V320" s="804"/>
      <c r="W320" s="802"/>
      <c r="X320" s="25">
        <f t="shared" si="57"/>
        <v>0</v>
      </c>
    </row>
    <row r="321" spans="1:24" ht="16.5" customHeight="1">
      <c r="A321" s="757">
        <f t="shared" si="52"/>
        <v>72</v>
      </c>
      <c r="B321" s="297" t="s">
        <v>838</v>
      </c>
      <c r="C321" s="25">
        <f t="shared" si="53"/>
        <v>0</v>
      </c>
      <c r="D321" s="758">
        <f>IF($I$367&lt;&gt;0,D$367/$I$367*$I321,0)</f>
        <v>76902.414589171371</v>
      </c>
      <c r="E321" s="758">
        <f>IF($I$367&lt;&gt;0,E$367/$I$367*$I321,0)</f>
        <v>10446.299711062391</v>
      </c>
      <c r="F321" s="758">
        <f>IF($I$367&lt;&gt;0,F$367/$I$367*$I321,0)</f>
        <v>138548.63299115765</v>
      </c>
      <c r="G321" s="758">
        <f>IF($I$367&lt;&gt;0,G$367/$I$367*$I321,0)</f>
        <v>113411.64171736386</v>
      </c>
      <c r="H321" s="25">
        <f>SUM(C321:G321)</f>
        <v>339308.98900875525</v>
      </c>
      <c r="I321" s="758">
        <v>428</v>
      </c>
      <c r="J321" s="758">
        <f t="shared" si="55"/>
        <v>792.77801170269913</v>
      </c>
      <c r="K321" s="666">
        <v>10500</v>
      </c>
      <c r="L321" s="666"/>
      <c r="M321" s="189"/>
      <c r="N321" s="772">
        <f t="shared" si="54"/>
        <v>41591</v>
      </c>
      <c r="O321" s="772">
        <v>41594</v>
      </c>
      <c r="P321" s="773" t="s">
        <v>1016</v>
      </c>
      <c r="Q321" s="305"/>
      <c r="R321" s="802"/>
      <c r="S321" s="25">
        <f t="shared" si="56"/>
        <v>0</v>
      </c>
      <c r="T321" s="449"/>
      <c r="U321" s="772"/>
      <c r="V321" s="804"/>
      <c r="W321" s="802"/>
      <c r="X321" s="25">
        <f t="shared" si="57"/>
        <v>0</v>
      </c>
    </row>
    <row r="322" spans="1:24" ht="16.5" customHeight="1">
      <c r="A322" s="757">
        <f t="shared" si="52"/>
        <v>73</v>
      </c>
      <c r="B322" s="297" t="s">
        <v>876</v>
      </c>
      <c r="C322" s="25">
        <f t="shared" si="53"/>
        <v>0</v>
      </c>
      <c r="D322" s="758">
        <f>IF($I$367&lt;&gt;0,D$367/$I$367*$I322,0)</f>
        <v>182733.07391866189</v>
      </c>
      <c r="E322" s="758">
        <f>IF($I$367&lt;&gt;0,E$367/$I$367*$I322,0)</f>
        <v>24822.165434930961</v>
      </c>
      <c r="F322" s="758">
        <f>IF($I$367&lt;&gt;0,F$367/$I$367*$I322,0)</f>
        <v>329214.85923366196</v>
      </c>
      <c r="G322" s="758">
        <f>IF($I$367&lt;&gt;0,G$367/$I$367*$I322,0)</f>
        <v>269485.13931439031</v>
      </c>
      <c r="H322" s="25">
        <f>SUM(C322:G322)</f>
        <v>806255.23790164501</v>
      </c>
      <c r="I322" s="758">
        <v>1017</v>
      </c>
      <c r="J322" s="758">
        <f t="shared" si="55"/>
        <v>792.77801170269913</v>
      </c>
      <c r="K322" s="666">
        <v>12000</v>
      </c>
      <c r="L322" s="666"/>
      <c r="M322" s="189"/>
      <c r="N322" s="772">
        <f t="shared" si="54"/>
        <v>41593</v>
      </c>
      <c r="O322" s="772">
        <v>41596</v>
      </c>
      <c r="P322" s="773" t="s">
        <v>1017</v>
      </c>
      <c r="Q322" s="305"/>
      <c r="R322" s="802"/>
      <c r="S322" s="25">
        <f t="shared" si="56"/>
        <v>0</v>
      </c>
      <c r="T322" s="449"/>
      <c r="U322" s="772"/>
      <c r="V322" s="804"/>
      <c r="W322" s="802"/>
      <c r="X322" s="25">
        <f t="shared" si="57"/>
        <v>0</v>
      </c>
    </row>
    <row r="323" spans="1:24" ht="16.5" customHeight="1">
      <c r="A323" s="757">
        <f t="shared" si="52"/>
        <v>74</v>
      </c>
      <c r="B323" s="297" t="s">
        <v>1018</v>
      </c>
      <c r="C323" s="25">
        <f t="shared" si="53"/>
        <v>0</v>
      </c>
      <c r="D323" s="758">
        <f>IF($I$367&lt;&gt;0,D$367/$I$367*$I323,0)</f>
        <v>12577.497713182234</v>
      </c>
      <c r="E323" s="758">
        <f>IF($I$367&lt;&gt;0,E$367/$I$367*$I323,0)</f>
        <v>1708.5069620896434</v>
      </c>
      <c r="F323" s="758">
        <f>IF($I$367&lt;&gt;0,F$367/$I$367*$I323,0)</f>
        <v>22659.823152759425</v>
      </c>
      <c r="G323" s="758">
        <f>IF($I$367&lt;&gt;0,G$367/$I$367*$I323,0)</f>
        <v>18548.632991157639</v>
      </c>
      <c r="H323" s="25">
        <f>SUM(C323:G323)</f>
        <v>55494.460819188942</v>
      </c>
      <c r="I323" s="758">
        <v>70</v>
      </c>
      <c r="J323" s="758">
        <f t="shared" si="55"/>
        <v>792.77801170269913</v>
      </c>
      <c r="K323" s="666">
        <v>42000</v>
      </c>
      <c r="L323" s="666"/>
      <c r="M323" s="189"/>
      <c r="N323" s="772">
        <f t="shared" si="54"/>
        <v>41594</v>
      </c>
      <c r="O323" s="772">
        <v>41597</v>
      </c>
      <c r="P323" s="773" t="s">
        <v>1019</v>
      </c>
      <c r="Q323" s="305"/>
      <c r="R323" s="802"/>
      <c r="S323" s="25">
        <f t="shared" si="56"/>
        <v>0</v>
      </c>
      <c r="T323" s="449"/>
      <c r="U323" s="772"/>
      <c r="V323" s="804"/>
      <c r="W323" s="802"/>
      <c r="X323" s="25">
        <f t="shared" si="57"/>
        <v>0</v>
      </c>
    </row>
    <row r="324" spans="1:24" ht="16.5" customHeight="1">
      <c r="A324" s="757">
        <f t="shared" si="52"/>
        <v>75</v>
      </c>
      <c r="B324" s="297" t="s">
        <v>880</v>
      </c>
      <c r="C324" s="25">
        <f t="shared" si="53"/>
        <v>0</v>
      </c>
      <c r="D324" s="758">
        <f>IF($I$367&lt;&gt;0,D$367/$I$367*$I324,0)</f>
        <v>12577.497713182234</v>
      </c>
      <c r="E324" s="758">
        <f>IF($I$367&lt;&gt;0,E$367/$I$367*$I324,0)</f>
        <v>1708.5069620896434</v>
      </c>
      <c r="F324" s="758">
        <f>IF($I$367&lt;&gt;0,F$367/$I$367*$I324,0)</f>
        <v>22659.823152759425</v>
      </c>
      <c r="G324" s="758">
        <f>IF($I$367&lt;&gt;0,G$367/$I$367*$I324,0)</f>
        <v>18548.632991157639</v>
      </c>
      <c r="H324" s="25">
        <f>SUM(C324:G324)</f>
        <v>55494.460819188942</v>
      </c>
      <c r="I324" s="758">
        <v>70</v>
      </c>
      <c r="J324" s="758">
        <f t="shared" si="55"/>
        <v>792.77801170269913</v>
      </c>
      <c r="K324" s="666">
        <v>45000</v>
      </c>
      <c r="L324" s="666"/>
      <c r="M324" s="40"/>
      <c r="N324" s="772">
        <f t="shared" si="54"/>
        <v>41594</v>
      </c>
      <c r="O324" s="772">
        <v>41597</v>
      </c>
      <c r="P324" s="773" t="s">
        <v>1019</v>
      </c>
      <c r="Q324" s="305"/>
      <c r="R324" s="802"/>
      <c r="S324" s="25">
        <f t="shared" si="56"/>
        <v>0</v>
      </c>
      <c r="T324" s="449"/>
      <c r="U324" s="772"/>
      <c r="V324" s="804"/>
      <c r="W324" s="802"/>
      <c r="X324" s="25">
        <f t="shared" si="57"/>
        <v>0</v>
      </c>
    </row>
    <row r="325" spans="1:24" ht="16.5" customHeight="1">
      <c r="A325" s="757">
        <f t="shared" si="52"/>
        <v>76</v>
      </c>
      <c r="B325" s="297" t="s">
        <v>1020</v>
      </c>
      <c r="C325" s="25">
        <f t="shared" si="53"/>
        <v>0</v>
      </c>
      <c r="D325" s="758">
        <f>IF($I$367&lt;&gt;0,D$367/$I$367*$I325,0)</f>
        <v>8983.9269379873094</v>
      </c>
      <c r="E325" s="758">
        <f>IF($I$367&lt;&gt;0,E$367/$I$367*$I325,0)</f>
        <v>1220.3621157783166</v>
      </c>
      <c r="F325" s="758">
        <f>IF($I$367&lt;&gt;0,F$367/$I$367*$I325,0)</f>
        <v>16185.587966256733</v>
      </c>
      <c r="G325" s="758">
        <f>IF($I$367&lt;&gt;0,G$367/$I$367*$I325,0)</f>
        <v>13249.0235651126</v>
      </c>
      <c r="H325" s="25">
        <f>SUM(C325:G325)</f>
        <v>39638.900585134958</v>
      </c>
      <c r="I325" s="758">
        <v>50</v>
      </c>
      <c r="J325" s="758">
        <f t="shared" si="55"/>
        <v>792.77801170269913</v>
      </c>
      <c r="K325" s="666">
        <v>45300</v>
      </c>
      <c r="L325" s="666"/>
      <c r="M325" s="40"/>
      <c r="N325" s="772">
        <f t="shared" si="54"/>
        <v>41594</v>
      </c>
      <c r="O325" s="772">
        <v>41597</v>
      </c>
      <c r="P325" s="773" t="s">
        <v>1019</v>
      </c>
      <c r="Q325" s="305"/>
      <c r="R325" s="802"/>
      <c r="S325" s="25">
        <f t="shared" si="56"/>
        <v>0</v>
      </c>
      <c r="T325" s="449"/>
      <c r="U325" s="772"/>
      <c r="V325" s="804"/>
      <c r="W325" s="802"/>
      <c r="X325" s="25">
        <f t="shared" si="57"/>
        <v>0</v>
      </c>
    </row>
    <row r="326" spans="1:24" ht="16.5" customHeight="1">
      <c r="A326" s="757">
        <f t="shared" si="52"/>
        <v>77</v>
      </c>
      <c r="B326" s="297" t="s">
        <v>881</v>
      </c>
      <c r="C326" s="25">
        <f t="shared" si="53"/>
        <v>0</v>
      </c>
      <c r="D326" s="758">
        <f>IF($I$367&lt;&gt;0,D$367/$I$367*$I326,0)</f>
        <v>8983.9269379873094</v>
      </c>
      <c r="E326" s="758">
        <f>IF($I$367&lt;&gt;0,E$367/$I$367*$I326,0)</f>
        <v>1220.3621157783166</v>
      </c>
      <c r="F326" s="758">
        <f>IF($I$367&lt;&gt;0,F$367/$I$367*$I326,0)</f>
        <v>16185.587966256733</v>
      </c>
      <c r="G326" s="758">
        <f>IF($I$367&lt;&gt;0,G$367/$I$367*$I326,0)</f>
        <v>13249.0235651126</v>
      </c>
      <c r="H326" s="25">
        <f>SUM(C326:G326)</f>
        <v>39638.900585134958</v>
      </c>
      <c r="I326" s="758">
        <v>50</v>
      </c>
      <c r="J326" s="758">
        <f t="shared" si="55"/>
        <v>792.77801170269913</v>
      </c>
      <c r="K326" s="666">
        <v>50400</v>
      </c>
      <c r="L326" s="666"/>
      <c r="M326" s="449"/>
      <c r="N326" s="772">
        <f t="shared" si="54"/>
        <v>41594</v>
      </c>
      <c r="O326" s="772">
        <v>41597</v>
      </c>
      <c r="P326" s="773" t="s">
        <v>1019</v>
      </c>
      <c r="Q326" s="305"/>
      <c r="R326" s="802"/>
      <c r="S326" s="25">
        <f t="shared" si="56"/>
        <v>0</v>
      </c>
      <c r="T326" s="449"/>
      <c r="U326" s="772"/>
      <c r="V326" s="804"/>
      <c r="W326" s="802"/>
      <c r="X326" s="25">
        <f t="shared" si="57"/>
        <v>0</v>
      </c>
    </row>
    <row r="327" spans="1:24" ht="16.5" customHeight="1">
      <c r="A327" s="757">
        <f t="shared" si="52"/>
        <v>78</v>
      </c>
      <c r="B327" s="297" t="s">
        <v>882</v>
      </c>
      <c r="C327" s="25">
        <f t="shared" si="53"/>
        <v>0</v>
      </c>
      <c r="D327" s="758">
        <f>IF($I$367&lt;&gt;0,D$367/$I$367*$I327,0)</f>
        <v>8983.9269379873094</v>
      </c>
      <c r="E327" s="758">
        <f>IF($I$367&lt;&gt;0,E$367/$I$367*$I327,0)</f>
        <v>1220.3621157783166</v>
      </c>
      <c r="F327" s="758">
        <f>IF($I$367&lt;&gt;0,F$367/$I$367*$I327,0)</f>
        <v>16185.587966256733</v>
      </c>
      <c r="G327" s="758">
        <f>IF($I$367&lt;&gt;0,G$367/$I$367*$I327,0)</f>
        <v>13249.0235651126</v>
      </c>
      <c r="H327" s="25">
        <f>SUM(C327:G327)</f>
        <v>39638.900585134958</v>
      </c>
      <c r="I327" s="758">
        <v>50</v>
      </c>
      <c r="J327" s="758">
        <f t="shared" si="55"/>
        <v>792.77801170269913</v>
      </c>
      <c r="K327" s="666">
        <v>53500</v>
      </c>
      <c r="L327" s="666"/>
      <c r="M327" s="40"/>
      <c r="N327" s="772">
        <f t="shared" si="54"/>
        <v>41595</v>
      </c>
      <c r="O327" s="772">
        <v>41598</v>
      </c>
      <c r="P327" s="773" t="s">
        <v>1021</v>
      </c>
      <c r="Q327" s="305"/>
      <c r="R327" s="802"/>
      <c r="S327" s="25">
        <f t="shared" si="56"/>
        <v>0</v>
      </c>
      <c r="T327" s="449"/>
      <c r="U327" s="772"/>
      <c r="V327" s="804"/>
      <c r="W327" s="802"/>
      <c r="X327" s="25">
        <f t="shared" si="57"/>
        <v>0</v>
      </c>
    </row>
    <row r="328" spans="1:24" ht="16.5" customHeight="1">
      <c r="A328" s="757">
        <f t="shared" si="52"/>
        <v>79</v>
      </c>
      <c r="B328" s="297" t="s">
        <v>1022</v>
      </c>
      <c r="C328" s="25">
        <f t="shared" si="53"/>
        <v>0</v>
      </c>
      <c r="D328" s="758">
        <f>IF($I$367&lt;&gt;0,D$367/$I$367*$I328,0)</f>
        <v>8983.9269379873094</v>
      </c>
      <c r="E328" s="758">
        <f>IF($I$367&lt;&gt;0,E$367/$I$367*$I328,0)</f>
        <v>1220.3621157783166</v>
      </c>
      <c r="F328" s="758">
        <f>IF($I$367&lt;&gt;0,F$367/$I$367*$I328,0)</f>
        <v>16185.587966256733</v>
      </c>
      <c r="G328" s="758">
        <f>IF($I$367&lt;&gt;0,G$367/$I$367*$I328,0)</f>
        <v>13249.0235651126</v>
      </c>
      <c r="H328" s="25">
        <f>SUM(C328:G328)</f>
        <v>39638.900585134958</v>
      </c>
      <c r="I328" s="758">
        <v>50</v>
      </c>
      <c r="J328" s="758">
        <f t="shared" si="55"/>
        <v>792.77801170269913</v>
      </c>
      <c r="K328" s="666">
        <v>59700</v>
      </c>
      <c r="L328" s="666"/>
      <c r="M328" s="40"/>
      <c r="N328" s="772">
        <f t="shared" si="54"/>
        <v>41595</v>
      </c>
      <c r="O328" s="772">
        <v>41598</v>
      </c>
      <c r="P328" s="773" t="s">
        <v>1021</v>
      </c>
      <c r="Q328" s="305"/>
      <c r="R328" s="802"/>
      <c r="S328" s="25">
        <f t="shared" si="56"/>
        <v>0</v>
      </c>
      <c r="T328" s="449"/>
      <c r="U328" s="772"/>
      <c r="V328" s="804"/>
      <c r="W328" s="802"/>
      <c r="X328" s="25">
        <f t="shared" si="57"/>
        <v>0</v>
      </c>
    </row>
    <row r="329" spans="1:24" ht="16.5" customHeight="1">
      <c r="A329" s="757">
        <f t="shared" si="52"/>
        <v>80</v>
      </c>
      <c r="B329" s="297" t="s">
        <v>1023</v>
      </c>
      <c r="C329" s="25">
        <f t="shared" si="53"/>
        <v>0</v>
      </c>
      <c r="D329" s="758">
        <f>IF($I$367&lt;&gt;0,D$367/$I$367*$I329,0)</f>
        <v>8983.9269379873094</v>
      </c>
      <c r="E329" s="758">
        <f>IF($I$367&lt;&gt;0,E$367/$I$367*$I329,0)</f>
        <v>1220.3621157783166</v>
      </c>
      <c r="F329" s="758">
        <f>IF($I$367&lt;&gt;0,F$367/$I$367*$I329,0)</f>
        <v>16185.587966256733</v>
      </c>
      <c r="G329" s="758">
        <f>IF($I$367&lt;&gt;0,G$367/$I$367*$I329,0)</f>
        <v>13249.0235651126</v>
      </c>
      <c r="H329" s="25">
        <f>SUM(C329:G329)</f>
        <v>39638.900585134958</v>
      </c>
      <c r="I329" s="758">
        <v>50</v>
      </c>
      <c r="J329" s="758">
        <f t="shared" si="55"/>
        <v>792.77801170269913</v>
      </c>
      <c r="K329" s="666">
        <v>65000</v>
      </c>
      <c r="L329" s="666"/>
      <c r="M329" s="40"/>
      <c r="N329" s="772">
        <f t="shared" si="54"/>
        <v>41595</v>
      </c>
      <c r="O329" s="772">
        <v>41598</v>
      </c>
      <c r="P329" s="773" t="s">
        <v>1021</v>
      </c>
      <c r="Q329" s="305"/>
      <c r="R329" s="802"/>
      <c r="S329" s="25">
        <f t="shared" si="56"/>
        <v>0</v>
      </c>
      <c r="T329" s="449"/>
      <c r="U329" s="772"/>
      <c r="V329" s="804"/>
      <c r="W329" s="802"/>
      <c r="X329" s="25">
        <f t="shared" si="57"/>
        <v>0</v>
      </c>
    </row>
    <row r="330" spans="1:24" ht="16.5" customHeight="1">
      <c r="A330" s="757">
        <f t="shared" si="52"/>
        <v>81</v>
      </c>
      <c r="B330" s="297" t="s">
        <v>723</v>
      </c>
      <c r="C330" s="25">
        <f t="shared" si="53"/>
        <v>0</v>
      </c>
      <c r="D330" s="758">
        <f>IF($I$367&lt;&gt;0,D$367/$I$367*$I330,0)</f>
        <v>89839.269379873105</v>
      </c>
      <c r="E330" s="758">
        <f>IF($I$367&lt;&gt;0,E$367/$I$367*$I330,0)</f>
        <v>12203.621157783165</v>
      </c>
      <c r="F330" s="758">
        <f>IF($I$367&lt;&gt;0,F$367/$I$367*$I330,0)</f>
        <v>161855.87966256734</v>
      </c>
      <c r="G330" s="758">
        <f>IF($I$367&lt;&gt;0,G$367/$I$367*$I330,0)</f>
        <v>132490.23565112599</v>
      </c>
      <c r="H330" s="25">
        <f>SUM(C330:G330)</f>
        <v>396389.00585134956</v>
      </c>
      <c r="I330" s="758">
        <v>500</v>
      </c>
      <c r="J330" s="758">
        <f t="shared" si="55"/>
        <v>792.77801170269913</v>
      </c>
      <c r="K330" s="666">
        <v>5700</v>
      </c>
      <c r="L330" s="666"/>
      <c r="M330" s="297"/>
      <c r="N330" s="772">
        <f t="shared" si="54"/>
        <v>41600</v>
      </c>
      <c r="O330" s="772">
        <v>41603</v>
      </c>
      <c r="P330" s="773" t="s">
        <v>1024</v>
      </c>
      <c r="Q330" s="305"/>
      <c r="R330" s="802"/>
      <c r="S330" s="25">
        <f t="shared" si="56"/>
        <v>0</v>
      </c>
      <c r="T330" s="449"/>
      <c r="U330" s="772"/>
      <c r="V330" s="804"/>
      <c r="W330" s="802"/>
      <c r="X330" s="25">
        <f t="shared" si="57"/>
        <v>0</v>
      </c>
    </row>
    <row r="331" spans="1:24" ht="16.5" customHeight="1">
      <c r="A331" s="757">
        <f t="shared" si="52"/>
        <v>82</v>
      </c>
      <c r="B331" s="297" t="s">
        <v>838</v>
      </c>
      <c r="C331" s="25">
        <f t="shared" si="53"/>
        <v>0</v>
      </c>
      <c r="D331" s="758">
        <f>IF($I$367&lt;&gt;0,D$367/$I$367*$I331,0)</f>
        <v>89839.269379873105</v>
      </c>
      <c r="E331" s="758">
        <f>IF($I$367&lt;&gt;0,E$367/$I$367*$I331,0)</f>
        <v>12203.621157783165</v>
      </c>
      <c r="F331" s="758">
        <f>IF($I$367&lt;&gt;0,F$367/$I$367*$I331,0)</f>
        <v>161855.87966256734</v>
      </c>
      <c r="G331" s="758">
        <f>IF($I$367&lt;&gt;0,G$367/$I$367*$I331,0)</f>
        <v>132490.23565112599</v>
      </c>
      <c r="H331" s="25">
        <f>SUM(C331:G331)</f>
        <v>396389.00585134956</v>
      </c>
      <c r="I331" s="758">
        <v>500</v>
      </c>
      <c r="J331" s="758">
        <f t="shared" si="55"/>
        <v>792.77801170269913</v>
      </c>
      <c r="K331" s="666">
        <v>10500</v>
      </c>
      <c r="L331" s="666"/>
      <c r="M331" s="189"/>
      <c r="N331" s="772">
        <f t="shared" si="54"/>
        <v>41601</v>
      </c>
      <c r="O331" s="772">
        <v>41604</v>
      </c>
      <c r="P331" s="773" t="s">
        <v>654</v>
      </c>
      <c r="Q331" s="305"/>
      <c r="R331" s="802"/>
      <c r="S331" s="25">
        <f t="shared" si="56"/>
        <v>0</v>
      </c>
      <c r="T331" s="449"/>
      <c r="U331" s="772"/>
      <c r="V331" s="804"/>
      <c r="W331" s="802"/>
      <c r="X331" s="25">
        <f t="shared" si="57"/>
        <v>0</v>
      </c>
    </row>
    <row r="332" spans="1:24" ht="16.5" customHeight="1">
      <c r="A332" s="757">
        <f t="shared" si="52"/>
        <v>83</v>
      </c>
      <c r="B332" s="297" t="s">
        <v>838</v>
      </c>
      <c r="C332" s="25">
        <f t="shared" si="53"/>
        <v>0</v>
      </c>
      <c r="D332" s="758">
        <f>IF($I$367&lt;&gt;0,D$367/$I$367*$I332,0)</f>
        <v>89839.269379873105</v>
      </c>
      <c r="E332" s="758">
        <f>IF($I$367&lt;&gt;0,E$367/$I$367*$I332,0)</f>
        <v>12203.621157783165</v>
      </c>
      <c r="F332" s="758">
        <f>IF($I$367&lt;&gt;0,F$367/$I$367*$I332,0)</f>
        <v>161855.87966256734</v>
      </c>
      <c r="G332" s="758">
        <f>IF($I$367&lt;&gt;0,G$367/$I$367*$I332,0)</f>
        <v>132490.23565112599</v>
      </c>
      <c r="H332" s="25">
        <f>SUM(C332:G332)</f>
        <v>396389.00585134956</v>
      </c>
      <c r="I332" s="758">
        <v>500</v>
      </c>
      <c r="J332" s="758">
        <f t="shared" si="55"/>
        <v>792.77801170269913</v>
      </c>
      <c r="K332" s="666">
        <v>10500</v>
      </c>
      <c r="L332" s="666"/>
      <c r="M332" s="40"/>
      <c r="N332" s="772">
        <f t="shared" si="54"/>
        <v>41601</v>
      </c>
      <c r="O332" s="772">
        <v>41604</v>
      </c>
      <c r="P332" s="773" t="s">
        <v>654</v>
      </c>
      <c r="Q332" s="305"/>
      <c r="R332" s="802"/>
      <c r="S332" s="25">
        <f t="shared" si="56"/>
        <v>0</v>
      </c>
      <c r="T332" s="449"/>
      <c r="U332" s="772"/>
      <c r="V332" s="804"/>
      <c r="W332" s="802"/>
      <c r="X332" s="25">
        <f t="shared" si="57"/>
        <v>0</v>
      </c>
    </row>
    <row r="333" spans="1:24" ht="16.5" customHeight="1">
      <c r="A333" s="757">
        <f t="shared" si="52"/>
        <v>84</v>
      </c>
      <c r="B333" s="297" t="s">
        <v>838</v>
      </c>
      <c r="C333" s="25">
        <f t="shared" si="53"/>
        <v>0</v>
      </c>
      <c r="D333" s="758">
        <f>IF($I$367&lt;&gt;0,D$367/$I$367*$I333,0)</f>
        <v>89839.269379873105</v>
      </c>
      <c r="E333" s="758">
        <f>IF($I$367&lt;&gt;0,E$367/$I$367*$I333,0)</f>
        <v>12203.621157783165</v>
      </c>
      <c r="F333" s="758">
        <f>IF($I$367&lt;&gt;0,F$367/$I$367*$I333,0)</f>
        <v>161855.87966256734</v>
      </c>
      <c r="G333" s="758">
        <f>IF($I$367&lt;&gt;0,G$367/$I$367*$I333,0)</f>
        <v>132490.23565112599</v>
      </c>
      <c r="H333" s="25">
        <f>SUM(C333:G333)</f>
        <v>396389.00585134956</v>
      </c>
      <c r="I333" s="758">
        <v>500</v>
      </c>
      <c r="J333" s="758">
        <f t="shared" si="55"/>
        <v>792.77801170269913</v>
      </c>
      <c r="K333" s="666">
        <v>10500</v>
      </c>
      <c r="L333" s="666"/>
      <c r="M333" s="40"/>
      <c r="N333" s="772">
        <f t="shared" si="54"/>
        <v>41601</v>
      </c>
      <c r="O333" s="772">
        <v>41604</v>
      </c>
      <c r="P333" s="773" t="s">
        <v>654</v>
      </c>
      <c r="Q333" s="305"/>
      <c r="R333" s="802"/>
      <c r="S333" s="25">
        <f t="shared" si="56"/>
        <v>0</v>
      </c>
      <c r="T333" s="449"/>
      <c r="U333" s="772"/>
      <c r="V333" s="804"/>
      <c r="W333" s="802"/>
      <c r="X333" s="25">
        <f t="shared" si="57"/>
        <v>0</v>
      </c>
    </row>
    <row r="334" spans="1:24" ht="16.5" customHeight="1">
      <c r="A334" s="757">
        <f t="shared" si="52"/>
        <v>85</v>
      </c>
      <c r="B334" s="297" t="s">
        <v>838</v>
      </c>
      <c r="C334" s="25">
        <f t="shared" si="53"/>
        <v>0</v>
      </c>
      <c r="D334" s="758">
        <f>IF($I$367&lt;&gt;0,D$367/$I$367*$I334,0)</f>
        <v>89839.269379873105</v>
      </c>
      <c r="E334" s="758">
        <f>IF($I$367&lt;&gt;0,E$367/$I$367*$I334,0)</f>
        <v>12203.621157783165</v>
      </c>
      <c r="F334" s="758">
        <f>IF($I$367&lt;&gt;0,F$367/$I$367*$I334,0)</f>
        <v>161855.87966256734</v>
      </c>
      <c r="G334" s="758">
        <f>IF($I$367&lt;&gt;0,G$367/$I$367*$I334,0)</f>
        <v>132490.23565112599</v>
      </c>
      <c r="H334" s="25">
        <f>SUM(C334:G334)</f>
        <v>396389.00585134956</v>
      </c>
      <c r="I334" s="758">
        <v>500</v>
      </c>
      <c r="J334" s="758">
        <f t="shared" si="55"/>
        <v>792.77801170269913</v>
      </c>
      <c r="K334" s="666">
        <v>10500</v>
      </c>
      <c r="L334" s="666"/>
      <c r="M334" s="40"/>
      <c r="N334" s="772">
        <f t="shared" si="54"/>
        <v>41603</v>
      </c>
      <c r="O334" s="772">
        <v>41606</v>
      </c>
      <c r="P334" s="773" t="s">
        <v>1026</v>
      </c>
      <c r="Q334" s="305"/>
      <c r="R334" s="802"/>
      <c r="S334" s="25">
        <f t="shared" si="56"/>
        <v>0</v>
      </c>
      <c r="T334" s="449"/>
      <c r="U334" s="772"/>
      <c r="V334" s="804"/>
      <c r="W334" s="802"/>
      <c r="X334" s="25">
        <f t="shared" si="57"/>
        <v>0</v>
      </c>
    </row>
    <row r="335" spans="1:24" ht="16.5" customHeight="1">
      <c r="A335" s="757">
        <f t="shared" si="52"/>
        <v>86</v>
      </c>
      <c r="B335" s="297" t="s">
        <v>741</v>
      </c>
      <c r="C335" s="25">
        <f t="shared" si="53"/>
        <v>0</v>
      </c>
      <c r="D335" s="758">
        <f>IF($I$367&lt;&gt;0,D$367/$I$367*$I335,0)</f>
        <v>89839.269379873105</v>
      </c>
      <c r="E335" s="758">
        <f>IF($I$367&lt;&gt;0,E$367/$I$367*$I335,0)</f>
        <v>12203.621157783165</v>
      </c>
      <c r="F335" s="758">
        <f>IF($I$367&lt;&gt;0,F$367/$I$367*$I335,0)</f>
        <v>161855.87966256734</v>
      </c>
      <c r="G335" s="758">
        <f>IF($I$367&lt;&gt;0,G$367/$I$367*$I335,0)</f>
        <v>132490.23565112599</v>
      </c>
      <c r="H335" s="25">
        <f>SUM(C335:G335)</f>
        <v>396389.00585134956</v>
      </c>
      <c r="I335" s="758">
        <v>500</v>
      </c>
      <c r="J335" s="758">
        <f t="shared" si="55"/>
        <v>792.77801170269913</v>
      </c>
      <c r="K335" s="666">
        <v>7500</v>
      </c>
      <c r="L335" s="666"/>
      <c r="M335" s="189"/>
      <c r="N335" s="772">
        <f t="shared" si="54"/>
        <v>41603</v>
      </c>
      <c r="O335" s="772">
        <v>41606</v>
      </c>
      <c r="P335" s="773" t="s">
        <v>1026</v>
      </c>
      <c r="Q335" s="305"/>
      <c r="R335" s="802"/>
      <c r="S335" s="25">
        <f t="shared" si="56"/>
        <v>0</v>
      </c>
      <c r="T335" s="449"/>
      <c r="U335" s="772"/>
      <c r="V335" s="804"/>
      <c r="W335" s="802"/>
      <c r="X335" s="25">
        <f t="shared" si="57"/>
        <v>0</v>
      </c>
    </row>
    <row r="336" spans="1:24" ht="16.5" customHeight="1">
      <c r="A336" s="757">
        <f t="shared" si="52"/>
        <v>87</v>
      </c>
      <c r="B336" s="297" t="s">
        <v>847</v>
      </c>
      <c r="C336" s="25">
        <f t="shared" si="53"/>
        <v>0</v>
      </c>
      <c r="D336" s="758">
        <f>IF($I$367&lt;&gt;0,D$367/$I$367*$I336,0)</f>
        <v>39529.278527144168</v>
      </c>
      <c r="E336" s="758">
        <f>IF($I$367&lt;&gt;0,E$367/$I$367*$I336,0)</f>
        <v>5369.5933094245929</v>
      </c>
      <c r="F336" s="758">
        <f>IF($I$367&lt;&gt;0,F$367/$I$367*$I336,0)</f>
        <v>71216.587051529626</v>
      </c>
      <c r="G336" s="758">
        <f>IF($I$367&lt;&gt;0,G$367/$I$367*$I336,0)</f>
        <v>58295.703686495443</v>
      </c>
      <c r="H336" s="25">
        <f>SUM(C336:G336)</f>
        <v>174411.16257459385</v>
      </c>
      <c r="I336" s="758">
        <v>220</v>
      </c>
      <c r="J336" s="758">
        <f t="shared" si="55"/>
        <v>792.77801170269936</v>
      </c>
      <c r="K336" s="666">
        <v>19000</v>
      </c>
      <c r="L336" s="666"/>
      <c r="M336" s="40"/>
      <c r="N336" s="772">
        <f t="shared" si="54"/>
        <v>41603</v>
      </c>
      <c r="O336" s="772">
        <v>41606</v>
      </c>
      <c r="P336" s="773" t="s">
        <v>660</v>
      </c>
      <c r="Q336" s="305"/>
      <c r="R336" s="802"/>
      <c r="S336" s="25">
        <f t="shared" si="56"/>
        <v>0</v>
      </c>
      <c r="T336" s="449"/>
      <c r="U336" s="772"/>
      <c r="V336" s="804"/>
      <c r="W336" s="802"/>
      <c r="X336" s="25">
        <f t="shared" si="57"/>
        <v>0</v>
      </c>
    </row>
    <row r="337" spans="1:24" ht="16.5" customHeight="1">
      <c r="A337" s="757">
        <f t="shared" si="52"/>
        <v>88</v>
      </c>
      <c r="B337" s="297" t="s">
        <v>1010</v>
      </c>
      <c r="C337" s="25">
        <f t="shared" si="53"/>
        <v>0</v>
      </c>
      <c r="D337" s="758">
        <f>IF($I$367&lt;&gt;0,D$367/$I$367*$I337,0)</f>
        <v>35935.707751949238</v>
      </c>
      <c r="E337" s="758">
        <f>IF($I$367&lt;&gt;0,E$367/$I$367*$I337,0)</f>
        <v>4881.4484631132664</v>
      </c>
      <c r="F337" s="758">
        <f>IF($I$367&lt;&gt;0,F$367/$I$367*$I337,0)</f>
        <v>64742.351865026933</v>
      </c>
      <c r="G337" s="758">
        <f>IF($I$367&lt;&gt;0,G$367/$I$367*$I337,0)</f>
        <v>52996.094260450402</v>
      </c>
      <c r="H337" s="25">
        <f>SUM(C337:G337)</f>
        <v>158555.60234053983</v>
      </c>
      <c r="I337" s="758">
        <v>200</v>
      </c>
      <c r="J337" s="758">
        <f t="shared" si="55"/>
        <v>792.77801170269913</v>
      </c>
      <c r="K337" s="666">
        <v>13000</v>
      </c>
      <c r="L337" s="666"/>
      <c r="M337" s="40"/>
      <c r="N337" s="772">
        <f t="shared" si="54"/>
        <v>41605</v>
      </c>
      <c r="O337" s="772">
        <v>41608</v>
      </c>
      <c r="P337" s="773" t="s">
        <v>1027</v>
      </c>
      <c r="Q337" s="305"/>
      <c r="R337" s="802"/>
      <c r="S337" s="25">
        <f t="shared" si="56"/>
        <v>0</v>
      </c>
      <c r="T337" s="449"/>
      <c r="U337" s="772"/>
      <c r="V337" s="804"/>
      <c r="W337" s="802"/>
      <c r="X337" s="25">
        <f t="shared" si="57"/>
        <v>0</v>
      </c>
    </row>
    <row r="338" spans="1:24" ht="16.5" customHeight="1">
      <c r="A338" s="757">
        <f t="shared" si="52"/>
        <v>89</v>
      </c>
      <c r="B338" s="297" t="s">
        <v>1009</v>
      </c>
      <c r="C338" s="25">
        <f t="shared" si="53"/>
        <v>0</v>
      </c>
      <c r="D338" s="758">
        <f>IF($I$367&lt;&gt;0,D$367/$I$367*$I338,0)</f>
        <v>26951.78081396193</v>
      </c>
      <c r="E338" s="758">
        <f>IF($I$367&lt;&gt;0,E$367/$I$367*$I338,0)</f>
        <v>3661.08634733495</v>
      </c>
      <c r="F338" s="758">
        <f>IF($I$367&lt;&gt;0,F$367/$I$367*$I338,0)</f>
        <v>48556.763898770201</v>
      </c>
      <c r="G338" s="758">
        <f>IF($I$367&lt;&gt;0,G$367/$I$367*$I338,0)</f>
        <v>39747.070695337803</v>
      </c>
      <c r="H338" s="25">
        <f>SUM(C338:G338)</f>
        <v>118916.70175540488</v>
      </c>
      <c r="I338" s="758">
        <v>150</v>
      </c>
      <c r="J338" s="758">
        <f t="shared" si="55"/>
        <v>792.77801170269925</v>
      </c>
      <c r="K338" s="666">
        <v>14200</v>
      </c>
      <c r="L338" s="666"/>
      <c r="M338" s="40"/>
      <c r="N338" s="772">
        <f t="shared" si="54"/>
        <v>41605</v>
      </c>
      <c r="O338" s="772">
        <v>41608</v>
      </c>
      <c r="P338" s="773" t="s">
        <v>1027</v>
      </c>
      <c r="Q338" s="305"/>
      <c r="R338" s="802"/>
      <c r="S338" s="25">
        <f t="shared" si="56"/>
        <v>0</v>
      </c>
      <c r="T338" s="449"/>
      <c r="U338" s="772"/>
      <c r="V338" s="804"/>
      <c r="W338" s="802"/>
      <c r="X338" s="25">
        <f t="shared" si="57"/>
        <v>0</v>
      </c>
    </row>
    <row r="339" spans="1:24" ht="16.5" customHeight="1">
      <c r="A339" s="757">
        <f t="shared" si="52"/>
        <v>90</v>
      </c>
      <c r="B339" s="297" t="s">
        <v>1006</v>
      </c>
      <c r="C339" s="25">
        <f t="shared" si="53"/>
        <v>0</v>
      </c>
      <c r="D339" s="758">
        <f>IF($I$367&lt;&gt;0,D$367/$I$367*$I339,0)</f>
        <v>17967.853875974619</v>
      </c>
      <c r="E339" s="758">
        <f>IF($I$367&lt;&gt;0,E$367/$I$367*$I339,0)</f>
        <v>2440.7242315566332</v>
      </c>
      <c r="F339" s="758">
        <f>IF($I$367&lt;&gt;0,F$367/$I$367*$I339,0)</f>
        <v>32371.175932513466</v>
      </c>
      <c r="G339" s="758">
        <f>IF($I$367&lt;&gt;0,G$367/$I$367*$I339,0)</f>
        <v>26498.047130225201</v>
      </c>
      <c r="H339" s="25">
        <f>SUM(C339:G339)</f>
        <v>79277.801170269915</v>
      </c>
      <c r="I339" s="758">
        <v>100</v>
      </c>
      <c r="J339" s="758">
        <f t="shared" si="55"/>
        <v>792.77801170269913</v>
      </c>
      <c r="K339" s="666">
        <v>8000</v>
      </c>
      <c r="L339" s="666"/>
      <c r="M339" s="189"/>
      <c r="N339" s="772">
        <f t="shared" si="54"/>
        <v>41605</v>
      </c>
      <c r="O339" s="772">
        <v>41608</v>
      </c>
      <c r="P339" s="773" t="s">
        <v>1027</v>
      </c>
      <c r="Q339" s="305"/>
      <c r="R339" s="802"/>
      <c r="S339" s="25">
        <f t="shared" si="56"/>
        <v>0</v>
      </c>
      <c r="T339" s="449"/>
      <c r="U339" s="772"/>
      <c r="V339" s="804"/>
      <c r="W339" s="802"/>
      <c r="X339" s="25">
        <f t="shared" si="57"/>
        <v>0</v>
      </c>
    </row>
    <row r="340" spans="1:24" ht="16.5" customHeight="1">
      <c r="A340" s="757">
        <f t="shared" si="52"/>
        <v>91</v>
      </c>
      <c r="B340" s="297" t="s">
        <v>1028</v>
      </c>
      <c r="C340" s="25">
        <f t="shared" si="53"/>
        <v>0</v>
      </c>
      <c r="D340" s="758">
        <f>IF($I$367&lt;&gt;0,D$367/$I$367*$I340,0)</f>
        <v>222082.67390704629</v>
      </c>
      <c r="E340" s="758">
        <f>IF($I$367&lt;&gt;0,E$367/$I$367*$I340,0)</f>
        <v>30167.351502039986</v>
      </c>
      <c r="F340" s="758">
        <f>IF($I$367&lt;&gt;0,F$367/$I$367*$I340,0)</f>
        <v>400107.73452586646</v>
      </c>
      <c r="G340" s="758">
        <f>IF($I$367&lt;&gt;0,G$367/$I$367*$I340,0)</f>
        <v>327515.86252958345</v>
      </c>
      <c r="H340" s="25">
        <f>SUM(C340:G340)</f>
        <v>979873.62246453622</v>
      </c>
      <c r="I340" s="758">
        <v>1236</v>
      </c>
      <c r="J340" s="758">
        <f t="shared" si="55"/>
        <v>792.77801170269925</v>
      </c>
      <c r="K340" s="666">
        <v>17200</v>
      </c>
      <c r="L340" s="666"/>
      <c r="M340" s="189"/>
      <c r="N340" s="772">
        <f t="shared" si="54"/>
        <v>41605</v>
      </c>
      <c r="O340" s="772">
        <v>41608</v>
      </c>
      <c r="P340" s="773" t="s">
        <v>1029</v>
      </c>
      <c r="Q340" s="305"/>
      <c r="R340" s="802"/>
      <c r="S340" s="25">
        <f t="shared" si="56"/>
        <v>0</v>
      </c>
      <c r="T340" s="449"/>
      <c r="U340" s="772"/>
      <c r="V340" s="804"/>
      <c r="W340" s="802"/>
      <c r="X340" s="25">
        <f t="shared" si="57"/>
        <v>0</v>
      </c>
    </row>
    <row r="341" spans="1:24" ht="16.5" customHeight="1">
      <c r="A341" s="757">
        <f t="shared" si="52"/>
        <v>92</v>
      </c>
      <c r="B341" s="297" t="s">
        <v>838</v>
      </c>
      <c r="C341" s="25">
        <f t="shared" si="53"/>
        <v>0</v>
      </c>
      <c r="D341" s="758">
        <f>IF($I$367&lt;&gt;0,D$367/$I$367*$I341,0)</f>
        <v>89839.269379873105</v>
      </c>
      <c r="E341" s="758">
        <f>IF($I$367&lt;&gt;0,E$367/$I$367*$I341,0)</f>
        <v>12203.621157783165</v>
      </c>
      <c r="F341" s="758">
        <f>IF($I$367&lt;&gt;0,F$367/$I$367*$I341,0)</f>
        <v>161855.87966256734</v>
      </c>
      <c r="G341" s="758">
        <f>IF($I$367&lt;&gt;0,G$367/$I$367*$I341,0)</f>
        <v>132490.23565112599</v>
      </c>
      <c r="H341" s="25">
        <f>SUM(C341:G341)</f>
        <v>396389.00585134956</v>
      </c>
      <c r="I341" s="758">
        <v>500</v>
      </c>
      <c r="J341" s="758">
        <f t="shared" si="55"/>
        <v>792.77801170269913</v>
      </c>
      <c r="K341" s="666">
        <v>10500</v>
      </c>
      <c r="L341" s="666"/>
      <c r="M341" s="189"/>
      <c r="N341" s="772">
        <f t="shared" si="54"/>
        <v>41609</v>
      </c>
      <c r="O341" s="772">
        <v>41612</v>
      </c>
      <c r="P341" s="773" t="s">
        <v>1030</v>
      </c>
      <c r="Q341" s="305"/>
      <c r="R341" s="802"/>
      <c r="S341" s="25">
        <f t="shared" si="56"/>
        <v>0</v>
      </c>
      <c r="T341" s="449"/>
      <c r="U341" s="772"/>
      <c r="V341" s="804"/>
      <c r="W341" s="802"/>
      <c r="X341" s="25">
        <f t="shared" si="57"/>
        <v>0</v>
      </c>
    </row>
    <row r="342" spans="1:24" ht="16.5" customHeight="1">
      <c r="A342" s="757">
        <f t="shared" si="52"/>
        <v>93</v>
      </c>
      <c r="B342" s="297" t="s">
        <v>838</v>
      </c>
      <c r="C342" s="25">
        <f t="shared" si="53"/>
        <v>0</v>
      </c>
      <c r="D342" s="758">
        <f>IF($I$367&lt;&gt;0,D$367/$I$367*$I342,0)</f>
        <v>89839.269379873105</v>
      </c>
      <c r="E342" s="758">
        <f>IF($I$367&lt;&gt;0,E$367/$I$367*$I342,0)</f>
        <v>12203.621157783165</v>
      </c>
      <c r="F342" s="758">
        <f>IF($I$367&lt;&gt;0,F$367/$I$367*$I342,0)</f>
        <v>161855.87966256734</v>
      </c>
      <c r="G342" s="758">
        <f>IF($I$367&lt;&gt;0,G$367/$I$367*$I342,0)</f>
        <v>132490.23565112599</v>
      </c>
      <c r="H342" s="25">
        <f>SUM(C342:G342)</f>
        <v>396389.00585134956</v>
      </c>
      <c r="I342" s="758">
        <v>500</v>
      </c>
      <c r="J342" s="758">
        <f t="shared" si="55"/>
        <v>792.77801170269913</v>
      </c>
      <c r="K342" s="666">
        <v>10500</v>
      </c>
      <c r="L342" s="666"/>
      <c r="M342" s="189"/>
      <c r="N342" s="772">
        <f t="shared" si="54"/>
        <v>41609</v>
      </c>
      <c r="O342" s="772">
        <v>41612</v>
      </c>
      <c r="P342" s="773" t="s">
        <v>1030</v>
      </c>
      <c r="Q342" s="305"/>
      <c r="R342" s="802"/>
      <c r="S342" s="25">
        <f t="shared" si="56"/>
        <v>0</v>
      </c>
      <c r="T342" s="449"/>
      <c r="U342" s="772"/>
      <c r="V342" s="804"/>
      <c r="W342" s="802"/>
      <c r="X342" s="25">
        <f t="shared" si="57"/>
        <v>0</v>
      </c>
    </row>
    <row r="343" spans="1:24" ht="16.5" customHeight="1">
      <c r="A343" s="757">
        <f t="shared" si="52"/>
        <v>94</v>
      </c>
      <c r="B343" s="297" t="s">
        <v>885</v>
      </c>
      <c r="C343" s="25">
        <f t="shared" si="53"/>
        <v>0</v>
      </c>
      <c r="D343" s="758">
        <f>IF($I$367&lt;&gt;0,D$367/$I$367*$I343,0)</f>
        <v>36295.064829468734</v>
      </c>
      <c r="E343" s="758">
        <f>IF($I$367&lt;&gt;0,E$367/$I$367*$I343,0)</f>
        <v>4930.2629477443988</v>
      </c>
      <c r="F343" s="758">
        <f>IF($I$367&lt;&gt;0,F$367/$I$367*$I343,0)</f>
        <v>65389.775383677203</v>
      </c>
      <c r="G343" s="758">
        <f>IF($I$367&lt;&gt;0,G$367/$I$367*$I343,0)</f>
        <v>53526.055203054901</v>
      </c>
      <c r="H343" s="25">
        <f>SUM(C343:G343)</f>
        <v>160141.15836394526</v>
      </c>
      <c r="I343" s="758">
        <v>202</v>
      </c>
      <c r="J343" s="758">
        <f t="shared" si="55"/>
        <v>792.77801170269925</v>
      </c>
      <c r="K343" s="666">
        <v>8600</v>
      </c>
      <c r="L343" s="666"/>
      <c r="M343" s="189"/>
      <c r="N343" s="772">
        <f t="shared" si="54"/>
        <v>41610</v>
      </c>
      <c r="O343" s="772">
        <v>41613</v>
      </c>
      <c r="P343" s="773" t="s">
        <v>1031</v>
      </c>
      <c r="Q343" s="305"/>
      <c r="R343" s="802"/>
      <c r="S343" s="25">
        <f t="shared" si="56"/>
        <v>0</v>
      </c>
      <c r="T343" s="449"/>
      <c r="U343" s="772"/>
      <c r="V343" s="804"/>
      <c r="W343" s="802"/>
      <c r="X343" s="25">
        <f t="shared" si="57"/>
        <v>0</v>
      </c>
    </row>
    <row r="344" spans="1:24" ht="16.5" customHeight="1">
      <c r="A344" s="757">
        <f t="shared" si="52"/>
        <v>95</v>
      </c>
      <c r="B344" s="297" t="s">
        <v>843</v>
      </c>
      <c r="C344" s="25">
        <f t="shared" si="53"/>
        <v>0</v>
      </c>
      <c r="D344" s="758">
        <f>IF($I$367&lt;&gt;0,D$367/$I$367*$I344,0)</f>
        <v>15272.675794578427</v>
      </c>
      <c r="E344" s="758">
        <f>IF($I$367&lt;&gt;0,E$367/$I$367*$I344,0)</f>
        <v>2074.6155968231383</v>
      </c>
      <c r="F344" s="758">
        <f>IF($I$367&lt;&gt;0,F$367/$I$367*$I344,0)</f>
        <v>27515.499542636448</v>
      </c>
      <c r="G344" s="758">
        <f>IF($I$367&lt;&gt;0,G$367/$I$367*$I344,0)</f>
        <v>22523.340060691418</v>
      </c>
      <c r="H344" s="25">
        <f>SUM(C344:G344)</f>
        <v>67386.130994729436</v>
      </c>
      <c r="I344" s="758">
        <v>85</v>
      </c>
      <c r="J344" s="758">
        <f t="shared" si="55"/>
        <v>792.77801170269925</v>
      </c>
      <c r="K344" s="666">
        <v>11000</v>
      </c>
      <c r="L344" s="666"/>
      <c r="M344" s="189"/>
      <c r="N344" s="772">
        <f t="shared" si="54"/>
        <v>41610</v>
      </c>
      <c r="O344" s="772">
        <v>41613</v>
      </c>
      <c r="P344" s="773" t="s">
        <v>1031</v>
      </c>
      <c r="Q344" s="305"/>
      <c r="R344" s="802"/>
      <c r="S344" s="25">
        <f t="shared" si="56"/>
        <v>0</v>
      </c>
      <c r="T344" s="449"/>
      <c r="U344" s="772"/>
      <c r="V344" s="804"/>
      <c r="W344" s="802"/>
      <c r="X344" s="25">
        <f t="shared" si="57"/>
        <v>0</v>
      </c>
    </row>
    <row r="345" spans="1:24" ht="16.5" customHeight="1">
      <c r="A345" s="757">
        <f t="shared" si="52"/>
        <v>96</v>
      </c>
      <c r="B345" s="297" t="s">
        <v>1150</v>
      </c>
      <c r="C345" s="25">
        <f t="shared" si="53"/>
        <v>0</v>
      </c>
      <c r="D345" s="758">
        <f>IF($I$367&lt;&gt;0,D$367/$I$367*$I345,0)</f>
        <v>485132.05465131474</v>
      </c>
      <c r="E345" s="758">
        <f>IF($I$367&lt;&gt;0,E$367/$I$367*$I345,0)</f>
        <v>65899.554252029091</v>
      </c>
      <c r="F345" s="758">
        <f>IF($I$367&lt;&gt;0,F$367/$I$367*$I345,0)</f>
        <v>874021.75017786364</v>
      </c>
      <c r="G345" s="758">
        <f>IF($I$367&lt;&gt;0,G$367/$I$367*$I345,0)</f>
        <v>715447.27251608041</v>
      </c>
      <c r="H345" s="25">
        <f>SUM(C345:G345)</f>
        <v>2140500.631597288</v>
      </c>
      <c r="I345" s="758">
        <v>2700</v>
      </c>
      <c r="J345" s="758">
        <f t="shared" si="55"/>
        <v>792.77801170269925</v>
      </c>
      <c r="K345" s="666">
        <v>4700</v>
      </c>
      <c r="L345" s="666"/>
      <c r="M345" s="189"/>
      <c r="N345" s="772">
        <f t="shared" si="54"/>
        <v>41612</v>
      </c>
      <c r="O345" s="772">
        <v>41615</v>
      </c>
      <c r="P345" s="773" t="s">
        <v>662</v>
      </c>
      <c r="Q345" s="305"/>
      <c r="R345" s="802"/>
      <c r="S345" s="25">
        <f t="shared" si="56"/>
        <v>0</v>
      </c>
      <c r="T345" s="449"/>
      <c r="U345" s="772"/>
      <c r="V345" s="804"/>
      <c r="W345" s="802"/>
      <c r="X345" s="25">
        <f t="shared" si="57"/>
        <v>0</v>
      </c>
    </row>
    <row r="346" spans="1:24" ht="16.5" customHeight="1">
      <c r="A346" s="757">
        <f t="shared" si="52"/>
        <v>97</v>
      </c>
      <c r="B346" s="297" t="s">
        <v>1142</v>
      </c>
      <c r="C346" s="25">
        <f t="shared" si="53"/>
        <v>0</v>
      </c>
      <c r="D346" s="758">
        <f>IF($I$367&lt;&gt;0,D$367/$I$367*$I346,0)</f>
        <v>189560.85839153224</v>
      </c>
      <c r="E346" s="758">
        <f>IF($I$367&lt;&gt;0,E$367/$I$367*$I346,0)</f>
        <v>25749.640642922481</v>
      </c>
      <c r="F346" s="758">
        <f>IF($I$367&lt;&gt;0,F$367/$I$367*$I346,0)</f>
        <v>341515.90608801704</v>
      </c>
      <c r="G346" s="758">
        <f>IF($I$367&lt;&gt;0,G$367/$I$367*$I346,0)</f>
        <v>279554.39722387586</v>
      </c>
      <c r="H346" s="25">
        <f>SUM(C346:G346)</f>
        <v>836380.8023463476</v>
      </c>
      <c r="I346" s="758">
        <v>1055</v>
      </c>
      <c r="J346" s="758">
        <f t="shared" si="55"/>
        <v>792.77801170269913</v>
      </c>
      <c r="K346" s="666">
        <v>4700</v>
      </c>
      <c r="L346" s="666"/>
      <c r="M346" s="40"/>
      <c r="N346" s="772">
        <f t="shared" si="54"/>
        <v>41617</v>
      </c>
      <c r="O346" s="772">
        <v>41620</v>
      </c>
      <c r="P346" s="773" t="s">
        <v>1032</v>
      </c>
      <c r="Q346" s="305"/>
      <c r="R346" s="802"/>
      <c r="S346" s="25">
        <f t="shared" si="56"/>
        <v>0</v>
      </c>
      <c r="T346" s="449"/>
      <c r="U346" s="772"/>
      <c r="V346" s="804"/>
      <c r="W346" s="802"/>
      <c r="X346" s="25">
        <f t="shared" si="57"/>
        <v>0</v>
      </c>
    </row>
    <row r="347" spans="1:24" ht="16.5" customHeight="1">
      <c r="A347" s="757">
        <f t="shared" si="52"/>
        <v>98</v>
      </c>
      <c r="B347" s="297" t="s">
        <v>1152</v>
      </c>
      <c r="C347" s="25">
        <f t="shared" si="53"/>
        <v>0</v>
      </c>
      <c r="D347" s="758">
        <f>IF($I$367&lt;&gt;0,D$367/$I$367*$I347,0)</f>
        <v>485132.05465131474</v>
      </c>
      <c r="E347" s="758">
        <f>IF($I$367&lt;&gt;0,E$367/$I$367*$I347,0)</f>
        <v>65899.554252029091</v>
      </c>
      <c r="F347" s="758">
        <f>IF($I$367&lt;&gt;0,F$367/$I$367*$I347,0)</f>
        <v>874021.75017786364</v>
      </c>
      <c r="G347" s="758">
        <f>IF($I$367&lt;&gt;0,G$367/$I$367*$I347,0)</f>
        <v>715447.27251608041</v>
      </c>
      <c r="H347" s="25">
        <f>SUM(C347:G347)</f>
        <v>2140500.631597288</v>
      </c>
      <c r="I347" s="758">
        <v>2700</v>
      </c>
      <c r="J347" s="758">
        <f t="shared" si="55"/>
        <v>792.77801170269925</v>
      </c>
      <c r="K347" s="666">
        <v>4550</v>
      </c>
      <c r="L347" s="666"/>
      <c r="M347" s="449"/>
      <c r="N347" s="772">
        <f t="shared" si="54"/>
        <v>41619</v>
      </c>
      <c r="O347" s="772">
        <v>41622</v>
      </c>
      <c r="P347" s="773" t="s">
        <v>1033</v>
      </c>
      <c r="Q347" s="305"/>
      <c r="R347" s="802"/>
      <c r="S347" s="25">
        <f t="shared" si="56"/>
        <v>0</v>
      </c>
      <c r="T347" s="449"/>
      <c r="U347" s="772"/>
      <c r="V347" s="804"/>
      <c r="W347" s="802"/>
      <c r="X347" s="25">
        <f t="shared" si="57"/>
        <v>0</v>
      </c>
    </row>
    <row r="348" spans="1:24" ht="16.5" customHeight="1">
      <c r="A348" s="757">
        <f t="shared" si="52"/>
        <v>99</v>
      </c>
      <c r="B348" s="297" t="s">
        <v>838</v>
      </c>
      <c r="C348" s="25">
        <f t="shared" si="53"/>
        <v>0</v>
      </c>
      <c r="D348" s="758">
        <f>IF($I$367&lt;&gt;0,D$367/$I$367*$I348,0)</f>
        <v>185068.8949225386</v>
      </c>
      <c r="E348" s="758">
        <f>IF($I$367&lt;&gt;0,E$367/$I$367*$I348,0)</f>
        <v>25139.459585033321</v>
      </c>
      <c r="F348" s="758">
        <f>IF($I$367&lt;&gt;0,F$367/$I$367*$I348,0)</f>
        <v>333423.11210488871</v>
      </c>
      <c r="G348" s="758">
        <f>IF($I$367&lt;&gt;0,G$367/$I$367*$I348,0)</f>
        <v>272929.88544131955</v>
      </c>
      <c r="H348" s="25">
        <f>SUM(C348:G348)</f>
        <v>816561.35205378023</v>
      </c>
      <c r="I348" s="758">
        <v>1030</v>
      </c>
      <c r="J348" s="758">
        <f t="shared" si="55"/>
        <v>792.77801170269925</v>
      </c>
      <c r="K348" s="666">
        <v>10500</v>
      </c>
      <c r="L348" s="666"/>
      <c r="M348" s="189"/>
      <c r="N348" s="772">
        <f t="shared" si="54"/>
        <v>41621</v>
      </c>
      <c r="O348" s="772">
        <v>41624</v>
      </c>
      <c r="P348" s="773" t="s">
        <v>1034</v>
      </c>
      <c r="Q348" s="305"/>
      <c r="R348" s="802"/>
      <c r="S348" s="25">
        <f t="shared" si="56"/>
        <v>0</v>
      </c>
      <c r="T348" s="449"/>
      <c r="U348" s="772"/>
      <c r="V348" s="804"/>
      <c r="W348" s="802"/>
      <c r="X348" s="25">
        <f t="shared" si="57"/>
        <v>0</v>
      </c>
    </row>
    <row r="349" spans="1:24" ht="16.5" customHeight="1">
      <c r="A349" s="757">
        <f t="shared" si="52"/>
        <v>100</v>
      </c>
      <c r="B349" s="297" t="s">
        <v>1152</v>
      </c>
      <c r="C349" s="25">
        <f t="shared" si="53"/>
        <v>0</v>
      </c>
      <c r="D349" s="758">
        <f>IF($I$367&lt;&gt;0,D$367/$I$367*$I349,0)</f>
        <v>485132.05465131474</v>
      </c>
      <c r="E349" s="758">
        <f>IF($I$367&lt;&gt;0,E$367/$I$367*$I349,0)</f>
        <v>65899.554252029091</v>
      </c>
      <c r="F349" s="758">
        <f>IF($I$367&lt;&gt;0,F$367/$I$367*$I349,0)</f>
        <v>874021.75017786364</v>
      </c>
      <c r="G349" s="758">
        <f>IF($I$367&lt;&gt;0,G$367/$I$367*$I349,0)</f>
        <v>715447.27251608041</v>
      </c>
      <c r="H349" s="25">
        <f>SUM(C349:G349)</f>
        <v>2140500.631597288</v>
      </c>
      <c r="I349" s="758">
        <v>2700</v>
      </c>
      <c r="J349" s="758">
        <f t="shared" si="55"/>
        <v>792.77801170269925</v>
      </c>
      <c r="K349" s="666">
        <v>4550</v>
      </c>
      <c r="L349" s="666"/>
      <c r="M349" s="40"/>
      <c r="N349" s="772">
        <f t="shared" si="54"/>
        <v>41622</v>
      </c>
      <c r="O349" s="772">
        <v>41625</v>
      </c>
      <c r="P349" s="773" t="s">
        <v>1035</v>
      </c>
      <c r="Q349" s="305"/>
      <c r="R349" s="802"/>
      <c r="S349" s="25">
        <f t="shared" si="56"/>
        <v>0</v>
      </c>
      <c r="T349" s="449"/>
      <c r="U349" s="772"/>
      <c r="V349" s="804"/>
      <c r="W349" s="802"/>
      <c r="X349" s="25">
        <f t="shared" si="57"/>
        <v>0</v>
      </c>
    </row>
    <row r="350" spans="1:24" ht="16.5" customHeight="1">
      <c r="A350" s="757">
        <f t="shared" si="52"/>
        <v>101</v>
      </c>
      <c r="B350" s="297" t="s">
        <v>838</v>
      </c>
      <c r="C350" s="25">
        <f t="shared" si="53"/>
        <v>0</v>
      </c>
      <c r="D350" s="758">
        <f>IF($I$367&lt;&gt;0,D$367/$I$367*$I350,0)</f>
        <v>90737.662073671832</v>
      </c>
      <c r="E350" s="758">
        <f>IF($I$367&lt;&gt;0,E$367/$I$367*$I350,0)</f>
        <v>12325.657369360997</v>
      </c>
      <c r="F350" s="758">
        <f>IF($I$367&lt;&gt;0,F$367/$I$367*$I350,0)</f>
        <v>163474.43845919301</v>
      </c>
      <c r="G350" s="758">
        <f>IF($I$367&lt;&gt;0,G$367/$I$367*$I350,0)</f>
        <v>133815.13800763726</v>
      </c>
      <c r="H350" s="25">
        <f>SUM(C350:G350)</f>
        <v>400352.89590986306</v>
      </c>
      <c r="I350" s="758">
        <v>505</v>
      </c>
      <c r="J350" s="758">
        <f t="shared" si="55"/>
        <v>792.77801170269913</v>
      </c>
      <c r="K350" s="666">
        <v>10500</v>
      </c>
      <c r="L350" s="666"/>
      <c r="M350" s="189"/>
      <c r="N350" s="772">
        <f t="shared" si="54"/>
        <v>41623</v>
      </c>
      <c r="O350" s="772">
        <v>41626</v>
      </c>
      <c r="P350" s="773" t="s">
        <v>1036</v>
      </c>
      <c r="Q350" s="305"/>
      <c r="R350" s="802"/>
      <c r="S350" s="25">
        <f t="shared" si="56"/>
        <v>0</v>
      </c>
      <c r="T350" s="449"/>
      <c r="U350" s="772"/>
      <c r="V350" s="804"/>
      <c r="W350" s="802"/>
      <c r="X350" s="25">
        <f t="shared" si="57"/>
        <v>0</v>
      </c>
    </row>
    <row r="351" spans="1:24" ht="16.5" customHeight="1">
      <c r="A351" s="757">
        <f t="shared" si="52"/>
        <v>102</v>
      </c>
      <c r="B351" s="297" t="s">
        <v>1131</v>
      </c>
      <c r="C351" s="25">
        <f t="shared" si="53"/>
        <v>0</v>
      </c>
      <c r="D351" s="758">
        <f>IF($I$367&lt;&gt;0,D$367/$I$367*$I351,0)</f>
        <v>46536.741538774266</v>
      </c>
      <c r="E351" s="758">
        <f>IF($I$367&lt;&gt;0,E$367/$I$367*$I351,0)</f>
        <v>6321.4757597316802</v>
      </c>
      <c r="F351" s="758">
        <f>IF($I$367&lt;&gt;0,F$367/$I$367*$I351,0)</f>
        <v>83841.345665209883</v>
      </c>
      <c r="G351" s="758">
        <f>IF($I$367&lt;&gt;0,G$367/$I$367*$I351,0)</f>
        <v>68629.942067283264</v>
      </c>
      <c r="H351" s="25">
        <f>SUM(C351:G351)</f>
        <v>205329.50503099908</v>
      </c>
      <c r="I351" s="758">
        <v>259</v>
      </c>
      <c r="J351" s="758">
        <f t="shared" si="55"/>
        <v>792.77801170269913</v>
      </c>
      <c r="K351" s="666">
        <v>6400</v>
      </c>
      <c r="L351" s="666"/>
      <c r="M351" s="189"/>
      <c r="N351" s="772">
        <f t="shared" si="54"/>
        <v>41625</v>
      </c>
      <c r="O351" s="772">
        <v>41628</v>
      </c>
      <c r="P351" s="773" t="s">
        <v>1037</v>
      </c>
      <c r="Q351" s="305"/>
      <c r="R351" s="802"/>
      <c r="S351" s="25">
        <f t="shared" si="56"/>
        <v>0</v>
      </c>
      <c r="T351" s="449"/>
      <c r="U351" s="772"/>
      <c r="V351" s="804"/>
      <c r="W351" s="802"/>
      <c r="X351" s="25">
        <f t="shared" si="57"/>
        <v>0</v>
      </c>
    </row>
    <row r="352" spans="1:24" ht="16.5" customHeight="1">
      <c r="A352" s="757">
        <f t="shared" si="52"/>
        <v>103</v>
      </c>
      <c r="B352" s="297" t="s">
        <v>1132</v>
      </c>
      <c r="C352" s="25">
        <f t="shared" si="53"/>
        <v>0</v>
      </c>
      <c r="D352" s="758">
        <f>IF($I$367&lt;&gt;0,D$367/$I$367*$I352,0)</f>
        <v>18506.88949225386</v>
      </c>
      <c r="E352" s="758">
        <f>IF($I$367&lt;&gt;0,E$367/$I$367*$I352,0)</f>
        <v>2513.9459585033323</v>
      </c>
      <c r="F352" s="758">
        <f>IF($I$367&lt;&gt;0,F$367/$I$367*$I352,0)</f>
        <v>33342.311210488871</v>
      </c>
      <c r="G352" s="758">
        <f>IF($I$367&lt;&gt;0,G$367/$I$367*$I352,0)</f>
        <v>27292.988544131957</v>
      </c>
      <c r="H352" s="25">
        <f>SUM(C352:G352)</f>
        <v>81656.135205378028</v>
      </c>
      <c r="I352" s="758">
        <v>103</v>
      </c>
      <c r="J352" s="758">
        <f t="shared" si="55"/>
        <v>792.77801170269936</v>
      </c>
      <c r="K352" s="666">
        <v>13500</v>
      </c>
      <c r="L352" s="666"/>
      <c r="M352" s="189"/>
      <c r="N352" s="772">
        <f t="shared" si="54"/>
        <v>41625</v>
      </c>
      <c r="O352" s="772">
        <v>41628</v>
      </c>
      <c r="P352" s="773" t="s">
        <v>1037</v>
      </c>
      <c r="Q352" s="305"/>
      <c r="R352" s="802"/>
      <c r="S352" s="25">
        <f t="shared" si="56"/>
        <v>0</v>
      </c>
      <c r="T352" s="449"/>
      <c r="U352" s="772"/>
      <c r="V352" s="804"/>
      <c r="W352" s="802"/>
      <c r="X352" s="25">
        <f t="shared" si="57"/>
        <v>0</v>
      </c>
    </row>
    <row r="353" spans="1:24" ht="16.5" customHeight="1">
      <c r="A353" s="757">
        <f t="shared" si="52"/>
        <v>104</v>
      </c>
      <c r="B353" s="297" t="s">
        <v>1133</v>
      </c>
      <c r="C353" s="25">
        <f t="shared" si="53"/>
        <v>0</v>
      </c>
      <c r="D353" s="758">
        <f>IF($I$367&lt;&gt;0,D$367/$I$367*$I353,0)</f>
        <v>50849.026469008175</v>
      </c>
      <c r="E353" s="758">
        <f>IF($I$367&lt;&gt;0,E$367/$I$367*$I353,0)</f>
        <v>6907.2495753052717</v>
      </c>
      <c r="F353" s="758">
        <f>IF($I$367&lt;&gt;0,F$367/$I$367*$I353,0)</f>
        <v>91610.42788901311</v>
      </c>
      <c r="G353" s="758">
        <f>IF($I$367&lt;&gt;0,G$367/$I$367*$I353,0)</f>
        <v>74989.47337853731</v>
      </c>
      <c r="H353" s="25">
        <f>SUM(C353:G353)</f>
        <v>224356.17731186387</v>
      </c>
      <c r="I353" s="758">
        <v>283</v>
      </c>
      <c r="J353" s="758">
        <f t="shared" si="55"/>
        <v>792.77801170269913</v>
      </c>
      <c r="K353" s="666">
        <v>9400</v>
      </c>
      <c r="L353" s="666"/>
      <c r="M353" s="40"/>
      <c r="N353" s="772">
        <f t="shared" si="54"/>
        <v>41625</v>
      </c>
      <c r="O353" s="772">
        <v>41628</v>
      </c>
      <c r="P353" s="773" t="s">
        <v>1037</v>
      </c>
      <c r="Q353" s="305"/>
      <c r="R353" s="802"/>
      <c r="S353" s="25">
        <f t="shared" si="56"/>
        <v>0</v>
      </c>
      <c r="T353" s="449"/>
      <c r="U353" s="772"/>
      <c r="V353" s="804"/>
      <c r="W353" s="802"/>
      <c r="X353" s="25">
        <f t="shared" si="57"/>
        <v>0</v>
      </c>
    </row>
    <row r="354" spans="1:24" ht="16.5" customHeight="1">
      <c r="A354" s="757">
        <f t="shared" si="52"/>
        <v>105</v>
      </c>
      <c r="B354" s="297" t="s">
        <v>1134</v>
      </c>
      <c r="C354" s="25">
        <f t="shared" si="53"/>
        <v>0</v>
      </c>
      <c r="D354" s="758">
        <f>IF($I$367&lt;&gt;0,D$367/$I$367*$I354,0)</f>
        <v>36474.743368228483</v>
      </c>
      <c r="E354" s="758">
        <f>IF($I$367&lt;&gt;0,E$367/$I$367*$I354,0)</f>
        <v>4954.6701900599655</v>
      </c>
      <c r="F354" s="758">
        <f>IF($I$367&lt;&gt;0,F$367/$I$367*$I354,0)</f>
        <v>65713.487143002334</v>
      </c>
      <c r="G354" s="758">
        <f>IF($I$367&lt;&gt;0,G$367/$I$367*$I354,0)</f>
        <v>53791.035674357154</v>
      </c>
      <c r="H354" s="25">
        <f>SUM(C354:G354)</f>
        <v>160933.93637564793</v>
      </c>
      <c r="I354" s="758">
        <v>203</v>
      </c>
      <c r="J354" s="758">
        <f t="shared" si="55"/>
        <v>792.77801170269913</v>
      </c>
      <c r="K354" s="666">
        <v>12900</v>
      </c>
      <c r="L354" s="666"/>
      <c r="M354" s="40"/>
      <c r="N354" s="772">
        <f t="shared" si="54"/>
        <v>41625</v>
      </c>
      <c r="O354" s="772">
        <v>41628</v>
      </c>
      <c r="P354" s="773" t="s">
        <v>1037</v>
      </c>
      <c r="Q354" s="305"/>
      <c r="R354" s="802"/>
      <c r="S354" s="25">
        <f t="shared" si="56"/>
        <v>0</v>
      </c>
      <c r="T354" s="449"/>
      <c r="U354" s="772"/>
      <c r="V354" s="804"/>
      <c r="W354" s="802"/>
      <c r="X354" s="25">
        <f t="shared" si="57"/>
        <v>0</v>
      </c>
    </row>
    <row r="355" spans="1:24" ht="16.5" customHeight="1">
      <c r="A355" s="757">
        <f t="shared" si="52"/>
        <v>106</v>
      </c>
      <c r="B355" s="297" t="s">
        <v>1135</v>
      </c>
      <c r="C355" s="25">
        <f t="shared" si="53"/>
        <v>0</v>
      </c>
      <c r="D355" s="758">
        <f>IF($I$367&lt;&gt;0,D$367/$I$367*$I355,0)</f>
        <v>42763.492224819594</v>
      </c>
      <c r="E355" s="758">
        <f>IF($I$367&lt;&gt;0,E$367/$I$367*$I355,0)</f>
        <v>5808.923671104787</v>
      </c>
      <c r="F355" s="758">
        <f>IF($I$367&lt;&gt;0,F$367/$I$367*$I355,0)</f>
        <v>77043.39871938205</v>
      </c>
      <c r="G355" s="758">
        <f>IF($I$367&lt;&gt;0,G$367/$I$367*$I355,0)</f>
        <v>63065.352169935977</v>
      </c>
      <c r="H355" s="25">
        <f>SUM(C355:G355)</f>
        <v>188681.16678524241</v>
      </c>
      <c r="I355" s="758">
        <v>238</v>
      </c>
      <c r="J355" s="758">
        <f t="shared" si="55"/>
        <v>792.77801170269925</v>
      </c>
      <c r="K355" s="666">
        <v>7000</v>
      </c>
      <c r="L355" s="666"/>
      <c r="M355" s="40"/>
      <c r="N355" s="772">
        <f t="shared" si="54"/>
        <v>41625</v>
      </c>
      <c r="O355" s="772">
        <v>41628</v>
      </c>
      <c r="P355" s="773" t="s">
        <v>1037</v>
      </c>
      <c r="Q355" s="305"/>
      <c r="R355" s="802"/>
      <c r="S355" s="25">
        <f t="shared" si="56"/>
        <v>0</v>
      </c>
      <c r="T355" s="449"/>
      <c r="U355" s="772"/>
      <c r="V355" s="804"/>
      <c r="W355" s="802"/>
      <c r="X355" s="25">
        <f t="shared" si="57"/>
        <v>0</v>
      </c>
    </row>
    <row r="356" spans="1:24" ht="16.5" customHeight="1">
      <c r="A356" s="757">
        <f t="shared" si="52"/>
        <v>107</v>
      </c>
      <c r="B356" s="297" t="s">
        <v>885</v>
      </c>
      <c r="C356" s="25">
        <f t="shared" si="53"/>
        <v>0</v>
      </c>
      <c r="D356" s="758">
        <f>IF($I$367&lt;&gt;0,D$367/$I$367*$I356,0)</f>
        <v>79238.23559304807</v>
      </c>
      <c r="E356" s="758">
        <f>IF($I$367&lt;&gt;0,E$367/$I$367*$I356,0)</f>
        <v>10763.593861164753</v>
      </c>
      <c r="F356" s="758">
        <f>IF($I$367&lt;&gt;0,F$367/$I$367*$I356,0)</f>
        <v>142756.8858623844</v>
      </c>
      <c r="G356" s="758">
        <f>IF($I$367&lt;&gt;0,G$367/$I$367*$I356,0)</f>
        <v>116856.38784429313</v>
      </c>
      <c r="H356" s="25">
        <f>SUM(C356:G356)</f>
        <v>349615.10316089034</v>
      </c>
      <c r="I356" s="758">
        <v>441</v>
      </c>
      <c r="J356" s="758">
        <f t="shared" si="55"/>
        <v>792.77801170269925</v>
      </c>
      <c r="K356" s="666">
        <v>8600</v>
      </c>
      <c r="L356" s="666"/>
      <c r="M356" s="40"/>
      <c r="N356" s="772">
        <f t="shared" si="54"/>
        <v>41625</v>
      </c>
      <c r="O356" s="772">
        <v>41628</v>
      </c>
      <c r="P356" s="773" t="s">
        <v>1037</v>
      </c>
      <c r="Q356" s="305"/>
      <c r="R356" s="802"/>
      <c r="S356" s="25">
        <f t="shared" si="56"/>
        <v>0</v>
      </c>
      <c r="T356" s="449"/>
      <c r="U356" s="772"/>
      <c r="V356" s="804"/>
      <c r="W356" s="802"/>
      <c r="X356" s="25">
        <f t="shared" si="57"/>
        <v>0</v>
      </c>
    </row>
    <row r="357" spans="1:24" ht="16.5" customHeight="1">
      <c r="A357" s="757">
        <f t="shared" si="52"/>
        <v>108</v>
      </c>
      <c r="B357" s="297" t="s">
        <v>1038</v>
      </c>
      <c r="C357" s="25">
        <f t="shared" si="53"/>
        <v>0</v>
      </c>
      <c r="D357" s="758">
        <f>IF($I$367&lt;&gt;0,D$367/$I$367*$I357,0)</f>
        <v>18686.568031013605</v>
      </c>
      <c r="E357" s="758">
        <f>IF($I$367&lt;&gt;0,E$367/$I$367*$I357,0)</f>
        <v>2538.3532008188986</v>
      </c>
      <c r="F357" s="758">
        <f>IF($I$367&lt;&gt;0,F$367/$I$367*$I357,0)</f>
        <v>33666.022969814003</v>
      </c>
      <c r="G357" s="758">
        <f>IF($I$367&lt;&gt;0,G$367/$I$367*$I357,0)</f>
        <v>27557.96901543421</v>
      </c>
      <c r="H357" s="25">
        <f>SUM(C357:G357)</f>
        <v>82448.913217080713</v>
      </c>
      <c r="I357" s="758">
        <v>104</v>
      </c>
      <c r="J357" s="758">
        <f t="shared" si="55"/>
        <v>792.77801170269913</v>
      </c>
      <c r="K357" s="666">
        <v>8000</v>
      </c>
      <c r="L357" s="666"/>
      <c r="M357" s="40"/>
      <c r="N357" s="772">
        <f t="shared" si="54"/>
        <v>41625</v>
      </c>
      <c r="O357" s="772">
        <v>41628</v>
      </c>
      <c r="P357" s="773" t="s">
        <v>1037</v>
      </c>
      <c r="Q357" s="305"/>
      <c r="R357" s="802"/>
      <c r="S357" s="25">
        <f t="shared" si="56"/>
        <v>0</v>
      </c>
      <c r="T357" s="449"/>
      <c r="U357" s="772"/>
      <c r="V357" s="804"/>
      <c r="W357" s="802"/>
      <c r="X357" s="25">
        <f t="shared" si="57"/>
        <v>0</v>
      </c>
    </row>
    <row r="358" spans="1:24" ht="16.5" customHeight="1">
      <c r="A358" s="757">
        <f t="shared" si="52"/>
        <v>109</v>
      </c>
      <c r="B358" s="297" t="s">
        <v>844</v>
      </c>
      <c r="C358" s="25">
        <f t="shared" si="53"/>
        <v>0</v>
      </c>
      <c r="D358" s="758">
        <f>IF($I$367&lt;&gt;0,D$367/$I$367*$I358,0)</f>
        <v>18327.210953494112</v>
      </c>
      <c r="E358" s="758">
        <f>IF($I$367&lt;&gt;0,E$367/$I$367*$I358,0)</f>
        <v>2489.5387161877661</v>
      </c>
      <c r="F358" s="758">
        <f>IF($I$367&lt;&gt;0,F$367/$I$367*$I358,0)</f>
        <v>33018.599451163733</v>
      </c>
      <c r="G358" s="758">
        <f>IF($I$367&lt;&gt;0,G$367/$I$367*$I358,0)</f>
        <v>27028.008072829703</v>
      </c>
      <c r="H358" s="25">
        <f>SUM(C358:G358)</f>
        <v>80863.357193675314</v>
      </c>
      <c r="I358" s="758">
        <v>102</v>
      </c>
      <c r="J358" s="758">
        <f t="shared" si="55"/>
        <v>792.77801170269913</v>
      </c>
      <c r="K358" s="666">
        <v>10500</v>
      </c>
      <c r="L358" s="666"/>
      <c r="M358" s="40"/>
      <c r="N358" s="772">
        <f t="shared" si="54"/>
        <v>41625</v>
      </c>
      <c r="O358" s="772">
        <v>41628</v>
      </c>
      <c r="P358" s="773" t="s">
        <v>1037</v>
      </c>
      <c r="Q358" s="305"/>
      <c r="R358" s="802"/>
      <c r="S358" s="25">
        <f t="shared" si="56"/>
        <v>0</v>
      </c>
      <c r="T358" s="449"/>
      <c r="U358" s="772"/>
      <c r="V358" s="804"/>
      <c r="W358" s="802"/>
      <c r="X358" s="25">
        <f t="shared" si="57"/>
        <v>0</v>
      </c>
    </row>
    <row r="359" spans="1:24" ht="16.5" customHeight="1">
      <c r="A359" s="757">
        <f t="shared" si="52"/>
        <v>110</v>
      </c>
      <c r="B359" s="297" t="s">
        <v>1156</v>
      </c>
      <c r="C359" s="25">
        <f t="shared" si="53"/>
        <v>0</v>
      </c>
      <c r="D359" s="758">
        <f>IF($I$367&lt;&gt;0,D$367/$I$367*$I359,0)</f>
        <v>273111.37891481421</v>
      </c>
      <c r="E359" s="758">
        <f>IF($I$367&lt;&gt;0,E$367/$I$367*$I359,0)</f>
        <v>37099.008319660825</v>
      </c>
      <c r="F359" s="758">
        <f>IF($I$367&lt;&gt;0,F$367/$I$367*$I359,0)</f>
        <v>492041.87417420471</v>
      </c>
      <c r="G359" s="758">
        <f>IF($I$367&lt;&gt;0,G$367/$I$367*$I359,0)</f>
        <v>402770.31637942302</v>
      </c>
      <c r="H359" s="25">
        <f>SUM(C359:G359)</f>
        <v>1205022.5777881029</v>
      </c>
      <c r="I359" s="758">
        <v>1520</v>
      </c>
      <c r="J359" s="758">
        <f t="shared" si="55"/>
        <v>792.77801170269925</v>
      </c>
      <c r="K359" s="666">
        <v>4650</v>
      </c>
      <c r="L359" s="666"/>
      <c r="M359" s="40"/>
      <c r="N359" s="772">
        <f t="shared" si="54"/>
        <v>41628</v>
      </c>
      <c r="O359" s="772">
        <v>41631</v>
      </c>
      <c r="P359" s="773" t="s">
        <v>1039</v>
      </c>
      <c r="Q359" s="305"/>
      <c r="R359" s="802"/>
      <c r="S359" s="25">
        <f t="shared" si="56"/>
        <v>0</v>
      </c>
      <c r="T359" s="449"/>
      <c r="U359" s="772"/>
      <c r="V359" s="804"/>
      <c r="W359" s="802"/>
      <c r="X359" s="25">
        <f t="shared" si="57"/>
        <v>0</v>
      </c>
    </row>
    <row r="360" spans="1:24" ht="16.5" customHeight="1">
      <c r="A360" s="757">
        <f t="shared" si="52"/>
        <v>111</v>
      </c>
      <c r="B360" s="297" t="s">
        <v>731</v>
      </c>
      <c r="C360" s="25">
        <f t="shared" si="53"/>
        <v>0</v>
      </c>
      <c r="D360" s="758">
        <f>IF($I$367&lt;&gt;0,D$367/$I$367*$I360,0)</f>
        <v>176084.96798455127</v>
      </c>
      <c r="E360" s="758">
        <f>IF($I$367&lt;&gt;0,E$367/$I$367*$I360,0)</f>
        <v>23919.097469255004</v>
      </c>
      <c r="F360" s="758">
        <f>IF($I$367&lt;&gt;0,F$367/$I$367*$I360,0)</f>
        <v>317237.524138632</v>
      </c>
      <c r="G360" s="758">
        <f>IF($I$367&lt;&gt;0,G$367/$I$367*$I360,0)</f>
        <v>259680.86187620697</v>
      </c>
      <c r="H360" s="25">
        <f>SUM(C360:G360)</f>
        <v>776922.45146864525</v>
      </c>
      <c r="I360" s="758">
        <v>980</v>
      </c>
      <c r="J360" s="758">
        <f t="shared" si="55"/>
        <v>792.77801170269925</v>
      </c>
      <c r="K360" s="666">
        <v>8740</v>
      </c>
      <c r="L360" s="666"/>
      <c r="M360" s="40"/>
      <c r="N360" s="772">
        <f t="shared" si="54"/>
        <v>41630</v>
      </c>
      <c r="O360" s="772">
        <v>41633</v>
      </c>
      <c r="P360" s="773" t="s">
        <v>1040</v>
      </c>
      <c r="Q360" s="305"/>
      <c r="R360" s="802"/>
      <c r="S360" s="25">
        <f t="shared" si="56"/>
        <v>0</v>
      </c>
      <c r="T360" s="449"/>
      <c r="U360" s="772"/>
      <c r="V360" s="804"/>
      <c r="W360" s="802"/>
      <c r="X360" s="25">
        <f t="shared" si="57"/>
        <v>0</v>
      </c>
    </row>
    <row r="361" spans="1:24" ht="16.5" customHeight="1">
      <c r="A361" s="757">
        <f t="shared" si="52"/>
        <v>112</v>
      </c>
      <c r="B361" s="297" t="s">
        <v>877</v>
      </c>
      <c r="C361" s="25">
        <f t="shared" si="53"/>
        <v>0</v>
      </c>
      <c r="D361" s="758">
        <f>IF($I$367&lt;&gt;0,D$367/$I$367*$I361,0)</f>
        <v>10780.712325584773</v>
      </c>
      <c r="E361" s="758">
        <f>IF($I$367&lt;&gt;0,E$367/$I$367*$I361,0)</f>
        <v>1464.4345389339799</v>
      </c>
      <c r="F361" s="758">
        <f>IF($I$367&lt;&gt;0,F$367/$I$367*$I361,0)</f>
        <v>19422.705559508078</v>
      </c>
      <c r="G361" s="758">
        <f>IF($I$367&lt;&gt;0,G$367/$I$367*$I361,0)</f>
        <v>15898.828278135119</v>
      </c>
      <c r="H361" s="25">
        <f>SUM(C361:G361)</f>
        <v>47566.680702161946</v>
      </c>
      <c r="I361" s="758">
        <v>60</v>
      </c>
      <c r="J361" s="758">
        <f t="shared" si="55"/>
        <v>792.77801170269913</v>
      </c>
      <c r="K361" s="666">
        <v>38800</v>
      </c>
      <c r="L361" s="666"/>
      <c r="M361" s="189"/>
      <c r="N361" s="772">
        <f t="shared" si="54"/>
        <v>41632</v>
      </c>
      <c r="O361" s="772">
        <v>41635</v>
      </c>
      <c r="P361" s="773" t="s">
        <v>1041</v>
      </c>
      <c r="Q361" s="305"/>
      <c r="R361" s="802"/>
      <c r="S361" s="25">
        <f t="shared" si="56"/>
        <v>0</v>
      </c>
      <c r="T361" s="449"/>
      <c r="U361" s="772"/>
      <c r="V361" s="804"/>
      <c r="W361" s="802"/>
      <c r="X361" s="25">
        <f t="shared" si="57"/>
        <v>0</v>
      </c>
    </row>
    <row r="362" spans="1:24" ht="16.5" customHeight="1">
      <c r="A362" s="757">
        <f t="shared" si="52"/>
        <v>113</v>
      </c>
      <c r="B362" s="297" t="s">
        <v>880</v>
      </c>
      <c r="C362" s="25">
        <f t="shared" si="53"/>
        <v>0</v>
      </c>
      <c r="D362" s="758">
        <f>IF($I$367&lt;&gt;0,D$367/$I$367*$I362,0)</f>
        <v>1796.785387597462</v>
      </c>
      <c r="E362" s="758">
        <f>IF($I$367&lt;&gt;0,E$367/$I$367*$I362,0)</f>
        <v>244.07242315566333</v>
      </c>
      <c r="F362" s="758">
        <f>IF($I$367&lt;&gt;0,F$367/$I$367*$I362,0)</f>
        <v>3237.1175932513465</v>
      </c>
      <c r="G362" s="758">
        <f>IF($I$367&lt;&gt;0,G$367/$I$367*$I362,0)</f>
        <v>2649.80471302252</v>
      </c>
      <c r="H362" s="25">
        <f>SUM(C362:G362)</f>
        <v>7927.7801170269922</v>
      </c>
      <c r="I362" s="758">
        <v>10</v>
      </c>
      <c r="J362" s="758">
        <f t="shared" si="55"/>
        <v>792.77801170269925</v>
      </c>
      <c r="K362" s="666">
        <v>45000</v>
      </c>
      <c r="L362" s="666"/>
      <c r="M362" s="40"/>
      <c r="N362" s="772">
        <f t="shared" si="54"/>
        <v>41632</v>
      </c>
      <c r="O362" s="772">
        <v>41635</v>
      </c>
      <c r="P362" s="773" t="s">
        <v>1041</v>
      </c>
      <c r="Q362" s="305"/>
      <c r="R362" s="802"/>
      <c r="S362" s="25">
        <f t="shared" si="56"/>
        <v>0</v>
      </c>
      <c r="T362" s="449"/>
      <c r="U362" s="772"/>
      <c r="V362" s="804"/>
      <c r="W362" s="802"/>
      <c r="X362" s="25">
        <f t="shared" si="57"/>
        <v>0</v>
      </c>
    </row>
    <row r="363" spans="1:24" ht="16.5" customHeight="1">
      <c r="A363" s="757">
        <f t="shared" si="52"/>
        <v>114</v>
      </c>
      <c r="B363" s="297" t="s">
        <v>1020</v>
      </c>
      <c r="C363" s="25">
        <f t="shared" si="53"/>
        <v>0</v>
      </c>
      <c r="D363" s="758">
        <f>IF($I$367&lt;&gt;0,D$367/$I$367*$I363,0)</f>
        <v>3593.570775194924</v>
      </c>
      <c r="E363" s="758">
        <f>IF($I$367&lt;&gt;0,E$367/$I$367*$I363,0)</f>
        <v>488.14484631132666</v>
      </c>
      <c r="F363" s="758">
        <f>IF($I$367&lt;&gt;0,F$367/$I$367*$I363,0)</f>
        <v>6474.2351865026931</v>
      </c>
      <c r="G363" s="758">
        <f>IF($I$367&lt;&gt;0,G$367/$I$367*$I363,0)</f>
        <v>5299.60942604504</v>
      </c>
      <c r="H363" s="25">
        <f>SUM(C363:G363)</f>
        <v>15855.560234053984</v>
      </c>
      <c r="I363" s="758">
        <v>20</v>
      </c>
      <c r="J363" s="758">
        <f t="shared" si="55"/>
        <v>792.77801170269925</v>
      </c>
      <c r="K363" s="666">
        <v>45300</v>
      </c>
      <c r="L363" s="666"/>
      <c r="M363" s="189"/>
      <c r="N363" s="772">
        <f t="shared" si="54"/>
        <v>41632</v>
      </c>
      <c r="O363" s="772">
        <v>41635</v>
      </c>
      <c r="P363" s="773" t="s">
        <v>1041</v>
      </c>
      <c r="Q363" s="305"/>
      <c r="R363" s="802"/>
      <c r="S363" s="25">
        <f t="shared" si="56"/>
        <v>0</v>
      </c>
      <c r="T363" s="449"/>
      <c r="U363" s="772"/>
      <c r="V363" s="804"/>
      <c r="W363" s="802"/>
      <c r="X363" s="25">
        <f t="shared" si="57"/>
        <v>0</v>
      </c>
    </row>
    <row r="364" spans="1:24" ht="16.5" customHeight="1">
      <c r="A364" s="757">
        <f t="shared" si="52"/>
        <v>115</v>
      </c>
      <c r="B364" s="297" t="s">
        <v>1152</v>
      </c>
      <c r="C364" s="25">
        <f t="shared" si="53"/>
        <v>0</v>
      </c>
      <c r="D364" s="758">
        <f>IF($I$367&lt;&gt;0,D$367/$I$367*$I364,0)</f>
        <v>412362.24645361752</v>
      </c>
      <c r="E364" s="758">
        <f>IF($I$367&lt;&gt;0,E$367/$I$367*$I364,0)</f>
        <v>56014.621114224734</v>
      </c>
      <c r="F364" s="758">
        <f>IF($I$367&lt;&gt;0,F$367/$I$367*$I364,0)</f>
        <v>742918.48765118408</v>
      </c>
      <c r="G364" s="758">
        <f>IF($I$367&lt;&gt;0,G$367/$I$367*$I364,0)</f>
        <v>608130.18163866829</v>
      </c>
      <c r="H364" s="25">
        <f>SUM(C364:G364)</f>
        <v>1819425.5368576946</v>
      </c>
      <c r="I364" s="758">
        <v>2295</v>
      </c>
      <c r="J364" s="758">
        <f t="shared" si="55"/>
        <v>792.77801170269913</v>
      </c>
      <c r="K364" s="666">
        <v>4550</v>
      </c>
      <c r="L364" s="666"/>
      <c r="M364" s="189"/>
      <c r="N364" s="772">
        <f t="shared" si="54"/>
        <v>41632</v>
      </c>
      <c r="O364" s="772">
        <v>41635</v>
      </c>
      <c r="P364" s="773" t="s">
        <v>1042</v>
      </c>
      <c r="Q364" s="305"/>
      <c r="R364" s="802"/>
      <c r="S364" s="25">
        <f t="shared" si="56"/>
        <v>0</v>
      </c>
      <c r="T364" s="449"/>
      <c r="U364" s="772"/>
      <c r="V364" s="804"/>
      <c r="W364" s="802"/>
      <c r="X364" s="25">
        <f t="shared" si="57"/>
        <v>0</v>
      </c>
    </row>
    <row r="365" spans="1:24" ht="16.5" customHeight="1">
      <c r="A365" s="757">
        <f t="shared" si="52"/>
        <v>116</v>
      </c>
      <c r="B365" s="297" t="s">
        <v>1141</v>
      </c>
      <c r="C365" s="25">
        <f t="shared" si="53"/>
        <v>0</v>
      </c>
      <c r="D365" s="758">
        <f>IF($I$367&lt;&gt;0,D$367/$I$367*$I365,0)</f>
        <v>20123.996341091573</v>
      </c>
      <c r="E365" s="758">
        <f>IF($I$367&lt;&gt;0,E$367/$I$367*$I365,0)</f>
        <v>2733.6111393434294</v>
      </c>
      <c r="F365" s="758">
        <f>IF($I$367&lt;&gt;0,F$367/$I$367*$I365,0)</f>
        <v>36255.717044415083</v>
      </c>
      <c r="G365" s="758">
        <f>IF($I$367&lt;&gt;0,G$367/$I$367*$I365,0)</f>
        <v>29677.812785852224</v>
      </c>
      <c r="H365" s="25">
        <f>SUM(C365:G365)</f>
        <v>88791.13731070231</v>
      </c>
      <c r="I365" s="758">
        <v>112</v>
      </c>
      <c r="J365" s="758">
        <f t="shared" si="55"/>
        <v>792.77801170269925</v>
      </c>
      <c r="K365" s="666">
        <v>15100</v>
      </c>
      <c r="L365" s="666"/>
      <c r="M365" s="189"/>
      <c r="N365" s="772">
        <f t="shared" si="54"/>
        <v>41633</v>
      </c>
      <c r="O365" s="772">
        <v>41636</v>
      </c>
      <c r="P365" s="773" t="s">
        <v>1043</v>
      </c>
      <c r="Q365" s="305"/>
      <c r="R365" s="802"/>
      <c r="S365" s="25">
        <f t="shared" si="56"/>
        <v>0</v>
      </c>
      <c r="T365" s="449"/>
      <c r="U365" s="772"/>
      <c r="V365" s="804"/>
      <c r="W365" s="802"/>
      <c r="X365" s="25">
        <f t="shared" si="57"/>
        <v>0</v>
      </c>
    </row>
    <row r="366" spans="1:24" ht="16.5" customHeight="1">
      <c r="A366" s="757"/>
      <c r="B366" s="297"/>
      <c r="C366" s="25"/>
      <c r="D366" s="758"/>
      <c r="E366" s="758"/>
      <c r="F366" s="758"/>
      <c r="G366" s="758"/>
      <c r="H366" s="25"/>
      <c r="I366" s="758"/>
      <c r="J366" s="758"/>
      <c r="K366" s="666"/>
      <c r="L366" s="666"/>
      <c r="M366" s="449"/>
      <c r="N366" s="772"/>
      <c r="O366" s="772"/>
      <c r="P366" s="773"/>
      <c r="Q366" s="305"/>
      <c r="R366" s="802"/>
      <c r="S366" s="25">
        <f t="shared" si="43"/>
        <v>0</v>
      </c>
      <c r="T366" s="449"/>
      <c r="U366" s="772"/>
      <c r="V366" s="804"/>
      <c r="W366" s="802"/>
      <c r="X366" s="25">
        <f t="shared" si="44"/>
        <v>0</v>
      </c>
    </row>
    <row r="367" spans="1:24" s="778" customFormat="1" ht="16.5" customHeight="1">
      <c r="A367" s="759"/>
      <c r="B367" s="760" t="s">
        <v>249</v>
      </c>
      <c r="C367" s="535">
        <f>SUM(C250:C366)</f>
        <v>0</v>
      </c>
      <c r="D367" s="535">
        <v>12375000</v>
      </c>
      <c r="E367" s="535">
        <f>X367</f>
        <v>1681000</v>
      </c>
      <c r="F367" s="535">
        <v>22295000</v>
      </c>
      <c r="G367" s="535">
        <v>18250000</v>
      </c>
      <c r="H367" s="535">
        <f>SUM(H250:H366)</f>
        <v>54601000.000000022</v>
      </c>
      <c r="I367" s="535">
        <f>ROUND(SUM(I250:I366),0)</f>
        <v>68873</v>
      </c>
      <c r="J367" s="535"/>
      <c r="K367" s="666"/>
      <c r="L367" s="666"/>
      <c r="M367" s="779"/>
      <c r="N367" s="780"/>
      <c r="O367" s="780"/>
      <c r="P367" s="781"/>
      <c r="Q367" s="825"/>
      <c r="R367" s="801"/>
      <c r="S367" s="47">
        <f>SUM(S250:S366)</f>
        <v>0</v>
      </c>
      <c r="T367" s="779"/>
      <c r="U367" s="780"/>
      <c r="V367" s="793"/>
      <c r="W367" s="801"/>
      <c r="X367" s="47">
        <f>SUM(X250:X366)</f>
        <v>1681000</v>
      </c>
    </row>
    <row r="368" spans="1:24" s="755" customFormat="1">
      <c r="A368" s="754"/>
      <c r="B368" s="754"/>
      <c r="C368" s="754"/>
      <c r="D368" s="754"/>
      <c r="E368" s="754"/>
      <c r="F368" s="754"/>
      <c r="G368" s="754"/>
      <c r="H368" s="895">
        <v>517417820</v>
      </c>
      <c r="I368" s="754"/>
      <c r="J368" s="754"/>
      <c r="K368" s="666"/>
      <c r="L368" s="666"/>
      <c r="M368" s="754"/>
      <c r="N368" s="766"/>
      <c r="O368" s="766"/>
      <c r="P368" s="767"/>
      <c r="Q368" s="817"/>
      <c r="R368" s="293"/>
      <c r="S368" s="754"/>
      <c r="T368" s="754"/>
      <c r="U368" s="766"/>
      <c r="V368" s="293"/>
      <c r="W368" s="293"/>
      <c r="X368" s="754"/>
    </row>
    <row r="369" spans="8:12">
      <c r="H369" s="785">
        <f>H368-H367</f>
        <v>462816820</v>
      </c>
      <c r="K369" s="666"/>
      <c r="L369" s="666"/>
    </row>
    <row r="370" spans="8:12">
      <c r="H370" s="785"/>
      <c r="K370" s="666"/>
      <c r="L370" s="666"/>
    </row>
    <row r="371" spans="8:12">
      <c r="K371" s="666"/>
      <c r="L371" s="666"/>
    </row>
  </sheetData>
  <autoFilter ref="A5:Z5"/>
  <sortState ref="A359:AC597">
    <sortCondition ref="U359:U597"/>
  </sortState>
  <dataValidations count="1">
    <dataValidation type="list" allowBlank="1" showInputMessage="1" showErrorMessage="1" sqref="M249 M143 M5 M62 T249 T143 T5 T62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85" customWidth="1"/>
    <col min="2" max="2" width="15.7109375" style="585" customWidth="1"/>
    <col min="3" max="3" width="16.85546875" style="585" customWidth="1"/>
    <col min="4" max="9" width="15.28515625" style="585" customWidth="1"/>
    <col min="10" max="10" width="10.140625" style="585" customWidth="1"/>
    <col min="11" max="11" width="5.85546875" style="585" customWidth="1"/>
    <col min="12" max="16384" width="10.28515625" style="585"/>
  </cols>
  <sheetData>
    <row r="1" spans="1:11" s="451" customFormat="1" ht="19.5" customHeight="1">
      <c r="A1" s="572" t="str">
        <f>TH!A1</f>
        <v>Đơn vị: CÔNG TY TNHH SX TM KIM DUNG PHÁT</v>
      </c>
      <c r="B1" s="572"/>
      <c r="D1" s="452"/>
      <c r="E1" s="452"/>
      <c r="F1" s="452"/>
      <c r="G1" s="1050" t="s">
        <v>250</v>
      </c>
      <c r="H1" s="1050"/>
      <c r="I1" s="1050"/>
      <c r="J1" s="453"/>
      <c r="K1" s="454"/>
    </row>
    <row r="2" spans="1:11" s="451" customFormat="1" ht="19.5" customHeight="1">
      <c r="A2" s="622" t="str">
        <f>TH!A2</f>
        <v>Địa chỉ: 1A227/1 Ấp 1, Phạm Văn Hai, Bình Chánh, TPHCM</v>
      </c>
      <c r="B2" s="572"/>
      <c r="D2" s="455"/>
      <c r="E2" s="455"/>
      <c r="F2" s="455"/>
      <c r="G2" s="1051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1051"/>
      <c r="I2" s="1051"/>
      <c r="J2" s="453"/>
      <c r="K2" s="440">
        <v>1</v>
      </c>
    </row>
    <row r="3" spans="1:11" s="451" customFormat="1" ht="15">
      <c r="A3" s="573"/>
      <c r="B3" s="574"/>
      <c r="C3" s="455"/>
      <c r="D3" s="455"/>
      <c r="E3" s="455"/>
      <c r="F3" s="455"/>
      <c r="G3" s="1051"/>
      <c r="H3" s="1051"/>
      <c r="I3" s="1051"/>
      <c r="J3" s="453"/>
    </row>
    <row r="4" spans="1:11" s="576" customFormat="1" ht="17.25" customHeight="1">
      <c r="A4" s="1052" t="s">
        <v>251</v>
      </c>
      <c r="B4" s="1052"/>
      <c r="C4" s="1052"/>
      <c r="D4" s="1052"/>
      <c r="E4" s="1052"/>
      <c r="F4" s="1052"/>
      <c r="G4" s="1052"/>
      <c r="H4" s="1052"/>
      <c r="I4" s="1052"/>
      <c r="J4" s="575"/>
    </row>
    <row r="5" spans="1:11" s="577" customFormat="1" ht="17.25" customHeight="1">
      <c r="B5" s="578"/>
      <c r="C5" s="579" t="s">
        <v>351</v>
      </c>
      <c r="D5" s="578" t="str">
        <f>IF($K$2&lt;10,"0"&amp;$K$2&amp;"  năm 2011",$K$2&amp;"  năm 2011")</f>
        <v>01  năm 2011</v>
      </c>
      <c r="E5" s="578"/>
      <c r="F5" s="578"/>
      <c r="G5" s="578"/>
      <c r="H5" s="578"/>
      <c r="I5" s="578"/>
      <c r="J5" s="578"/>
    </row>
    <row r="6" spans="1:11" s="577" customFormat="1" ht="17.25" customHeight="1">
      <c r="B6" s="580"/>
      <c r="C6" s="1053" t="s">
        <v>252</v>
      </c>
      <c r="D6" s="1053"/>
      <c r="E6" s="1054"/>
      <c r="F6" s="1054"/>
      <c r="G6" s="1054"/>
      <c r="H6" s="703"/>
      <c r="I6" s="580"/>
      <c r="J6" s="578"/>
    </row>
    <row r="7" spans="1:11" s="582" customFormat="1" ht="9.75" customHeight="1">
      <c r="A7" s="581"/>
      <c r="B7" s="581"/>
      <c r="C7" s="581"/>
      <c r="D7" s="581"/>
      <c r="E7" s="581"/>
      <c r="F7" s="581"/>
      <c r="G7" s="581"/>
      <c r="H7" s="581"/>
      <c r="I7" s="581"/>
      <c r="J7" s="580"/>
    </row>
    <row r="8" spans="1:11" s="457" customFormat="1" ht="17.25" customHeight="1">
      <c r="A8" s="1055" t="s">
        <v>253</v>
      </c>
      <c r="B8" s="1056" t="s">
        <v>254</v>
      </c>
      <c r="C8" s="1056" t="s">
        <v>255</v>
      </c>
      <c r="D8" s="1056"/>
      <c r="E8" s="1056"/>
      <c r="F8" s="1056"/>
      <c r="G8" s="1056"/>
      <c r="H8" s="1056"/>
      <c r="I8" s="1056"/>
      <c r="J8" s="456"/>
    </row>
    <row r="9" spans="1:11" s="460" customFormat="1" ht="35.25" customHeight="1">
      <c r="A9" s="1055"/>
      <c r="B9" s="1056"/>
      <c r="C9" s="458" t="s">
        <v>436</v>
      </c>
      <c r="D9" s="458" t="s">
        <v>256</v>
      </c>
      <c r="E9" s="458" t="s">
        <v>437</v>
      </c>
      <c r="F9" s="458" t="s">
        <v>438</v>
      </c>
      <c r="G9" s="458" t="s">
        <v>257</v>
      </c>
      <c r="H9" s="458" t="s">
        <v>258</v>
      </c>
      <c r="I9" s="458" t="s">
        <v>439</v>
      </c>
      <c r="J9" s="459"/>
    </row>
    <row r="10" spans="1:11" s="463" customFormat="1" ht="15">
      <c r="A10" s="461" t="s">
        <v>2</v>
      </c>
      <c r="B10" s="462">
        <v>1</v>
      </c>
      <c r="C10" s="462">
        <v>2</v>
      </c>
      <c r="D10" s="462">
        <v>3</v>
      </c>
      <c r="E10" s="462">
        <v>4</v>
      </c>
      <c r="F10" s="462">
        <v>5</v>
      </c>
      <c r="G10" s="462">
        <v>6</v>
      </c>
      <c r="H10" s="462">
        <v>7</v>
      </c>
      <c r="I10" s="462">
        <v>8</v>
      </c>
      <c r="J10" s="453"/>
    </row>
    <row r="11" spans="1:11" s="577" customFormat="1" ht="24.75" customHeight="1">
      <c r="A11" s="583" t="s">
        <v>259</v>
      </c>
      <c r="B11" s="584">
        <f>ROUND(SUM(C11:I11),0)</f>
        <v>0</v>
      </c>
      <c r="C11" s="584">
        <v>0</v>
      </c>
      <c r="D11" s="584">
        <v>0</v>
      </c>
      <c r="E11" s="584">
        <v>0</v>
      </c>
      <c r="F11" s="584">
        <v>0</v>
      </c>
      <c r="G11" s="584">
        <v>0</v>
      </c>
      <c r="H11" s="584">
        <v>0</v>
      </c>
      <c r="I11" s="584">
        <v>0</v>
      </c>
      <c r="J11" s="578"/>
    </row>
    <row r="12" spans="1:11" s="577" customFormat="1" ht="24.75" customHeight="1">
      <c r="A12" s="583" t="s">
        <v>260</v>
      </c>
      <c r="B12" s="584">
        <f ca="1">ROUND(SUM(C12:I12),0)</f>
        <v>0</v>
      </c>
      <c r="C12" s="584">
        <f ca="1">IF(ISNA(VLOOKUP($E6,INDIRECT("DSSP"&amp;$K$2),5,0)),0,VLOOKUP($E6,INDIRECT("DSSP"&amp;$K$2),5,0))</f>
        <v>0</v>
      </c>
      <c r="D12" s="584">
        <f ca="1">IF(ISNA(VLOOKUP($E6,INDIRECT("DSSP"&amp;$K$2),6,0)),0,VLOOKUP($E6,INDIRECT("DSSP"&amp;$K$2),6,0))</f>
        <v>0</v>
      </c>
      <c r="E12" s="584">
        <f ca="1">IF(ISNA(VLOOKUP($E6,INDIRECT("DSSP"&amp;$K$2),7,0)),0,VLOOKUP($E6,INDIRECT("DSSP"&amp;$K$2),7,0))</f>
        <v>0</v>
      </c>
      <c r="F12" s="584">
        <f ca="1">IF(ISNA(VLOOKUP($E6,INDIRECT("DSSP"&amp;$K$2),8,0)),0,VLOOKUP($E6,INDIRECT("DSSP"&amp;$K$2),8,0))</f>
        <v>0</v>
      </c>
      <c r="G12" s="584">
        <f ca="1">IF(ISNA(VLOOKUP($E6,INDIRECT("DSSP"&amp;$K$2),9,0)),0,VLOOKUP($E6,INDIRECT("DSSP"&amp;$K$2),9,0))</f>
        <v>0</v>
      </c>
      <c r="H12" s="584">
        <f ca="1">IF(ISNA(VLOOKUP($E6,INDIRECT("DSSP"&amp;$K$2),10,0)),0,VLOOKUP($E6,INDIRECT("DSSP"&amp;$K$2),10,0))</f>
        <v>0</v>
      </c>
      <c r="I12" s="584">
        <f ca="1">IF(ISNA(VLOOKUP($E6,INDIRECT("DSSP"&amp;$K$2),11,0)),0,VLOOKUP($E6,INDIRECT("DSSP"&amp;$K$2),11,0))</f>
        <v>0</v>
      </c>
      <c r="J12" s="578"/>
    </row>
    <row r="13" spans="1:11" s="577" customFormat="1" ht="24.75" customHeight="1">
      <c r="A13" s="583" t="s">
        <v>261</v>
      </c>
      <c r="B13" s="584">
        <f ca="1">ROUND(IF(ISNA(VLOOKUP($E6,INDIRECT("DSSP"&amp;$K$2),13,0)),0,VLOOKUP($E6,INDIRECT("DSSP"&amp;$K$2),13,0)),0)</f>
        <v>0</v>
      </c>
      <c r="C13" s="584">
        <f t="shared" ref="C13:I13" ca="1" si="0">C12</f>
        <v>0</v>
      </c>
      <c r="D13" s="584">
        <f t="shared" ca="1" si="0"/>
        <v>0</v>
      </c>
      <c r="E13" s="584">
        <f t="shared" ca="1" si="0"/>
        <v>0</v>
      </c>
      <c r="F13" s="584"/>
      <c r="G13" s="584">
        <f t="shared" ca="1" si="0"/>
        <v>0</v>
      </c>
      <c r="H13" s="584"/>
      <c r="I13" s="584">
        <f t="shared" ca="1" si="0"/>
        <v>0</v>
      </c>
      <c r="J13" s="578"/>
    </row>
    <row r="14" spans="1:11" s="577" customFormat="1" ht="24.75" customHeight="1">
      <c r="A14" s="583" t="s">
        <v>262</v>
      </c>
      <c r="B14" s="584">
        <f ca="1">B12-B13</f>
        <v>0</v>
      </c>
      <c r="C14" s="584">
        <f t="shared" ref="C14:I14" ca="1" si="1">C12-C13</f>
        <v>0</v>
      </c>
      <c r="D14" s="584">
        <f t="shared" ca="1" si="1"/>
        <v>0</v>
      </c>
      <c r="E14" s="584">
        <f t="shared" ca="1" si="1"/>
        <v>0</v>
      </c>
      <c r="F14" s="584"/>
      <c r="G14" s="584">
        <f t="shared" ca="1" si="1"/>
        <v>0</v>
      </c>
      <c r="H14" s="584"/>
      <c r="I14" s="584">
        <f t="shared" ca="1" si="1"/>
        <v>0</v>
      </c>
      <c r="J14" s="578"/>
    </row>
    <row r="15" spans="1:11" s="577" customFormat="1" ht="15">
      <c r="B15" s="578"/>
      <c r="C15" s="578"/>
      <c r="D15" s="578"/>
      <c r="E15" s="578"/>
      <c r="F15" s="578"/>
      <c r="G15" s="578"/>
      <c r="H15" s="578"/>
      <c r="I15" s="578"/>
      <c r="J15" s="578"/>
    </row>
    <row r="16" spans="1:11" s="577" customFormat="1" ht="15">
      <c r="B16" s="578"/>
      <c r="C16" s="578"/>
      <c r="D16" s="578"/>
      <c r="E16" s="1049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49"/>
      <c r="G16" s="1049"/>
      <c r="H16" s="1049"/>
      <c r="I16" s="1049"/>
      <c r="J16" s="578"/>
    </row>
    <row r="17" spans="2:10" s="577" customFormat="1" ht="15">
      <c r="B17" s="463" t="s">
        <v>263</v>
      </c>
      <c r="C17" s="578"/>
      <c r="D17" s="578"/>
      <c r="E17" s="1049" t="s">
        <v>12</v>
      </c>
      <c r="F17" s="1049"/>
      <c r="G17" s="1049"/>
      <c r="H17" s="1049"/>
      <c r="I17" s="1049"/>
      <c r="J17" s="578"/>
    </row>
    <row r="19" spans="2:10" ht="15">
      <c r="E19" s="586"/>
      <c r="F19" s="586"/>
    </row>
    <row r="26" spans="2:10">
      <c r="B26" s="561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E28" sqref="E28"/>
    </sheetView>
  </sheetViews>
  <sheetFormatPr defaultRowHeight="12.75"/>
  <cols>
    <col min="1" max="1" width="4.140625" style="496" customWidth="1"/>
    <col min="2" max="2" width="9.140625" style="496" customWidth="1"/>
    <col min="3" max="3" width="9" style="497" customWidth="1"/>
    <col min="4" max="4" width="28.140625" style="496" customWidth="1"/>
    <col min="5" max="5" width="9.140625" style="496" customWidth="1"/>
    <col min="6" max="6" width="9.28515625" style="497" customWidth="1"/>
    <col min="7" max="7" width="9" style="496" customWidth="1"/>
    <col min="8" max="8" width="14.5703125" style="496" customWidth="1"/>
    <col min="9" max="9" width="6" style="496" customWidth="1"/>
    <col min="10" max="10" width="14.140625" style="496" customWidth="1"/>
    <col min="11" max="11" width="14.85546875" style="498" customWidth="1"/>
    <col min="12" max="12" width="14.42578125" style="496" customWidth="1"/>
    <col min="13" max="13" width="5.85546875" style="496" customWidth="1"/>
    <col min="14" max="14" width="7.42578125" style="496" customWidth="1"/>
    <col min="15" max="15" width="11.7109375" style="496" customWidth="1"/>
    <col min="16" max="16" width="4.5703125" style="562" customWidth="1"/>
    <col min="17" max="17" width="11.140625" style="496" bestFit="1" customWidth="1"/>
    <col min="18" max="18" width="12" style="496" bestFit="1" customWidth="1"/>
    <col min="19" max="16384" width="9.140625" style="496"/>
  </cols>
  <sheetData>
    <row r="1" spans="1:18" ht="15" customHeight="1">
      <c r="A1" s="623" t="str">
        <f>TH!A1</f>
        <v>Đơn vị: CÔNG TY TNHH SX TM KIM DUNG PHÁT</v>
      </c>
      <c r="L1" s="1067" t="s">
        <v>282</v>
      </c>
      <c r="M1" s="1067"/>
      <c r="N1" s="1067"/>
      <c r="O1" s="1067"/>
    </row>
    <row r="2" spans="1:18" ht="15" customHeight="1">
      <c r="A2" s="495" t="str">
        <f>TH!A2</f>
        <v>Địa chỉ: 1A227/1 Ấp 1, Phạm Văn Hai, Bình Chánh, TPHCM</v>
      </c>
      <c r="L2" s="1066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066"/>
      <c r="N2" s="1066"/>
      <c r="O2" s="1066"/>
    </row>
    <row r="3" spans="1:18" ht="15" customHeight="1">
      <c r="L3" s="1066"/>
      <c r="M3" s="1066"/>
      <c r="N3" s="1066"/>
      <c r="O3" s="1066"/>
    </row>
    <row r="5" spans="1:18" s="501" customFormat="1" ht="24" customHeight="1">
      <c r="A5" s="1068" t="s">
        <v>283</v>
      </c>
      <c r="B5" s="1068"/>
      <c r="C5" s="1068"/>
      <c r="D5" s="1068"/>
      <c r="E5" s="1068"/>
      <c r="F5" s="1068"/>
      <c r="G5" s="1068"/>
      <c r="H5" s="1068"/>
      <c r="I5" s="1068"/>
      <c r="J5" s="1068"/>
      <c r="K5" s="1068"/>
      <c r="L5" s="1068"/>
      <c r="M5" s="1068"/>
      <c r="N5" s="1068"/>
      <c r="O5" s="1068"/>
      <c r="P5" s="563"/>
    </row>
    <row r="6" spans="1:18" s="501" customFormat="1" ht="21" customHeight="1">
      <c r="A6" s="1069" t="s">
        <v>440</v>
      </c>
      <c r="B6" s="1069"/>
      <c r="C6" s="1069"/>
      <c r="D6" s="1069"/>
      <c r="E6" s="1069"/>
      <c r="F6" s="1069"/>
      <c r="G6" s="1069"/>
      <c r="H6" s="1069"/>
      <c r="I6" s="1069"/>
      <c r="J6" s="1069"/>
      <c r="K6" s="1069"/>
      <c r="L6" s="1069"/>
      <c r="M6" s="1069"/>
      <c r="N6" s="1069"/>
      <c r="O6" s="1069"/>
      <c r="P6" s="563"/>
    </row>
    <row r="7" spans="1:18" s="501" customFormat="1" ht="21" customHeight="1">
      <c r="A7" s="1070" t="s">
        <v>325</v>
      </c>
      <c r="B7" s="1070"/>
      <c r="C7" s="1070"/>
      <c r="D7" s="1070"/>
      <c r="E7" s="1070"/>
      <c r="F7" s="1070"/>
      <c r="G7" s="1070"/>
      <c r="H7" s="1070"/>
      <c r="I7" s="1070"/>
      <c r="J7" s="1070"/>
      <c r="K7" s="1070"/>
      <c r="L7" s="1070"/>
      <c r="M7" s="1070"/>
      <c r="N7" s="1070"/>
      <c r="O7" s="1070"/>
      <c r="P7" s="563"/>
    </row>
    <row r="8" spans="1:18">
      <c r="D8" s="497"/>
    </row>
    <row r="9" spans="1:18" s="502" customFormat="1" ht="24" customHeight="1">
      <c r="A9" s="1057" t="s">
        <v>233</v>
      </c>
      <c r="B9" s="1060" t="s">
        <v>284</v>
      </c>
      <c r="C9" s="1061"/>
      <c r="D9" s="1061"/>
      <c r="E9" s="1061"/>
      <c r="F9" s="1061"/>
      <c r="G9" s="1061"/>
      <c r="H9" s="1062"/>
      <c r="I9" s="1060" t="s">
        <v>285</v>
      </c>
      <c r="J9" s="1061"/>
      <c r="K9" s="1061"/>
      <c r="L9" s="1062"/>
      <c r="M9" s="1063" t="s">
        <v>286</v>
      </c>
      <c r="N9" s="1063"/>
      <c r="O9" s="1063"/>
      <c r="P9" s="564"/>
    </row>
    <row r="10" spans="1:18" s="502" customFormat="1" ht="24" customHeight="1">
      <c r="A10" s="1058"/>
      <c r="B10" s="1060" t="s">
        <v>287</v>
      </c>
      <c r="C10" s="1062"/>
      <c r="D10" s="1057" t="s">
        <v>288</v>
      </c>
      <c r="E10" s="1057" t="s">
        <v>289</v>
      </c>
      <c r="F10" s="1057" t="s">
        <v>290</v>
      </c>
      <c r="G10" s="1057" t="s">
        <v>291</v>
      </c>
      <c r="H10" s="1057" t="s">
        <v>292</v>
      </c>
      <c r="I10" s="1060" t="s">
        <v>293</v>
      </c>
      <c r="J10" s="1062"/>
      <c r="K10" s="1064" t="s">
        <v>294</v>
      </c>
      <c r="L10" s="1057" t="s">
        <v>295</v>
      </c>
      <c r="M10" s="1063" t="s">
        <v>287</v>
      </c>
      <c r="N10" s="1063"/>
      <c r="O10" s="1063" t="s">
        <v>296</v>
      </c>
      <c r="P10" s="564"/>
    </row>
    <row r="11" spans="1:18" s="502" customFormat="1" ht="55.5" customHeight="1">
      <c r="A11" s="1059"/>
      <c r="B11" s="503" t="s">
        <v>297</v>
      </c>
      <c r="C11" s="503" t="s">
        <v>234</v>
      </c>
      <c r="D11" s="1059"/>
      <c r="E11" s="1059"/>
      <c r="F11" s="1059"/>
      <c r="G11" s="1059"/>
      <c r="H11" s="1059"/>
      <c r="I11" s="503" t="s">
        <v>298</v>
      </c>
      <c r="J11" s="503" t="s">
        <v>299</v>
      </c>
      <c r="K11" s="1065"/>
      <c r="L11" s="1059"/>
      <c r="M11" s="503" t="s">
        <v>15</v>
      </c>
      <c r="N11" s="503" t="s">
        <v>234</v>
      </c>
      <c r="O11" s="1063"/>
      <c r="P11" s="564"/>
    </row>
    <row r="12" spans="1:18" s="506" customFormat="1" ht="13.5">
      <c r="A12" s="504" t="s">
        <v>2</v>
      </c>
      <c r="B12" s="504" t="s">
        <v>3</v>
      </c>
      <c r="C12" s="504" t="s">
        <v>4</v>
      </c>
      <c r="D12" s="504" t="s">
        <v>5</v>
      </c>
      <c r="E12" s="504" t="s">
        <v>6</v>
      </c>
      <c r="F12" s="504" t="s">
        <v>131</v>
      </c>
      <c r="G12" s="504" t="s">
        <v>300</v>
      </c>
      <c r="H12" s="504">
        <v>1</v>
      </c>
      <c r="I12" s="504">
        <v>2</v>
      </c>
      <c r="J12" s="504">
        <v>3</v>
      </c>
      <c r="K12" s="505"/>
      <c r="L12" s="504">
        <v>4</v>
      </c>
      <c r="M12" s="504" t="s">
        <v>301</v>
      </c>
      <c r="N12" s="504" t="s">
        <v>302</v>
      </c>
      <c r="O12" s="504" t="s">
        <v>303</v>
      </c>
      <c r="P12" s="565"/>
    </row>
    <row r="13" spans="1:18" s="506" customFormat="1" ht="21.75" customHeight="1">
      <c r="A13" s="526" t="s">
        <v>301</v>
      </c>
      <c r="B13" s="528" t="s">
        <v>324</v>
      </c>
      <c r="C13" s="526"/>
      <c r="D13" s="526"/>
      <c r="E13" s="526"/>
      <c r="F13" s="526"/>
      <c r="G13" s="566"/>
      <c r="H13" s="533"/>
      <c r="I13" s="533"/>
      <c r="J13" s="533"/>
      <c r="K13" s="533"/>
      <c r="L13" s="8"/>
      <c r="M13" s="526"/>
      <c r="N13" s="526"/>
      <c r="O13" s="182"/>
      <c r="P13" s="565" t="str">
        <f>IF(D13='THE-TS'!$D$11,"x","")</f>
        <v/>
      </c>
    </row>
    <row r="14" spans="1:18" ht="21.75" customHeight="1">
      <c r="A14" s="527">
        <v>1</v>
      </c>
      <c r="B14" s="537" t="s">
        <v>404</v>
      </c>
      <c r="C14" s="507">
        <v>40682</v>
      </c>
      <c r="D14" s="210" t="s">
        <v>390</v>
      </c>
      <c r="E14" s="449" t="s">
        <v>304</v>
      </c>
      <c r="F14" s="536" t="s">
        <v>443</v>
      </c>
      <c r="G14" s="566" t="s">
        <v>425</v>
      </c>
      <c r="H14" s="257">
        <v>18000000</v>
      </c>
      <c r="I14" s="257">
        <v>5</v>
      </c>
      <c r="J14" s="8">
        <v>3600000</v>
      </c>
      <c r="K14" s="8">
        <v>5700000</v>
      </c>
      <c r="L14" s="8">
        <f t="shared" ref="L14:L16" si="0">K14+J14</f>
        <v>9300000</v>
      </c>
      <c r="M14" s="523"/>
      <c r="N14" s="449"/>
      <c r="O14" s="182"/>
      <c r="P14" s="565" t="str">
        <f>IF(D14='THE-TS'!$D$11,"x","")</f>
        <v>x</v>
      </c>
      <c r="Q14" s="293"/>
      <c r="R14" s="293"/>
    </row>
    <row r="15" spans="1:18" ht="21.75" customHeight="1">
      <c r="A15" s="527">
        <v>2</v>
      </c>
      <c r="B15" s="536" t="s">
        <v>405</v>
      </c>
      <c r="C15" s="507">
        <v>40686</v>
      </c>
      <c r="D15" s="210" t="s">
        <v>391</v>
      </c>
      <c r="E15" s="449" t="s">
        <v>304</v>
      </c>
      <c r="F15" s="536" t="s">
        <v>443</v>
      </c>
      <c r="G15" s="566" t="s">
        <v>426</v>
      </c>
      <c r="H15" s="257">
        <v>27000000</v>
      </c>
      <c r="I15" s="257">
        <v>5</v>
      </c>
      <c r="J15" s="8">
        <v>5400000</v>
      </c>
      <c r="K15" s="8">
        <v>8550000</v>
      </c>
      <c r="L15" s="8">
        <f t="shared" si="0"/>
        <v>13950000</v>
      </c>
      <c r="M15" s="523"/>
      <c r="N15" s="449"/>
      <c r="O15" s="182"/>
      <c r="P15" s="565" t="str">
        <f>IF(D15='THE-TS'!$D$11,"x","")</f>
        <v/>
      </c>
      <c r="Q15" s="293"/>
      <c r="R15" s="293"/>
    </row>
    <row r="16" spans="1:18" ht="21.75" customHeight="1">
      <c r="A16" s="527">
        <v>3</v>
      </c>
      <c r="B16" s="536" t="s">
        <v>343</v>
      </c>
      <c r="C16" s="507">
        <v>40710</v>
      </c>
      <c r="D16" s="210" t="s">
        <v>393</v>
      </c>
      <c r="E16" s="449" t="s">
        <v>304</v>
      </c>
      <c r="F16" s="536" t="s">
        <v>444</v>
      </c>
      <c r="G16" s="566" t="s">
        <v>427</v>
      </c>
      <c r="H16" s="257">
        <v>320000000</v>
      </c>
      <c r="I16" s="257">
        <v>5</v>
      </c>
      <c r="J16" s="8">
        <v>64000000</v>
      </c>
      <c r="K16" s="8">
        <v>96000000</v>
      </c>
      <c r="L16" s="8">
        <f t="shared" si="0"/>
        <v>160000000</v>
      </c>
      <c r="M16" s="523"/>
      <c r="N16" s="182"/>
      <c r="O16" s="182"/>
      <c r="P16" s="565" t="str">
        <f>IF(D16='THE-TS'!$D$11,"x","")</f>
        <v/>
      </c>
      <c r="Q16" s="293"/>
      <c r="R16" s="293"/>
    </row>
    <row r="17" spans="1:18" ht="21.75" customHeight="1">
      <c r="A17" s="508"/>
      <c r="B17" s="529"/>
      <c r="C17" s="530"/>
      <c r="D17" s="531"/>
      <c r="E17" s="509"/>
      <c r="F17" s="530"/>
      <c r="G17" s="529"/>
      <c r="H17" s="534"/>
      <c r="I17" s="534"/>
      <c r="J17" s="300"/>
      <c r="K17" s="300"/>
      <c r="L17" s="300"/>
      <c r="M17" s="509"/>
      <c r="N17" s="509"/>
      <c r="O17" s="509"/>
      <c r="P17" s="565" t="str">
        <f>IF(D17='THE-TS'!$D$11,"x","")</f>
        <v/>
      </c>
      <c r="R17" s="524"/>
    </row>
    <row r="18" spans="1:18" s="512" customFormat="1" ht="21.75" customHeight="1">
      <c r="A18" s="510"/>
      <c r="B18" s="511"/>
      <c r="C18" s="510"/>
      <c r="D18" s="510" t="s">
        <v>305</v>
      </c>
      <c r="E18" s="510" t="s">
        <v>19</v>
      </c>
      <c r="F18" s="510" t="s">
        <v>19</v>
      </c>
      <c r="G18" s="510" t="s">
        <v>19</v>
      </c>
      <c r="H18" s="535">
        <f>SUM(H14:H17)</f>
        <v>365000000</v>
      </c>
      <c r="I18" s="535"/>
      <c r="J18" s="535">
        <f t="shared" ref="J18:L18" si="1">SUM(J14:J17)</f>
        <v>73000000</v>
      </c>
      <c r="K18" s="535">
        <f t="shared" si="1"/>
        <v>110250000</v>
      </c>
      <c r="L18" s="535">
        <f t="shared" si="1"/>
        <v>183250000</v>
      </c>
      <c r="M18" s="570" t="s">
        <v>19</v>
      </c>
      <c r="N18" s="570" t="s">
        <v>19</v>
      </c>
      <c r="O18" s="570" t="s">
        <v>19</v>
      </c>
      <c r="P18" s="565" t="str">
        <f>IF(D18='THE-TS'!$D$11,"x","")</f>
        <v/>
      </c>
    </row>
    <row r="19" spans="1:18" ht="6.75" customHeight="1">
      <c r="A19" s="450"/>
      <c r="B19" s="450"/>
      <c r="C19" s="513"/>
      <c r="D19" s="450"/>
      <c r="E19" s="513"/>
      <c r="F19" s="513"/>
      <c r="G19" s="513"/>
      <c r="H19" s="450"/>
      <c r="I19" s="450"/>
      <c r="J19" s="450"/>
      <c r="K19" s="514"/>
      <c r="L19" s="450"/>
      <c r="M19" s="450"/>
      <c r="N19" s="450"/>
      <c r="O19" s="450"/>
      <c r="P19" s="565" t="str">
        <f>IF(D19='THE-TS'!$D$11,"x","")</f>
        <v/>
      </c>
    </row>
    <row r="20" spans="1:18" ht="13.5" customHeight="1">
      <c r="A20" s="450"/>
      <c r="B20" s="450"/>
      <c r="C20" s="513"/>
      <c r="D20" s="450" t="s">
        <v>306</v>
      </c>
      <c r="E20" s="450"/>
      <c r="F20" s="513"/>
      <c r="G20" s="450"/>
      <c r="H20" s="498"/>
      <c r="I20" s="498"/>
      <c r="J20" s="571"/>
      <c r="L20" s="498"/>
      <c r="M20" s="450"/>
      <c r="N20" s="450"/>
      <c r="O20" s="450"/>
      <c r="P20" s="565" t="str">
        <f>IF(D20='THE-TS'!$D$11,"x","")</f>
        <v/>
      </c>
    </row>
    <row r="21" spans="1:18" ht="13.5" customHeight="1">
      <c r="A21" s="450"/>
      <c r="B21" s="450"/>
      <c r="C21" s="513"/>
      <c r="D21" s="450" t="s">
        <v>441</v>
      </c>
      <c r="E21" s="450"/>
      <c r="F21" s="513"/>
      <c r="G21" s="450"/>
      <c r="H21" s="524"/>
      <c r="I21" s="450"/>
      <c r="J21" s="532"/>
      <c r="K21" s="514"/>
      <c r="L21" s="450"/>
      <c r="M21" s="450"/>
      <c r="N21" s="450"/>
      <c r="O21" s="450"/>
      <c r="P21" s="565" t="str">
        <f>IF(D21='THE-TS'!$D$11,"x","")</f>
        <v/>
      </c>
    </row>
    <row r="22" spans="1:18" ht="13.5" customHeight="1">
      <c r="K22" s="515"/>
      <c r="L22" s="500" t="s">
        <v>1288</v>
      </c>
      <c r="P22" s="565" t="str">
        <f>IF(D22='THE-TS'!$D$11,"x","")</f>
        <v/>
      </c>
    </row>
    <row r="23" spans="1:18" ht="13.5" customHeight="1">
      <c r="B23" s="497"/>
      <c r="D23" s="497" t="s">
        <v>11</v>
      </c>
      <c r="F23" s="497" t="s">
        <v>307</v>
      </c>
      <c r="I23" s="516"/>
      <c r="K23" s="513"/>
      <c r="L23" s="513" t="s">
        <v>109</v>
      </c>
      <c r="P23" s="565" t="str">
        <f>IF(D23='THE-TS'!$D$11,"x","")</f>
        <v/>
      </c>
    </row>
    <row r="24" spans="1:18" ht="13.5" customHeight="1">
      <c r="B24" s="497"/>
      <c r="D24" s="497"/>
      <c r="P24" s="565" t="str">
        <f>IF(D24='THE-TS'!$D$11,"x","")</f>
        <v/>
      </c>
    </row>
    <row r="25" spans="1:18" ht="13.5" customHeight="1">
      <c r="H25" s="517"/>
      <c r="J25" s="517"/>
      <c r="L25" s="517"/>
      <c r="P25" s="565" t="str">
        <f>IF(D25='THE-TS'!$D$11,"x","")</f>
        <v/>
      </c>
    </row>
    <row r="26" spans="1:18" ht="13.5" customHeight="1">
      <c r="H26" s="518"/>
      <c r="P26" s="565" t="str">
        <f>IF(D26='THE-TS'!$D$11,"x","")</f>
        <v/>
      </c>
    </row>
    <row r="27" spans="1:18" ht="13.5" customHeight="1">
      <c r="H27" s="518"/>
      <c r="J27" s="517"/>
      <c r="P27" s="565" t="str">
        <f>IF(D27='THE-TS'!$D$11,"x","")</f>
        <v/>
      </c>
    </row>
    <row r="28" spans="1:18" ht="13.5" customHeight="1">
      <c r="H28" s="518"/>
      <c r="P28" s="565" t="str">
        <f>IF(D28='THE-TS'!$D$11,"x","")</f>
        <v/>
      </c>
    </row>
    <row r="29" spans="1:18" ht="13.5" customHeight="1">
      <c r="H29" s="518"/>
      <c r="P29" s="565" t="str">
        <f>IF(D29='THE-TS'!$D$11,"x","")</f>
        <v/>
      </c>
    </row>
    <row r="30" spans="1:18" s="519" customFormat="1" ht="13.5" customHeight="1">
      <c r="C30" s="520"/>
      <c r="D30" s="520"/>
      <c r="F30" s="520"/>
      <c r="H30" s="521"/>
      <c r="K30" s="522"/>
      <c r="P30" s="565"/>
    </row>
    <row r="31" spans="1:18" ht="13.5">
      <c r="P31" s="565" t="str">
        <f>IF(D31='THE-TS'!$D$11,"x","")</f>
        <v/>
      </c>
    </row>
    <row r="32" spans="1:18" ht="13.5" customHeight="1">
      <c r="H32" s="518"/>
      <c r="P32" s="565" t="str">
        <f>IF(D32='THE-TS'!$D$11,"x","")</f>
        <v/>
      </c>
    </row>
    <row r="33" spans="16:16" ht="13.5">
      <c r="P33" s="565" t="str">
        <f>IF(D33='THE-TS'!$D$11,"x","")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8"/>
  <sheetViews>
    <sheetView topLeftCell="A2" workbookViewId="0">
      <selection activeCell="D11" sqref="D11"/>
    </sheetView>
  </sheetViews>
  <sheetFormatPr defaultRowHeight="12.75"/>
  <cols>
    <col min="1" max="1" width="5" style="539" customWidth="1"/>
    <col min="2" max="2" width="10.140625" style="539" customWidth="1"/>
    <col min="3" max="3" width="11.5703125" style="539" customWidth="1"/>
    <col min="4" max="4" width="28.7109375" style="539" customWidth="1"/>
    <col min="5" max="5" width="13.28515625" style="539" customWidth="1"/>
    <col min="6" max="6" width="9.140625" style="539"/>
    <col min="7" max="7" width="14" style="539" customWidth="1"/>
    <col min="8" max="8" width="14.7109375" style="539" customWidth="1"/>
    <col min="9" max="10" width="9.140625" style="539"/>
    <col min="11" max="11" width="13.85546875" style="539" customWidth="1"/>
    <col min="12" max="16384" width="9.140625" style="539"/>
  </cols>
  <sheetData>
    <row r="1" spans="1:11" hidden="1"/>
    <row r="2" spans="1:11">
      <c r="A2" s="624" t="str">
        <f>TH!A1</f>
        <v>Đơn vị: CÔNG TY TNHH SX TM KIM DUNG PHÁT</v>
      </c>
      <c r="B2" s="538"/>
      <c r="C2" s="538"/>
      <c r="D2" s="538"/>
      <c r="E2" s="499"/>
      <c r="F2" s="1067" t="s">
        <v>308</v>
      </c>
      <c r="G2" s="1067"/>
      <c r="H2" s="1067"/>
    </row>
    <row r="3" spans="1:11">
      <c r="A3" s="555" t="str">
        <f>TH!A2</f>
        <v>Địa chỉ: 1A227/1 Ấp 1, Phạm Văn Hai, Bình Chánh, TPHCM</v>
      </c>
      <c r="B3" s="538"/>
      <c r="C3" s="538"/>
      <c r="D3" s="538"/>
      <c r="E3" s="500"/>
      <c r="F3" s="1066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1066"/>
      <c r="H3" s="1066"/>
    </row>
    <row r="4" spans="1:11">
      <c r="A4" s="497"/>
      <c r="B4" s="497"/>
      <c r="C4" s="500"/>
      <c r="D4" s="500"/>
      <c r="E4" s="500"/>
      <c r="F4" s="1066"/>
      <c r="G4" s="1066"/>
      <c r="H4" s="1066"/>
    </row>
    <row r="5" spans="1:11">
      <c r="A5" s="497"/>
      <c r="B5" s="497"/>
      <c r="C5" s="500"/>
      <c r="D5" s="500"/>
      <c r="E5" s="500"/>
      <c r="F5" s="500"/>
      <c r="G5" s="500"/>
      <c r="H5" s="500"/>
    </row>
    <row r="6" spans="1:11" ht="23.25" customHeight="1" thickBot="1">
      <c r="A6" s="1072" t="s">
        <v>309</v>
      </c>
      <c r="B6" s="1072"/>
      <c r="C6" s="1072"/>
      <c r="D6" s="1072"/>
      <c r="E6" s="1072"/>
      <c r="F6" s="1072"/>
      <c r="G6" s="1072"/>
      <c r="H6" s="1072"/>
    </row>
    <row r="7" spans="1:11" ht="17.25" customHeight="1" thickBot="1">
      <c r="A7" s="1071" t="str">
        <f ca="1" xml:space="preserve"> IF(ROWS($1:1)&gt;COUNT(Dong3),"","Số: "&amp;OFFSET('SO-TS'!$G$1,SMALL(Dong3,ROWS($1:1)),))</f>
        <v>Số: SX01/11</v>
      </c>
      <c r="B7" s="1071"/>
      <c r="C7" s="1071"/>
      <c r="D7" s="1071"/>
      <c r="E7" s="1071"/>
      <c r="F7" s="1071"/>
      <c r="G7" s="1071"/>
      <c r="H7" s="1071"/>
      <c r="J7" s="556" t="s">
        <v>326</v>
      </c>
      <c r="K7" s="557" t="s">
        <v>332</v>
      </c>
    </row>
    <row r="8" spans="1:11" ht="17.25" customHeight="1">
      <c r="A8" s="1073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073"/>
      <c r="C8" s="1073"/>
      <c r="D8" s="1073"/>
      <c r="E8" s="1073"/>
      <c r="F8" s="1073"/>
      <c r="G8" s="1073"/>
      <c r="H8" s="1073"/>
    </row>
    <row r="9" spans="1:11" ht="12" customHeight="1">
      <c r="A9" s="497"/>
      <c r="B9" s="497"/>
      <c r="C9" s="497"/>
      <c r="D9" s="497"/>
      <c r="E9" s="497"/>
      <c r="F9" s="497"/>
      <c r="G9" s="500"/>
      <c r="H9" s="500"/>
    </row>
    <row r="10" spans="1:11" ht="15" customHeight="1">
      <c r="A10" s="496" t="str">
        <f ca="1">"Căn cứ vào biên bản giao nhận TSCĐ "&amp;"  "&amp;A7&amp;"  "&amp;A8</f>
        <v>Căn cứ vào biên bản giao nhận TSCĐ   Số: SX01/11  Ngày   19   tháng   5  năm   2011</v>
      </c>
      <c r="B10" s="496"/>
      <c r="C10" s="496"/>
      <c r="D10" s="496"/>
      <c r="E10" s="496"/>
      <c r="F10" s="496"/>
      <c r="G10" s="496"/>
      <c r="H10" s="496"/>
    </row>
    <row r="11" spans="1:11" ht="15" customHeight="1">
      <c r="A11" s="496" t="s">
        <v>327</v>
      </c>
      <c r="B11" s="496"/>
      <c r="C11" s="496"/>
      <c r="D11" s="496" t="s">
        <v>390</v>
      </c>
      <c r="E11" s="496" t="str">
        <f ca="1" xml:space="preserve"> IF(ROWS($1:1)&gt;COUNT(Dong3),"","Số hiệu TSCĐ:   "&amp;OFFSET('SO-TS'!$G$1,SMALL(Dong3,ROWS($1:1)),))</f>
        <v>Số hiệu TSCĐ:   SX01/11</v>
      </c>
      <c r="F11" s="496"/>
      <c r="H11" s="496"/>
    </row>
    <row r="12" spans="1:11" ht="15" customHeight="1">
      <c r="A12" s="496" t="str">
        <f ca="1" xml:space="preserve"> IF(ROWS($1:1)&gt;COUNT(Dong3),"","Nước sản xuất:   "&amp;OFFSET('SO-TS'!$E$1,SMALL(Dong3,ROWS($1:1)),))</f>
        <v>Nước sản xuất:   Việt Nam</v>
      </c>
      <c r="B12" s="496"/>
      <c r="C12" s="496"/>
      <c r="D12" s="496"/>
      <c r="E12" s="496" t="s">
        <v>328</v>
      </c>
      <c r="F12" s="496"/>
      <c r="G12" s="496"/>
      <c r="H12" s="496"/>
    </row>
    <row r="13" spans="1:11" ht="15" customHeight="1">
      <c r="A13" s="496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96"/>
      <c r="C13" s="496"/>
      <c r="D13" s="496"/>
      <c r="E13" s="496" t="str">
        <f ca="1" xml:space="preserve"> IF(ROWS($1:1)&gt;COUNT(Dong3),"","Tháng, năm đưa vào sử dụng:    "&amp;OFFSET('SO-TS'!$F$1,SMALL(Dong3,ROWS($1:1)),))</f>
        <v>Tháng, năm đưa vào sử dụng:    06/2011</v>
      </c>
      <c r="F13" s="496"/>
      <c r="G13" s="496"/>
      <c r="H13" s="496"/>
    </row>
    <row r="14" spans="1:11" ht="15" customHeight="1">
      <c r="A14" s="496" t="s">
        <v>310</v>
      </c>
      <c r="B14" s="496"/>
      <c r="C14" s="496"/>
      <c r="D14" s="496"/>
      <c r="E14" s="496"/>
      <c r="F14" s="496"/>
      <c r="G14" s="496"/>
      <c r="H14" s="496"/>
    </row>
    <row r="15" spans="1:11" ht="15" customHeight="1">
      <c r="A15" s="496" t="s">
        <v>330</v>
      </c>
      <c r="B15" s="496"/>
      <c r="C15" s="496"/>
      <c r="D15" s="496"/>
      <c r="E15" s="496"/>
      <c r="F15" s="496"/>
      <c r="G15" s="496"/>
      <c r="H15" s="496"/>
    </row>
    <row r="16" spans="1:11" ht="15" customHeight="1">
      <c r="A16" s="558" t="s">
        <v>329</v>
      </c>
      <c r="B16" s="558"/>
      <c r="C16" s="558"/>
      <c r="D16" s="558"/>
      <c r="E16" s="558"/>
      <c r="F16" s="558"/>
      <c r="G16" s="558"/>
      <c r="H16" s="558"/>
    </row>
    <row r="17" spans="1:8" s="552" customFormat="1" ht="18" customHeight="1">
      <c r="A17" s="1076" t="s">
        <v>125</v>
      </c>
      <c r="B17" s="1077"/>
      <c r="C17" s="1080" t="s">
        <v>311</v>
      </c>
      <c r="D17" s="1081"/>
      <c r="E17" s="1082"/>
      <c r="F17" s="1083" t="s">
        <v>312</v>
      </c>
      <c r="G17" s="1084"/>
      <c r="H17" s="1085"/>
    </row>
    <row r="18" spans="1:8" s="552" customFormat="1" ht="28.5" customHeight="1">
      <c r="A18" s="1078"/>
      <c r="B18" s="1079"/>
      <c r="C18" s="525" t="s">
        <v>313</v>
      </c>
      <c r="D18" s="525" t="s">
        <v>0</v>
      </c>
      <c r="E18" s="525" t="s">
        <v>314</v>
      </c>
      <c r="F18" s="525" t="s">
        <v>315</v>
      </c>
      <c r="G18" s="525" t="s">
        <v>316</v>
      </c>
      <c r="H18" s="525" t="s">
        <v>317</v>
      </c>
    </row>
    <row r="19" spans="1:8" s="554" customFormat="1">
      <c r="A19" s="1086" t="s">
        <v>2</v>
      </c>
      <c r="B19" s="1086"/>
      <c r="C19" s="553" t="s">
        <v>3</v>
      </c>
      <c r="D19" s="553" t="s">
        <v>4</v>
      </c>
      <c r="E19" s="553">
        <v>1</v>
      </c>
      <c r="F19" s="553">
        <v>2</v>
      </c>
      <c r="G19" s="553">
        <v>3</v>
      </c>
      <c r="H19" s="553">
        <v>4</v>
      </c>
    </row>
    <row r="20" spans="1:8" ht="17.25" customHeight="1">
      <c r="A20" s="466">
        <f ca="1">IF(B20&lt;&gt;"",ROW()-19,"")</f>
        <v>1</v>
      </c>
      <c r="B20" s="540" t="str">
        <f ca="1" xml:space="preserve"> IF(ROWS($1:1)&gt;COUNT(Dong3),"",OFFSET('SO-TS'!G$1,SMALL(Dong3,ROWS($1:1)),))</f>
        <v>SX01/11</v>
      </c>
      <c r="C20" s="540" t="str">
        <f ca="1" xml:space="preserve"> IF(ROWS($1:1)&gt;COUNT(Dong3),"",OFFSET('SO-TS'!F$1,SMALL(Dong3,ROWS($1:1)),))</f>
        <v>06/2011</v>
      </c>
      <c r="D20" s="567" t="str">
        <f ca="1" xml:space="preserve"> IF(ROWS($1:1)&gt;COUNT(Dong3),"",OFFSET('SO-TS'!D$1,SMALL(Dong3,ROWS($1:1)),))</f>
        <v>Máy chap khe khổ 2m</v>
      </c>
      <c r="E20" s="568">
        <f ca="1" xml:space="preserve"> IF(ROWS($1:1)&gt;COUNT(Dong3),"",OFFSET('SO-TS'!H$1,SMALL(Dong3,ROWS($1:1)),))</f>
        <v>18000000</v>
      </c>
      <c r="F20" s="569" t="str">
        <f ca="1" xml:space="preserve"> IF(ROWS($1:1)&gt;COUNT(Dong3),"",RIGHT(OFFSET('SO-TS'!F$1,SMALL(Dong3,ROWS($1:1)),),4))</f>
        <v>2011</v>
      </c>
      <c r="G20" s="804">
        <f ca="1">IF(F20="",0,ROUND(IF(OR(ROWS($1:$1)&gt;COUNT(Dong3),(ROW()-19)&gt;OFFSET('SO-TS'!I$1,SMALL(Dong3,ROWS($1:$1)),)),0,IF(VALUE(LEFT(C20,2))&gt;0,$E$25/(OFFSET('SO-TS'!I$1,SMALL(Dong3,ROWS($1:$1)),))/12*(13-VALUE(LEFT(C20,2))),$E$25/(OFFSET('SO-TS'!I$1,SMALL(Dong3,ROWS($1:$1)),)))),0))</f>
        <v>2100000</v>
      </c>
      <c r="H20" s="804">
        <f ca="1">G20</f>
        <v>2100000</v>
      </c>
    </row>
    <row r="21" spans="1:8" ht="17.25" customHeight="1">
      <c r="A21" s="6"/>
      <c r="B21" s="887"/>
      <c r="C21" s="887"/>
      <c r="D21" s="888"/>
      <c r="E21" s="258"/>
      <c r="F21" s="889">
        <f ca="1">IF(OR(F20="",(ROW()-19)&gt;OFFSET('SO-TS'!I$1,SMALL(Dong3,ROWS($1:$1)),)+1),"",IF(VALUE(F20)&gt;VALUE(YEAR(NOW())),"",F20+1))</f>
        <v>2012</v>
      </c>
      <c r="G21" s="802">
        <f ca="1">IF(F21="",0,ROUND(IF(OR(ROWS($1:$1)&gt;COUNT(Dong3),(ROW()-19)&gt;OFFSET('SO-TS'!I$1,SMALL(Dong3,ROWS($1:$1)),)+1),0,IF($E$25-H20&lt;($E$25/(OFFSET('SO-TS'!I$1,SMALL(Dong3,ROWS($1:$1)),))+12),$E$25-H20,$E$25/(OFFSET('SO-TS'!I$1,SMALL(Dong3,ROWS($1:$1)),)))),0))</f>
        <v>3600000</v>
      </c>
      <c r="H21" s="802">
        <f ca="1">IF(G21&lt;&gt;0,H20+G21,0)</f>
        <v>5700000</v>
      </c>
    </row>
    <row r="22" spans="1:8" ht="17.25" customHeight="1">
      <c r="A22" s="6"/>
      <c r="B22" s="887"/>
      <c r="C22" s="887"/>
      <c r="D22" s="888"/>
      <c r="E22" s="258"/>
      <c r="F22" s="889">
        <f ca="1">IF(OR(F21="",(ROW()-19)&gt;OFFSET('SO-TS'!I$1,SMALL(Dong3,ROWS($1:$1)),)+1),"",IF(VALUE(F21)&gt;VALUE(YEAR(NOW())),"",F21+1))</f>
        <v>2013</v>
      </c>
      <c r="G22" s="802">
        <f ca="1">IF(F22="",0,ROUND(IF(OR(ROWS($1:$1)&gt;COUNT(Dong3),(ROW()-19)&gt;OFFSET('SO-TS'!I$1,SMALL(Dong3,ROWS($1:$1)),)+1),0,IF($E$25-H21&lt;($E$25/(OFFSET('SO-TS'!I$1,SMALL(Dong3,ROWS($1:$1)),))+12),$E$25-H21,$E$25/(OFFSET('SO-TS'!I$1,SMALL(Dong3,ROWS($1:$1)),)))),0))</f>
        <v>3600000</v>
      </c>
      <c r="H22" s="802">
        <f ca="1">IF(G22&lt;&gt;0,H21+G22,0)</f>
        <v>9300000</v>
      </c>
    </row>
    <row r="23" spans="1:8" ht="17.25" customHeight="1">
      <c r="A23" s="6"/>
      <c r="B23" s="887"/>
      <c r="C23" s="887"/>
      <c r="D23" s="888"/>
      <c r="E23" s="258"/>
      <c r="F23" s="889"/>
      <c r="G23" s="802"/>
      <c r="H23" s="802"/>
    </row>
    <row r="24" spans="1:8" ht="17.25" customHeight="1">
      <c r="A24" s="890" t="str">
        <f t="shared" ref="A24" si="0">IF(B24&lt;&gt;"",ROW()-19,"")</f>
        <v/>
      </c>
      <c r="B24" s="508"/>
      <c r="C24" s="541"/>
      <c r="D24" s="541"/>
      <c r="E24" s="803"/>
      <c r="F24" s="891"/>
      <c r="G24" s="803"/>
      <c r="H24" s="803"/>
    </row>
    <row r="25" spans="1:8" ht="17.25" customHeight="1">
      <c r="A25" s="510"/>
      <c r="B25" s="510" t="s">
        <v>318</v>
      </c>
      <c r="C25" s="542"/>
      <c r="D25" s="542"/>
      <c r="E25" s="570">
        <f ca="1">SUM(E20:E24)</f>
        <v>18000000</v>
      </c>
      <c r="F25" s="542"/>
      <c r="G25" s="570">
        <f ca="1">SUM(G20:G24)</f>
        <v>9300000</v>
      </c>
      <c r="H25" s="570"/>
    </row>
    <row r="26" spans="1:8" ht="17.25" customHeight="1">
      <c r="A26" s="543"/>
      <c r="B26" s="543"/>
      <c r="C26" s="544"/>
      <c r="D26" s="544"/>
      <c r="E26" s="544"/>
      <c r="F26" s="544"/>
      <c r="G26" s="545"/>
      <c r="H26" s="545"/>
    </row>
    <row r="27" spans="1:8" ht="17.25" customHeight="1">
      <c r="A27" s="543"/>
      <c r="B27" s="543"/>
      <c r="C27" s="544"/>
      <c r="D27" s="544"/>
      <c r="E27" s="544"/>
      <c r="F27" s="544"/>
      <c r="G27" s="545"/>
      <c r="H27" s="545"/>
    </row>
    <row r="28" spans="1:8" ht="17.25" customHeight="1">
      <c r="A28" s="1087" t="s">
        <v>319</v>
      </c>
      <c r="B28" s="1087"/>
      <c r="C28" s="1087"/>
      <c r="D28" s="1087"/>
      <c r="E28" s="1087"/>
      <c r="F28" s="1087"/>
      <c r="G28" s="1087"/>
      <c r="H28" s="1087"/>
    </row>
    <row r="29" spans="1:8" ht="27" customHeight="1">
      <c r="A29" s="510" t="s">
        <v>35</v>
      </c>
      <c r="B29" s="1060" t="s">
        <v>320</v>
      </c>
      <c r="C29" s="1062"/>
      <c r="D29" s="542" t="s">
        <v>194</v>
      </c>
      <c r="E29" s="542" t="s">
        <v>321</v>
      </c>
      <c r="F29" s="542" t="s">
        <v>322</v>
      </c>
      <c r="G29" s="545"/>
      <c r="H29" s="545"/>
    </row>
    <row r="30" spans="1:8" ht="17.25" customHeight="1">
      <c r="A30" s="510" t="s">
        <v>2</v>
      </c>
      <c r="B30" s="510" t="s">
        <v>3</v>
      </c>
      <c r="C30" s="542"/>
      <c r="D30" s="542" t="s">
        <v>4</v>
      </c>
      <c r="E30" s="542">
        <v>1</v>
      </c>
      <c r="F30" s="542">
        <v>2</v>
      </c>
      <c r="G30" s="545"/>
      <c r="H30" s="545"/>
    </row>
    <row r="31" spans="1:8" ht="17.25" customHeight="1">
      <c r="A31" s="546"/>
      <c r="B31" s="546"/>
      <c r="C31" s="547"/>
      <c r="D31" s="547"/>
      <c r="E31" s="547"/>
      <c r="F31" s="547"/>
      <c r="G31" s="545"/>
      <c r="H31" s="545"/>
    </row>
    <row r="32" spans="1:8" ht="17.25" customHeight="1">
      <c r="A32" s="548"/>
      <c r="B32" s="548"/>
      <c r="C32" s="549"/>
      <c r="D32" s="549"/>
      <c r="E32" s="549"/>
      <c r="F32" s="549"/>
      <c r="G32" s="545"/>
      <c r="H32" s="545"/>
    </row>
    <row r="33" spans="1:8" ht="17.25" customHeight="1">
      <c r="A33" s="548"/>
      <c r="B33" s="548"/>
      <c r="C33" s="549"/>
      <c r="D33" s="549"/>
      <c r="E33" s="549"/>
      <c r="F33" s="549"/>
      <c r="G33" s="545"/>
      <c r="H33" s="545"/>
    </row>
    <row r="34" spans="1:8" ht="17.25" customHeight="1">
      <c r="A34" s="548"/>
      <c r="B34" s="548"/>
      <c r="C34" s="549"/>
      <c r="D34" s="549"/>
      <c r="E34" s="549"/>
      <c r="F34" s="549"/>
      <c r="G34" s="545"/>
      <c r="H34" s="545"/>
    </row>
    <row r="35" spans="1:8" ht="17.25" customHeight="1">
      <c r="A35" s="550"/>
      <c r="B35" s="550"/>
      <c r="C35" s="551"/>
      <c r="D35" s="551"/>
      <c r="E35" s="551"/>
      <c r="F35" s="551"/>
      <c r="G35" s="545"/>
      <c r="H35" s="545"/>
    </row>
    <row r="36" spans="1:8">
      <c r="A36" s="543"/>
      <c r="B36" s="543"/>
      <c r="C36" s="544"/>
      <c r="D36" s="544"/>
      <c r="E36" s="544"/>
      <c r="F36" s="544"/>
      <c r="G36" s="545"/>
      <c r="H36" s="545"/>
    </row>
    <row r="37" spans="1:8">
      <c r="A37" s="1088" t="str">
        <f ca="1" xml:space="preserve"> IF(ROWS($1:1)&gt;COUNT(Dong3),"","Ghi giảm TSCĐ chứng từ số:  "&amp;OFFSET('SO-TS'!$M$1,SMALL(Dong3,ROWS($1:1)),))</f>
        <v xml:space="preserve">Ghi giảm TSCĐ chứng từ số:  </v>
      </c>
      <c r="B37" s="1088"/>
      <c r="C37" s="1088"/>
      <c r="D37" s="1088"/>
      <c r="E37" s="1088"/>
      <c r="F37" s="1088"/>
      <c r="G37" s="1088"/>
      <c r="H37" s="1088"/>
    </row>
    <row r="38" spans="1:8">
      <c r="A38" s="1088" t="str">
        <f ca="1" xml:space="preserve"> IF(ROWS($1:1)&gt;COUNT(Dong3),"","Lý do giảm:   "&amp;OFFSET('SO-TS'!$O$1,SMALL(Dong3,ROWS($1:1)),))</f>
        <v xml:space="preserve">Lý do giảm:   </v>
      </c>
      <c r="B38" s="1088"/>
      <c r="C38" s="1088"/>
      <c r="D38" s="1088"/>
      <c r="E38" s="1088"/>
      <c r="F38" s="1088"/>
      <c r="G38" s="1088"/>
      <c r="H38" s="1088"/>
    </row>
    <row r="39" spans="1:8">
      <c r="A39" s="520"/>
      <c r="B39" s="520"/>
      <c r="C39" s="515"/>
      <c r="D39" s="515"/>
      <c r="E39" s="1075" t="s">
        <v>428</v>
      </c>
      <c r="F39" s="1075"/>
      <c r="G39" s="1075"/>
      <c r="H39" s="1075"/>
    </row>
    <row r="40" spans="1:8">
      <c r="A40" s="1071" t="s">
        <v>323</v>
      </c>
      <c r="B40" s="1071"/>
      <c r="C40" s="1071" t="s">
        <v>12</v>
      </c>
      <c r="D40" s="1071"/>
      <c r="E40" s="1067" t="s">
        <v>109</v>
      </c>
      <c r="F40" s="1067"/>
      <c r="G40" s="1067"/>
      <c r="H40" s="1067"/>
    </row>
    <row r="41" spans="1:8">
      <c r="A41" s="497"/>
      <c r="B41" s="497"/>
      <c r="C41" s="500"/>
      <c r="D41" s="500"/>
      <c r="E41" s="500"/>
      <c r="F41" s="500"/>
      <c r="G41" s="500"/>
      <c r="H41" s="500"/>
    </row>
    <row r="42" spans="1:8">
      <c r="A42" s="497"/>
      <c r="B42" s="497"/>
      <c r="C42" s="500"/>
      <c r="D42" s="500"/>
      <c r="E42" s="500"/>
      <c r="F42" s="500"/>
      <c r="G42" s="500"/>
      <c r="H42" s="500"/>
    </row>
    <row r="43" spans="1:8">
      <c r="A43" s="497"/>
      <c r="B43" s="497"/>
      <c r="C43" s="500"/>
      <c r="D43" s="500"/>
      <c r="E43" s="500"/>
      <c r="F43" s="500"/>
      <c r="G43" s="500"/>
      <c r="H43" s="500"/>
    </row>
    <row r="44" spans="1:8">
      <c r="A44" s="497"/>
      <c r="B44" s="497"/>
      <c r="C44" s="500"/>
      <c r="D44" s="500"/>
      <c r="E44" s="500"/>
      <c r="F44" s="500"/>
      <c r="G44" s="500"/>
      <c r="H44" s="500"/>
    </row>
    <row r="45" spans="1:8">
      <c r="A45" s="497"/>
      <c r="B45" s="497"/>
      <c r="C45" s="500"/>
      <c r="D45" s="500"/>
      <c r="E45" s="500"/>
      <c r="F45" s="500"/>
      <c r="G45" s="500"/>
      <c r="H45" s="500"/>
    </row>
    <row r="46" spans="1:8">
      <c r="A46" s="497"/>
      <c r="B46" s="497"/>
      <c r="C46" s="500"/>
      <c r="D46" s="500"/>
      <c r="E46" s="500"/>
      <c r="F46" s="500"/>
      <c r="G46" s="500"/>
      <c r="H46" s="500"/>
    </row>
    <row r="47" spans="1:8">
      <c r="A47" s="497"/>
      <c r="B47" s="497"/>
      <c r="C47" s="500"/>
      <c r="D47" s="500"/>
      <c r="E47" s="500"/>
      <c r="F47" s="500"/>
      <c r="G47" s="500"/>
      <c r="H47" s="500"/>
    </row>
    <row r="48" spans="1:8">
      <c r="A48" s="1074" t="s">
        <v>151</v>
      </c>
      <c r="B48" s="1074"/>
      <c r="C48" s="515"/>
      <c r="D48" s="515"/>
      <c r="E48" s="1075" t="s">
        <v>103</v>
      </c>
      <c r="F48" s="1075"/>
      <c r="G48" s="1075"/>
      <c r="H48" s="1075"/>
    </row>
  </sheetData>
  <dataConsolidate/>
  <mergeCells count="19">
    <mergeCell ref="A48:B48"/>
    <mergeCell ref="E48:H48"/>
    <mergeCell ref="E39:H39"/>
    <mergeCell ref="A17:B18"/>
    <mergeCell ref="C17:E17"/>
    <mergeCell ref="F17:H17"/>
    <mergeCell ref="A19:B19"/>
    <mergeCell ref="A28:H28"/>
    <mergeCell ref="B29:C29"/>
    <mergeCell ref="A37:H37"/>
    <mergeCell ref="A38:H38"/>
    <mergeCell ref="F3:H4"/>
    <mergeCell ref="F2:H2"/>
    <mergeCell ref="A40:B40"/>
    <mergeCell ref="C40:D40"/>
    <mergeCell ref="E40:H40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709" customWidth="1"/>
    <col min="2" max="2" width="8.85546875" style="709" customWidth="1"/>
    <col min="3" max="3" width="10.5703125" style="709" customWidth="1"/>
    <col min="4" max="4" width="43.42578125" style="709" customWidth="1"/>
    <col min="5" max="5" width="7.140625" style="709" customWidth="1"/>
    <col min="6" max="6" width="14.140625" style="709" customWidth="1"/>
    <col min="7" max="7" width="14.85546875" style="709" customWidth="1"/>
    <col min="8" max="9" width="12" style="709" customWidth="1"/>
    <col min="10" max="10" width="12.85546875" style="709" customWidth="1"/>
    <col min="11" max="12" width="13.5703125" style="709" customWidth="1"/>
    <col min="13" max="13" width="12.7109375" style="709" customWidth="1"/>
    <col min="14" max="14" width="6.28515625" style="709" customWidth="1"/>
    <col min="15" max="15" width="8.42578125" style="709" customWidth="1"/>
    <col min="16" max="16384" width="9.140625" style="709"/>
  </cols>
  <sheetData>
    <row r="2" spans="1:16">
      <c r="A2" s="708" t="str">
        <f>'IN-NX'!A2</f>
        <v>Đơn vị: CÔNG TY TNHH SX TM KIM DUNG PHÁT</v>
      </c>
      <c r="F2" s="710"/>
      <c r="G2" s="710"/>
      <c r="H2" s="710"/>
      <c r="I2" s="710"/>
      <c r="J2" s="1093" t="s">
        <v>445</v>
      </c>
      <c r="K2" s="1093"/>
      <c r="L2" s="1093"/>
      <c r="M2" s="1093"/>
    </row>
    <row r="3" spans="1:16" ht="15" customHeight="1">
      <c r="A3" s="738" t="str">
        <f>'IN-NX'!A3</f>
        <v>Địa chỉ: 1A227/1 Ấp 1, Phạm Văn Hai, Bình Chánh, TPHCM</v>
      </c>
      <c r="J3" s="1096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96"/>
      <c r="L3" s="1096"/>
      <c r="M3" s="1096"/>
    </row>
    <row r="4" spans="1:16">
      <c r="J4" s="1096"/>
      <c r="K4" s="1096"/>
      <c r="L4" s="1096"/>
      <c r="M4" s="1096"/>
    </row>
    <row r="5" spans="1:16" ht="19.5" customHeight="1">
      <c r="A5" s="1094" t="s">
        <v>446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1094"/>
      <c r="N5" s="711" t="s">
        <v>165</v>
      </c>
      <c r="O5" s="633">
        <f>IF(O13="Quý I",1,IF(O13="Quý II",4,IF(O13="Quý III",7,IF(O13="Quý IV",10,""))))</f>
        <v>4</v>
      </c>
      <c r="P5" s="633">
        <f>IF(O13="Quý I",3,IF(O13="Quý II",6,IF(O13="Quý III",9,IF(O13="Quý IV",12,""))))</f>
        <v>6</v>
      </c>
    </row>
    <row r="6" spans="1:16">
      <c r="A6" s="1095" t="s">
        <v>447</v>
      </c>
      <c r="B6" s="1095"/>
      <c r="C6" s="1095"/>
      <c r="D6" s="1095"/>
      <c r="E6" s="1095"/>
      <c r="F6" s="1095"/>
      <c r="G6" s="1095"/>
      <c r="H6" s="1095"/>
      <c r="I6" s="1095"/>
      <c r="J6" s="1095"/>
      <c r="K6" s="1095"/>
      <c r="L6" s="1095"/>
      <c r="M6" s="1095"/>
      <c r="N6" s="736"/>
    </row>
    <row r="7" spans="1:16">
      <c r="B7" s="712"/>
      <c r="C7" s="712"/>
      <c r="D7" s="712"/>
      <c r="E7" s="713" t="s">
        <v>448</v>
      </c>
      <c r="G7" s="712"/>
      <c r="H7" s="712"/>
      <c r="I7" s="712"/>
      <c r="J7" s="712"/>
      <c r="K7" s="712"/>
      <c r="L7" s="712"/>
      <c r="M7" s="712"/>
    </row>
    <row r="8" spans="1:16">
      <c r="B8" s="712"/>
      <c r="C8" s="712"/>
      <c r="D8" s="712"/>
      <c r="E8" s="713" t="s">
        <v>449</v>
      </c>
      <c r="G8" s="712"/>
      <c r="H8" s="712"/>
      <c r="I8" s="712"/>
      <c r="J8" s="712"/>
      <c r="K8" s="712"/>
      <c r="L8" s="712"/>
      <c r="M8" s="712"/>
    </row>
    <row r="9" spans="1:16">
      <c r="B9" s="714"/>
      <c r="C9" s="714"/>
      <c r="D9" s="714"/>
      <c r="E9" s="713" t="s">
        <v>450</v>
      </c>
      <c r="G9" s="714"/>
      <c r="H9" s="714"/>
      <c r="I9" s="714"/>
      <c r="J9" s="714"/>
      <c r="K9" s="714"/>
      <c r="L9" s="714"/>
      <c r="M9" s="714"/>
    </row>
    <row r="10" spans="1:16">
      <c r="C10" s="1092"/>
      <c r="D10" s="1092"/>
      <c r="E10" s="1092"/>
      <c r="F10" s="1092"/>
      <c r="G10" s="1092"/>
      <c r="H10" s="1092"/>
      <c r="I10" s="1092"/>
      <c r="J10" s="1092"/>
      <c r="K10" s="1092"/>
      <c r="L10" s="1092"/>
      <c r="M10" s="1092"/>
    </row>
    <row r="11" spans="1:16" ht="15.75" customHeight="1">
      <c r="A11" s="1089" t="s">
        <v>20</v>
      </c>
      <c r="B11" s="1090" t="s">
        <v>1</v>
      </c>
      <c r="C11" s="1090"/>
      <c r="D11" s="1089" t="s">
        <v>0</v>
      </c>
      <c r="E11" s="1089" t="s">
        <v>217</v>
      </c>
      <c r="F11" s="1090" t="s">
        <v>451</v>
      </c>
      <c r="G11" s="1090"/>
      <c r="H11" s="1090"/>
      <c r="I11" s="1090"/>
      <c r="J11" s="1090"/>
      <c r="K11" s="1090"/>
      <c r="L11" s="1090"/>
      <c r="M11" s="1090"/>
    </row>
    <row r="12" spans="1:16" ht="15.75" customHeight="1" thickBot="1">
      <c r="A12" s="1089"/>
      <c r="B12" s="1091" t="s">
        <v>15</v>
      </c>
      <c r="C12" s="1091" t="s">
        <v>32</v>
      </c>
      <c r="D12" s="1089"/>
      <c r="E12" s="1089"/>
      <c r="F12" s="1091" t="s">
        <v>452</v>
      </c>
      <c r="G12" s="1091" t="s">
        <v>453</v>
      </c>
      <c r="H12" s="1091"/>
      <c r="I12" s="1091"/>
      <c r="J12" s="1091"/>
      <c r="K12" s="1091"/>
      <c r="L12" s="1091"/>
      <c r="M12" s="1091"/>
    </row>
    <row r="13" spans="1:16" ht="31.5" customHeight="1" thickBot="1">
      <c r="A13" s="1089"/>
      <c r="B13" s="1091"/>
      <c r="C13" s="1091"/>
      <c r="D13" s="1089"/>
      <c r="E13" s="1089"/>
      <c r="F13" s="1091"/>
      <c r="G13" s="715" t="s">
        <v>436</v>
      </c>
      <c r="H13" s="715" t="s">
        <v>437</v>
      </c>
      <c r="I13" s="715" t="s">
        <v>438</v>
      </c>
      <c r="J13" s="715" t="s">
        <v>454</v>
      </c>
      <c r="K13" s="715" t="s">
        <v>455</v>
      </c>
      <c r="L13" s="715" t="s">
        <v>434</v>
      </c>
      <c r="M13" s="715" t="s">
        <v>456</v>
      </c>
      <c r="O13" s="737" t="s">
        <v>370</v>
      </c>
    </row>
    <row r="14" spans="1:16">
      <c r="A14" s="716" t="s">
        <v>2</v>
      </c>
      <c r="B14" s="716" t="s">
        <v>3</v>
      </c>
      <c r="C14" s="716" t="s">
        <v>4</v>
      </c>
      <c r="D14" s="716" t="s">
        <v>5</v>
      </c>
      <c r="E14" s="716" t="s">
        <v>6</v>
      </c>
      <c r="F14" s="716">
        <v>1</v>
      </c>
      <c r="G14" s="716">
        <v>2</v>
      </c>
      <c r="H14" s="716">
        <v>3</v>
      </c>
      <c r="I14" s="716"/>
      <c r="J14" s="716">
        <v>4</v>
      </c>
      <c r="K14" s="716">
        <v>5</v>
      </c>
      <c r="L14" s="716"/>
      <c r="M14" s="716">
        <v>6</v>
      </c>
    </row>
    <row r="15" spans="1:16" ht="22.5" customHeight="1">
      <c r="A15" s="717"/>
      <c r="B15" s="717"/>
      <c r="C15" s="717"/>
      <c r="D15" s="718" t="s">
        <v>7</v>
      </c>
      <c r="E15" s="717"/>
      <c r="F15" s="719"/>
      <c r="G15" s="719"/>
      <c r="H15" s="719"/>
      <c r="I15" s="719"/>
      <c r="J15" s="719"/>
      <c r="K15" s="719"/>
      <c r="L15" s="719"/>
      <c r="M15" s="719"/>
    </row>
    <row r="16" spans="1:16" ht="22.5" customHeight="1">
      <c r="A16" s="720">
        <f ca="1">IF(ROWS($1:1)&gt;COUNT(Dong9),"",OFFSET(TH!C$1,SMALL(Dong9,ROWS($1:1)),))</f>
        <v>41365</v>
      </c>
      <c r="B16" s="720" t="str">
        <f ca="1">IF(ROWS($1:1)&gt;COUNT(Dong9),"",OFFSET(TH!D$1,SMALL(Dong9,ROWS($1:1)),))</f>
        <v>CTGS</v>
      </c>
      <c r="C16" s="720">
        <f ca="1">IF(ROWS($1:1)&gt;COUNT(Dong9),"",OFFSET(TH!E$1,SMALL(Dong9,ROWS($1:1)),))</f>
        <v>41365</v>
      </c>
      <c r="D16" s="721" t="str">
        <f ca="1">IF(ROWS($1:1)&gt;COUNT(Dong9),"",OFFSET(TH!F$1,SMALL(Dong9,ROWS($1:1)),))</f>
        <v>Trích khấu hao TSCĐ Hữu hình</v>
      </c>
      <c r="E16" s="720" t="str">
        <f ca="1">IF(ROWS($1:1)&gt;COUNT(Dong9),"",OFFSET(TH!M$1,SMALL(Dong9,ROWS($1:1)),))</f>
        <v>2141</v>
      </c>
      <c r="F16" s="722">
        <f ca="1">IF(ROWS($1:1)&gt;COUNT(Dong9),"",OFFSET(TH!K$1,SMALL(Dong9,ROWS($1:1)),))</f>
        <v>18250000</v>
      </c>
      <c r="G16" s="722">
        <f ca="1">IF($E16="1521",$F16,0)</f>
        <v>0</v>
      </c>
      <c r="H16" s="722">
        <f ca="1">IF($E16="1522",$F16,0)</f>
        <v>0</v>
      </c>
      <c r="I16" s="722">
        <f ca="1">IF(LEFT(D16,6)="Mực in",F16,0)</f>
        <v>0</v>
      </c>
      <c r="J16" s="722">
        <f ca="1">IF(OR(LEFT($E16,3)="334",LEFT($E16,3)="338"),$F16,0)</f>
        <v>0</v>
      </c>
      <c r="K16" s="722">
        <f ca="1">IF(OR(LEFT($E16,3)="331",AND(LEFT($E16,3)="111",$D16="Tiền điện")),$F16,0)</f>
        <v>0</v>
      </c>
      <c r="L16" s="722">
        <f ca="1">IF($E16="142",$F16,0)</f>
        <v>0</v>
      </c>
      <c r="M16" s="722">
        <f ca="1">IF(OR(LEFT($E16,3)="214",LEFT($E16,3)="242",AND(LEFT($E16,3)="111",$D16&lt;&gt;"Tiền điện",LEFT($D16,6)&lt;&gt;"Mực in")),$F16,0)</f>
        <v>18250000</v>
      </c>
    </row>
    <row r="17" spans="1:13" ht="22.5" customHeight="1">
      <c r="A17" s="720">
        <f ca="1">IF(ROWS($1:2)&gt;COUNT(Dong9),"",OFFSET(TH!C$1,SMALL(Dong9,ROWS($1:2)),))</f>
        <v>41394</v>
      </c>
      <c r="B17" s="720" t="str">
        <f ca="1">IF(ROWS($1:2)&gt;COUNT(Dong9),"",OFFSET(TH!D$1,SMALL(Dong9,ROWS($1:2)),))</f>
        <v>CTGS</v>
      </c>
      <c r="C17" s="720">
        <f ca="1">IF(ROWS($1:2)&gt;COUNT(Dong9),"",OFFSET(TH!E$1,SMALL(Dong9,ROWS($1:2)),))</f>
        <v>41394</v>
      </c>
      <c r="D17" s="721" t="str">
        <f ca="1">IF(ROWS($1:2)&gt;COUNT(Dong9),"",OFFSET(TH!F$1,SMALL(Dong9,ROWS($1:2)),))</f>
        <v>Tiền lương BP Phân Xưởng &amp; CN</v>
      </c>
      <c r="E17" s="720" t="str">
        <f ca="1">IF(ROWS($1:2)&gt;COUNT(Dong9),"",OFFSET(TH!M$1,SMALL(Dong9,ROWS($1:2)),))</f>
        <v>3341</v>
      </c>
      <c r="F17" s="722">
        <f ca="1">IF(ROWS($1:2)&gt;COUNT(Dong9),"",OFFSET(TH!K$1,SMALL(Dong9,ROWS($1:2)),))</f>
        <v>0</v>
      </c>
      <c r="G17" s="722">
        <f t="shared" ref="G17:G33" ca="1" si="0">IF($E17="1521",$F17,0)</f>
        <v>0</v>
      </c>
      <c r="H17" s="722">
        <f t="shared" ref="H17:H33" ca="1" si="1">IF($E17="1522",$F17,0)</f>
        <v>0</v>
      </c>
      <c r="I17" s="722">
        <f t="shared" ref="I17:I33" ca="1" si="2">IF(LEFT(D17,6)="Mực in",F17,0)</f>
        <v>0</v>
      </c>
      <c r="J17" s="722">
        <f t="shared" ref="J17:J33" ca="1" si="3">IF(OR(LEFT($E17,3)="334",LEFT($E17,3)="338"),$F17,0)</f>
        <v>0</v>
      </c>
      <c r="K17" s="722">
        <f t="shared" ref="K17:K33" ca="1" si="4">IF(OR(LEFT($E17,3)="331",AND(LEFT($E17,3)="111",$D17="Tiền điện")),$F17,0)</f>
        <v>0</v>
      </c>
      <c r="L17" s="722">
        <f t="shared" ref="L17:L33" ca="1" si="5">IF($E17="142",$F17,0)</f>
        <v>0</v>
      </c>
      <c r="M17" s="722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20">
        <f ca="1">IF(ROWS($1:3)&gt;COUNT(Dong9),"",OFFSET(TH!C$1,SMALL(Dong9,ROWS($1:3)),))</f>
        <v>41425</v>
      </c>
      <c r="B18" s="720" t="str">
        <f ca="1">IF(ROWS($1:3)&gt;COUNT(Dong9),"",OFFSET(TH!D$1,SMALL(Dong9,ROWS($1:3)),))</f>
        <v>CTGS</v>
      </c>
      <c r="C18" s="720">
        <f ca="1">IF(ROWS($1:3)&gt;COUNT(Dong9),"",OFFSET(TH!E$1,SMALL(Dong9,ROWS($1:3)),))</f>
        <v>41425</v>
      </c>
      <c r="D18" s="721" t="str">
        <f ca="1">IF(ROWS($1:3)&gt;COUNT(Dong9),"",OFFSET(TH!F$1,SMALL(Dong9,ROWS($1:3)),))</f>
        <v>Tiền lương BP Phân Xưởng &amp; CN</v>
      </c>
      <c r="E18" s="720" t="str">
        <f ca="1">IF(ROWS($1:3)&gt;COUNT(Dong9),"",OFFSET(TH!M$1,SMALL(Dong9,ROWS($1:3)),))</f>
        <v>3341</v>
      </c>
      <c r="F18" s="722">
        <f ca="1">IF(ROWS($1:3)&gt;COUNT(Dong9),"",OFFSET(TH!K$1,SMALL(Dong9,ROWS($1:3)),))</f>
        <v>0</v>
      </c>
      <c r="G18" s="722">
        <f t="shared" ca="1" si="0"/>
        <v>0</v>
      </c>
      <c r="H18" s="722">
        <f t="shared" ca="1" si="1"/>
        <v>0</v>
      </c>
      <c r="I18" s="722">
        <f t="shared" ca="1" si="2"/>
        <v>0</v>
      </c>
      <c r="J18" s="722">
        <f t="shared" ca="1" si="3"/>
        <v>0</v>
      </c>
      <c r="K18" s="722">
        <f t="shared" ca="1" si="4"/>
        <v>0</v>
      </c>
      <c r="L18" s="722">
        <f t="shared" ca="1" si="5"/>
        <v>0</v>
      </c>
      <c r="M18" s="722">
        <f t="shared" ca="1" si="6"/>
        <v>0</v>
      </c>
    </row>
    <row r="19" spans="1:13" ht="22.5" customHeight="1">
      <c r="A19" s="720">
        <f ca="1">IF(ROWS($1:4)&gt;COUNT(Dong9),"",OFFSET(TH!C$1,SMALL(Dong9,ROWS($1:4)),))</f>
        <v>41455</v>
      </c>
      <c r="B19" s="720" t="str">
        <f ca="1">IF(ROWS($1:4)&gt;COUNT(Dong9),"",OFFSET(TH!D$1,SMALL(Dong9,ROWS($1:4)),))</f>
        <v>CTGS</v>
      </c>
      <c r="C19" s="720">
        <f ca="1">IF(ROWS($1:4)&gt;COUNT(Dong9),"",OFFSET(TH!E$1,SMALL(Dong9,ROWS($1:4)),))</f>
        <v>41455</v>
      </c>
      <c r="D19" s="721" t="str">
        <f ca="1">IF(ROWS($1:4)&gt;COUNT(Dong9),"",OFFSET(TH!F$1,SMALL(Dong9,ROWS($1:4)),))</f>
        <v>Tiền lương BP Phân Xưởng &amp; CN</v>
      </c>
      <c r="E19" s="720" t="str">
        <f ca="1">IF(ROWS($1:4)&gt;COUNT(Dong9),"",OFFSET(TH!M$1,SMALL(Dong9,ROWS($1:4)),))</f>
        <v>3341</v>
      </c>
      <c r="F19" s="722">
        <f ca="1">IF(ROWS($1:4)&gt;COUNT(Dong9),"",OFFSET(TH!K$1,SMALL(Dong9,ROWS($1:4)),))</f>
        <v>0</v>
      </c>
      <c r="G19" s="722">
        <f t="shared" ca="1" si="0"/>
        <v>0</v>
      </c>
      <c r="H19" s="722">
        <f t="shared" ca="1" si="1"/>
        <v>0</v>
      </c>
      <c r="I19" s="722">
        <f t="shared" ca="1" si="2"/>
        <v>0</v>
      </c>
      <c r="J19" s="722">
        <f t="shared" ca="1" si="3"/>
        <v>0</v>
      </c>
      <c r="K19" s="722">
        <f t="shared" ca="1" si="4"/>
        <v>0</v>
      </c>
      <c r="L19" s="722">
        <f t="shared" ca="1" si="5"/>
        <v>0</v>
      </c>
      <c r="M19" s="722">
        <f t="shared" ca="1" si="6"/>
        <v>0</v>
      </c>
    </row>
    <row r="20" spans="1:13" ht="22.5" customHeight="1">
      <c r="A20" s="720">
        <f ca="1">IF(ROWS($1:5)&gt;COUNT(Dong9),"",OFFSET(TH!C$1,SMALL(Dong9,ROWS($1:5)),))</f>
        <v>41401</v>
      </c>
      <c r="B20" s="720" t="str">
        <f ca="1">IF(ROWS($1:5)&gt;COUNT(Dong9),"",OFFSET(TH!D$1,SMALL(Dong9,ROWS($1:5)),))</f>
        <v>C02</v>
      </c>
      <c r="C20" s="720">
        <f ca="1">IF(ROWS($1:5)&gt;COUNT(Dong9),"",OFFSET(TH!E$1,SMALL(Dong9,ROWS($1:5)),))</f>
        <v>41401</v>
      </c>
      <c r="D20" s="721" t="str">
        <f ca="1">IF(ROWS($1:5)&gt;COUNT(Dong9),"",OFFSET(TH!F$1,SMALL(Dong9,ROWS($1:5)),))</f>
        <v>Mực in</v>
      </c>
      <c r="E20" s="720" t="str">
        <f ca="1">IF(ROWS($1:5)&gt;COUNT(Dong9),"",OFFSET(TH!M$1,SMALL(Dong9,ROWS($1:5)),))</f>
        <v>1111</v>
      </c>
      <c r="F20" s="722">
        <f ca="1">IF(ROWS($1:5)&gt;COUNT(Dong9),"",OFFSET(TH!K$1,SMALL(Dong9,ROWS($1:5)),))</f>
        <v>3380000</v>
      </c>
      <c r="G20" s="722">
        <f t="shared" ca="1" si="0"/>
        <v>0</v>
      </c>
      <c r="H20" s="722">
        <f t="shared" ca="1" si="1"/>
        <v>0</v>
      </c>
      <c r="I20" s="722">
        <f t="shared" ca="1" si="2"/>
        <v>3380000</v>
      </c>
      <c r="J20" s="722">
        <f t="shared" ca="1" si="3"/>
        <v>0</v>
      </c>
      <c r="K20" s="722">
        <f t="shared" ca="1" si="4"/>
        <v>0</v>
      </c>
      <c r="L20" s="722">
        <f t="shared" ca="1" si="5"/>
        <v>0</v>
      </c>
      <c r="M20" s="722">
        <f t="shared" ca="1" si="6"/>
        <v>0</v>
      </c>
    </row>
    <row r="21" spans="1:13" ht="22.5" customHeight="1">
      <c r="A21" s="720">
        <f ca="1">IF(ROWS($1:6)&gt;COUNT(Dong9),"",OFFSET(TH!C$1,SMALL(Dong9,ROWS($1:6)),))</f>
        <v>41403</v>
      </c>
      <c r="B21" s="720" t="str">
        <f ca="1">IF(ROWS($1:6)&gt;COUNT(Dong9),"",OFFSET(TH!D$1,SMALL(Dong9,ROWS($1:6)),))</f>
        <v>C04</v>
      </c>
      <c r="C21" s="720">
        <f ca="1">IF(ROWS($1:6)&gt;COUNT(Dong9),"",OFFSET(TH!E$1,SMALL(Dong9,ROWS($1:6)),))</f>
        <v>41403</v>
      </c>
      <c r="D21" s="721" t="str">
        <f ca="1">IF(ROWS($1:6)&gt;COUNT(Dong9),"",OFFSET(TH!F$1,SMALL(Dong9,ROWS($1:6)),))</f>
        <v>Mực in</v>
      </c>
      <c r="E21" s="720" t="str">
        <f ca="1">IF(ROWS($1:6)&gt;COUNT(Dong9),"",OFFSET(TH!M$1,SMALL(Dong9,ROWS($1:6)),))</f>
        <v>1111</v>
      </c>
      <c r="F21" s="722">
        <f ca="1">IF(ROWS($1:6)&gt;COUNT(Dong9),"",OFFSET(TH!K$1,SMALL(Dong9,ROWS($1:6)),))</f>
        <v>3640000</v>
      </c>
      <c r="G21" s="722">
        <f t="shared" ca="1" si="0"/>
        <v>0</v>
      </c>
      <c r="H21" s="722">
        <f t="shared" ca="1" si="1"/>
        <v>0</v>
      </c>
      <c r="I21" s="722">
        <f t="shared" ca="1" si="2"/>
        <v>3640000</v>
      </c>
      <c r="J21" s="722">
        <f t="shared" ca="1" si="3"/>
        <v>0</v>
      </c>
      <c r="K21" s="722">
        <f t="shared" ca="1" si="4"/>
        <v>0</v>
      </c>
      <c r="L21" s="722">
        <f t="shared" ca="1" si="5"/>
        <v>0</v>
      </c>
      <c r="M21" s="722">
        <f t="shared" ca="1" si="6"/>
        <v>0</v>
      </c>
    </row>
    <row r="22" spans="1:13" ht="22.5" customHeight="1">
      <c r="A22" s="720">
        <f ca="1">IF(ROWS($1:7)&gt;COUNT(Dong9),"",OFFSET(TH!C$1,SMALL(Dong9,ROWS($1:7)),))</f>
        <v>41365</v>
      </c>
      <c r="B22" s="720" t="str">
        <f ca="1">IF(ROWS($1:7)&gt;COUNT(Dong9),"",OFFSET(TH!D$1,SMALL(Dong9,ROWS($1:7)),))</f>
        <v>VL/X01</v>
      </c>
      <c r="C22" s="720">
        <f ca="1">IF(ROWS($1:7)&gt;COUNT(Dong9),"",OFFSET(TH!E$1,SMALL(Dong9,ROWS($1:7)),))</f>
        <v>41365</v>
      </c>
      <c r="D22" s="721" t="str">
        <f ca="1">IF(ROWS($1:7)&gt;COUNT(Dong9),"",OFFSET(TH!F$1,SMALL(Dong9,ROWS($1:7)),))</f>
        <v>Kẽm đóng bao bì</v>
      </c>
      <c r="E22" s="720" t="str">
        <f ca="1">IF(ROWS($1:7)&gt;COUNT(Dong9),"",OFFSET(TH!M$1,SMALL(Dong9,ROWS($1:7)),))</f>
        <v>1522</v>
      </c>
      <c r="F22" s="722">
        <f ca="1">IF(ROWS($1:7)&gt;COUNT(Dong9),"",OFFSET(TH!K$1,SMALL(Dong9,ROWS($1:7)),))</f>
        <v>625000</v>
      </c>
      <c r="G22" s="722">
        <f t="shared" ca="1" si="0"/>
        <v>0</v>
      </c>
      <c r="H22" s="722">
        <f t="shared" ca="1" si="1"/>
        <v>625000</v>
      </c>
      <c r="I22" s="722">
        <f t="shared" ca="1" si="2"/>
        <v>0</v>
      </c>
      <c r="J22" s="722">
        <f t="shared" ca="1" si="3"/>
        <v>0</v>
      </c>
      <c r="K22" s="722">
        <f t="shared" ca="1" si="4"/>
        <v>0</v>
      </c>
      <c r="L22" s="722">
        <f t="shared" ca="1" si="5"/>
        <v>0</v>
      </c>
      <c r="M22" s="722">
        <f t="shared" ca="1" si="6"/>
        <v>0</v>
      </c>
    </row>
    <row r="23" spans="1:13" ht="22.5" customHeight="1">
      <c r="A23" s="720">
        <f ca="1">IF(ROWS($1:8)&gt;COUNT(Dong9),"",OFFSET(TH!C$1,SMALL(Dong9,ROWS($1:8)),))</f>
        <v>41365</v>
      </c>
      <c r="B23" s="720" t="str">
        <f ca="1">IF(ROWS($1:8)&gt;COUNT(Dong9),"",OFFSET(TH!D$1,SMALL(Dong9,ROWS($1:8)),))</f>
        <v>VL/X01</v>
      </c>
      <c r="C23" s="720">
        <f ca="1">IF(ROWS($1:8)&gt;COUNT(Dong9),"",OFFSET(TH!E$1,SMALL(Dong9,ROWS($1:8)),))</f>
        <v>41365</v>
      </c>
      <c r="D23" s="721" t="str">
        <f ca="1">IF(ROWS($1:8)&gt;COUNT(Dong9),"",OFFSET(TH!F$1,SMALL(Dong9,ROWS($1:8)),))</f>
        <v>Dây nylon</v>
      </c>
      <c r="E23" s="720" t="str">
        <f ca="1">IF(ROWS($1:8)&gt;COUNT(Dong9),"",OFFSET(TH!M$1,SMALL(Dong9,ROWS($1:8)),))</f>
        <v>1522</v>
      </c>
      <c r="F23" s="722">
        <f ca="1">IF(ROWS($1:8)&gt;COUNT(Dong9),"",OFFSET(TH!K$1,SMALL(Dong9,ROWS($1:8)),))</f>
        <v>1056000</v>
      </c>
      <c r="G23" s="722">
        <f t="shared" ca="1" si="0"/>
        <v>0</v>
      </c>
      <c r="H23" s="722">
        <f t="shared" ca="1" si="1"/>
        <v>1056000</v>
      </c>
      <c r="I23" s="722">
        <f t="shared" ca="1" si="2"/>
        <v>0</v>
      </c>
      <c r="J23" s="722">
        <f t="shared" ca="1" si="3"/>
        <v>0</v>
      </c>
      <c r="K23" s="722">
        <f t="shared" ca="1" si="4"/>
        <v>0</v>
      </c>
      <c r="L23" s="722">
        <f t="shared" ca="1" si="5"/>
        <v>0</v>
      </c>
      <c r="M23" s="722">
        <f t="shared" ca="1" si="6"/>
        <v>0</v>
      </c>
    </row>
    <row r="24" spans="1:13" ht="22.5" customHeight="1">
      <c r="A24" s="720">
        <f ca="1">IF(ROWS($1:9)&gt;COUNT(Dong9),"",OFFSET(TH!C$1,SMALL(Dong9,ROWS($1:9)),))</f>
        <v>41365</v>
      </c>
      <c r="B24" s="720" t="str">
        <f ca="1">IF(ROWS($1:9)&gt;COUNT(Dong9),"",OFFSET(TH!D$1,SMALL(Dong9,ROWS($1:9)),))</f>
        <v>XVL</v>
      </c>
      <c r="C24" s="720">
        <f ca="1">IF(ROWS($1:9)&gt;COUNT(Dong9),"",OFFSET(TH!E$1,SMALL(Dong9,ROWS($1:9)),))</f>
        <v>41365</v>
      </c>
      <c r="D24" s="721">
        <f ca="1">IF(ROWS($1:9)&gt;COUNT(Dong9),"",OFFSET(TH!F$1,SMALL(Dong9,ROWS($1:9)),))</f>
        <v>0</v>
      </c>
      <c r="E24" s="720" t="str">
        <f ca="1">IF(ROWS($1:9)&gt;COUNT(Dong9),"",OFFSET(TH!M$1,SMALL(Dong9,ROWS($1:9)),))</f>
        <v>1521</v>
      </c>
      <c r="F24" s="722">
        <f ca="1">IF(ROWS($1:9)&gt;COUNT(Dong9),"",OFFSET(TH!K$1,SMALL(Dong9,ROWS($1:9)),))</f>
        <v>0</v>
      </c>
      <c r="G24" s="722">
        <f t="shared" ca="1" si="0"/>
        <v>0</v>
      </c>
      <c r="H24" s="722">
        <f t="shared" ca="1" si="1"/>
        <v>0</v>
      </c>
      <c r="I24" s="722">
        <f t="shared" ca="1" si="2"/>
        <v>0</v>
      </c>
      <c r="J24" s="722">
        <f t="shared" ca="1" si="3"/>
        <v>0</v>
      </c>
      <c r="K24" s="722">
        <f t="shared" ca="1" si="4"/>
        <v>0</v>
      </c>
      <c r="L24" s="722">
        <f t="shared" ca="1" si="5"/>
        <v>0</v>
      </c>
      <c r="M24" s="722">
        <f t="shared" ca="1" si="6"/>
        <v>0</v>
      </c>
    </row>
    <row r="25" spans="1:13" ht="22.5" customHeight="1">
      <c r="A25" s="720">
        <f ca="1">IF(ROWS($1:10)&gt;COUNT(Dong9),"",OFFSET(TH!C$1,SMALL(Dong9,ROWS($1:10)),))</f>
        <v>41365</v>
      </c>
      <c r="B25" s="720" t="str">
        <f ca="1">IF(ROWS($1:10)&gt;COUNT(Dong9),"",OFFSET(TH!D$1,SMALL(Dong9,ROWS($1:10)),))</f>
        <v>XVL</v>
      </c>
      <c r="C25" s="720">
        <f ca="1">IF(ROWS($1:10)&gt;COUNT(Dong9),"",OFFSET(TH!E$1,SMALL(Dong9,ROWS($1:10)),))</f>
        <v>41365</v>
      </c>
      <c r="D25" s="721">
        <f ca="1">IF(ROWS($1:10)&gt;COUNT(Dong9),"",OFFSET(TH!F$1,SMALL(Dong9,ROWS($1:10)),))</f>
        <v>0</v>
      </c>
      <c r="E25" s="720" t="str">
        <f ca="1">IF(ROWS($1:10)&gt;COUNT(Dong9),"",OFFSET(TH!M$1,SMALL(Dong9,ROWS($1:10)),))</f>
        <v>1521</v>
      </c>
      <c r="F25" s="722">
        <f ca="1">IF(ROWS($1:10)&gt;COUNT(Dong9),"",OFFSET(TH!K$1,SMALL(Dong9,ROWS($1:10)),))</f>
        <v>0</v>
      </c>
      <c r="G25" s="722">
        <f t="shared" ca="1" si="0"/>
        <v>0</v>
      </c>
      <c r="H25" s="722">
        <f t="shared" ca="1" si="1"/>
        <v>0</v>
      </c>
      <c r="I25" s="722">
        <f t="shared" ca="1" si="2"/>
        <v>0</v>
      </c>
      <c r="J25" s="722">
        <f t="shared" ca="1" si="3"/>
        <v>0</v>
      </c>
      <c r="K25" s="722">
        <f t="shared" ca="1" si="4"/>
        <v>0</v>
      </c>
      <c r="L25" s="722">
        <f t="shared" ca="1" si="5"/>
        <v>0</v>
      </c>
      <c r="M25" s="722">
        <f t="shared" ca="1" si="6"/>
        <v>0</v>
      </c>
    </row>
    <row r="26" spans="1:13" ht="22.5" customHeight="1">
      <c r="A26" s="720">
        <f ca="1">IF(ROWS($1:11)&gt;COUNT(Dong9),"",OFFSET(TH!C$1,SMALL(Dong9,ROWS($1:11)),))</f>
        <v>41366</v>
      </c>
      <c r="B26" s="720" t="str">
        <f ca="1">IF(ROWS($1:11)&gt;COUNT(Dong9),"",OFFSET(TH!D$1,SMALL(Dong9,ROWS($1:11)),))</f>
        <v>XVL</v>
      </c>
      <c r="C26" s="720">
        <f ca="1">IF(ROWS($1:11)&gt;COUNT(Dong9),"",OFFSET(TH!E$1,SMALL(Dong9,ROWS($1:11)),))</f>
        <v>41366</v>
      </c>
      <c r="D26" s="721">
        <f ca="1">IF(ROWS($1:11)&gt;COUNT(Dong9),"",OFFSET(TH!F$1,SMALL(Dong9,ROWS($1:11)),))</f>
        <v>0</v>
      </c>
      <c r="E26" s="720" t="str">
        <f ca="1">IF(ROWS($1:11)&gt;COUNT(Dong9),"",OFFSET(TH!M$1,SMALL(Dong9,ROWS($1:11)),))</f>
        <v>1521</v>
      </c>
      <c r="F26" s="722">
        <f ca="1">IF(ROWS($1:11)&gt;COUNT(Dong9),"",OFFSET(TH!K$1,SMALL(Dong9,ROWS($1:11)),))</f>
        <v>0</v>
      </c>
      <c r="G26" s="722">
        <f t="shared" ca="1" si="0"/>
        <v>0</v>
      </c>
      <c r="H26" s="722">
        <f t="shared" ca="1" si="1"/>
        <v>0</v>
      </c>
      <c r="I26" s="722">
        <f t="shared" ca="1" si="2"/>
        <v>0</v>
      </c>
      <c r="J26" s="722">
        <f t="shared" ca="1" si="3"/>
        <v>0</v>
      </c>
      <c r="K26" s="722">
        <f t="shared" ca="1" si="4"/>
        <v>0</v>
      </c>
      <c r="L26" s="722">
        <f t="shared" ca="1" si="5"/>
        <v>0</v>
      </c>
      <c r="M26" s="722">
        <f t="shared" ca="1" si="6"/>
        <v>0</v>
      </c>
    </row>
    <row r="27" spans="1:13" ht="22.5" customHeight="1">
      <c r="A27" s="720">
        <f ca="1">IF(ROWS($1:12)&gt;COUNT(Dong9),"",OFFSET(TH!C$1,SMALL(Dong9,ROWS($1:12)),))</f>
        <v>41366</v>
      </c>
      <c r="B27" s="720" t="str">
        <f ca="1">IF(ROWS($1:12)&gt;COUNT(Dong9),"",OFFSET(TH!D$1,SMALL(Dong9,ROWS($1:12)),))</f>
        <v>XVL</v>
      </c>
      <c r="C27" s="720">
        <f ca="1">IF(ROWS($1:12)&gt;COUNT(Dong9),"",OFFSET(TH!E$1,SMALL(Dong9,ROWS($1:12)),))</f>
        <v>41366</v>
      </c>
      <c r="D27" s="721">
        <f ca="1">IF(ROWS($1:12)&gt;COUNT(Dong9),"",OFFSET(TH!F$1,SMALL(Dong9,ROWS($1:12)),))</f>
        <v>0</v>
      </c>
      <c r="E27" s="720" t="str">
        <f ca="1">IF(ROWS($1:12)&gt;COUNT(Dong9),"",OFFSET(TH!M$1,SMALL(Dong9,ROWS($1:12)),))</f>
        <v>1521</v>
      </c>
      <c r="F27" s="722">
        <f ca="1">IF(ROWS($1:12)&gt;COUNT(Dong9),"",OFFSET(TH!K$1,SMALL(Dong9,ROWS($1:12)),))</f>
        <v>0</v>
      </c>
      <c r="G27" s="722">
        <f t="shared" ca="1" si="0"/>
        <v>0</v>
      </c>
      <c r="H27" s="722">
        <f t="shared" ca="1" si="1"/>
        <v>0</v>
      </c>
      <c r="I27" s="722">
        <f t="shared" ca="1" si="2"/>
        <v>0</v>
      </c>
      <c r="J27" s="722">
        <f t="shared" ca="1" si="3"/>
        <v>0</v>
      </c>
      <c r="K27" s="722">
        <f t="shared" ca="1" si="4"/>
        <v>0</v>
      </c>
      <c r="L27" s="722">
        <f t="shared" ca="1" si="5"/>
        <v>0</v>
      </c>
      <c r="M27" s="722">
        <f t="shared" ca="1" si="6"/>
        <v>0</v>
      </c>
    </row>
    <row r="28" spans="1:13" ht="22.5" customHeight="1">
      <c r="A28" s="720">
        <f ca="1">IF(ROWS($1:13)&gt;COUNT(Dong9),"",OFFSET(TH!C$1,SMALL(Dong9,ROWS($1:13)),))</f>
        <v>41367</v>
      </c>
      <c r="B28" s="720" t="str">
        <f ca="1">IF(ROWS($1:13)&gt;COUNT(Dong9),"",OFFSET(TH!D$1,SMALL(Dong9,ROWS($1:13)),))</f>
        <v>XVL</v>
      </c>
      <c r="C28" s="720">
        <f ca="1">IF(ROWS($1:13)&gt;COUNT(Dong9),"",OFFSET(TH!E$1,SMALL(Dong9,ROWS($1:13)),))</f>
        <v>41367</v>
      </c>
      <c r="D28" s="721">
        <f ca="1">IF(ROWS($1:13)&gt;COUNT(Dong9),"",OFFSET(TH!F$1,SMALL(Dong9,ROWS($1:13)),))</f>
        <v>0</v>
      </c>
      <c r="E28" s="720" t="str">
        <f ca="1">IF(ROWS($1:13)&gt;COUNT(Dong9),"",OFFSET(TH!M$1,SMALL(Dong9,ROWS($1:13)),))</f>
        <v>1521</v>
      </c>
      <c r="F28" s="722">
        <f ca="1">IF(ROWS($1:13)&gt;COUNT(Dong9),"",OFFSET(TH!K$1,SMALL(Dong9,ROWS($1:13)),))</f>
        <v>0</v>
      </c>
      <c r="G28" s="722">
        <f t="shared" ca="1" si="0"/>
        <v>0</v>
      </c>
      <c r="H28" s="722">
        <f t="shared" ca="1" si="1"/>
        <v>0</v>
      </c>
      <c r="I28" s="722">
        <f t="shared" ca="1" si="2"/>
        <v>0</v>
      </c>
      <c r="J28" s="722">
        <f t="shared" ca="1" si="3"/>
        <v>0</v>
      </c>
      <c r="K28" s="722">
        <f t="shared" ca="1" si="4"/>
        <v>0</v>
      </c>
      <c r="L28" s="722">
        <f t="shared" ca="1" si="5"/>
        <v>0</v>
      </c>
      <c r="M28" s="722">
        <f t="shared" ca="1" si="6"/>
        <v>0</v>
      </c>
    </row>
    <row r="29" spans="1:13" ht="22.5" customHeight="1">
      <c r="A29" s="720">
        <f ca="1">IF(ROWS($1:14)&gt;COUNT(Dong9),"",OFFSET(TH!C$1,SMALL(Dong9,ROWS($1:14)),))</f>
        <v>41367</v>
      </c>
      <c r="B29" s="720" t="str">
        <f ca="1">IF(ROWS($1:14)&gt;COUNT(Dong9),"",OFFSET(TH!D$1,SMALL(Dong9,ROWS($1:14)),))</f>
        <v>XVL</v>
      </c>
      <c r="C29" s="720">
        <f ca="1">IF(ROWS($1:14)&gt;COUNT(Dong9),"",OFFSET(TH!E$1,SMALL(Dong9,ROWS($1:14)),))</f>
        <v>41367</v>
      </c>
      <c r="D29" s="721">
        <f ca="1">IF(ROWS($1:14)&gt;COUNT(Dong9),"",OFFSET(TH!F$1,SMALL(Dong9,ROWS($1:14)),))</f>
        <v>0</v>
      </c>
      <c r="E29" s="720" t="str">
        <f ca="1">IF(ROWS($1:14)&gt;COUNT(Dong9),"",OFFSET(TH!M$1,SMALL(Dong9,ROWS($1:14)),))</f>
        <v>1521</v>
      </c>
      <c r="F29" s="722">
        <f ca="1">IF(ROWS($1:14)&gt;COUNT(Dong9),"",OFFSET(TH!K$1,SMALL(Dong9,ROWS($1:14)),))</f>
        <v>0</v>
      </c>
      <c r="G29" s="722">
        <f t="shared" ca="1" si="0"/>
        <v>0</v>
      </c>
      <c r="H29" s="722">
        <f t="shared" ca="1" si="1"/>
        <v>0</v>
      </c>
      <c r="I29" s="722">
        <f t="shared" ca="1" si="2"/>
        <v>0</v>
      </c>
      <c r="J29" s="722">
        <f t="shared" ca="1" si="3"/>
        <v>0</v>
      </c>
      <c r="K29" s="722">
        <f t="shared" ca="1" si="4"/>
        <v>0</v>
      </c>
      <c r="L29" s="722">
        <f t="shared" ca="1" si="5"/>
        <v>0</v>
      </c>
      <c r="M29" s="722">
        <f t="shared" ca="1" si="6"/>
        <v>0</v>
      </c>
    </row>
    <row r="30" spans="1:13" ht="22.5" customHeight="1">
      <c r="A30" s="720">
        <f ca="1">IF(ROWS($1:15)&gt;COUNT(Dong9),"",OFFSET(TH!C$1,SMALL(Dong9,ROWS($1:15)),))</f>
        <v>41372</v>
      </c>
      <c r="B30" s="720" t="str">
        <f ca="1">IF(ROWS($1:15)&gt;COUNT(Dong9),"",OFFSET(TH!D$1,SMALL(Dong9,ROWS($1:15)),))</f>
        <v>XVL</v>
      </c>
      <c r="C30" s="720">
        <f ca="1">IF(ROWS($1:15)&gt;COUNT(Dong9),"",OFFSET(TH!E$1,SMALL(Dong9,ROWS($1:15)),))</f>
        <v>41372</v>
      </c>
      <c r="D30" s="721">
        <f ca="1">IF(ROWS($1:15)&gt;COUNT(Dong9),"",OFFSET(TH!F$1,SMALL(Dong9,ROWS($1:15)),))</f>
        <v>0</v>
      </c>
      <c r="E30" s="720" t="str">
        <f ca="1">IF(ROWS($1:15)&gt;COUNT(Dong9),"",OFFSET(TH!M$1,SMALL(Dong9,ROWS($1:15)),))</f>
        <v>1521</v>
      </c>
      <c r="F30" s="722">
        <f ca="1">IF(ROWS($1:15)&gt;COUNT(Dong9),"",OFFSET(TH!K$1,SMALL(Dong9,ROWS($1:15)),))</f>
        <v>0</v>
      </c>
      <c r="G30" s="722">
        <f t="shared" ca="1" si="0"/>
        <v>0</v>
      </c>
      <c r="H30" s="722">
        <f t="shared" ca="1" si="1"/>
        <v>0</v>
      </c>
      <c r="I30" s="722">
        <f t="shared" ca="1" si="2"/>
        <v>0</v>
      </c>
      <c r="J30" s="722">
        <f t="shared" ca="1" si="3"/>
        <v>0</v>
      </c>
      <c r="K30" s="722">
        <f t="shared" ca="1" si="4"/>
        <v>0</v>
      </c>
      <c r="L30" s="722">
        <f t="shared" ca="1" si="5"/>
        <v>0</v>
      </c>
      <c r="M30" s="722">
        <f t="shared" ca="1" si="6"/>
        <v>0</v>
      </c>
    </row>
    <row r="31" spans="1:13" ht="22.5" customHeight="1">
      <c r="A31" s="720">
        <f ca="1">IF(ROWS($1:16)&gt;COUNT(Dong9),"",OFFSET(TH!C$1,SMALL(Dong9,ROWS($1:16)),))</f>
        <v>41372</v>
      </c>
      <c r="B31" s="720" t="str">
        <f ca="1">IF(ROWS($1:16)&gt;COUNT(Dong9),"",OFFSET(TH!D$1,SMALL(Dong9,ROWS($1:16)),))</f>
        <v>XVL</v>
      </c>
      <c r="C31" s="720">
        <f ca="1">IF(ROWS($1:16)&gt;COUNT(Dong9),"",OFFSET(TH!E$1,SMALL(Dong9,ROWS($1:16)),))</f>
        <v>41372</v>
      </c>
      <c r="D31" s="721">
        <f ca="1">IF(ROWS($1:16)&gt;COUNT(Dong9),"",OFFSET(TH!F$1,SMALL(Dong9,ROWS($1:16)),))</f>
        <v>0</v>
      </c>
      <c r="E31" s="720" t="str">
        <f ca="1">IF(ROWS($1:16)&gt;COUNT(Dong9),"",OFFSET(TH!M$1,SMALL(Dong9,ROWS($1:16)),))</f>
        <v>1521</v>
      </c>
      <c r="F31" s="722">
        <f ca="1">IF(ROWS($1:16)&gt;COUNT(Dong9),"",OFFSET(TH!K$1,SMALL(Dong9,ROWS($1:16)),))</f>
        <v>0</v>
      </c>
      <c r="G31" s="722">
        <f t="shared" ca="1" si="0"/>
        <v>0</v>
      </c>
      <c r="H31" s="722">
        <f t="shared" ca="1" si="1"/>
        <v>0</v>
      </c>
      <c r="I31" s="722">
        <f t="shared" ca="1" si="2"/>
        <v>0</v>
      </c>
      <c r="J31" s="722">
        <f t="shared" ca="1" si="3"/>
        <v>0</v>
      </c>
      <c r="K31" s="722">
        <f t="shared" ca="1" si="4"/>
        <v>0</v>
      </c>
      <c r="L31" s="722">
        <f t="shared" ca="1" si="5"/>
        <v>0</v>
      </c>
      <c r="M31" s="722">
        <f t="shared" ca="1" si="6"/>
        <v>0</v>
      </c>
    </row>
    <row r="32" spans="1:13" ht="22.5" customHeight="1">
      <c r="A32" s="720">
        <f ca="1">IF(ROWS($1:17)&gt;COUNT(Dong9),"",OFFSET(TH!C$1,SMALL(Dong9,ROWS($1:17)),))</f>
        <v>41372</v>
      </c>
      <c r="B32" s="720" t="str">
        <f ca="1">IF(ROWS($1:17)&gt;COUNT(Dong9),"",OFFSET(TH!D$1,SMALL(Dong9,ROWS($1:17)),))</f>
        <v>XVL</v>
      </c>
      <c r="C32" s="720">
        <f ca="1">IF(ROWS($1:17)&gt;COUNT(Dong9),"",OFFSET(TH!E$1,SMALL(Dong9,ROWS($1:17)),))</f>
        <v>41372</v>
      </c>
      <c r="D32" s="721">
        <f ca="1">IF(ROWS($1:17)&gt;COUNT(Dong9),"",OFFSET(TH!F$1,SMALL(Dong9,ROWS($1:17)),))</f>
        <v>0</v>
      </c>
      <c r="E32" s="720" t="str">
        <f ca="1">IF(ROWS($1:17)&gt;COUNT(Dong9),"",OFFSET(TH!M$1,SMALL(Dong9,ROWS($1:17)),))</f>
        <v>1521</v>
      </c>
      <c r="F32" s="722">
        <f ca="1">IF(ROWS($1:17)&gt;COUNT(Dong9),"",OFFSET(TH!K$1,SMALL(Dong9,ROWS($1:17)),))</f>
        <v>0</v>
      </c>
      <c r="G32" s="722">
        <f t="shared" ca="1" si="0"/>
        <v>0</v>
      </c>
      <c r="H32" s="722">
        <f t="shared" ca="1" si="1"/>
        <v>0</v>
      </c>
      <c r="I32" s="722">
        <f t="shared" ca="1" si="2"/>
        <v>0</v>
      </c>
      <c r="J32" s="722">
        <f t="shared" ca="1" si="3"/>
        <v>0</v>
      </c>
      <c r="K32" s="722">
        <f t="shared" ca="1" si="4"/>
        <v>0</v>
      </c>
      <c r="L32" s="722">
        <f t="shared" ca="1" si="5"/>
        <v>0</v>
      </c>
      <c r="M32" s="722">
        <f t="shared" ca="1" si="6"/>
        <v>0</v>
      </c>
    </row>
    <row r="33" spans="1:13" ht="22.5" customHeight="1">
      <c r="A33" s="720">
        <f ca="1">IF(ROWS($1:18)&gt;COUNT(Dong9),"",OFFSET(TH!C$1,SMALL(Dong9,ROWS($1:18)),))</f>
        <v>41372</v>
      </c>
      <c r="B33" s="720" t="str">
        <f ca="1">IF(ROWS($1:18)&gt;COUNT(Dong9),"",OFFSET(TH!D$1,SMALL(Dong9,ROWS($1:18)),))</f>
        <v>XVL</v>
      </c>
      <c r="C33" s="720">
        <f ca="1">IF(ROWS($1:18)&gt;COUNT(Dong9),"",OFFSET(TH!E$1,SMALL(Dong9,ROWS($1:18)),))</f>
        <v>41372</v>
      </c>
      <c r="D33" s="721">
        <f ca="1">IF(ROWS($1:18)&gt;COUNT(Dong9),"",OFFSET(TH!F$1,SMALL(Dong9,ROWS($1:18)),))</f>
        <v>0</v>
      </c>
      <c r="E33" s="720" t="str">
        <f ca="1">IF(ROWS($1:18)&gt;COUNT(Dong9),"",OFFSET(TH!M$1,SMALL(Dong9,ROWS($1:18)),))</f>
        <v>1521</v>
      </c>
      <c r="F33" s="722">
        <f ca="1">IF(ROWS($1:18)&gt;COUNT(Dong9),"",OFFSET(TH!K$1,SMALL(Dong9,ROWS($1:18)),))</f>
        <v>0</v>
      </c>
      <c r="G33" s="722">
        <f t="shared" ca="1" si="0"/>
        <v>0</v>
      </c>
      <c r="H33" s="722">
        <f t="shared" ca="1" si="1"/>
        <v>0</v>
      </c>
      <c r="I33" s="722">
        <f t="shared" ca="1" si="2"/>
        <v>0</v>
      </c>
      <c r="J33" s="722">
        <f t="shared" ca="1" si="3"/>
        <v>0</v>
      </c>
      <c r="K33" s="722">
        <f t="shared" ca="1" si="4"/>
        <v>0</v>
      </c>
      <c r="L33" s="722">
        <f t="shared" ca="1" si="5"/>
        <v>0</v>
      </c>
      <c r="M33" s="722">
        <f t="shared" ca="1" si="6"/>
        <v>0</v>
      </c>
    </row>
    <row r="34" spans="1:13" ht="22.5" customHeight="1">
      <c r="A34" s="720"/>
      <c r="B34" s="723"/>
      <c r="C34" s="720"/>
      <c r="D34" s="724"/>
      <c r="E34" s="725"/>
      <c r="F34" s="726"/>
      <c r="G34" s="726"/>
      <c r="H34" s="726"/>
      <c r="I34" s="726"/>
      <c r="J34" s="726"/>
      <c r="K34" s="726"/>
      <c r="L34" s="726"/>
      <c r="M34" s="726"/>
    </row>
    <row r="35" spans="1:13" ht="22.5" customHeight="1">
      <c r="A35" s="720"/>
      <c r="B35" s="723"/>
      <c r="C35" s="720"/>
      <c r="D35" s="718" t="s">
        <v>133</v>
      </c>
      <c r="E35" s="717" t="s">
        <v>19</v>
      </c>
      <c r="F35" s="719">
        <f t="shared" ref="F35:M35" ca="1" si="7">SUM(F15:F34)</f>
        <v>26951000</v>
      </c>
      <c r="G35" s="719">
        <f t="shared" ca="1" si="7"/>
        <v>0</v>
      </c>
      <c r="H35" s="719">
        <f t="shared" ca="1" si="7"/>
        <v>1681000</v>
      </c>
      <c r="I35" s="719">
        <f t="shared" ca="1" si="7"/>
        <v>7020000</v>
      </c>
      <c r="J35" s="719">
        <f t="shared" ca="1" si="7"/>
        <v>0</v>
      </c>
      <c r="K35" s="719">
        <f t="shared" ca="1" si="7"/>
        <v>0</v>
      </c>
      <c r="L35" s="719">
        <f t="shared" ca="1" si="7"/>
        <v>0</v>
      </c>
      <c r="M35" s="719">
        <f t="shared" ca="1" si="7"/>
        <v>18250000</v>
      </c>
    </row>
    <row r="36" spans="1:13" ht="22.5" customHeight="1">
      <c r="A36" s="727"/>
      <c r="B36" s="725"/>
      <c r="C36" s="727"/>
      <c r="D36" s="728" t="s">
        <v>457</v>
      </c>
      <c r="E36" s="723"/>
      <c r="F36" s="729">
        <f ca="1">SUM(G36:M36)</f>
        <v>26951000</v>
      </c>
      <c r="G36" s="729">
        <f t="shared" ref="G36:M36" ca="1" si="8">G35</f>
        <v>0</v>
      </c>
      <c r="H36" s="729">
        <f t="shared" ca="1" si="8"/>
        <v>1681000</v>
      </c>
      <c r="I36" s="729">
        <f t="shared" ref="I36" ca="1" si="9">I35</f>
        <v>7020000</v>
      </c>
      <c r="J36" s="729">
        <f t="shared" ca="1" si="8"/>
        <v>0</v>
      </c>
      <c r="K36" s="729">
        <f t="shared" ca="1" si="8"/>
        <v>0</v>
      </c>
      <c r="L36" s="729">
        <f t="shared" ref="L36" ca="1" si="10">L35</f>
        <v>0</v>
      </c>
      <c r="M36" s="729">
        <f t="shared" ca="1" si="8"/>
        <v>18250000</v>
      </c>
    </row>
    <row r="37" spans="1:13" ht="22.5" customHeight="1">
      <c r="A37" s="730"/>
      <c r="B37" s="730"/>
      <c r="C37" s="730"/>
      <c r="D37" s="731" t="s">
        <v>10</v>
      </c>
      <c r="E37" s="730" t="s">
        <v>19</v>
      </c>
      <c r="F37" s="732">
        <f t="shared" ref="F37:M37" ca="1" si="11">F15+F35-F36</f>
        <v>0</v>
      </c>
      <c r="G37" s="732">
        <f t="shared" ca="1" si="11"/>
        <v>0</v>
      </c>
      <c r="H37" s="732">
        <f t="shared" ca="1" si="11"/>
        <v>0</v>
      </c>
      <c r="I37" s="732">
        <f t="shared" ca="1" si="11"/>
        <v>0</v>
      </c>
      <c r="J37" s="732">
        <f t="shared" ca="1" si="11"/>
        <v>0</v>
      </c>
      <c r="K37" s="732">
        <f t="shared" ca="1" si="11"/>
        <v>0</v>
      </c>
      <c r="L37" s="732">
        <f t="shared" ca="1" si="11"/>
        <v>0</v>
      </c>
      <c r="M37" s="732">
        <f t="shared" ca="1" si="11"/>
        <v>0</v>
      </c>
    </row>
    <row r="39" spans="1:13">
      <c r="B39" s="733"/>
      <c r="C39" s="713" t="s">
        <v>458</v>
      </c>
    </row>
    <row r="40" spans="1:13">
      <c r="C40" s="713" t="str">
        <f ca="1">"Ngày mở sổ: "&amp;"01/"&amp;MONTH(A16)&amp;"/ "&amp;YEAR(A16)</f>
        <v>Ngày mở sổ: 01/4/ 2013</v>
      </c>
    </row>
    <row r="41" spans="1:13">
      <c r="E41" s="712"/>
      <c r="F41" s="712"/>
      <c r="G41" s="712"/>
      <c r="H41" s="712"/>
      <c r="I41" s="712"/>
      <c r="J41" s="1049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2013</v>
      </c>
      <c r="K41" s="1049"/>
      <c r="L41" s="1049"/>
      <c r="M41" s="1049"/>
    </row>
    <row r="42" spans="1:13">
      <c r="B42" s="712"/>
      <c r="C42" s="709" t="s">
        <v>11</v>
      </c>
      <c r="D42" s="712"/>
      <c r="E42" s="712"/>
      <c r="F42" s="712"/>
      <c r="G42" s="712"/>
      <c r="H42" s="712"/>
      <c r="I42" s="712"/>
      <c r="J42" s="1049" t="s">
        <v>12</v>
      </c>
      <c r="K42" s="1049"/>
      <c r="L42" s="1049"/>
      <c r="M42" s="1049"/>
    </row>
    <row r="43" spans="1:13">
      <c r="B43" s="712"/>
      <c r="C43" s="709" t="s">
        <v>13</v>
      </c>
      <c r="D43" s="712"/>
      <c r="E43" s="712"/>
      <c r="F43" s="712"/>
      <c r="G43" s="712"/>
      <c r="H43" s="712"/>
      <c r="I43" s="712"/>
      <c r="J43" s="712"/>
      <c r="K43" s="712" t="s">
        <v>13</v>
      </c>
      <c r="L43" s="712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709" customWidth="1"/>
    <col min="2" max="2" width="8.85546875" style="709" customWidth="1"/>
    <col min="3" max="3" width="10.5703125" style="709" customWidth="1"/>
    <col min="4" max="4" width="31.85546875" style="709" customWidth="1"/>
    <col min="5" max="5" width="10.28515625" style="709" customWidth="1"/>
    <col min="6" max="6" width="15.28515625" style="709" customWidth="1"/>
    <col min="7" max="7" width="9.42578125" style="709" customWidth="1"/>
    <col min="8" max="8" width="15.140625" style="709" customWidth="1"/>
    <col min="9" max="9" width="9.140625" style="709"/>
    <col min="10" max="10" width="16.28515625" style="709" customWidth="1"/>
    <col min="11" max="11" width="6" style="709" customWidth="1"/>
    <col min="12" max="16384" width="9.140625" style="709"/>
  </cols>
  <sheetData>
    <row r="2" spans="1:13">
      <c r="A2" s="708" t="str">
        <f>'154'!A2</f>
        <v>Đơn vị: CÔNG TY TNHH SX TM KIM DUNG PHÁT</v>
      </c>
      <c r="F2" s="710"/>
      <c r="G2" s="1093" t="s">
        <v>445</v>
      </c>
      <c r="H2" s="1093"/>
      <c r="I2" s="1093"/>
      <c r="J2" s="1093"/>
    </row>
    <row r="3" spans="1:13" ht="15" customHeight="1">
      <c r="A3" s="738" t="str">
        <f>'154'!A3</f>
        <v>Địa chỉ: 1A227/1 Ấp 1, Phạm Văn Hai, Bình Chánh, TPHCM</v>
      </c>
      <c r="G3" s="1096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1096"/>
      <c r="I3" s="1096"/>
      <c r="J3" s="1096"/>
    </row>
    <row r="4" spans="1:13">
      <c r="G4" s="1096"/>
      <c r="H4" s="1096"/>
      <c r="I4" s="1096"/>
      <c r="J4" s="1096"/>
    </row>
    <row r="5" spans="1:13" ht="27" customHeight="1">
      <c r="A5" s="1094" t="s">
        <v>446</v>
      </c>
      <c r="B5" s="1094"/>
      <c r="C5" s="1094"/>
      <c r="D5" s="1094"/>
      <c r="E5" s="1094"/>
      <c r="F5" s="1094"/>
      <c r="G5" s="1094"/>
      <c r="H5" s="1094"/>
      <c r="I5" s="1094"/>
      <c r="J5" s="1094"/>
      <c r="K5" s="711" t="s">
        <v>173</v>
      </c>
      <c r="L5" s="633">
        <f>IF(L13="Quý I",1,IF(L13="Quý II",4,IF(L13="Quý III",7,IF(L13="Quý IV",10,""))))</f>
        <v>4</v>
      </c>
      <c r="M5" s="633">
        <f>IF(L13="Quý I",3,IF(L13="Quý II",6,IF(L13="Quý III",9,IF(L13="Quý IV",12,""))))</f>
        <v>6</v>
      </c>
    </row>
    <row r="6" spans="1:13">
      <c r="A6" s="1095" t="s">
        <v>447</v>
      </c>
      <c r="B6" s="1095"/>
      <c r="C6" s="1095"/>
      <c r="D6" s="1095"/>
      <c r="E6" s="1095"/>
      <c r="F6" s="1095"/>
      <c r="G6" s="1095"/>
      <c r="H6" s="1095"/>
      <c r="I6" s="1095"/>
      <c r="J6" s="1095"/>
    </row>
    <row r="7" spans="1:13">
      <c r="B7" s="712"/>
      <c r="C7" s="712"/>
      <c r="D7" s="712"/>
      <c r="E7" s="713" t="s">
        <v>459</v>
      </c>
      <c r="G7" s="712"/>
      <c r="H7" s="712"/>
      <c r="I7" s="712"/>
      <c r="J7" s="712"/>
    </row>
    <row r="8" spans="1:13">
      <c r="B8" s="712"/>
      <c r="C8" s="712"/>
      <c r="D8" s="712"/>
      <c r="E8" s="713" t="s">
        <v>449</v>
      </c>
      <c r="G8" s="712"/>
      <c r="H8" s="712"/>
      <c r="I8" s="712"/>
      <c r="J8" s="712"/>
    </row>
    <row r="9" spans="1:13">
      <c r="B9" s="714"/>
      <c r="C9" s="714"/>
      <c r="D9" s="714"/>
      <c r="E9" s="713" t="s">
        <v>450</v>
      </c>
      <c r="G9" s="714"/>
      <c r="H9" s="714"/>
      <c r="I9" s="714"/>
      <c r="J9" s="714"/>
    </row>
    <row r="10" spans="1:13" ht="9.75" customHeight="1">
      <c r="C10" s="1092"/>
      <c r="D10" s="1092"/>
      <c r="E10" s="1092"/>
      <c r="F10" s="1092"/>
      <c r="G10" s="1092"/>
      <c r="H10" s="1092"/>
      <c r="I10" s="1092"/>
      <c r="J10" s="1092"/>
    </row>
    <row r="11" spans="1:13" ht="15.75" customHeight="1">
      <c r="A11" s="1089" t="s">
        <v>20</v>
      </c>
      <c r="B11" s="1090" t="s">
        <v>1</v>
      </c>
      <c r="C11" s="1090"/>
      <c r="D11" s="1089" t="s">
        <v>0</v>
      </c>
      <c r="E11" s="1089" t="s">
        <v>217</v>
      </c>
      <c r="F11" s="1090" t="s">
        <v>460</v>
      </c>
      <c r="G11" s="1090"/>
      <c r="H11" s="1090"/>
      <c r="I11" s="1090"/>
      <c r="J11" s="1090"/>
    </row>
    <row r="12" spans="1:13" ht="15.75" customHeight="1" thickBot="1">
      <c r="A12" s="1089"/>
      <c r="B12" s="1091" t="s">
        <v>15</v>
      </c>
      <c r="C12" s="1091" t="s">
        <v>32</v>
      </c>
      <c r="D12" s="1089"/>
      <c r="E12" s="1089"/>
      <c r="F12" s="1091" t="s">
        <v>452</v>
      </c>
      <c r="G12" s="1091" t="s">
        <v>453</v>
      </c>
      <c r="H12" s="1091"/>
      <c r="I12" s="1091"/>
      <c r="J12" s="1091"/>
    </row>
    <row r="13" spans="1:13" ht="30.75" customHeight="1" thickBot="1">
      <c r="A13" s="1089"/>
      <c r="B13" s="1091"/>
      <c r="C13" s="1091"/>
      <c r="D13" s="1089"/>
      <c r="E13" s="1089"/>
      <c r="F13" s="1091"/>
      <c r="G13" s="715">
        <v>154</v>
      </c>
      <c r="H13" s="715">
        <v>155</v>
      </c>
      <c r="I13" s="715">
        <v>156</v>
      </c>
      <c r="J13" s="715">
        <v>157</v>
      </c>
      <c r="L13" s="737" t="s">
        <v>370</v>
      </c>
    </row>
    <row r="14" spans="1:13">
      <c r="A14" s="716" t="s">
        <v>2</v>
      </c>
      <c r="B14" s="716" t="s">
        <v>3</v>
      </c>
      <c r="C14" s="716" t="s">
        <v>4</v>
      </c>
      <c r="D14" s="716" t="s">
        <v>5</v>
      </c>
      <c r="E14" s="716" t="s">
        <v>6</v>
      </c>
      <c r="F14" s="716">
        <v>1</v>
      </c>
      <c r="G14" s="716">
        <v>2</v>
      </c>
      <c r="H14" s="716">
        <v>3</v>
      </c>
      <c r="I14" s="716">
        <v>4</v>
      </c>
      <c r="J14" s="716">
        <v>5</v>
      </c>
    </row>
    <row r="15" spans="1:13" ht="20.25" customHeight="1">
      <c r="A15" s="717"/>
      <c r="B15" s="717"/>
      <c r="C15" s="717"/>
      <c r="D15" s="718" t="s">
        <v>7</v>
      </c>
      <c r="E15" s="717"/>
      <c r="F15" s="719"/>
      <c r="G15" s="719"/>
      <c r="H15" s="719"/>
      <c r="I15" s="719"/>
      <c r="J15" s="719"/>
    </row>
    <row r="16" spans="1:13" ht="20.25" customHeight="1">
      <c r="A16" s="720">
        <f ca="1">IF(ROWS($1:1)&gt;COUNT(Dong8),"",OFFSET(TH!C$1,SMALL(Dong8,ROWS($1:1)),))</f>
        <v>41367</v>
      </c>
      <c r="B16" s="720">
        <f ca="1">IF(ROWS($1:1)&gt;COUNT(Dong8),"",OFFSET(TH!D$1,SMALL(Dong8,ROWS($1:1)),))</f>
        <v>0</v>
      </c>
      <c r="C16" s="720">
        <f ca="1">IF(ROWS($1:1)&gt;COUNT(Dong8),"",OFFSET(TH!E$1,SMALL(Dong8,ROWS($1:1)),))</f>
        <v>41367</v>
      </c>
      <c r="D16" s="721" t="str">
        <f ca="1">IF(ROWS($1:1)&gt;COUNT(Dong8),"",OFFSET(TH!F$1,SMALL(Dong8,ROWS($1:1)),))</f>
        <v>Thùng (54.5x36.5x23.5)</v>
      </c>
      <c r="E16" s="720" t="str">
        <f ca="1">IF(ROWS($1:1)&gt;COUNT(Dong8),"",OFFSET(TH!M$1,SMALL(Dong8,ROWS($1:1)),))</f>
        <v>155</v>
      </c>
      <c r="F16" s="722">
        <f ca="1">IF(ROWS($1:1)&gt;COUNT(Dong8),"",OFFSET(TH!K$1,SMALL(Dong8,ROWS($1:1)),))</f>
        <v>0</v>
      </c>
      <c r="G16" s="722">
        <f ca="1">IF($E16="154",$F16,0)</f>
        <v>0</v>
      </c>
      <c r="H16" s="722">
        <f ca="1">IF($E16="155",$F16,0)</f>
        <v>0</v>
      </c>
      <c r="I16" s="722">
        <f ca="1">IF($E16="156",$F16,0)</f>
        <v>0</v>
      </c>
      <c r="J16" s="722">
        <f ca="1">IF($E16="157",$F16,0)</f>
        <v>0</v>
      </c>
    </row>
    <row r="17" spans="1:10" ht="20.25" customHeight="1">
      <c r="A17" s="720">
        <f ca="1">IF(ROWS($1:2)&gt;COUNT(Dong8),"",OFFSET(TH!C$1,SMALL(Dong8,ROWS($1:2)),))</f>
        <v>41368</v>
      </c>
      <c r="B17" s="720">
        <f ca="1">IF(ROWS($1:2)&gt;COUNT(Dong8),"",OFFSET(TH!D$1,SMALL(Dong8,ROWS($1:2)),))</f>
        <v>0</v>
      </c>
      <c r="C17" s="720">
        <f ca="1">IF(ROWS($1:2)&gt;COUNT(Dong8),"",OFFSET(TH!E$1,SMALL(Dong8,ROWS($1:2)),))</f>
        <v>41368</v>
      </c>
      <c r="D17" s="721" t="str">
        <f ca="1">IF(ROWS($1:2)&gt;COUNT(Dong8),"",OFFSET(TH!F$1,SMALL(Dong8,ROWS($1:2)),))</f>
        <v>Thùng (46.5x29.5x14)</v>
      </c>
      <c r="E17" s="720" t="str">
        <f ca="1">IF(ROWS($1:2)&gt;COUNT(Dong8),"",OFFSET(TH!M$1,SMALL(Dong8,ROWS($1:2)),))</f>
        <v>155</v>
      </c>
      <c r="F17" s="722">
        <f ca="1">IF(ROWS($1:2)&gt;COUNT(Dong8),"",OFFSET(TH!K$1,SMALL(Dong8,ROWS($1:2)),))</f>
        <v>0</v>
      </c>
      <c r="G17" s="722">
        <f t="shared" ref="G17:G20" ca="1" si="0">IF($E17="154",$F17,0)</f>
        <v>0</v>
      </c>
      <c r="H17" s="722">
        <f t="shared" ref="H17:H20" ca="1" si="1">IF($E17="155",$F17,0)</f>
        <v>0</v>
      </c>
      <c r="I17" s="722">
        <f t="shared" ref="I17:I20" ca="1" si="2">IF($E17="156",$F17,0)</f>
        <v>0</v>
      </c>
      <c r="J17" s="722">
        <f t="shared" ref="J17:J20" ca="1" si="3">IF($E17="157",$F17,0)</f>
        <v>0</v>
      </c>
    </row>
    <row r="18" spans="1:10" ht="20.25" customHeight="1">
      <c r="A18" s="720">
        <f ca="1">IF(ROWS($1:3)&gt;COUNT(Dong8),"",OFFSET(TH!C$1,SMALL(Dong8,ROWS($1:3)),))</f>
        <v>41368</v>
      </c>
      <c r="B18" s="720">
        <f ca="1">IF(ROWS($1:3)&gt;COUNT(Dong8),"",OFFSET(TH!D$1,SMALL(Dong8,ROWS($1:3)),))</f>
        <v>0</v>
      </c>
      <c r="C18" s="720">
        <f ca="1">IF(ROWS($1:3)&gt;COUNT(Dong8),"",OFFSET(TH!E$1,SMALL(Dong8,ROWS($1:3)),))</f>
        <v>41368</v>
      </c>
      <c r="D18" s="721" t="str">
        <f ca="1">IF(ROWS($1:3)&gt;COUNT(Dong8),"",OFFSET(TH!F$1,SMALL(Dong8,ROWS($1:3)),))</f>
        <v>Thùng carton</v>
      </c>
      <c r="E18" s="720" t="str">
        <f ca="1">IF(ROWS($1:3)&gt;COUNT(Dong8),"",OFFSET(TH!M$1,SMALL(Dong8,ROWS($1:3)),))</f>
        <v>155</v>
      </c>
      <c r="F18" s="722">
        <f ca="1">IF(ROWS($1:3)&gt;COUNT(Dong8),"",OFFSET(TH!K$1,SMALL(Dong8,ROWS($1:3)),))</f>
        <v>0</v>
      </c>
      <c r="G18" s="722">
        <f t="shared" ca="1" si="0"/>
        <v>0</v>
      </c>
      <c r="H18" s="722">
        <f t="shared" ca="1" si="1"/>
        <v>0</v>
      </c>
      <c r="I18" s="722">
        <f t="shared" ca="1" si="2"/>
        <v>0</v>
      </c>
      <c r="J18" s="722">
        <f t="shared" ca="1" si="3"/>
        <v>0</v>
      </c>
    </row>
    <row r="19" spans="1:10" ht="20.25" customHeight="1">
      <c r="A19" s="720">
        <f ca="1">IF(ROWS($1:4)&gt;COUNT(Dong8),"",OFFSET(TH!C$1,SMALL(Dong8,ROWS($1:4)),))</f>
        <v>41369</v>
      </c>
      <c r="B19" s="720">
        <f ca="1">IF(ROWS($1:4)&gt;COUNT(Dong8),"",OFFSET(TH!D$1,SMALL(Dong8,ROWS($1:4)),))</f>
        <v>0</v>
      </c>
      <c r="C19" s="720">
        <f ca="1">IF(ROWS($1:4)&gt;COUNT(Dong8),"",OFFSET(TH!E$1,SMALL(Dong8,ROWS($1:4)),))</f>
        <v>41369</v>
      </c>
      <c r="D19" s="721" t="str">
        <f ca="1">IF(ROWS($1:4)&gt;COUNT(Dong8),"",OFFSET(TH!F$1,SMALL(Dong8,ROWS($1:4)),))</f>
        <v>Thùng carton</v>
      </c>
      <c r="E19" s="720" t="str">
        <f ca="1">IF(ROWS($1:4)&gt;COUNT(Dong8),"",OFFSET(TH!M$1,SMALL(Dong8,ROWS($1:4)),))</f>
        <v>155</v>
      </c>
      <c r="F19" s="722">
        <f ca="1">IF(ROWS($1:4)&gt;COUNT(Dong8),"",OFFSET(TH!K$1,SMALL(Dong8,ROWS($1:4)),))</f>
        <v>0</v>
      </c>
      <c r="G19" s="722">
        <f t="shared" ca="1" si="0"/>
        <v>0</v>
      </c>
      <c r="H19" s="722">
        <f t="shared" ca="1" si="1"/>
        <v>0</v>
      </c>
      <c r="I19" s="722">
        <f t="shared" ca="1" si="2"/>
        <v>0</v>
      </c>
      <c r="J19" s="722">
        <f t="shared" ca="1" si="3"/>
        <v>0</v>
      </c>
    </row>
    <row r="20" spans="1:10" ht="20.25" customHeight="1">
      <c r="A20" s="720">
        <f ca="1">IF(ROWS($1:5)&gt;COUNT(Dong8),"",OFFSET(TH!C$1,SMALL(Dong8,ROWS($1:5)),))</f>
        <v>41369</v>
      </c>
      <c r="B20" s="720">
        <f ca="1">IF(ROWS($1:5)&gt;COUNT(Dong8),"",OFFSET(TH!D$1,SMALL(Dong8,ROWS($1:5)),))</f>
        <v>0</v>
      </c>
      <c r="C20" s="720">
        <f ca="1">IF(ROWS($1:5)&gt;COUNT(Dong8),"",OFFSET(TH!E$1,SMALL(Dong8,ROWS($1:5)),))</f>
        <v>41369</v>
      </c>
      <c r="D20" s="721" t="str">
        <f ca="1">IF(ROWS($1:5)&gt;COUNT(Dong8),"",OFFSET(TH!F$1,SMALL(Dong8,ROWS($1:5)),))</f>
        <v>Thùng (55,5x33x21,5)</v>
      </c>
      <c r="E20" s="720" t="str">
        <f ca="1">IF(ROWS($1:5)&gt;COUNT(Dong8),"",OFFSET(TH!M$1,SMALL(Dong8,ROWS($1:5)),))</f>
        <v>155</v>
      </c>
      <c r="F20" s="722">
        <f ca="1">IF(ROWS($1:5)&gt;COUNT(Dong8),"",OFFSET(TH!K$1,SMALL(Dong8,ROWS($1:5)),))</f>
        <v>0</v>
      </c>
      <c r="G20" s="722">
        <f t="shared" ca="1" si="0"/>
        <v>0</v>
      </c>
      <c r="H20" s="722">
        <f t="shared" ca="1" si="1"/>
        <v>0</v>
      </c>
      <c r="I20" s="722">
        <f t="shared" ca="1" si="2"/>
        <v>0</v>
      </c>
      <c r="J20" s="722">
        <f t="shared" ca="1" si="3"/>
        <v>0</v>
      </c>
    </row>
    <row r="21" spans="1:10" ht="20.25" customHeight="1">
      <c r="A21" s="720"/>
      <c r="B21" s="723"/>
      <c r="C21" s="720"/>
      <c r="D21" s="724"/>
      <c r="E21" s="725"/>
      <c r="F21" s="726"/>
      <c r="G21" s="726"/>
      <c r="H21" s="726"/>
      <c r="I21" s="726"/>
      <c r="J21" s="726"/>
    </row>
    <row r="22" spans="1:10" ht="20.25" customHeight="1">
      <c r="A22" s="720"/>
      <c r="B22" s="723"/>
      <c r="C22" s="720"/>
      <c r="D22" s="718" t="s">
        <v>133</v>
      </c>
      <c r="E22" s="717" t="s">
        <v>19</v>
      </c>
      <c r="F22" s="719">
        <f ca="1">SUM(F15:F21)</f>
        <v>0</v>
      </c>
      <c r="G22" s="719">
        <f ca="1">SUM(G15:G21)</f>
        <v>0</v>
      </c>
      <c r="H22" s="719">
        <f ca="1">SUM(H15:H21)</f>
        <v>0</v>
      </c>
      <c r="I22" s="719">
        <f ca="1">SUM(I15:I21)</f>
        <v>0</v>
      </c>
      <c r="J22" s="719">
        <f ca="1">SUM(J15:J21)</f>
        <v>0</v>
      </c>
    </row>
    <row r="23" spans="1:10" ht="20.25" customHeight="1">
      <c r="A23" s="727"/>
      <c r="B23" s="725"/>
      <c r="C23" s="727"/>
      <c r="D23" s="728" t="s">
        <v>461</v>
      </c>
      <c r="E23" s="723"/>
      <c r="F23" s="729">
        <f ca="1">SUM(G23:J23)</f>
        <v>0</v>
      </c>
      <c r="G23" s="729">
        <f ca="1">G22</f>
        <v>0</v>
      </c>
      <c r="H23" s="729">
        <f ca="1">H22</f>
        <v>0</v>
      </c>
      <c r="I23" s="729">
        <f ca="1">I22</f>
        <v>0</v>
      </c>
      <c r="J23" s="729">
        <f ca="1">J22</f>
        <v>0</v>
      </c>
    </row>
    <row r="24" spans="1:10" ht="20.25" customHeight="1">
      <c r="A24" s="730"/>
      <c r="B24" s="730"/>
      <c r="C24" s="730"/>
      <c r="D24" s="731" t="s">
        <v>10</v>
      </c>
      <c r="E24" s="730" t="s">
        <v>19</v>
      </c>
      <c r="F24" s="732">
        <f ca="1">F15+F22-F23</f>
        <v>0</v>
      </c>
      <c r="G24" s="732">
        <f ca="1">G15+G22-G23</f>
        <v>0</v>
      </c>
      <c r="H24" s="732">
        <f ca="1">H15+H22-H23</f>
        <v>0</v>
      </c>
      <c r="I24" s="732">
        <f ca="1">I15+I22-I23</f>
        <v>0</v>
      </c>
      <c r="J24" s="732">
        <f ca="1">J15+J22-J23</f>
        <v>0</v>
      </c>
    </row>
    <row r="26" spans="1:10">
      <c r="B26" s="733"/>
      <c r="C26" s="713" t="s">
        <v>462</v>
      </c>
    </row>
    <row r="27" spans="1:10">
      <c r="C27" s="713" t="str">
        <f ca="1">"- Ngày mở sổ: "&amp;"01/"&amp;MONTH(A16)&amp;"/ "&amp;YEAR(A16)</f>
        <v>- Ngày mở sổ: 01/4/ 2013</v>
      </c>
    </row>
    <row r="28" spans="1:10">
      <c r="E28" s="712"/>
      <c r="F28" s="712"/>
      <c r="G28" s="712"/>
      <c r="H28" s="712"/>
      <c r="I28" s="1049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2013</v>
      </c>
      <c r="J28" s="1049"/>
    </row>
    <row r="29" spans="1:10">
      <c r="B29" s="712"/>
      <c r="C29" s="709" t="s">
        <v>11</v>
      </c>
      <c r="D29" s="712"/>
      <c r="E29" s="712"/>
      <c r="F29" s="712"/>
      <c r="G29" s="712"/>
      <c r="H29" s="712"/>
      <c r="I29" s="1049" t="s">
        <v>12</v>
      </c>
      <c r="J29" s="1049"/>
    </row>
    <row r="30" spans="1:10">
      <c r="B30" s="712"/>
      <c r="C30" s="709" t="s">
        <v>13</v>
      </c>
      <c r="D30" s="712"/>
      <c r="E30" s="712"/>
      <c r="F30" s="712"/>
      <c r="G30" s="712"/>
      <c r="H30" s="712"/>
      <c r="I30" s="712"/>
      <c r="J30" s="712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709" customWidth="1"/>
    <col min="3" max="3" width="8.5703125" style="709" customWidth="1"/>
    <col min="4" max="4" width="51.42578125" style="709" customWidth="1"/>
    <col min="5" max="5" width="8" style="709" customWidth="1"/>
    <col min="6" max="6" width="12.28515625" style="709" bestFit="1" customWidth="1"/>
    <col min="7" max="7" width="10.140625" style="709" customWidth="1"/>
    <col min="8" max="8" width="10.7109375" style="709" customWidth="1"/>
    <col min="9" max="9" width="11.42578125" style="709" customWidth="1"/>
    <col min="10" max="10" width="11.5703125" style="709" customWidth="1"/>
    <col min="11" max="11" width="11.42578125" style="709" customWidth="1"/>
    <col min="12" max="12" width="9.42578125" style="709" customWidth="1"/>
    <col min="13" max="13" width="6.7109375" style="709" customWidth="1"/>
    <col min="14" max="16384" width="9.140625" style="709"/>
  </cols>
  <sheetData>
    <row r="2" spans="1:15">
      <c r="A2" s="708" t="str">
        <f>'632'!A2</f>
        <v>Đơn vị: CÔNG TY TNHH SX TM KIM DUNG PHÁT</v>
      </c>
      <c r="F2" s="710"/>
      <c r="G2" s="710"/>
      <c r="H2" s="1093" t="s">
        <v>445</v>
      </c>
      <c r="I2" s="1093"/>
      <c r="J2" s="1093"/>
      <c r="K2" s="1093"/>
      <c r="L2" s="734"/>
    </row>
    <row r="3" spans="1:15" ht="15" customHeight="1">
      <c r="A3" s="738" t="str">
        <f>'632'!A3</f>
        <v>Địa chỉ: 1A227/1 Ấp 1, Phạm Văn Hai, Bình Chánh, TPHCM</v>
      </c>
      <c r="H3" s="1096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1096"/>
      <c r="J3" s="1096"/>
      <c r="K3" s="1096"/>
      <c r="L3" s="712"/>
    </row>
    <row r="4" spans="1:15">
      <c r="H4" s="1096"/>
      <c r="I4" s="1096"/>
      <c r="J4" s="1096"/>
      <c r="K4" s="1096"/>
      <c r="L4" s="712"/>
    </row>
    <row r="5" spans="1:15" ht="19.5" customHeight="1">
      <c r="A5" s="1094" t="s">
        <v>446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711" t="s">
        <v>83</v>
      </c>
      <c r="N5" s="633">
        <f>IF(N13="Quý I",1,IF(N13="Quý II",4,IF(N13="Quý III",7,IF(N13="Quý IV",10,""))))</f>
        <v>4</v>
      </c>
      <c r="O5" s="633">
        <f>IF(N13="Quý I",3,IF(N13="Quý II",6,IF(N13="Quý III",9,IF(N13="Quý IV",12,""))))</f>
        <v>6</v>
      </c>
    </row>
    <row r="6" spans="1:15">
      <c r="A6" s="1095" t="s">
        <v>447</v>
      </c>
      <c r="B6" s="1095"/>
      <c r="C6" s="1095"/>
      <c r="D6" s="1095"/>
      <c r="E6" s="1095"/>
      <c r="F6" s="1095"/>
      <c r="G6" s="1095"/>
      <c r="H6" s="1095"/>
      <c r="I6" s="1095"/>
      <c r="J6" s="1095"/>
      <c r="K6" s="1095"/>
      <c r="L6" s="1095"/>
    </row>
    <row r="7" spans="1:15">
      <c r="B7" s="712"/>
      <c r="C7" s="712"/>
      <c r="D7" s="712"/>
      <c r="E7" s="713" t="s">
        <v>463</v>
      </c>
      <c r="G7" s="712"/>
      <c r="H7" s="712"/>
      <c r="I7" s="712"/>
      <c r="J7" s="712"/>
      <c r="K7" s="712"/>
      <c r="L7" s="712"/>
      <c r="M7" s="739"/>
    </row>
    <row r="8" spans="1:15">
      <c r="B8" s="712"/>
      <c r="C8" s="712"/>
      <c r="D8" s="712"/>
      <c r="E8" s="713" t="s">
        <v>449</v>
      </c>
      <c r="G8" s="712"/>
      <c r="H8" s="712"/>
      <c r="I8" s="712"/>
      <c r="J8" s="712"/>
      <c r="K8" s="712"/>
      <c r="L8" s="712"/>
    </row>
    <row r="9" spans="1:15">
      <c r="B9" s="714"/>
      <c r="C9" s="714"/>
      <c r="D9" s="714"/>
      <c r="E9" s="713" t="s">
        <v>450</v>
      </c>
      <c r="G9" s="714"/>
      <c r="H9" s="714"/>
      <c r="I9" s="714"/>
      <c r="J9" s="714"/>
      <c r="K9" s="714"/>
      <c r="L9" s="714"/>
    </row>
    <row r="10" spans="1:15" ht="9" customHeight="1">
      <c r="C10" s="1092"/>
      <c r="D10" s="1092"/>
      <c r="E10" s="1092"/>
      <c r="F10" s="1092"/>
      <c r="G10" s="1092"/>
      <c r="H10" s="1092"/>
      <c r="I10" s="1092"/>
      <c r="J10" s="1092"/>
      <c r="K10" s="1092"/>
      <c r="L10" s="1092"/>
    </row>
    <row r="11" spans="1:15" ht="15.75" customHeight="1">
      <c r="A11" s="1089" t="s">
        <v>20</v>
      </c>
      <c r="B11" s="1090" t="s">
        <v>1</v>
      </c>
      <c r="C11" s="1090"/>
      <c r="D11" s="1089" t="s">
        <v>0</v>
      </c>
      <c r="E11" s="1089" t="s">
        <v>217</v>
      </c>
      <c r="F11" s="1090" t="s">
        <v>464</v>
      </c>
      <c r="G11" s="1090"/>
      <c r="H11" s="1090"/>
      <c r="I11" s="1090"/>
      <c r="J11" s="1090"/>
      <c r="K11" s="1090"/>
      <c r="L11" s="1090"/>
    </row>
    <row r="12" spans="1:15" ht="15.75" customHeight="1" thickBot="1">
      <c r="A12" s="1089"/>
      <c r="B12" s="1091" t="s">
        <v>15</v>
      </c>
      <c r="C12" s="1091" t="s">
        <v>32</v>
      </c>
      <c r="D12" s="1089"/>
      <c r="E12" s="1089"/>
      <c r="F12" s="1091" t="s">
        <v>452</v>
      </c>
      <c r="G12" s="1091" t="s">
        <v>453</v>
      </c>
      <c r="H12" s="1091"/>
      <c r="I12" s="1091"/>
      <c r="J12" s="1091"/>
      <c r="K12" s="1091"/>
      <c r="L12" s="1091"/>
    </row>
    <row r="13" spans="1:15" ht="29.25" customHeight="1" thickBot="1">
      <c r="A13" s="1089"/>
      <c r="B13" s="1091"/>
      <c r="C13" s="1091"/>
      <c r="D13" s="1089"/>
      <c r="E13" s="1089"/>
      <c r="F13" s="1091"/>
      <c r="G13" s="735" t="s">
        <v>47</v>
      </c>
      <c r="H13" s="735" t="s">
        <v>24</v>
      </c>
      <c r="I13" s="735" t="s">
        <v>63</v>
      </c>
      <c r="J13" s="735" t="s">
        <v>268</v>
      </c>
      <c r="K13" s="735"/>
      <c r="L13" s="735"/>
      <c r="N13" s="737" t="s">
        <v>370</v>
      </c>
    </row>
    <row r="14" spans="1:15">
      <c r="A14" s="716" t="s">
        <v>2</v>
      </c>
      <c r="B14" s="716" t="s">
        <v>3</v>
      </c>
      <c r="C14" s="716" t="s">
        <v>4</v>
      </c>
      <c r="D14" s="716" t="s">
        <v>5</v>
      </c>
      <c r="E14" s="716" t="s">
        <v>6</v>
      </c>
      <c r="F14" s="716">
        <v>1</v>
      </c>
      <c r="G14" s="716">
        <v>2</v>
      </c>
      <c r="H14" s="716">
        <v>3</v>
      </c>
      <c r="I14" s="716">
        <v>4</v>
      </c>
      <c r="J14" s="716">
        <v>5</v>
      </c>
      <c r="K14" s="716">
        <v>6</v>
      </c>
      <c r="L14" s="716">
        <v>7</v>
      </c>
    </row>
    <row r="15" spans="1:15" ht="21.75" customHeight="1">
      <c r="A15" s="717"/>
      <c r="B15" s="717"/>
      <c r="C15" s="717"/>
      <c r="D15" s="718" t="s">
        <v>7</v>
      </c>
      <c r="E15" s="717"/>
      <c r="F15" s="719"/>
      <c r="G15" s="719"/>
      <c r="H15" s="719"/>
      <c r="I15" s="719"/>
      <c r="J15" s="719"/>
      <c r="K15" s="719"/>
      <c r="L15" s="719"/>
    </row>
    <row r="16" spans="1:15" ht="21.75" customHeight="1">
      <c r="A16" s="720">
        <f ca="1">IF(ROWS($1:1)&gt;COUNT(Dong7),"",OFFSET(TH!C$1,SMALL(Dong7,ROWS($1:1)),))</f>
        <v>41394</v>
      </c>
      <c r="B16" s="720" t="str">
        <f ca="1">IF(ROWS($1:1)&gt;COUNT(Dong7),"",OFFSET(TH!D$1,SMALL(Dong7,ROWS($1:1)),))</f>
        <v>CTGS</v>
      </c>
      <c r="C16" s="720">
        <f ca="1">IF(ROWS($1:1)&gt;COUNT(Dong7),"",OFFSET(TH!E$1,SMALL(Dong7,ROWS($1:1)),))</f>
        <v>41394</v>
      </c>
      <c r="D16" s="721" t="str">
        <f ca="1">IF(ROWS($1:1)&gt;COUNT(Dong7),"",OFFSET(TH!F$1,SMALL(Dong7,ROWS($1:1)),))</f>
        <v>Tiền lương BP Văn phòng</v>
      </c>
      <c r="E16" s="720" t="str">
        <f ca="1">IF(ROWS($1:1)&gt;COUNT(Dong7),"",OFFSET(TH!M$1,SMALL(Dong7,ROWS($1:1)),))</f>
        <v>3341</v>
      </c>
      <c r="F16" s="722">
        <f ca="1">IF(ROWS($1:1)&gt;COUNT(Dong7),"",OFFSET(TH!K$1,SMALL(Dong7,ROWS($1:1)),))</f>
        <v>0</v>
      </c>
      <c r="G16" s="722">
        <f t="shared" ref="G16:J30" ca="1" si="0">IF($E16=G$13,$F16,0)</f>
        <v>0</v>
      </c>
      <c r="H16" s="722">
        <f t="shared" ca="1" si="0"/>
        <v>0</v>
      </c>
      <c r="I16" s="722">
        <f t="shared" ca="1" si="0"/>
        <v>0</v>
      </c>
      <c r="J16" s="722">
        <f t="shared" ca="1" si="0"/>
        <v>0</v>
      </c>
      <c r="K16" s="722">
        <f ca="1">IF(LEFT($E16,3)=K$13,$F16,0)</f>
        <v>0</v>
      </c>
      <c r="L16" s="722">
        <f ca="1">IF(LEFT($E16,3)=L$13,$F16,0)</f>
        <v>0</v>
      </c>
    </row>
    <row r="17" spans="1:12" ht="21.75" customHeight="1">
      <c r="A17" s="720">
        <f ca="1">IF(ROWS($1:2)&gt;COUNT(Dong7),"",OFFSET(TH!C$1,SMALL(Dong7,ROWS($1:2)),))</f>
        <v>41425</v>
      </c>
      <c r="B17" s="720" t="str">
        <f ca="1">IF(ROWS($1:2)&gt;COUNT(Dong7),"",OFFSET(TH!D$1,SMALL(Dong7,ROWS($1:2)),))</f>
        <v>CTGS</v>
      </c>
      <c r="C17" s="720">
        <f ca="1">IF(ROWS($1:2)&gt;COUNT(Dong7),"",OFFSET(TH!E$1,SMALL(Dong7,ROWS($1:2)),))</f>
        <v>41425</v>
      </c>
      <c r="D17" s="721" t="str">
        <f ca="1">IF(ROWS($1:2)&gt;COUNT(Dong7),"",OFFSET(TH!F$1,SMALL(Dong7,ROWS($1:2)),))</f>
        <v>Tiền lương BP Văn phòng</v>
      </c>
      <c r="E17" s="720" t="str">
        <f ca="1">IF(ROWS($1:2)&gt;COUNT(Dong7),"",OFFSET(TH!M$1,SMALL(Dong7,ROWS($1:2)),))</f>
        <v>3341</v>
      </c>
      <c r="F17" s="722">
        <f ca="1">IF(ROWS($1:2)&gt;COUNT(Dong7),"",OFFSET(TH!K$1,SMALL(Dong7,ROWS($1:2)),))</f>
        <v>0</v>
      </c>
      <c r="G17" s="722">
        <f t="shared" ca="1" si="0"/>
        <v>0</v>
      </c>
      <c r="H17" s="722">
        <f t="shared" ca="1" si="0"/>
        <v>0</v>
      </c>
      <c r="I17" s="722">
        <f t="shared" ca="1" si="0"/>
        <v>0</v>
      </c>
      <c r="J17" s="722">
        <f t="shared" ca="1" si="0"/>
        <v>0</v>
      </c>
      <c r="K17" s="722">
        <f t="shared" ref="K17:L30" ca="1" si="1">IF(LEFT($E17,3)=K$13,$F17,0)</f>
        <v>0</v>
      </c>
      <c r="L17" s="722">
        <f t="shared" ca="1" si="1"/>
        <v>0</v>
      </c>
    </row>
    <row r="18" spans="1:12" ht="21.75" customHeight="1">
      <c r="A18" s="720">
        <f ca="1">IF(ROWS($1:3)&gt;COUNT(Dong7),"",OFFSET(TH!C$1,SMALL(Dong7,ROWS($1:3)),))</f>
        <v>41455</v>
      </c>
      <c r="B18" s="720" t="str">
        <f ca="1">IF(ROWS($1:3)&gt;COUNT(Dong7),"",OFFSET(TH!D$1,SMALL(Dong7,ROWS($1:3)),))</f>
        <v>CTGS</v>
      </c>
      <c r="C18" s="720">
        <f ca="1">IF(ROWS($1:3)&gt;COUNT(Dong7),"",OFFSET(TH!E$1,SMALL(Dong7,ROWS($1:3)),))</f>
        <v>41455</v>
      </c>
      <c r="D18" s="721" t="str">
        <f ca="1">IF(ROWS($1:3)&gt;COUNT(Dong7),"",OFFSET(TH!F$1,SMALL(Dong7,ROWS($1:3)),))</f>
        <v>Tiền lương BP Văn phòng</v>
      </c>
      <c r="E18" s="720" t="str">
        <f ca="1">IF(ROWS($1:3)&gt;COUNT(Dong7),"",OFFSET(TH!M$1,SMALL(Dong7,ROWS($1:3)),))</f>
        <v>3341</v>
      </c>
      <c r="F18" s="722">
        <f ca="1">IF(ROWS($1:3)&gt;COUNT(Dong7),"",OFFSET(TH!K$1,SMALL(Dong7,ROWS($1:3)),))</f>
        <v>0</v>
      </c>
      <c r="G18" s="722">
        <f t="shared" ca="1" si="0"/>
        <v>0</v>
      </c>
      <c r="H18" s="722">
        <f t="shared" ca="1" si="0"/>
        <v>0</v>
      </c>
      <c r="I18" s="722">
        <f t="shared" ca="1" si="0"/>
        <v>0</v>
      </c>
      <c r="J18" s="722">
        <f t="shared" ca="1" si="0"/>
        <v>0</v>
      </c>
      <c r="K18" s="722">
        <f t="shared" ca="1" si="1"/>
        <v>0</v>
      </c>
      <c r="L18" s="722">
        <f t="shared" ca="1" si="1"/>
        <v>0</v>
      </c>
    </row>
    <row r="19" spans="1:12" ht="21.75" customHeight="1">
      <c r="A19" s="720">
        <f ca="1">IF(ROWS($1:4)&gt;COUNT(Dong7),"",OFFSET(TH!C$1,SMALL(Dong7,ROWS($1:4)),))</f>
        <v>41365</v>
      </c>
      <c r="B19" s="720" t="str">
        <f ca="1">IF(ROWS($1:4)&gt;COUNT(Dong7),"",OFFSET(TH!D$1,SMALL(Dong7,ROWS($1:4)),))</f>
        <v>GBN</v>
      </c>
      <c r="C19" s="720">
        <f ca="1">IF(ROWS($1:4)&gt;COUNT(Dong7),"",OFFSET(TH!E$1,SMALL(Dong7,ROWS($1:4)),))</f>
        <v>41365</v>
      </c>
      <c r="D19" s="721" t="str">
        <f ca="1">IF(ROWS($1:4)&gt;COUNT(Dong7),"",OFFSET(TH!F$1,SMALL(Dong7,ROWS($1:4)),))</f>
        <v>Thu phí duy trì tài khoản</v>
      </c>
      <c r="E19" s="720" t="str">
        <f ca="1">IF(ROWS($1:4)&gt;COUNT(Dong7),"",OFFSET(TH!M$1,SMALL(Dong7,ROWS($1:4)),))</f>
        <v>1121</v>
      </c>
      <c r="F19" s="722">
        <f ca="1">IF(ROWS($1:4)&gt;COUNT(Dong7),"",OFFSET(TH!K$1,SMALL(Dong7,ROWS($1:4)),))</f>
        <v>30000</v>
      </c>
      <c r="G19" s="722">
        <f t="shared" ca="1" si="0"/>
        <v>0</v>
      </c>
      <c r="H19" s="722">
        <f t="shared" ca="1" si="0"/>
        <v>30000</v>
      </c>
      <c r="I19" s="722">
        <f t="shared" ca="1" si="0"/>
        <v>0</v>
      </c>
      <c r="J19" s="722">
        <f t="shared" ca="1" si="0"/>
        <v>0</v>
      </c>
      <c r="K19" s="722">
        <f t="shared" ca="1" si="1"/>
        <v>0</v>
      </c>
      <c r="L19" s="722">
        <f t="shared" ca="1" si="1"/>
        <v>0</v>
      </c>
    </row>
    <row r="20" spans="1:12" ht="21.75" customHeight="1">
      <c r="A20" s="720">
        <f ca="1">IF(ROWS($1:5)&gt;COUNT(Dong7),"",OFFSET(TH!C$1,SMALL(Dong7,ROWS($1:5)),))</f>
        <v>41391</v>
      </c>
      <c r="B20" s="720" t="str">
        <f ca="1">IF(ROWS($1:5)&gt;COUNT(Dong7),"",OFFSET(TH!D$1,SMALL(Dong7,ROWS($1:5)),))</f>
        <v>GBN</v>
      </c>
      <c r="C20" s="720">
        <f ca="1">IF(ROWS($1:5)&gt;COUNT(Dong7),"",OFFSET(TH!E$1,SMALL(Dong7,ROWS($1:5)),))</f>
        <v>41391</v>
      </c>
      <c r="D20" s="721" t="str">
        <f ca="1">IF(ROWS($1:5)&gt;COUNT(Dong7),"",OFFSET(TH!F$1,SMALL(Dong7,ROWS($1:5)),))</f>
        <v>Phí chuyển tiền</v>
      </c>
      <c r="E20" s="720" t="str">
        <f ca="1">IF(ROWS($1:5)&gt;COUNT(Dong7),"",OFFSET(TH!M$1,SMALL(Dong7,ROWS($1:5)),))</f>
        <v>1121</v>
      </c>
      <c r="F20" s="722">
        <f ca="1">IF(ROWS($1:5)&gt;COUNT(Dong7),"",OFFSET(TH!K$1,SMALL(Dong7,ROWS($1:5)),))</f>
        <v>20000</v>
      </c>
      <c r="G20" s="722">
        <f t="shared" ca="1" si="0"/>
        <v>0</v>
      </c>
      <c r="H20" s="722">
        <f t="shared" ca="1" si="0"/>
        <v>20000</v>
      </c>
      <c r="I20" s="722">
        <f t="shared" ca="1" si="0"/>
        <v>0</v>
      </c>
      <c r="J20" s="722">
        <f t="shared" ca="1" si="0"/>
        <v>0</v>
      </c>
      <c r="K20" s="722">
        <f t="shared" ca="1" si="1"/>
        <v>0</v>
      </c>
      <c r="L20" s="722">
        <f t="shared" ca="1" si="1"/>
        <v>0</v>
      </c>
    </row>
    <row r="21" spans="1:12" ht="21.75" customHeight="1">
      <c r="A21" s="720">
        <f ca="1">IF(ROWS($1:6)&gt;COUNT(Dong7),"",OFFSET(TH!C$1,SMALL(Dong7,ROWS($1:6)),))</f>
        <v>41391</v>
      </c>
      <c r="B21" s="720" t="str">
        <f ca="1">IF(ROWS($1:6)&gt;COUNT(Dong7),"",OFFSET(TH!D$1,SMALL(Dong7,ROWS($1:6)),))</f>
        <v>GBN</v>
      </c>
      <c r="C21" s="720">
        <f ca="1">IF(ROWS($1:6)&gt;COUNT(Dong7),"",OFFSET(TH!E$1,SMALL(Dong7,ROWS($1:6)),))</f>
        <v>41391</v>
      </c>
      <c r="D21" s="721" t="str">
        <f ca="1">IF(ROWS($1:6)&gt;COUNT(Dong7),"",OFFSET(TH!F$1,SMALL(Dong7,ROWS($1:6)),))</f>
        <v>Phí kiểm đếm</v>
      </c>
      <c r="E21" s="720" t="str">
        <f ca="1">IF(ROWS($1:6)&gt;COUNT(Dong7),"",OFFSET(TH!M$1,SMALL(Dong7,ROWS($1:6)),))</f>
        <v>1121</v>
      </c>
      <c r="F21" s="722">
        <f ca="1">IF(ROWS($1:6)&gt;COUNT(Dong7),"",OFFSET(TH!K$1,SMALL(Dong7,ROWS($1:6)),))</f>
        <v>15000</v>
      </c>
      <c r="G21" s="722">
        <f t="shared" ca="1" si="0"/>
        <v>0</v>
      </c>
      <c r="H21" s="722">
        <f t="shared" ca="1" si="0"/>
        <v>15000</v>
      </c>
      <c r="I21" s="722">
        <f t="shared" ca="1" si="0"/>
        <v>0</v>
      </c>
      <c r="J21" s="722">
        <f t="shared" ca="1" si="0"/>
        <v>0</v>
      </c>
      <c r="K21" s="722">
        <f t="shared" ca="1" si="1"/>
        <v>0</v>
      </c>
      <c r="L21" s="722">
        <f t="shared" ca="1" si="1"/>
        <v>0</v>
      </c>
    </row>
    <row r="22" spans="1:12" ht="21.75" customHeight="1">
      <c r="A22" s="720">
        <f ca="1">IF(ROWS($1:7)&gt;COUNT(Dong7),"",OFFSET(TH!C$1,SMALL(Dong7,ROWS($1:7)),))</f>
        <v>41403</v>
      </c>
      <c r="B22" s="720" t="str">
        <f ca="1">IF(ROWS($1:7)&gt;COUNT(Dong7),"",OFFSET(TH!D$1,SMALL(Dong7,ROWS($1:7)),))</f>
        <v>C03</v>
      </c>
      <c r="C22" s="720">
        <f ca="1">IF(ROWS($1:7)&gt;COUNT(Dong7),"",OFFSET(TH!E$1,SMALL(Dong7,ROWS($1:7)),))</f>
        <v>41403</v>
      </c>
      <c r="D22" s="721" t="str">
        <f ca="1">IF(ROWS($1:7)&gt;COUNT(Dong7),"",OFFSET(TH!F$1,SMALL(Dong7,ROWS($1:7)),))</f>
        <v>Văn phòng phẩm</v>
      </c>
      <c r="E22" s="720" t="str">
        <f ca="1">IF(ROWS($1:7)&gt;COUNT(Dong7),"",OFFSET(TH!M$1,SMALL(Dong7,ROWS($1:7)),))</f>
        <v>1111</v>
      </c>
      <c r="F22" s="722">
        <f ca="1">IF(ROWS($1:7)&gt;COUNT(Dong7),"",OFFSET(TH!K$1,SMALL(Dong7,ROWS($1:7)),))</f>
        <v>556300</v>
      </c>
      <c r="G22" s="722">
        <f t="shared" ca="1" si="0"/>
        <v>556300</v>
      </c>
      <c r="H22" s="722">
        <f t="shared" ca="1" si="0"/>
        <v>0</v>
      </c>
      <c r="I22" s="722">
        <f t="shared" ca="1" si="0"/>
        <v>0</v>
      </c>
      <c r="J22" s="722">
        <f t="shared" ca="1" si="0"/>
        <v>0</v>
      </c>
      <c r="K22" s="722">
        <f t="shared" ca="1" si="1"/>
        <v>0</v>
      </c>
      <c r="L22" s="722">
        <f t="shared" ca="1" si="1"/>
        <v>0</v>
      </c>
    </row>
    <row r="23" spans="1:12" ht="21.75" customHeight="1">
      <c r="A23" s="720">
        <f ca="1">IF(ROWS($1:8)&gt;COUNT(Dong7),"",OFFSET(TH!C$1,SMALL(Dong7,ROWS($1:8)),))</f>
        <v>41411</v>
      </c>
      <c r="B23" s="720" t="str">
        <f ca="1">IF(ROWS($1:8)&gt;COUNT(Dong7),"",OFFSET(TH!D$1,SMALL(Dong7,ROWS($1:8)),))</f>
        <v>GBN</v>
      </c>
      <c r="C23" s="720">
        <f ca="1">IF(ROWS($1:8)&gt;COUNT(Dong7),"",OFFSET(TH!E$1,SMALL(Dong7,ROWS($1:8)),))</f>
        <v>41411</v>
      </c>
      <c r="D23" s="721" t="str">
        <f ca="1">IF(ROWS($1:8)&gt;COUNT(Dong7),"",OFFSET(TH!F$1,SMALL(Dong7,ROWS($1:8)),))</f>
        <v>Phí chuyển tiền</v>
      </c>
      <c r="E23" s="720" t="str">
        <f ca="1">IF(ROWS($1:8)&gt;COUNT(Dong7),"",OFFSET(TH!M$1,SMALL(Dong7,ROWS($1:8)),))</f>
        <v>1121</v>
      </c>
      <c r="F23" s="722">
        <f ca="1">IF(ROWS($1:8)&gt;COUNT(Dong7),"",OFFSET(TH!K$1,SMALL(Dong7,ROWS($1:8)),))</f>
        <v>20000</v>
      </c>
      <c r="G23" s="722">
        <f t="shared" ca="1" si="0"/>
        <v>0</v>
      </c>
      <c r="H23" s="722">
        <f t="shared" ca="1" si="0"/>
        <v>20000</v>
      </c>
      <c r="I23" s="722">
        <f t="shared" ca="1" si="0"/>
        <v>0</v>
      </c>
      <c r="J23" s="722">
        <f t="shared" ca="1" si="0"/>
        <v>0</v>
      </c>
      <c r="K23" s="722">
        <f t="shared" ca="1" si="1"/>
        <v>0</v>
      </c>
      <c r="L23" s="722">
        <f t="shared" ca="1" si="1"/>
        <v>0</v>
      </c>
    </row>
    <row r="24" spans="1:12" ht="21.75" customHeight="1">
      <c r="A24" s="720">
        <f ca="1">IF(ROWS($1:9)&gt;COUNT(Dong7),"",OFFSET(TH!C$1,SMALL(Dong7,ROWS($1:9)),))</f>
        <v>41411</v>
      </c>
      <c r="B24" s="720" t="str">
        <f ca="1">IF(ROWS($1:9)&gt;COUNT(Dong7),"",OFFSET(TH!D$1,SMALL(Dong7,ROWS($1:9)),))</f>
        <v>GBN</v>
      </c>
      <c r="C24" s="720">
        <f ca="1">IF(ROWS($1:9)&gt;COUNT(Dong7),"",OFFSET(TH!E$1,SMALL(Dong7,ROWS($1:9)),))</f>
        <v>41411</v>
      </c>
      <c r="D24" s="721" t="str">
        <f ca="1">IF(ROWS($1:9)&gt;COUNT(Dong7),"",OFFSET(TH!F$1,SMALL(Dong7,ROWS($1:9)),))</f>
        <v>Phí bán 3 cuốn sec</v>
      </c>
      <c r="E24" s="720" t="str">
        <f ca="1">IF(ROWS($1:9)&gt;COUNT(Dong7),"",OFFSET(TH!M$1,SMALL(Dong7,ROWS($1:9)),))</f>
        <v>1121</v>
      </c>
      <c r="F24" s="722">
        <f ca="1">IF(ROWS($1:9)&gt;COUNT(Dong7),"",OFFSET(TH!K$1,SMALL(Dong7,ROWS($1:9)),))</f>
        <v>15000</v>
      </c>
      <c r="G24" s="722">
        <f t="shared" ca="1" si="0"/>
        <v>0</v>
      </c>
      <c r="H24" s="722">
        <f t="shared" ca="1" si="0"/>
        <v>15000</v>
      </c>
      <c r="I24" s="722">
        <f t="shared" ca="1" si="0"/>
        <v>0</v>
      </c>
      <c r="J24" s="722">
        <f t="shared" ca="1" si="0"/>
        <v>0</v>
      </c>
      <c r="K24" s="722">
        <f t="shared" ca="1" si="1"/>
        <v>0</v>
      </c>
      <c r="L24" s="722">
        <f t="shared" ca="1" si="1"/>
        <v>0</v>
      </c>
    </row>
    <row r="25" spans="1:12" ht="21.75" customHeight="1">
      <c r="A25" s="720">
        <f ca="1">IF(ROWS($1:10)&gt;COUNT(Dong7),"",OFFSET(TH!C$1,SMALL(Dong7,ROWS($1:10)),))</f>
        <v>41443</v>
      </c>
      <c r="B25" s="720" t="str">
        <f ca="1">IF(ROWS($1:10)&gt;COUNT(Dong7),"",OFFSET(TH!D$1,SMALL(Dong7,ROWS($1:10)),))</f>
        <v>C06</v>
      </c>
      <c r="C25" s="720">
        <f ca="1">IF(ROWS($1:10)&gt;COUNT(Dong7),"",OFFSET(TH!E$1,SMALL(Dong7,ROWS($1:10)),))</f>
        <v>41443</v>
      </c>
      <c r="D25" s="721" t="str">
        <f ca="1">IF(ROWS($1:10)&gt;COUNT(Dong7),"",OFFSET(TH!F$1,SMALL(Dong7,ROWS($1:10)),))</f>
        <v>Tiền điện</v>
      </c>
      <c r="E25" s="720" t="str">
        <f ca="1">IF(ROWS($1:10)&gt;COUNT(Dong7),"",OFFSET(TH!M$1,SMALL(Dong7,ROWS($1:10)),))</f>
        <v>1111</v>
      </c>
      <c r="F25" s="722">
        <f ca="1">IF(ROWS($1:10)&gt;COUNT(Dong7),"",OFFSET(TH!K$1,SMALL(Dong7,ROWS($1:10)),))</f>
        <v>543634</v>
      </c>
      <c r="G25" s="722">
        <f t="shared" ca="1" si="0"/>
        <v>543634</v>
      </c>
      <c r="H25" s="722">
        <f t="shared" ca="1" si="0"/>
        <v>0</v>
      </c>
      <c r="I25" s="722">
        <f t="shared" ca="1" si="0"/>
        <v>0</v>
      </c>
      <c r="J25" s="722">
        <f t="shared" ca="1" si="0"/>
        <v>0</v>
      </c>
      <c r="K25" s="722">
        <f t="shared" ca="1" si="1"/>
        <v>0</v>
      </c>
      <c r="L25" s="722">
        <f t="shared" ca="1" si="1"/>
        <v>0</v>
      </c>
    </row>
    <row r="26" spans="1:12" ht="21.75" customHeight="1">
      <c r="A26" s="720">
        <f ca="1">IF(ROWS($1:11)&gt;COUNT(Dong7),"",OFFSET(TH!C$1,SMALL(Dong7,ROWS($1:11)),))</f>
        <v>41445</v>
      </c>
      <c r="B26" s="720" t="str">
        <f ca="1">IF(ROWS($1:11)&gt;COUNT(Dong7),"",OFFSET(TH!D$1,SMALL(Dong7,ROWS($1:11)),))</f>
        <v>C07</v>
      </c>
      <c r="C26" s="720">
        <f ca="1">IF(ROWS($1:11)&gt;COUNT(Dong7),"",OFFSET(TH!E$1,SMALL(Dong7,ROWS($1:11)),))</f>
        <v>41445</v>
      </c>
      <c r="D26" s="721" t="str">
        <f ca="1">IF(ROWS($1:11)&gt;COUNT(Dong7),"",OFFSET(TH!F$1,SMALL(Dong7,ROWS($1:11)),))</f>
        <v>Văn phòng phẩm</v>
      </c>
      <c r="E26" s="720" t="str">
        <f ca="1">IF(ROWS($1:11)&gt;COUNT(Dong7),"",OFFSET(TH!M$1,SMALL(Dong7,ROWS($1:11)),))</f>
        <v>1111</v>
      </c>
      <c r="F26" s="722">
        <f ca="1">IF(ROWS($1:11)&gt;COUNT(Dong7),"",OFFSET(TH!K$1,SMALL(Dong7,ROWS($1:11)),))</f>
        <v>400000</v>
      </c>
      <c r="G26" s="722">
        <f t="shared" ca="1" si="0"/>
        <v>400000</v>
      </c>
      <c r="H26" s="722">
        <f t="shared" ca="1" si="0"/>
        <v>0</v>
      </c>
      <c r="I26" s="722">
        <f t="shared" ca="1" si="0"/>
        <v>0</v>
      </c>
      <c r="J26" s="722">
        <f t="shared" ca="1" si="0"/>
        <v>0</v>
      </c>
      <c r="K26" s="722">
        <f t="shared" ca="1" si="1"/>
        <v>0</v>
      </c>
      <c r="L26" s="722">
        <f t="shared" ca="1" si="1"/>
        <v>0</v>
      </c>
    </row>
    <row r="27" spans="1:12" ht="21.75" customHeight="1">
      <c r="A27" s="720">
        <f ca="1">IF(ROWS($1:12)&gt;COUNT(Dong7),"",OFFSET(TH!C$1,SMALL(Dong7,ROWS($1:12)),))</f>
        <v>41447</v>
      </c>
      <c r="B27" s="720" t="str">
        <f ca="1">IF(ROWS($1:12)&gt;COUNT(Dong7),"",OFFSET(TH!D$1,SMALL(Dong7,ROWS($1:12)),))</f>
        <v>GBN</v>
      </c>
      <c r="C27" s="720">
        <f ca="1">IF(ROWS($1:12)&gt;COUNT(Dong7),"",OFFSET(TH!E$1,SMALL(Dong7,ROWS($1:12)),))</f>
        <v>41447</v>
      </c>
      <c r="D27" s="721" t="str">
        <f ca="1">IF(ROWS($1:12)&gt;COUNT(Dong7),"",OFFSET(TH!F$1,SMALL(Dong7,ROWS($1:12)),))</f>
        <v>Phí chuyển tiền</v>
      </c>
      <c r="E27" s="720" t="str">
        <f ca="1">IF(ROWS($1:12)&gt;COUNT(Dong7),"",OFFSET(TH!M$1,SMALL(Dong7,ROWS($1:12)),))</f>
        <v>1121</v>
      </c>
      <c r="F27" s="722">
        <f ca="1">IF(ROWS($1:12)&gt;COUNT(Dong7),"",OFFSET(TH!K$1,SMALL(Dong7,ROWS($1:12)),))</f>
        <v>20000</v>
      </c>
      <c r="G27" s="722">
        <f t="shared" ca="1" si="0"/>
        <v>0</v>
      </c>
      <c r="H27" s="722">
        <f t="shared" ca="1" si="0"/>
        <v>20000</v>
      </c>
      <c r="I27" s="722">
        <f t="shared" ca="1" si="0"/>
        <v>0</v>
      </c>
      <c r="J27" s="722">
        <f t="shared" ca="1" si="0"/>
        <v>0</v>
      </c>
      <c r="K27" s="722">
        <f t="shared" ca="1" si="1"/>
        <v>0</v>
      </c>
      <c r="L27" s="722">
        <f t="shared" ca="1" si="1"/>
        <v>0</v>
      </c>
    </row>
    <row r="28" spans="1:12" ht="21.75" customHeight="1">
      <c r="A28" s="720" t="str">
        <f ca="1">IF(ROWS($1:13)&gt;COUNT(Dong7),"",OFFSET(TH!C$1,SMALL(Dong7,ROWS($1:13)),))</f>
        <v/>
      </c>
      <c r="B28" s="720" t="str">
        <f ca="1">IF(ROWS($1:13)&gt;COUNT(Dong7),"",OFFSET(TH!D$1,SMALL(Dong7,ROWS($1:13)),))</f>
        <v/>
      </c>
      <c r="C28" s="720" t="str">
        <f ca="1">IF(ROWS($1:13)&gt;COUNT(Dong7),"",OFFSET(TH!E$1,SMALL(Dong7,ROWS($1:13)),))</f>
        <v/>
      </c>
      <c r="D28" s="721" t="str">
        <f ca="1">IF(ROWS($1:13)&gt;COUNT(Dong7),"",OFFSET(TH!F$1,SMALL(Dong7,ROWS($1:13)),))</f>
        <v/>
      </c>
      <c r="E28" s="720" t="str">
        <f ca="1">IF(ROWS($1:13)&gt;COUNT(Dong7),"",OFFSET(TH!M$1,SMALL(Dong7,ROWS($1:13)),))</f>
        <v/>
      </c>
      <c r="F28" s="722" t="str">
        <f ca="1">IF(ROWS($1:13)&gt;COUNT(Dong7),"",OFFSET(TH!K$1,SMALL(Dong7,ROWS($1:13)),))</f>
        <v/>
      </c>
      <c r="G28" s="722">
        <f t="shared" ca="1" si="0"/>
        <v>0</v>
      </c>
      <c r="H28" s="722">
        <f t="shared" ca="1" si="0"/>
        <v>0</v>
      </c>
      <c r="I28" s="722">
        <f t="shared" ca="1" si="0"/>
        <v>0</v>
      </c>
      <c r="J28" s="722">
        <f t="shared" ca="1" si="0"/>
        <v>0</v>
      </c>
      <c r="K28" s="722" t="str">
        <f t="shared" ca="1" si="1"/>
        <v/>
      </c>
      <c r="L28" s="722" t="str">
        <f t="shared" ca="1" si="1"/>
        <v/>
      </c>
    </row>
    <row r="29" spans="1:12" ht="21.75" customHeight="1">
      <c r="A29" s="720" t="str">
        <f ca="1">IF(ROWS($1:14)&gt;COUNT(Dong7),"",OFFSET(TH!C$1,SMALL(Dong7,ROWS($1:14)),))</f>
        <v/>
      </c>
      <c r="B29" s="720" t="str">
        <f ca="1">IF(ROWS($1:14)&gt;COUNT(Dong7),"",OFFSET(TH!D$1,SMALL(Dong7,ROWS($1:14)),))</f>
        <v/>
      </c>
      <c r="C29" s="720" t="str">
        <f ca="1">IF(ROWS($1:14)&gt;COUNT(Dong7),"",OFFSET(TH!E$1,SMALL(Dong7,ROWS($1:14)),))</f>
        <v/>
      </c>
      <c r="D29" s="721" t="str">
        <f ca="1">IF(ROWS($1:14)&gt;COUNT(Dong7),"",OFFSET(TH!F$1,SMALL(Dong7,ROWS($1:14)),))</f>
        <v/>
      </c>
      <c r="E29" s="720" t="str">
        <f ca="1">IF(ROWS($1:14)&gt;COUNT(Dong7),"",OFFSET(TH!M$1,SMALL(Dong7,ROWS($1:14)),))</f>
        <v/>
      </c>
      <c r="F29" s="722" t="str">
        <f ca="1">IF(ROWS($1:14)&gt;COUNT(Dong7),"",OFFSET(TH!K$1,SMALL(Dong7,ROWS($1:14)),))</f>
        <v/>
      </c>
      <c r="G29" s="722">
        <f t="shared" ca="1" si="0"/>
        <v>0</v>
      </c>
      <c r="H29" s="722">
        <f t="shared" ca="1" si="0"/>
        <v>0</v>
      </c>
      <c r="I29" s="722">
        <f t="shared" ca="1" si="0"/>
        <v>0</v>
      </c>
      <c r="J29" s="722">
        <f t="shared" ca="1" si="0"/>
        <v>0</v>
      </c>
      <c r="K29" s="722" t="str">
        <f t="shared" ca="1" si="1"/>
        <v/>
      </c>
      <c r="L29" s="722" t="str">
        <f t="shared" ca="1" si="1"/>
        <v/>
      </c>
    </row>
    <row r="30" spans="1:12" ht="21.75" customHeight="1">
      <c r="A30" s="720" t="str">
        <f ca="1">IF(ROWS($1:15)&gt;COUNT(Dong7),"",OFFSET(TH!C$1,SMALL(Dong7,ROWS($1:15)),))</f>
        <v/>
      </c>
      <c r="B30" s="720" t="str">
        <f ca="1">IF(ROWS($1:15)&gt;COUNT(Dong7),"",OFFSET(TH!D$1,SMALL(Dong7,ROWS($1:15)),))</f>
        <v/>
      </c>
      <c r="C30" s="720" t="str">
        <f ca="1">IF(ROWS($1:15)&gt;COUNT(Dong7),"",OFFSET(TH!E$1,SMALL(Dong7,ROWS($1:15)),))</f>
        <v/>
      </c>
      <c r="D30" s="721" t="str">
        <f ca="1">IF(ROWS($1:15)&gt;COUNT(Dong7),"",OFFSET(TH!F$1,SMALL(Dong7,ROWS($1:15)),))</f>
        <v/>
      </c>
      <c r="E30" s="720" t="str">
        <f ca="1">IF(ROWS($1:15)&gt;COUNT(Dong7),"",OFFSET(TH!M$1,SMALL(Dong7,ROWS($1:15)),))</f>
        <v/>
      </c>
      <c r="F30" s="722" t="str">
        <f ca="1">IF(ROWS($1:15)&gt;COUNT(Dong7),"",OFFSET(TH!K$1,SMALL(Dong7,ROWS($1:15)),))</f>
        <v/>
      </c>
      <c r="G30" s="722">
        <f t="shared" ca="1" si="0"/>
        <v>0</v>
      </c>
      <c r="H30" s="722">
        <f t="shared" ca="1" si="0"/>
        <v>0</v>
      </c>
      <c r="I30" s="722">
        <f t="shared" ca="1" si="0"/>
        <v>0</v>
      </c>
      <c r="J30" s="722">
        <f t="shared" ca="1" si="0"/>
        <v>0</v>
      </c>
      <c r="K30" s="722" t="str">
        <f t="shared" ca="1" si="1"/>
        <v/>
      </c>
      <c r="L30" s="722" t="str">
        <f t="shared" ca="1" si="1"/>
        <v/>
      </c>
    </row>
    <row r="31" spans="1:12" ht="21.75" customHeight="1">
      <c r="A31" s="720"/>
      <c r="B31" s="723"/>
      <c r="C31" s="720"/>
      <c r="D31" s="724"/>
      <c r="E31" s="725"/>
      <c r="F31" s="726"/>
      <c r="G31" s="726"/>
      <c r="H31" s="726"/>
      <c r="I31" s="726"/>
      <c r="J31" s="726"/>
      <c r="K31" s="726"/>
      <c r="L31" s="726"/>
    </row>
    <row r="32" spans="1:12" ht="21.75" customHeight="1">
      <c r="A32" s="720"/>
      <c r="B32" s="723"/>
      <c r="C32" s="720"/>
      <c r="D32" s="718" t="s">
        <v>133</v>
      </c>
      <c r="E32" s="717" t="s">
        <v>19</v>
      </c>
      <c r="F32" s="719">
        <f ca="1">SUM(F15:F31)</f>
        <v>1619934</v>
      </c>
      <c r="G32" s="719">
        <f t="shared" ref="G32:L32" ca="1" si="2">SUM(G15:G31)</f>
        <v>1499934</v>
      </c>
      <c r="H32" s="719">
        <f t="shared" ca="1" si="2"/>
        <v>120000</v>
      </c>
      <c r="I32" s="719">
        <f t="shared" ca="1" si="2"/>
        <v>0</v>
      </c>
      <c r="J32" s="719">
        <f t="shared" ca="1" si="2"/>
        <v>0</v>
      </c>
      <c r="K32" s="719">
        <f t="shared" ca="1" si="2"/>
        <v>0</v>
      </c>
      <c r="L32" s="719">
        <f t="shared" ca="1" si="2"/>
        <v>0</v>
      </c>
    </row>
    <row r="33" spans="1:12" ht="21.75" customHeight="1">
      <c r="A33" s="727"/>
      <c r="B33" s="725"/>
      <c r="C33" s="727"/>
      <c r="D33" s="728" t="s">
        <v>465</v>
      </c>
      <c r="E33" s="723"/>
      <c r="F33" s="729">
        <f ca="1">SUM(G33:L33)</f>
        <v>1619934</v>
      </c>
      <c r="G33" s="729">
        <f t="shared" ref="G33:L33" ca="1" si="3">G32</f>
        <v>1499934</v>
      </c>
      <c r="H33" s="729">
        <f t="shared" ca="1" si="3"/>
        <v>120000</v>
      </c>
      <c r="I33" s="729">
        <f t="shared" ca="1" si="3"/>
        <v>0</v>
      </c>
      <c r="J33" s="729">
        <f t="shared" ca="1" si="3"/>
        <v>0</v>
      </c>
      <c r="K33" s="729">
        <f t="shared" ca="1" si="3"/>
        <v>0</v>
      </c>
      <c r="L33" s="729">
        <f t="shared" ca="1" si="3"/>
        <v>0</v>
      </c>
    </row>
    <row r="34" spans="1:12" ht="21.75" customHeight="1">
      <c r="A34" s="730"/>
      <c r="B34" s="730"/>
      <c r="C34" s="730"/>
      <c r="D34" s="731" t="s">
        <v>10</v>
      </c>
      <c r="E34" s="730" t="s">
        <v>19</v>
      </c>
      <c r="F34" s="732">
        <f t="shared" ref="F34:L34" ca="1" si="4">F15+F32-F33</f>
        <v>0</v>
      </c>
      <c r="G34" s="732">
        <f t="shared" ca="1" si="4"/>
        <v>0</v>
      </c>
      <c r="H34" s="732">
        <f t="shared" ca="1" si="4"/>
        <v>0</v>
      </c>
      <c r="I34" s="732">
        <f t="shared" ca="1" si="4"/>
        <v>0</v>
      </c>
      <c r="J34" s="732">
        <f t="shared" ca="1" si="4"/>
        <v>0</v>
      </c>
      <c r="K34" s="732">
        <f t="shared" ca="1" si="4"/>
        <v>0</v>
      </c>
      <c r="L34" s="732">
        <f t="shared" ca="1" si="4"/>
        <v>0</v>
      </c>
    </row>
    <row r="36" spans="1:12">
      <c r="B36" s="733"/>
      <c r="C36" s="713" t="s">
        <v>458</v>
      </c>
    </row>
    <row r="37" spans="1:12">
      <c r="C37" s="713" t="str">
        <f ca="1">"- Ngày mở sổ: "&amp;"01/"&amp;MONTH(A16)&amp;"/"&amp;YEAR(A16)</f>
        <v>- Ngày mở sổ: 01/4/2013</v>
      </c>
    </row>
    <row r="38" spans="1:12">
      <c r="E38" s="712"/>
      <c r="F38" s="712"/>
      <c r="G38" s="712"/>
      <c r="H38" s="712"/>
      <c r="I38" s="712"/>
      <c r="J38" s="1049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2013</v>
      </c>
      <c r="K38" s="1049"/>
      <c r="L38" s="1049"/>
    </row>
    <row r="39" spans="1:12">
      <c r="B39" s="712"/>
      <c r="C39" s="709" t="s">
        <v>11</v>
      </c>
      <c r="D39" s="712"/>
      <c r="E39" s="712"/>
      <c r="F39" s="712"/>
      <c r="G39" s="712"/>
      <c r="H39" s="712"/>
      <c r="I39" s="712"/>
      <c r="J39" s="1049" t="s">
        <v>12</v>
      </c>
      <c r="K39" s="1049"/>
      <c r="L39" s="1049"/>
    </row>
    <row r="40" spans="1:12">
      <c r="B40" s="712"/>
      <c r="C40" s="709" t="s">
        <v>13</v>
      </c>
      <c r="D40" s="712"/>
      <c r="E40" s="712"/>
      <c r="F40" s="712"/>
      <c r="G40" s="712"/>
      <c r="H40" s="712"/>
      <c r="I40" s="712"/>
      <c r="J40" s="1095" t="s">
        <v>13</v>
      </c>
      <c r="K40" s="1095"/>
      <c r="L40" s="1095"/>
    </row>
  </sheetData>
  <mergeCells count="17">
    <mergeCell ref="G12:L12"/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806" customWidth="1"/>
    <col min="3" max="3" width="8.5703125" style="806" customWidth="1"/>
    <col min="4" max="4" width="51.42578125" style="806" customWidth="1"/>
    <col min="5" max="5" width="8" style="806" customWidth="1"/>
    <col min="6" max="6" width="12.28515625" style="806" bestFit="1" customWidth="1"/>
    <col min="7" max="7" width="10.140625" style="806" customWidth="1"/>
    <col min="8" max="8" width="10.7109375" style="806" customWidth="1"/>
    <col min="9" max="9" width="11.42578125" style="806" customWidth="1"/>
    <col min="10" max="10" width="11.5703125" style="806" customWidth="1"/>
    <col min="11" max="11" width="11.42578125" style="806" customWidth="1"/>
    <col min="12" max="12" width="9.42578125" style="806" customWidth="1"/>
    <col min="13" max="13" width="6.7109375" style="806" customWidth="1"/>
    <col min="14" max="16384" width="9.140625" style="806"/>
  </cols>
  <sheetData>
    <row r="2" spans="1:15">
      <c r="A2" s="708" t="str">
        <f>'632'!A2</f>
        <v>Đơn vị: CÔNG TY TNHH SX TM KIM DUNG PHÁT</v>
      </c>
      <c r="F2" s="805"/>
      <c r="G2" s="805"/>
      <c r="H2" s="1093" t="s">
        <v>445</v>
      </c>
      <c r="I2" s="1093"/>
      <c r="J2" s="1093"/>
      <c r="K2" s="1093"/>
      <c r="L2" s="734"/>
    </row>
    <row r="3" spans="1:15" ht="15" customHeight="1">
      <c r="A3" s="738" t="str">
        <f>'632'!A3</f>
        <v>Địa chỉ: 1A227/1 Ấp 1, Phạm Văn Hai, Bình Chánh, TPHCM</v>
      </c>
      <c r="H3" s="1096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096"/>
      <c r="J3" s="1096"/>
      <c r="K3" s="1096"/>
      <c r="L3" s="712"/>
    </row>
    <row r="4" spans="1:15">
      <c r="H4" s="1096"/>
      <c r="I4" s="1096"/>
      <c r="J4" s="1096"/>
      <c r="K4" s="1096"/>
      <c r="L4" s="712"/>
    </row>
    <row r="5" spans="1:15" ht="19.5" customHeight="1">
      <c r="A5" s="1094" t="s">
        <v>446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711" t="s">
        <v>267</v>
      </c>
      <c r="N5" s="633">
        <f>IF(N13="Quý I",1,IF(N13="Quý II",4,IF(N13="Quý III",7,IF(N13="Quý IV",10,""))))</f>
        <v>7</v>
      </c>
      <c r="O5" s="633">
        <f>IF(N13="Quý I",3,IF(N13="Quý II",6,IF(N13="Quý III",9,IF(N13="Quý IV",12,""))))</f>
        <v>9</v>
      </c>
    </row>
    <row r="6" spans="1:15">
      <c r="A6" s="1095" t="s">
        <v>447</v>
      </c>
      <c r="B6" s="1095"/>
      <c r="C6" s="1095"/>
      <c r="D6" s="1095"/>
      <c r="E6" s="1095"/>
      <c r="F6" s="1095"/>
      <c r="G6" s="1095"/>
      <c r="H6" s="1095"/>
      <c r="I6" s="1095"/>
      <c r="J6" s="1095"/>
      <c r="K6" s="1095"/>
      <c r="L6" s="1095"/>
    </row>
    <row r="7" spans="1:15">
      <c r="B7" s="712"/>
      <c r="C7" s="712"/>
      <c r="D7" s="712"/>
      <c r="E7" s="713" t="s">
        <v>480</v>
      </c>
      <c r="G7" s="712"/>
      <c r="H7" s="712"/>
      <c r="I7" s="712"/>
      <c r="J7" s="712"/>
      <c r="K7" s="712"/>
      <c r="L7" s="712"/>
      <c r="M7" s="739"/>
    </row>
    <row r="8" spans="1:15">
      <c r="B8" s="712"/>
      <c r="C8" s="712"/>
      <c r="D8" s="712"/>
      <c r="E8" s="713" t="s">
        <v>449</v>
      </c>
      <c r="G8" s="712"/>
      <c r="H8" s="712"/>
      <c r="I8" s="712"/>
      <c r="J8" s="712"/>
      <c r="K8" s="712"/>
      <c r="L8" s="712"/>
    </row>
    <row r="9" spans="1:15">
      <c r="B9" s="714"/>
      <c r="C9" s="714"/>
      <c r="D9" s="714"/>
      <c r="E9" s="713" t="s">
        <v>450</v>
      </c>
      <c r="G9" s="714"/>
      <c r="H9" s="714"/>
      <c r="I9" s="714"/>
      <c r="J9" s="714"/>
      <c r="K9" s="714"/>
      <c r="L9" s="714"/>
    </row>
    <row r="10" spans="1:15" ht="9" customHeight="1">
      <c r="C10" s="1092"/>
      <c r="D10" s="1092"/>
      <c r="E10" s="1092"/>
      <c r="F10" s="1092"/>
      <c r="G10" s="1092"/>
      <c r="H10" s="1092"/>
      <c r="I10" s="1092"/>
      <c r="J10" s="1092"/>
      <c r="K10" s="1092"/>
      <c r="L10" s="1092"/>
    </row>
    <row r="11" spans="1:15" ht="15.75" customHeight="1">
      <c r="A11" s="1089" t="s">
        <v>20</v>
      </c>
      <c r="B11" s="1090" t="s">
        <v>1</v>
      </c>
      <c r="C11" s="1090"/>
      <c r="D11" s="1089" t="s">
        <v>0</v>
      </c>
      <c r="E11" s="1089" t="s">
        <v>217</v>
      </c>
      <c r="F11" s="1090" t="s">
        <v>479</v>
      </c>
      <c r="G11" s="1090"/>
      <c r="H11" s="1090"/>
      <c r="I11" s="1090"/>
      <c r="J11" s="1090"/>
      <c r="K11" s="1090"/>
      <c r="L11" s="1090"/>
    </row>
    <row r="12" spans="1:15" ht="15.75" customHeight="1" thickBot="1">
      <c r="A12" s="1089"/>
      <c r="B12" s="1091" t="s">
        <v>15</v>
      </c>
      <c r="C12" s="1091" t="s">
        <v>32</v>
      </c>
      <c r="D12" s="1089"/>
      <c r="E12" s="1089"/>
      <c r="F12" s="1091" t="s">
        <v>452</v>
      </c>
      <c r="G12" s="1091" t="s">
        <v>453</v>
      </c>
      <c r="H12" s="1091"/>
      <c r="I12" s="1091"/>
      <c r="J12" s="1091"/>
      <c r="K12" s="1091"/>
      <c r="L12" s="1091"/>
    </row>
    <row r="13" spans="1:15" ht="29.25" customHeight="1" thickBot="1">
      <c r="A13" s="1089"/>
      <c r="B13" s="1091"/>
      <c r="C13" s="1091"/>
      <c r="D13" s="1089"/>
      <c r="E13" s="1089"/>
      <c r="F13" s="1091"/>
      <c r="G13" s="735" t="s">
        <v>47</v>
      </c>
      <c r="H13" s="735" t="s">
        <v>24</v>
      </c>
      <c r="I13" s="735"/>
      <c r="J13" s="735"/>
      <c r="K13" s="735"/>
      <c r="L13" s="735"/>
      <c r="N13" s="737" t="s">
        <v>482</v>
      </c>
    </row>
    <row r="14" spans="1:15">
      <c r="A14" s="807" t="s">
        <v>2</v>
      </c>
      <c r="B14" s="807" t="s">
        <v>3</v>
      </c>
      <c r="C14" s="807" t="s">
        <v>4</v>
      </c>
      <c r="D14" s="807" t="s">
        <v>5</v>
      </c>
      <c r="E14" s="807" t="s">
        <v>6</v>
      </c>
      <c r="F14" s="807">
        <v>1</v>
      </c>
      <c r="G14" s="807">
        <v>2</v>
      </c>
      <c r="H14" s="807">
        <v>3</v>
      </c>
      <c r="I14" s="807">
        <v>4</v>
      </c>
      <c r="J14" s="807">
        <v>5</v>
      </c>
      <c r="K14" s="807">
        <v>6</v>
      </c>
      <c r="L14" s="807">
        <v>7</v>
      </c>
    </row>
    <row r="15" spans="1:15" ht="21.75" customHeight="1">
      <c r="A15" s="717"/>
      <c r="B15" s="717"/>
      <c r="C15" s="717"/>
      <c r="D15" s="718" t="s">
        <v>7</v>
      </c>
      <c r="E15" s="717"/>
      <c r="F15" s="719"/>
      <c r="G15" s="719"/>
      <c r="H15" s="719"/>
      <c r="I15" s="719"/>
      <c r="J15" s="719"/>
      <c r="K15" s="719"/>
      <c r="L15" s="719"/>
    </row>
    <row r="16" spans="1:15" ht="21.75" customHeight="1">
      <c r="A16" s="720" t="str">
        <f ca="1">IF(ROWS($1:1)&gt;COUNT(Dong13),"",OFFSET(TH!C$1,SMALL(Dong13,ROWS($1:1)),))</f>
        <v/>
      </c>
      <c r="B16" s="720" t="str">
        <f ca="1">IF(ROWS($1:1)&gt;COUNT(Dong13),"",OFFSET(TH!D$1,SMALL(Dong13,ROWS($1:1)),))</f>
        <v/>
      </c>
      <c r="C16" s="720" t="str">
        <f ca="1">IF(ROWS($1:1)&gt;COUNT(Dong13),"",OFFSET(TH!E$1,SMALL(Dong13,ROWS($1:1)),))</f>
        <v/>
      </c>
      <c r="D16" s="721" t="str">
        <f ca="1">IF(ROWS($1:1)&gt;COUNT(Dong13),"",OFFSET(TH!F$1,SMALL(Dong13,ROWS($1:1)),))</f>
        <v/>
      </c>
      <c r="E16" s="720" t="str">
        <f ca="1">IF(ROWS($1:1)&gt;COUNT(Dong13),"",OFFSET(TH!M$1,SMALL(Dong13,ROWS($1:1)),))</f>
        <v/>
      </c>
      <c r="F16" s="815" t="str">
        <f ca="1">IF(ROWS($1:1)&gt;COUNT(Dong13),"",OFFSET(TH!K$1,SMALL(Dong13,ROWS($1:1)),))</f>
        <v/>
      </c>
      <c r="G16" s="722">
        <f t="shared" ref="G16:J25" ca="1" si="0">IF($E16=G$13,$F16,0)</f>
        <v>0</v>
      </c>
      <c r="H16" s="722">
        <f t="shared" ca="1" si="0"/>
        <v>0</v>
      </c>
      <c r="I16" s="722" t="str">
        <f t="shared" ca="1" si="0"/>
        <v/>
      </c>
      <c r="J16" s="722" t="str">
        <f t="shared" ca="1" si="0"/>
        <v/>
      </c>
      <c r="K16" s="722" t="str">
        <f ca="1">IF(LEFT($E16,3)=K$13,$F16,0)</f>
        <v/>
      </c>
      <c r="L16" s="722" t="str">
        <f ca="1">IF(LEFT($E16,3)=L$13,$F16,0)</f>
        <v/>
      </c>
    </row>
    <row r="17" spans="1:12" ht="21.75" customHeight="1">
      <c r="A17" s="720" t="str">
        <f ca="1">IF(ROWS($1:2)&gt;COUNT(Dong13),"",OFFSET(TH!C$1,SMALL(Dong13,ROWS($1:2)),))</f>
        <v/>
      </c>
      <c r="B17" s="720" t="str">
        <f ca="1">IF(ROWS($1:2)&gt;COUNT(Dong13),"",OFFSET(TH!D$1,SMALL(Dong13,ROWS($1:2)),))</f>
        <v/>
      </c>
      <c r="C17" s="720" t="str">
        <f ca="1">IF(ROWS($1:2)&gt;COUNT(Dong13),"",OFFSET(TH!E$1,SMALL(Dong13,ROWS($1:2)),))</f>
        <v/>
      </c>
      <c r="D17" s="721" t="str">
        <f ca="1">IF(ROWS($1:2)&gt;COUNT(Dong13),"",OFFSET(TH!F$1,SMALL(Dong13,ROWS($1:2)),))</f>
        <v/>
      </c>
      <c r="E17" s="720" t="str">
        <f ca="1">IF(ROWS($1:2)&gt;COUNT(Dong13),"",OFFSET(TH!M$1,SMALL(Dong13,ROWS($1:2)),))</f>
        <v/>
      </c>
      <c r="F17" s="815" t="str">
        <f ca="1">IF(ROWS($1:2)&gt;COUNT(Dong13),"",OFFSET(TH!K$1,SMALL(Dong13,ROWS($1:2)),))</f>
        <v/>
      </c>
      <c r="G17" s="722">
        <f t="shared" ca="1" si="0"/>
        <v>0</v>
      </c>
      <c r="H17" s="722">
        <f t="shared" ca="1" si="0"/>
        <v>0</v>
      </c>
      <c r="I17" s="722" t="str">
        <f t="shared" ca="1" si="0"/>
        <v/>
      </c>
      <c r="J17" s="722" t="str">
        <f t="shared" ca="1" si="0"/>
        <v/>
      </c>
      <c r="K17" s="722" t="str">
        <f t="shared" ref="K17:L25" ca="1" si="1">IF(LEFT($E17,3)=K$13,$F17,0)</f>
        <v/>
      </c>
      <c r="L17" s="722" t="str">
        <f t="shared" ca="1" si="1"/>
        <v/>
      </c>
    </row>
    <row r="18" spans="1:12" ht="21.75" customHeight="1">
      <c r="A18" s="720" t="str">
        <f ca="1">IF(ROWS($1:3)&gt;COUNT(Dong13),"",OFFSET(TH!C$1,SMALL(Dong13,ROWS($1:3)),))</f>
        <v/>
      </c>
      <c r="B18" s="720" t="str">
        <f ca="1">IF(ROWS($1:3)&gt;COUNT(Dong13),"",OFFSET(TH!D$1,SMALL(Dong13,ROWS($1:3)),))</f>
        <v/>
      </c>
      <c r="C18" s="720" t="str">
        <f ca="1">IF(ROWS($1:3)&gt;COUNT(Dong13),"",OFFSET(TH!E$1,SMALL(Dong13,ROWS($1:3)),))</f>
        <v/>
      </c>
      <c r="D18" s="721" t="str">
        <f ca="1">IF(ROWS($1:3)&gt;COUNT(Dong13),"",OFFSET(TH!F$1,SMALL(Dong13,ROWS($1:3)),))</f>
        <v/>
      </c>
      <c r="E18" s="720" t="str">
        <f ca="1">IF(ROWS($1:3)&gt;COUNT(Dong13),"",OFFSET(TH!M$1,SMALL(Dong13,ROWS($1:3)),))</f>
        <v/>
      </c>
      <c r="F18" s="815" t="str">
        <f ca="1">IF(ROWS($1:3)&gt;COUNT(Dong13),"",OFFSET(TH!K$1,SMALL(Dong13,ROWS($1:3)),))</f>
        <v/>
      </c>
      <c r="G18" s="722">
        <f t="shared" ca="1" si="0"/>
        <v>0</v>
      </c>
      <c r="H18" s="722">
        <f t="shared" ca="1" si="0"/>
        <v>0</v>
      </c>
      <c r="I18" s="722" t="str">
        <f t="shared" ca="1" si="0"/>
        <v/>
      </c>
      <c r="J18" s="722" t="str">
        <f t="shared" ca="1" si="0"/>
        <v/>
      </c>
      <c r="K18" s="722" t="str">
        <f t="shared" ca="1" si="1"/>
        <v/>
      </c>
      <c r="L18" s="722" t="str">
        <f t="shared" ca="1" si="1"/>
        <v/>
      </c>
    </row>
    <row r="19" spans="1:12" ht="21.75" customHeight="1">
      <c r="A19" s="720" t="str">
        <f ca="1">IF(ROWS($1:4)&gt;COUNT(Dong13),"",OFFSET(TH!C$1,SMALL(Dong13,ROWS($1:4)),))</f>
        <v/>
      </c>
      <c r="B19" s="720" t="str">
        <f ca="1">IF(ROWS($1:4)&gt;COUNT(Dong13),"",OFFSET(TH!D$1,SMALL(Dong13,ROWS($1:4)),))</f>
        <v/>
      </c>
      <c r="C19" s="720" t="str">
        <f ca="1">IF(ROWS($1:4)&gt;COUNT(Dong13),"",OFFSET(TH!E$1,SMALL(Dong13,ROWS($1:4)),))</f>
        <v/>
      </c>
      <c r="D19" s="721" t="str">
        <f ca="1">IF(ROWS($1:4)&gt;COUNT(Dong13),"",OFFSET(TH!F$1,SMALL(Dong13,ROWS($1:4)),))</f>
        <v/>
      </c>
      <c r="E19" s="720" t="str">
        <f ca="1">IF(ROWS($1:4)&gt;COUNT(Dong13),"",OFFSET(TH!M$1,SMALL(Dong13,ROWS($1:4)),))</f>
        <v/>
      </c>
      <c r="F19" s="815" t="str">
        <f ca="1">IF(ROWS($1:4)&gt;COUNT(Dong13),"",OFFSET(TH!K$1,SMALL(Dong13,ROWS($1:4)),))</f>
        <v/>
      </c>
      <c r="G19" s="722">
        <f t="shared" ca="1" si="0"/>
        <v>0</v>
      </c>
      <c r="H19" s="722">
        <f t="shared" ca="1" si="0"/>
        <v>0</v>
      </c>
      <c r="I19" s="722" t="str">
        <f t="shared" ca="1" si="0"/>
        <v/>
      </c>
      <c r="J19" s="722" t="str">
        <f t="shared" ca="1" si="0"/>
        <v/>
      </c>
      <c r="K19" s="722" t="str">
        <f t="shared" ca="1" si="1"/>
        <v/>
      </c>
      <c r="L19" s="722" t="str">
        <f t="shared" ca="1" si="1"/>
        <v/>
      </c>
    </row>
    <row r="20" spans="1:12" ht="21.75" customHeight="1">
      <c r="A20" s="720" t="str">
        <f ca="1">IF(ROWS($1:5)&gt;COUNT(Dong13),"",OFFSET(TH!C$1,SMALL(Dong13,ROWS($1:5)),))</f>
        <v/>
      </c>
      <c r="B20" s="720" t="str">
        <f ca="1">IF(ROWS($1:5)&gt;COUNT(Dong13),"",OFFSET(TH!D$1,SMALL(Dong13,ROWS($1:5)),))</f>
        <v/>
      </c>
      <c r="C20" s="720" t="str">
        <f ca="1">IF(ROWS($1:5)&gt;COUNT(Dong13),"",OFFSET(TH!E$1,SMALL(Dong13,ROWS($1:5)),))</f>
        <v/>
      </c>
      <c r="D20" s="721" t="str">
        <f ca="1">IF(ROWS($1:5)&gt;COUNT(Dong13),"",OFFSET(TH!F$1,SMALL(Dong13,ROWS($1:5)),))</f>
        <v/>
      </c>
      <c r="E20" s="720" t="str">
        <f ca="1">IF(ROWS($1:5)&gt;COUNT(Dong13),"",OFFSET(TH!M$1,SMALL(Dong13,ROWS($1:5)),))</f>
        <v/>
      </c>
      <c r="F20" s="815" t="str">
        <f ca="1">IF(ROWS($1:5)&gt;COUNT(Dong13),"",OFFSET(TH!K$1,SMALL(Dong13,ROWS($1:5)),))</f>
        <v/>
      </c>
      <c r="G20" s="722">
        <f t="shared" ca="1" si="0"/>
        <v>0</v>
      </c>
      <c r="H20" s="722">
        <f t="shared" ca="1" si="0"/>
        <v>0</v>
      </c>
      <c r="I20" s="722" t="str">
        <f t="shared" ca="1" si="0"/>
        <v/>
      </c>
      <c r="J20" s="722" t="str">
        <f t="shared" ca="1" si="0"/>
        <v/>
      </c>
      <c r="K20" s="722" t="str">
        <f t="shared" ca="1" si="1"/>
        <v/>
      </c>
      <c r="L20" s="722" t="str">
        <f t="shared" ca="1" si="1"/>
        <v/>
      </c>
    </row>
    <row r="21" spans="1:12" ht="21.75" customHeight="1">
      <c r="A21" s="720" t="str">
        <f ca="1">IF(ROWS($1:6)&gt;COUNT(Dong13),"",OFFSET(TH!C$1,SMALL(Dong13,ROWS($1:6)),))</f>
        <v/>
      </c>
      <c r="B21" s="720" t="str">
        <f ca="1">IF(ROWS($1:6)&gt;COUNT(Dong13),"",OFFSET(TH!D$1,SMALL(Dong13,ROWS($1:6)),))</f>
        <v/>
      </c>
      <c r="C21" s="720" t="str">
        <f ca="1">IF(ROWS($1:6)&gt;COUNT(Dong13),"",OFFSET(TH!E$1,SMALL(Dong13,ROWS($1:6)),))</f>
        <v/>
      </c>
      <c r="D21" s="721" t="str">
        <f ca="1">IF(ROWS($1:6)&gt;COUNT(Dong13),"",OFFSET(TH!F$1,SMALL(Dong13,ROWS($1:6)),))</f>
        <v/>
      </c>
      <c r="E21" s="720" t="str">
        <f ca="1">IF(ROWS($1:6)&gt;COUNT(Dong13),"",OFFSET(TH!M$1,SMALL(Dong13,ROWS($1:6)),))</f>
        <v/>
      </c>
      <c r="F21" s="815" t="str">
        <f ca="1">IF(ROWS($1:6)&gt;COUNT(Dong13),"",OFFSET(TH!K$1,SMALL(Dong13,ROWS($1:6)),))</f>
        <v/>
      </c>
      <c r="G21" s="722">
        <f t="shared" ca="1" si="0"/>
        <v>0</v>
      </c>
      <c r="H21" s="722">
        <f t="shared" ca="1" si="0"/>
        <v>0</v>
      </c>
      <c r="I21" s="722" t="str">
        <f t="shared" ca="1" si="0"/>
        <v/>
      </c>
      <c r="J21" s="722" t="str">
        <f t="shared" ca="1" si="0"/>
        <v/>
      </c>
      <c r="K21" s="722" t="str">
        <f t="shared" ca="1" si="1"/>
        <v/>
      </c>
      <c r="L21" s="722" t="str">
        <f t="shared" ca="1" si="1"/>
        <v/>
      </c>
    </row>
    <row r="22" spans="1:12" ht="21.75" customHeight="1">
      <c r="A22" s="720" t="str">
        <f ca="1">IF(ROWS($1:7)&gt;COUNT(Dong13),"",OFFSET(TH!C$1,SMALL(Dong13,ROWS($1:7)),))</f>
        <v/>
      </c>
      <c r="B22" s="720" t="str">
        <f ca="1">IF(ROWS($1:7)&gt;COUNT(Dong13),"",OFFSET(TH!D$1,SMALL(Dong13,ROWS($1:7)),))</f>
        <v/>
      </c>
      <c r="C22" s="720" t="str">
        <f ca="1">IF(ROWS($1:7)&gt;COUNT(Dong13),"",OFFSET(TH!E$1,SMALL(Dong13,ROWS($1:7)),))</f>
        <v/>
      </c>
      <c r="D22" s="721" t="str">
        <f ca="1">IF(ROWS($1:7)&gt;COUNT(Dong13),"",OFFSET(TH!F$1,SMALL(Dong13,ROWS($1:7)),))</f>
        <v/>
      </c>
      <c r="E22" s="720" t="str">
        <f ca="1">IF(ROWS($1:7)&gt;COUNT(Dong13),"",OFFSET(TH!M$1,SMALL(Dong13,ROWS($1:7)),))</f>
        <v/>
      </c>
      <c r="F22" s="815" t="str">
        <f ca="1">IF(ROWS($1:7)&gt;COUNT(Dong13),"",OFFSET(TH!K$1,SMALL(Dong13,ROWS($1:7)),))</f>
        <v/>
      </c>
      <c r="G22" s="722">
        <f t="shared" ca="1" si="0"/>
        <v>0</v>
      </c>
      <c r="H22" s="722">
        <f t="shared" ca="1" si="0"/>
        <v>0</v>
      </c>
      <c r="I22" s="722" t="str">
        <f t="shared" ca="1" si="0"/>
        <v/>
      </c>
      <c r="J22" s="722" t="str">
        <f t="shared" ca="1" si="0"/>
        <v/>
      </c>
      <c r="K22" s="722" t="str">
        <f t="shared" ca="1" si="1"/>
        <v/>
      </c>
      <c r="L22" s="722" t="str">
        <f t="shared" ca="1" si="1"/>
        <v/>
      </c>
    </row>
    <row r="23" spans="1:12" ht="21.75" customHeight="1">
      <c r="A23" s="720" t="str">
        <f ca="1">IF(ROWS($1:8)&gt;COUNT(Dong13),"",OFFSET(TH!C$1,SMALL(Dong13,ROWS($1:8)),))</f>
        <v/>
      </c>
      <c r="B23" s="720" t="str">
        <f ca="1">IF(ROWS($1:8)&gt;COUNT(Dong13),"",OFFSET(TH!D$1,SMALL(Dong13,ROWS($1:8)),))</f>
        <v/>
      </c>
      <c r="C23" s="720" t="str">
        <f ca="1">IF(ROWS($1:8)&gt;COUNT(Dong13),"",OFFSET(TH!E$1,SMALL(Dong13,ROWS($1:8)),))</f>
        <v/>
      </c>
      <c r="D23" s="721" t="str">
        <f ca="1">IF(ROWS($1:8)&gt;COUNT(Dong13),"",OFFSET(TH!F$1,SMALL(Dong13,ROWS($1:8)),))</f>
        <v/>
      </c>
      <c r="E23" s="720" t="str">
        <f ca="1">IF(ROWS($1:8)&gt;COUNT(Dong13),"",OFFSET(TH!M$1,SMALL(Dong13,ROWS($1:8)),))</f>
        <v/>
      </c>
      <c r="F23" s="815" t="str">
        <f ca="1">IF(ROWS($1:8)&gt;COUNT(Dong13),"",OFFSET(TH!K$1,SMALL(Dong13,ROWS($1:8)),))</f>
        <v/>
      </c>
      <c r="G23" s="722">
        <f t="shared" ca="1" si="0"/>
        <v>0</v>
      </c>
      <c r="H23" s="722">
        <f t="shared" ca="1" si="0"/>
        <v>0</v>
      </c>
      <c r="I23" s="722" t="str">
        <f t="shared" ca="1" si="0"/>
        <v/>
      </c>
      <c r="J23" s="722" t="str">
        <f t="shared" ca="1" si="0"/>
        <v/>
      </c>
      <c r="K23" s="722" t="str">
        <f t="shared" ca="1" si="1"/>
        <v/>
      </c>
      <c r="L23" s="722" t="str">
        <f t="shared" ca="1" si="1"/>
        <v/>
      </c>
    </row>
    <row r="24" spans="1:12" ht="21.75" customHeight="1">
      <c r="A24" s="720" t="str">
        <f ca="1">IF(ROWS($1:9)&gt;COUNT(Dong13),"",OFFSET(TH!C$1,SMALL(Dong13,ROWS($1:9)),))</f>
        <v/>
      </c>
      <c r="B24" s="720" t="str">
        <f ca="1">IF(ROWS($1:9)&gt;COUNT(Dong13),"",OFFSET(TH!D$1,SMALL(Dong13,ROWS($1:9)),))</f>
        <v/>
      </c>
      <c r="C24" s="720" t="str">
        <f ca="1">IF(ROWS($1:9)&gt;COUNT(Dong13),"",OFFSET(TH!E$1,SMALL(Dong13,ROWS($1:9)),))</f>
        <v/>
      </c>
      <c r="D24" s="721" t="str">
        <f ca="1">IF(ROWS($1:9)&gt;COUNT(Dong13),"",OFFSET(TH!F$1,SMALL(Dong13,ROWS($1:9)),))</f>
        <v/>
      </c>
      <c r="E24" s="720" t="str">
        <f ca="1">IF(ROWS($1:9)&gt;COUNT(Dong13),"",OFFSET(TH!M$1,SMALL(Dong13,ROWS($1:9)),))</f>
        <v/>
      </c>
      <c r="F24" s="815" t="str">
        <f ca="1">IF(ROWS($1:9)&gt;COUNT(Dong13),"",OFFSET(TH!K$1,SMALL(Dong13,ROWS($1:9)),))</f>
        <v/>
      </c>
      <c r="G24" s="722">
        <f t="shared" ca="1" si="0"/>
        <v>0</v>
      </c>
      <c r="H24" s="722">
        <f t="shared" ca="1" si="0"/>
        <v>0</v>
      </c>
      <c r="I24" s="722" t="str">
        <f t="shared" ca="1" si="0"/>
        <v/>
      </c>
      <c r="J24" s="722" t="str">
        <f t="shared" ca="1" si="0"/>
        <v/>
      </c>
      <c r="K24" s="722" t="str">
        <f t="shared" ca="1" si="1"/>
        <v/>
      </c>
      <c r="L24" s="722" t="str">
        <f t="shared" ca="1" si="1"/>
        <v/>
      </c>
    </row>
    <row r="25" spans="1:12" ht="21.75" customHeight="1">
      <c r="A25" s="720" t="str">
        <f ca="1">IF(ROWS($1:10)&gt;COUNT(Dong13),"",OFFSET(TH!C$1,SMALL(Dong13,ROWS($1:10)),))</f>
        <v/>
      </c>
      <c r="B25" s="720" t="str">
        <f ca="1">IF(ROWS($1:10)&gt;COUNT(Dong13),"",OFFSET(TH!D$1,SMALL(Dong13,ROWS($1:10)),))</f>
        <v/>
      </c>
      <c r="C25" s="720" t="str">
        <f ca="1">IF(ROWS($1:10)&gt;COUNT(Dong13),"",OFFSET(TH!E$1,SMALL(Dong13,ROWS($1:10)),))</f>
        <v/>
      </c>
      <c r="D25" s="721" t="str">
        <f ca="1">IF(ROWS($1:10)&gt;COUNT(Dong13),"",OFFSET(TH!F$1,SMALL(Dong13,ROWS($1:10)),))</f>
        <v/>
      </c>
      <c r="E25" s="720" t="str">
        <f ca="1">IF(ROWS($1:10)&gt;COUNT(Dong13),"",OFFSET(TH!M$1,SMALL(Dong13,ROWS($1:10)),))</f>
        <v/>
      </c>
      <c r="F25" s="815" t="str">
        <f ca="1">IF(ROWS($1:10)&gt;COUNT(Dong13),"",OFFSET(TH!K$1,SMALL(Dong13,ROWS($1:10)),))</f>
        <v/>
      </c>
      <c r="G25" s="722">
        <f t="shared" ca="1" si="0"/>
        <v>0</v>
      </c>
      <c r="H25" s="722">
        <f t="shared" ca="1" si="0"/>
        <v>0</v>
      </c>
      <c r="I25" s="722" t="str">
        <f t="shared" ca="1" si="0"/>
        <v/>
      </c>
      <c r="J25" s="722" t="str">
        <f t="shared" ca="1" si="0"/>
        <v/>
      </c>
      <c r="K25" s="722" t="str">
        <f t="shared" ca="1" si="1"/>
        <v/>
      </c>
      <c r="L25" s="722" t="str">
        <f t="shared" ca="1" si="1"/>
        <v/>
      </c>
    </row>
    <row r="26" spans="1:12" ht="21.75" customHeight="1">
      <c r="A26" s="720"/>
      <c r="B26" s="723"/>
      <c r="C26" s="720"/>
      <c r="D26" s="724"/>
      <c r="E26" s="725"/>
      <c r="F26" s="726"/>
      <c r="G26" s="726"/>
      <c r="H26" s="726"/>
      <c r="I26" s="726"/>
      <c r="J26" s="726"/>
      <c r="K26" s="726"/>
      <c r="L26" s="726"/>
    </row>
    <row r="27" spans="1:12" ht="21.75" customHeight="1">
      <c r="A27" s="720"/>
      <c r="B27" s="723"/>
      <c r="C27" s="720"/>
      <c r="D27" s="718" t="s">
        <v>133</v>
      </c>
      <c r="E27" s="717" t="s">
        <v>19</v>
      </c>
      <c r="F27" s="719">
        <f t="shared" ref="F27:L27" ca="1" si="2">SUM(F15:F26)</f>
        <v>0</v>
      </c>
      <c r="G27" s="719">
        <f t="shared" ca="1" si="2"/>
        <v>0</v>
      </c>
      <c r="H27" s="719">
        <f t="shared" ca="1" si="2"/>
        <v>0</v>
      </c>
      <c r="I27" s="719">
        <f t="shared" ca="1" si="2"/>
        <v>0</v>
      </c>
      <c r="J27" s="719">
        <f t="shared" ca="1" si="2"/>
        <v>0</v>
      </c>
      <c r="K27" s="719">
        <f t="shared" ca="1" si="2"/>
        <v>0</v>
      </c>
      <c r="L27" s="719">
        <f t="shared" ca="1" si="2"/>
        <v>0</v>
      </c>
    </row>
    <row r="28" spans="1:12" ht="21.75" customHeight="1">
      <c r="A28" s="727"/>
      <c r="B28" s="725"/>
      <c r="C28" s="727"/>
      <c r="D28" s="728" t="s">
        <v>481</v>
      </c>
      <c r="E28" s="723"/>
      <c r="F28" s="719">
        <f ca="1">SUM(G28:L28)</f>
        <v>0</v>
      </c>
      <c r="G28" s="729">
        <f t="shared" ref="G28:L28" ca="1" si="3">G27</f>
        <v>0</v>
      </c>
      <c r="H28" s="729">
        <f t="shared" ca="1" si="3"/>
        <v>0</v>
      </c>
      <c r="I28" s="729">
        <f t="shared" ca="1" si="3"/>
        <v>0</v>
      </c>
      <c r="J28" s="729">
        <f t="shared" ca="1" si="3"/>
        <v>0</v>
      </c>
      <c r="K28" s="729">
        <f t="shared" ca="1" si="3"/>
        <v>0</v>
      </c>
      <c r="L28" s="729">
        <f t="shared" ca="1" si="3"/>
        <v>0</v>
      </c>
    </row>
    <row r="29" spans="1:12" ht="21.75" customHeight="1">
      <c r="A29" s="730"/>
      <c r="B29" s="730"/>
      <c r="C29" s="730"/>
      <c r="D29" s="731" t="s">
        <v>10</v>
      </c>
      <c r="E29" s="730" t="s">
        <v>19</v>
      </c>
      <c r="F29" s="732">
        <f t="shared" ref="F29:L29" ca="1" si="4">F15+F27-F28</f>
        <v>0</v>
      </c>
      <c r="G29" s="732">
        <f t="shared" ca="1" si="4"/>
        <v>0</v>
      </c>
      <c r="H29" s="732">
        <f t="shared" ca="1" si="4"/>
        <v>0</v>
      </c>
      <c r="I29" s="732">
        <f t="shared" ca="1" si="4"/>
        <v>0</v>
      </c>
      <c r="J29" s="732">
        <f t="shared" ca="1" si="4"/>
        <v>0</v>
      </c>
      <c r="K29" s="732">
        <f t="shared" ca="1" si="4"/>
        <v>0</v>
      </c>
      <c r="L29" s="732">
        <f t="shared" ca="1" si="4"/>
        <v>0</v>
      </c>
    </row>
    <row r="31" spans="1:12">
      <c r="B31" s="733"/>
      <c r="C31" s="713" t="s">
        <v>458</v>
      </c>
    </row>
    <row r="32" spans="1:12">
      <c r="C32" s="713" t="e">
        <f ca="1">"- Ngày mở sổ: "&amp;"01/"&amp;MONTH(A16)&amp;"/"&amp;YEAR(A16)</f>
        <v>#VALUE!</v>
      </c>
    </row>
    <row r="33" spans="2:12">
      <c r="E33" s="712"/>
      <c r="F33" s="712"/>
      <c r="G33" s="712"/>
      <c r="H33" s="712"/>
      <c r="I33" s="712"/>
      <c r="J33" s="1049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049"/>
      <c r="L33" s="1049"/>
    </row>
    <row r="34" spans="2:12">
      <c r="B34" s="712"/>
      <c r="C34" s="806" t="s">
        <v>11</v>
      </c>
      <c r="D34" s="712"/>
      <c r="E34" s="712"/>
      <c r="F34" s="712"/>
      <c r="G34" s="712"/>
      <c r="H34" s="712"/>
      <c r="I34" s="712"/>
      <c r="J34" s="1049" t="s">
        <v>12</v>
      </c>
      <c r="K34" s="1049"/>
      <c r="L34" s="1049"/>
    </row>
    <row r="35" spans="2:12">
      <c r="B35" s="712"/>
      <c r="C35" s="806" t="s">
        <v>13</v>
      </c>
      <c r="D35" s="712"/>
      <c r="E35" s="712"/>
      <c r="F35" s="712"/>
      <c r="G35" s="712"/>
      <c r="H35" s="712"/>
      <c r="I35" s="712"/>
      <c r="J35" s="1095" t="s">
        <v>13</v>
      </c>
      <c r="K35" s="1095"/>
      <c r="L35" s="1095"/>
    </row>
  </sheetData>
  <mergeCells count="17">
    <mergeCell ref="G12:L12"/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58</vt:i4>
      </vt:variant>
    </vt:vector>
  </HeadingPairs>
  <TitlesOfParts>
    <vt:vector size="82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2016-11-14T06:22:43Z</dcterms:modified>
</cp:coreProperties>
</file>