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270" windowWidth="15150" windowHeight="8520" tabRatio="897" activeTab="4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2" hidden="1">{"'Sheet1'!$L$16"}</definedName>
    <definedName name="_a1" localSheetId="4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1" hidden="1">{"'Sheet1'!$L$16"}</definedName>
    <definedName name="GFSAH" localSheetId="3" hidden="1">{"'Sheet1'!$L$16"}</definedName>
    <definedName name="GFSAH" localSheetId="2" hidden="1">{"'Sheet1'!$L$16"}</definedName>
    <definedName name="GFSAH" localSheetId="4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2" hidden="1">{"'Sheet1'!$L$16"}</definedName>
    <definedName name="h" localSheetId="4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2" hidden="1">{"'Sheet1'!$L$16"}</definedName>
    <definedName name="huy" localSheetId="4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2" hidden="1">{"'Sheet1'!$L$16"}</definedName>
    <definedName name="khkl" localSheetId="4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2" hidden="1">{"'Sheet1'!$L$16"}</definedName>
    <definedName name="kjjh" localSheetId="4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-5'!$A$1:$AS$43</definedName>
    <definedName name="_xlnm.Print_Area" localSheetId="3">'CC -6'!$A$1:$AS$43</definedName>
    <definedName name="ưer" localSheetId="1" hidden="1">{"'Sheet1'!$L$16"}</definedName>
    <definedName name="ưer" localSheetId="3" hidden="1">{"'Sheet1'!$L$16"}</definedName>
    <definedName name="ưer" localSheetId="2" hidden="1">{"'Sheet1'!$L$16"}</definedName>
    <definedName name="ưer" localSheetId="4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2" hidden="1">{"'Sheet1'!$L$16"}</definedName>
    <definedName name="UU" localSheetId="4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R20" i="34" l="1"/>
  <c r="P20" i="34"/>
  <c r="O20" i="34"/>
  <c r="N20" i="34"/>
  <c r="E20" i="34"/>
  <c r="R14" i="34"/>
  <c r="P14" i="34"/>
  <c r="O14" i="34"/>
  <c r="N14" i="34"/>
  <c r="E14" i="34"/>
  <c r="C11" i="34"/>
  <c r="D11" i="34"/>
  <c r="E11" i="34"/>
  <c r="F11" i="34"/>
  <c r="G11" i="34"/>
  <c r="H11" i="34"/>
  <c r="I11" i="34" s="1"/>
  <c r="L11" i="34"/>
  <c r="N11" i="34"/>
  <c r="O11" i="34"/>
  <c r="P11" i="34"/>
  <c r="R11" i="34"/>
  <c r="C12" i="34"/>
  <c r="D12" i="34"/>
  <c r="E12" i="34"/>
  <c r="F12" i="34"/>
  <c r="J12" i="34" s="1"/>
  <c r="H12" i="34"/>
  <c r="I12" i="34" s="1"/>
  <c r="N12" i="34"/>
  <c r="O12" i="34"/>
  <c r="P12" i="34"/>
  <c r="R12" i="34"/>
  <c r="AL11" i="33"/>
  <c r="D11" i="33"/>
  <c r="C11" i="33"/>
  <c r="A11" i="33"/>
  <c r="G20" i="16"/>
  <c r="I20" i="16"/>
  <c r="K20" i="16"/>
  <c r="L20" i="16"/>
  <c r="M20" i="16"/>
  <c r="N20" i="16"/>
  <c r="O20" i="16"/>
  <c r="P20" i="16"/>
  <c r="Q20" i="16"/>
  <c r="R20" i="16"/>
  <c r="S20" i="16"/>
  <c r="E20" i="16"/>
  <c r="C16" i="16"/>
  <c r="D16" i="16"/>
  <c r="E16" i="16"/>
  <c r="G16" i="16" s="1"/>
  <c r="F16" i="16"/>
  <c r="L16" i="16" s="1"/>
  <c r="H16" i="16"/>
  <c r="N16" i="16"/>
  <c r="O16" i="16"/>
  <c r="P16" i="16"/>
  <c r="R16" i="16"/>
  <c r="C17" i="16"/>
  <c r="D17" i="16"/>
  <c r="E17" i="16"/>
  <c r="F17" i="16"/>
  <c r="L17" i="16" s="1"/>
  <c r="G17" i="16"/>
  <c r="H17" i="16"/>
  <c r="J17" i="16" s="1"/>
  <c r="N17" i="16"/>
  <c r="O17" i="16"/>
  <c r="P17" i="16"/>
  <c r="R17" i="16"/>
  <c r="C18" i="16"/>
  <c r="D18" i="16"/>
  <c r="E18" i="16"/>
  <c r="I18" i="16" s="1"/>
  <c r="F18" i="16"/>
  <c r="J18" i="16" s="1"/>
  <c r="H18" i="16"/>
  <c r="N18" i="16"/>
  <c r="O18" i="16"/>
  <c r="P18" i="16"/>
  <c r="R18" i="16"/>
  <c r="C10" i="16"/>
  <c r="D10" i="16"/>
  <c r="E10" i="16"/>
  <c r="F10" i="16"/>
  <c r="H10" i="16"/>
  <c r="N10" i="16"/>
  <c r="N14" i="16" s="1"/>
  <c r="O10" i="16"/>
  <c r="O14" i="16" s="1"/>
  <c r="P10" i="16"/>
  <c r="P14" i="16" s="1"/>
  <c r="R10" i="16"/>
  <c r="R14" i="16" s="1"/>
  <c r="C11" i="16"/>
  <c r="D11" i="16"/>
  <c r="E11" i="16"/>
  <c r="E14" i="16" s="1"/>
  <c r="F11" i="16"/>
  <c r="L11" i="16" s="1"/>
  <c r="H11" i="16"/>
  <c r="N11" i="16"/>
  <c r="O11" i="16"/>
  <c r="P11" i="16"/>
  <c r="R11" i="16"/>
  <c r="C12" i="16"/>
  <c r="D12" i="16"/>
  <c r="E12" i="16"/>
  <c r="F12" i="16"/>
  <c r="L12" i="16" s="1"/>
  <c r="H12" i="16"/>
  <c r="N12" i="16"/>
  <c r="O12" i="16"/>
  <c r="P12" i="16"/>
  <c r="R12" i="16"/>
  <c r="K11" i="34" l="1"/>
  <c r="M11" i="34" s="1"/>
  <c r="Q11" i="34" s="1"/>
  <c r="S11" i="34" s="1"/>
  <c r="G12" i="34"/>
  <c r="K12" i="34"/>
  <c r="J11" i="34"/>
  <c r="L12" i="34"/>
  <c r="J11" i="16"/>
  <c r="G18" i="16"/>
  <c r="K18" i="16" s="1"/>
  <c r="I16" i="16"/>
  <c r="K16" i="16" s="1"/>
  <c r="M16" i="16" s="1"/>
  <c r="Q16" i="16" s="1"/>
  <c r="S16" i="16" s="1"/>
  <c r="L18" i="16"/>
  <c r="I17" i="16"/>
  <c r="K17" i="16" s="1"/>
  <c r="M17" i="16" s="1"/>
  <c r="Q17" i="16" s="1"/>
  <c r="S17" i="16" s="1"/>
  <c r="J16" i="16"/>
  <c r="G12" i="16"/>
  <c r="G11" i="16"/>
  <c r="G10" i="16"/>
  <c r="I10" i="16"/>
  <c r="I12" i="16"/>
  <c r="L10" i="16"/>
  <c r="L14" i="16" s="1"/>
  <c r="I11" i="16"/>
  <c r="J10" i="16"/>
  <c r="J12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M12" i="34" l="1"/>
  <c r="Q12" i="34" s="1"/>
  <c r="S12" i="34" s="1"/>
  <c r="K12" i="16"/>
  <c r="M12" i="16" s="1"/>
  <c r="Q12" i="16" s="1"/>
  <c r="S12" i="16" s="1"/>
  <c r="I14" i="16"/>
  <c r="G14" i="16"/>
  <c r="K10" i="16"/>
  <c r="M18" i="16"/>
  <c r="Q18" i="16" s="1"/>
  <c r="S18" i="16" s="1"/>
  <c r="K11" i="16"/>
  <c r="M11" i="16" s="1"/>
  <c r="Q11" i="16" s="1"/>
  <c r="S11" i="16" s="1"/>
  <c r="M10" i="16"/>
  <c r="M14" i="16" s="1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0" i="34"/>
  <c r="P10" i="34"/>
  <c r="O10" i="34"/>
  <c r="N10" i="34"/>
  <c r="E10" i="34"/>
  <c r="D10" i="34"/>
  <c r="C10" i="34"/>
  <c r="E4" i="34"/>
  <c r="A3" i="34"/>
  <c r="A2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A3" i="33"/>
  <c r="A2" i="33"/>
  <c r="S1" i="33"/>
  <c r="S22" i="34" l="1"/>
  <c r="K14" i="16"/>
  <c r="Q10" i="16"/>
  <c r="Q14" i="16" s="1"/>
  <c r="F6" i="33"/>
  <c r="G6" i="33"/>
  <c r="H5" i="33"/>
  <c r="D1" i="34"/>
  <c r="E28" i="15"/>
  <c r="S10" i="16" l="1"/>
  <c r="S14" i="16" s="1"/>
  <c r="I5" i="33"/>
  <c r="H6" i="33"/>
  <c r="J22" i="15"/>
  <c r="F22" i="15"/>
  <c r="J5" i="33" l="1"/>
  <c r="I6" i="33"/>
  <c r="E4" i="16"/>
  <c r="A3" i="16"/>
  <c r="A2" i="16"/>
  <c r="D1" i="16" l="1"/>
  <c r="J6" i="33"/>
  <c r="K5" i="33"/>
  <c r="S22" i="16"/>
  <c r="A3" i="14"/>
  <c r="A2" i="14"/>
  <c r="K6" i="33" l="1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M5" i="33" l="1"/>
  <c r="L6" i="33"/>
  <c r="AL18" i="14"/>
  <c r="AL20" i="14"/>
  <c r="AL16" i="14"/>
  <c r="AL13" i="14"/>
  <c r="AL9" i="14"/>
  <c r="N5" i="33" l="1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N6" i="33" l="1"/>
  <c r="O5" i="33"/>
  <c r="S1" i="14"/>
  <c r="E22" i="15"/>
  <c r="O6" i="33" l="1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0" i="14"/>
  <c r="D18" i="14"/>
  <c r="A18" i="14"/>
  <c r="A20" i="14" s="1"/>
  <c r="D16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Q5" i="33" l="1"/>
  <c r="P6" i="33"/>
  <c r="C20" i="14"/>
  <c r="C16" i="14"/>
  <c r="C18" i="14"/>
  <c r="D13" i="14"/>
  <c r="D9" i="14"/>
  <c r="C9" i="14"/>
  <c r="F5" i="14"/>
  <c r="R5" i="33" l="1"/>
  <c r="Q6" i="33"/>
  <c r="F6" i="14"/>
  <c r="G5" i="14"/>
  <c r="R6" i="33" l="1"/>
  <c r="S5" i="33"/>
  <c r="H5" i="14"/>
  <c r="G6" i="14"/>
  <c r="S6" i="33" l="1"/>
  <c r="T5" i="33"/>
  <c r="H6" i="14"/>
  <c r="I5" i="14"/>
  <c r="U5" i="33" l="1"/>
  <c r="T6" i="33"/>
  <c r="I6" i="14"/>
  <c r="J5" i="14"/>
  <c r="V5" i="33" l="1"/>
  <c r="U6" i="33"/>
  <c r="K5" i="14"/>
  <c r="J6" i="14"/>
  <c r="V6" i="33" l="1"/>
  <c r="W5" i="33"/>
  <c r="K6" i="14"/>
  <c r="L5" i="14"/>
  <c r="W6" i="33" l="1"/>
  <c r="X5" i="33"/>
  <c r="M5" i="14"/>
  <c r="L6" i="14"/>
  <c r="Y5" i="33" l="1"/>
  <c r="X6" i="33"/>
  <c r="N5" i="14"/>
  <c r="M6" i="14"/>
  <c r="Z5" i="33" l="1"/>
  <c r="Y6" i="33"/>
  <c r="O5" i="14"/>
  <c r="N6" i="14"/>
  <c r="Z6" i="33" l="1"/>
  <c r="AA5" i="33"/>
  <c r="P5" i="14"/>
  <c r="O6" i="14"/>
  <c r="AA6" i="33" l="1"/>
  <c r="AB5" i="33"/>
  <c r="P6" i="14"/>
  <c r="Q5" i="14"/>
  <c r="AC5" i="33" l="1"/>
  <c r="AB6" i="33"/>
  <c r="R5" i="14"/>
  <c r="Q6" i="14"/>
  <c r="AD5" i="33" l="1"/>
  <c r="AC6" i="33"/>
  <c r="S5" i="14"/>
  <c r="R6" i="14"/>
  <c r="AD6" i="33" l="1"/>
  <c r="AE5" i="33"/>
  <c r="S6" i="14"/>
  <c r="T5" i="14"/>
  <c r="AE6" i="33" l="1"/>
  <c r="AF5" i="33"/>
  <c r="T6" i="14"/>
  <c r="U5" i="14"/>
  <c r="AG5" i="33" l="1"/>
  <c r="AF6" i="33"/>
  <c r="V5" i="14"/>
  <c r="U6" i="14"/>
  <c r="AH5" i="33" l="1"/>
  <c r="AG6" i="33"/>
  <c r="W5" i="14"/>
  <c r="V6" i="14"/>
  <c r="AH6" i="33" l="1"/>
  <c r="AI5" i="33"/>
  <c r="X5" i="14"/>
  <c r="W6" i="14"/>
  <c r="AI6" i="33" l="1"/>
  <c r="AJ5" i="33"/>
  <c r="AJ6" i="33" s="1"/>
  <c r="Y5" i="14"/>
  <c r="X6" i="14"/>
  <c r="AM11" i="33" l="1"/>
  <c r="AK11" i="33"/>
  <c r="AN11" i="33" s="1"/>
  <c r="AK18" i="33"/>
  <c r="AM18" i="33"/>
  <c r="H17" i="34" s="1"/>
  <c r="I17" i="34" s="1"/>
  <c r="AM9" i="33"/>
  <c r="H10" i="34" s="1"/>
  <c r="I10" i="34" s="1"/>
  <c r="I14" i="34" s="1"/>
  <c r="AM16" i="33"/>
  <c r="H16" i="34" s="1"/>
  <c r="I16" i="34" s="1"/>
  <c r="AK9" i="33"/>
  <c r="AK20" i="33"/>
  <c r="AM20" i="33"/>
  <c r="H18" i="34" s="1"/>
  <c r="I18" i="34" s="1"/>
  <c r="AM13" i="33"/>
  <c r="AK16" i="33"/>
  <c r="AK13" i="33"/>
  <c r="Z5" i="14"/>
  <c r="Y6" i="14"/>
  <c r="I20" i="34" l="1"/>
  <c r="AN13" i="33"/>
  <c r="F18" i="34"/>
  <c r="AN20" i="33"/>
  <c r="AN16" i="33"/>
  <c r="F16" i="34"/>
  <c r="F10" i="34"/>
  <c r="AN9" i="33"/>
  <c r="AN18" i="33"/>
  <c r="F17" i="34"/>
  <c r="AA5" i="14"/>
  <c r="Z6" i="14"/>
  <c r="L17" i="34" l="1"/>
  <c r="G17" i="34"/>
  <c r="K17" i="34" s="1"/>
  <c r="J17" i="34"/>
  <c r="J18" i="34"/>
  <c r="L18" i="34"/>
  <c r="G18" i="34"/>
  <c r="K18" i="34" s="1"/>
  <c r="L16" i="34"/>
  <c r="L20" i="34" s="1"/>
  <c r="G16" i="34"/>
  <c r="J16" i="34"/>
  <c r="J10" i="34"/>
  <c r="L10" i="34"/>
  <c r="L14" i="34" s="1"/>
  <c r="G10" i="34"/>
  <c r="G14" i="34" s="1"/>
  <c r="AB5" i="14"/>
  <c r="AA6" i="14"/>
  <c r="K16" i="34" l="1"/>
  <c r="K20" i="34" s="1"/>
  <c r="G20" i="34"/>
  <c r="M18" i="34"/>
  <c r="Q18" i="34" s="1"/>
  <c r="S18" i="34" s="1"/>
  <c r="M16" i="34"/>
  <c r="M17" i="34"/>
  <c r="Q17" i="34" s="1"/>
  <c r="S17" i="34" s="1"/>
  <c r="K10" i="34"/>
  <c r="K14" i="34" s="1"/>
  <c r="AB6" i="14"/>
  <c r="AC5" i="14"/>
  <c r="Q16" i="34" l="1"/>
  <c r="M20" i="34"/>
  <c r="M10" i="34"/>
  <c r="M14" i="34" s="1"/>
  <c r="AC6" i="14"/>
  <c r="AD5" i="14"/>
  <c r="S16" i="34" l="1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AM11" i="14"/>
  <c r="AM18" i="14"/>
  <c r="AK9" i="14"/>
  <c r="AK18" i="14"/>
  <c r="AM20" i="14"/>
  <c r="AK16" i="14"/>
  <c r="AK20" i="14"/>
  <c r="AM9" i="14"/>
  <c r="AM16" i="14"/>
  <c r="AM13" i="14"/>
  <c r="AK13" i="14"/>
  <c r="AN11" i="14" l="1"/>
  <c r="AN20" i="14"/>
  <c r="AN18" i="14"/>
  <c r="AN9" i="14"/>
  <c r="AN13" i="14"/>
  <c r="AN16" i="14"/>
</calcChain>
</file>

<file path=xl/sharedStrings.xml><?xml version="1.0" encoding="utf-8"?>
<sst xmlns="http://schemas.openxmlformats.org/spreadsheetml/2006/main" count="351" uniqueCount="187">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</sst>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69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9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1" activePane="bottomLeft" state="frozen"/>
      <selection activeCell="A8" sqref="A8"/>
      <selection pane="bottomLeft" activeCell="E16" sqref="E16:E19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03" t="s">
        <v>35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</row>
    <row r="6" spans="1:26" ht="23.25" customHeight="1">
      <c r="A6" s="204" t="str">
        <f>"Tháng "&amp;'CC -5'!C4&amp;" năm 2011"</f>
        <v>Tháng  năm 2011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05" t="s">
        <v>19</v>
      </c>
      <c r="B8" s="205" t="s">
        <v>3</v>
      </c>
      <c r="C8" s="205" t="s">
        <v>1</v>
      </c>
      <c r="D8" s="205" t="s">
        <v>2</v>
      </c>
      <c r="E8" s="200" t="s">
        <v>56</v>
      </c>
      <c r="F8" s="200"/>
      <c r="G8" s="200" t="s">
        <v>36</v>
      </c>
      <c r="H8" s="200"/>
      <c r="I8" s="200" t="s">
        <v>24</v>
      </c>
      <c r="J8" s="200" t="s">
        <v>33</v>
      </c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1" t="s">
        <v>39</v>
      </c>
      <c r="W8" s="201" t="s">
        <v>23</v>
      </c>
      <c r="X8" s="201" t="s">
        <v>11</v>
      </c>
      <c r="Y8" s="107"/>
      <c r="Z8" s="107"/>
    </row>
    <row r="9" spans="1:26" s="1" customFormat="1" ht="20.25" customHeight="1">
      <c r="A9" s="205"/>
      <c r="B9" s="205"/>
      <c r="C9" s="205"/>
      <c r="D9" s="205"/>
      <c r="E9" s="173" t="s">
        <v>159</v>
      </c>
      <c r="F9" s="173">
        <v>2015</v>
      </c>
      <c r="G9" s="172" t="s">
        <v>57</v>
      </c>
      <c r="H9" s="172" t="s">
        <v>38</v>
      </c>
      <c r="I9" s="200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02"/>
      <c r="W9" s="202"/>
      <c r="X9" s="202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2500000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2000000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183</v>
      </c>
      <c r="C13" s="162" t="s">
        <v>171</v>
      </c>
      <c r="D13" s="158" t="s">
        <v>174</v>
      </c>
      <c r="E13" s="191">
        <v>2000000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175</v>
      </c>
      <c r="D14" s="164" t="s">
        <v>178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179</v>
      </c>
      <c r="D15" s="164" t="s">
        <v>180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176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177</v>
      </c>
      <c r="D17" s="164" t="s">
        <v>88</v>
      </c>
      <c r="E17" s="167">
        <v>1500000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181</v>
      </c>
      <c r="D18" s="164" t="s">
        <v>88</v>
      </c>
      <c r="E18" s="167">
        <v>1500000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182</v>
      </c>
      <c r="D19" s="164" t="s">
        <v>88</v>
      </c>
      <c r="E19" s="167">
        <v>1500000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06" t="s">
        <v>25</v>
      </c>
      <c r="B22" s="207"/>
      <c r="C22" s="207"/>
      <c r="D22" s="155" t="s">
        <v>135</v>
      </c>
      <c r="E22" s="152">
        <f>SUM(E11:E21)</f>
        <v>16100000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08"/>
      <c r="B23" s="209"/>
      <c r="C23" s="209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10"/>
      <c r="B24" s="211"/>
      <c r="C24" s="211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>
        <f>3317000*0.105</f>
        <v>348285</v>
      </c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199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199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199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199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199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199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199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199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199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199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199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199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199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199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199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199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199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199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199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199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199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199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199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199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199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199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199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199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199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199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199" t="str">
        <f>M64</f>
        <v>ALTP017</v>
      </c>
    </row>
    <row r="80" spans="3:14">
      <c r="C80" s="154"/>
      <c r="G80" s="2" t="s">
        <v>103</v>
      </c>
      <c r="J80" s="2" t="s">
        <v>93</v>
      </c>
      <c r="N80" s="199"/>
    </row>
    <row r="81" spans="3:14">
      <c r="C81" s="154"/>
      <c r="G81" s="31" t="s">
        <v>104</v>
      </c>
      <c r="J81" s="2" t="s">
        <v>94</v>
      </c>
      <c r="N81" s="199" t="str">
        <f>M65</f>
        <v>ALTP018</v>
      </c>
    </row>
    <row r="82" spans="3:14">
      <c r="C82" s="154"/>
      <c r="G82" s="31" t="s">
        <v>139</v>
      </c>
      <c r="J82" s="2" t="s">
        <v>95</v>
      </c>
      <c r="N82" s="199"/>
    </row>
    <row r="83" spans="3:14">
      <c r="C83" s="154"/>
      <c r="G83" s="31" t="s">
        <v>146</v>
      </c>
      <c r="J83" s="2" t="s">
        <v>96</v>
      </c>
      <c r="N83" s="199" t="str">
        <f>M66</f>
        <v>ALTP019</v>
      </c>
    </row>
    <row r="84" spans="3:14">
      <c r="C84" s="154"/>
      <c r="G84" s="31" t="s">
        <v>147</v>
      </c>
      <c r="J84" s="2" t="s">
        <v>97</v>
      </c>
      <c r="N84" s="199"/>
    </row>
    <row r="85" spans="3:14">
      <c r="C85" s="154"/>
      <c r="G85" s="31" t="s">
        <v>148</v>
      </c>
      <c r="J85" s="2" t="s">
        <v>98</v>
      </c>
      <c r="N85" s="199" t="str">
        <f>M67</f>
        <v>ALTP020</v>
      </c>
    </row>
    <row r="86" spans="3:14">
      <c r="C86" s="154"/>
      <c r="G86" s="31" t="s">
        <v>149</v>
      </c>
      <c r="J86" s="2" t="s">
        <v>99</v>
      </c>
      <c r="N86" s="199"/>
    </row>
    <row r="87" spans="3:14">
      <c r="C87" s="154"/>
      <c r="N87" s="199" t="str">
        <f>M68</f>
        <v>ALTP025</v>
      </c>
    </row>
    <row r="88" spans="3:14">
      <c r="C88" s="154"/>
      <c r="N88" s="199"/>
    </row>
    <row r="89" spans="3:14">
      <c r="C89" s="154"/>
      <c r="N89" s="199" t="str">
        <f>M69</f>
        <v>ALTP027</v>
      </c>
    </row>
    <row r="90" spans="3:14">
      <c r="C90" s="154"/>
      <c r="N90" s="199"/>
    </row>
    <row r="91" spans="3:14">
      <c r="C91" s="154"/>
      <c r="N91" s="199" t="str">
        <f>M70</f>
        <v>ALTN001</v>
      </c>
    </row>
    <row r="92" spans="3:14">
      <c r="C92" s="154"/>
      <c r="N92" s="199"/>
    </row>
    <row r="93" spans="3:14">
      <c r="C93" s="154"/>
      <c r="N93" s="199" t="str">
        <f>M71</f>
        <v>ALTN002</v>
      </c>
    </row>
    <row r="94" spans="3:14">
      <c r="C94" s="154"/>
      <c r="N94" s="199"/>
    </row>
    <row r="95" spans="3:14">
      <c r="C95" s="154"/>
      <c r="N95" s="199" t="str">
        <f>M72</f>
        <v>ALTN003</v>
      </c>
    </row>
    <row r="96" spans="3:14">
      <c r="C96" s="154"/>
      <c r="N96" s="199"/>
    </row>
    <row r="97" spans="3:14">
      <c r="C97" s="154"/>
      <c r="N97" s="199" t="str">
        <f>M73</f>
        <v>ALTN004</v>
      </c>
    </row>
    <row r="98" spans="3:14">
      <c r="C98" s="154"/>
      <c r="N98" s="199"/>
    </row>
    <row r="99" spans="3:14">
      <c r="C99" s="154"/>
      <c r="N99" s="199" t="str">
        <f>M74</f>
        <v>ALTN006</v>
      </c>
    </row>
    <row r="100" spans="3:14">
      <c r="C100" s="154"/>
      <c r="N100" s="199"/>
    </row>
    <row r="101" spans="3:14">
      <c r="C101" s="154"/>
      <c r="N101" s="199" t="str">
        <f>M75</f>
        <v>ALTN007</v>
      </c>
    </row>
    <row r="102" spans="3:14">
      <c r="C102" s="154"/>
      <c r="N102" s="199"/>
    </row>
    <row r="103" spans="3:14">
      <c r="C103" s="154"/>
      <c r="N103" s="199" t="str">
        <f>M76</f>
        <v>ALTN008</v>
      </c>
    </row>
    <row r="104" spans="3:14">
      <c r="C104" s="154"/>
      <c r="N104" s="199"/>
    </row>
    <row r="105" spans="3:14">
      <c r="C105" s="154"/>
      <c r="N105" s="199" t="str">
        <f>M77</f>
        <v>ALTN009</v>
      </c>
    </row>
    <row r="106" spans="3:14">
      <c r="C106" s="154"/>
      <c r="N106" s="199"/>
    </row>
    <row r="107" spans="3:14">
      <c r="C107" s="154"/>
      <c r="N107" s="199" t="str">
        <f>M78</f>
        <v>ALTN010</v>
      </c>
    </row>
    <row r="108" spans="3:14">
      <c r="C108" s="154"/>
      <c r="N108" s="199"/>
    </row>
    <row r="109" spans="3:14">
      <c r="C109" s="154"/>
      <c r="N109" s="199" t="str">
        <f>M79</f>
        <v>ALTN011</v>
      </c>
    </row>
    <row r="110" spans="3:14">
      <c r="C110" s="154"/>
      <c r="N110" s="199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26" t="s">
        <v>185</v>
      </c>
      <c r="AN1" s="227"/>
      <c r="AO1" s="227"/>
      <c r="AP1" s="227"/>
      <c r="AQ1" s="227"/>
      <c r="AR1" s="227"/>
      <c r="AS1" s="22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1" t="s">
        <v>28</v>
      </c>
      <c r="B5" s="231" t="s">
        <v>3</v>
      </c>
      <c r="C5" s="231" t="s">
        <v>1</v>
      </c>
      <c r="D5" s="233" t="s">
        <v>29</v>
      </c>
      <c r="E5" s="231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36" t="s">
        <v>15</v>
      </c>
      <c r="AL5" s="237"/>
      <c r="AM5" s="238"/>
      <c r="AN5" s="234" t="s">
        <v>45</v>
      </c>
      <c r="AO5" s="234" t="s">
        <v>41</v>
      </c>
      <c r="AP5" s="234" t="s">
        <v>42</v>
      </c>
      <c r="AQ5" s="234" t="s">
        <v>43</v>
      </c>
      <c r="AR5" s="234" t="s">
        <v>44</v>
      </c>
      <c r="AS5" s="233" t="s">
        <v>0</v>
      </c>
      <c r="AT5" s="2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2"/>
      <c r="B6" s="232"/>
      <c r="C6" s="232"/>
      <c r="D6" s="232"/>
      <c r="E6" s="232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35"/>
      <c r="AO6" s="235"/>
      <c r="AP6" s="235"/>
      <c r="AQ6" s="235"/>
      <c r="AR6" s="235"/>
      <c r="AS6" s="232"/>
      <c r="AT6" s="2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2">
        <v>1</v>
      </c>
      <c r="B9" s="212" t="s">
        <v>161</v>
      </c>
      <c r="C9" s="214" t="str">
        <f>VLOOKUP(B9,DS,2,0)</f>
        <v>Lê Thị Dung</v>
      </c>
      <c r="D9" s="216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18">
        <f>((SUM(F9:AJ9))/8)-(SUMIF($F$6:$AJ$6,"C.Nhật",F9:AJ9)/8)</f>
        <v>25</v>
      </c>
      <c r="AL9" s="218">
        <f>SUM(F10:AJ10)/8*1.5</f>
        <v>0</v>
      </c>
      <c r="AM9" s="220">
        <f>SUMIF($F$6:$AJ$6,"C.Nhật",$F9:$AJ10)/8*2</f>
        <v>0</v>
      </c>
      <c r="AN9" s="222">
        <f>SUM(AK9:AM10)</f>
        <v>25</v>
      </c>
      <c r="AO9" s="224">
        <v>0</v>
      </c>
      <c r="AP9" s="222"/>
      <c r="AQ9" s="222"/>
      <c r="AR9" s="222"/>
      <c r="AS9" s="229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3"/>
      <c r="B10" s="213"/>
      <c r="C10" s="215"/>
      <c r="D10" s="21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9"/>
      <c r="AL10" s="219"/>
      <c r="AM10" s="221"/>
      <c r="AN10" s="223"/>
      <c r="AO10" s="225"/>
      <c r="AP10" s="223"/>
      <c r="AQ10" s="223"/>
      <c r="AR10" s="223"/>
      <c r="AS10" s="230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2">
        <v>2</v>
      </c>
      <c r="B11" s="212" t="s">
        <v>162</v>
      </c>
      <c r="C11" s="214" t="str">
        <f>VLOOKUP(B11,DS,2,0)</f>
        <v>Phan Văn Hiền</v>
      </c>
      <c r="D11" s="216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18">
        <f t="shared" ref="AK11" si="2">((SUM(F11:AJ11))/8)-(SUMIF($F$6:$AJ$6,"C.Nhật",F11:AJ11)/8)</f>
        <v>25</v>
      </c>
      <c r="AL11" s="218">
        <f t="shared" ref="AL11" si="3">SUM(F12:AJ12)/8*1.5</f>
        <v>0</v>
      </c>
      <c r="AM11" s="220">
        <f t="shared" ref="AM11:AM13" si="4">SUMIF($F$6:$AJ$6,"C.Nhật",$F11:$AJ12)/8*2</f>
        <v>0</v>
      </c>
      <c r="AN11" s="222">
        <f t="shared" ref="AN11" si="5">SUM(AK11:AM12)</f>
        <v>25</v>
      </c>
      <c r="AO11" s="224">
        <v>0</v>
      </c>
      <c r="AP11" s="222"/>
      <c r="AQ11" s="222"/>
      <c r="AR11" s="222"/>
      <c r="AS11" s="229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3"/>
      <c r="B12" s="213"/>
      <c r="C12" s="215"/>
      <c r="D12" s="21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9"/>
      <c r="AL12" s="219"/>
      <c r="AM12" s="221"/>
      <c r="AN12" s="223"/>
      <c r="AO12" s="225"/>
      <c r="AP12" s="223"/>
      <c r="AQ12" s="223"/>
      <c r="AR12" s="223"/>
      <c r="AS12" s="230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12">
        <v>3</v>
      </c>
      <c r="B13" s="212" t="s">
        <v>183</v>
      </c>
      <c r="C13" s="214" t="str">
        <f>VLOOKUP(B13,DS,2,0)</f>
        <v>Nguyễn Thị Thu Sương</v>
      </c>
      <c r="D13" s="216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18">
        <f t="shared" ref="AK13" si="6">((SUM(F13:AJ13))/8)-(SUMIF($F$6:$AJ$6,"C.Nhật",F13:AJ13)/8)</f>
        <v>25</v>
      </c>
      <c r="AL13" s="218">
        <f t="shared" ref="AL13" si="7">SUM(F14:AJ14)/8*1.5</f>
        <v>0</v>
      </c>
      <c r="AM13" s="220">
        <f t="shared" si="4"/>
        <v>0</v>
      </c>
      <c r="AN13" s="222">
        <f t="shared" ref="AN13" si="8">SUM(AK13:AM14)</f>
        <v>25</v>
      </c>
      <c r="AO13" s="224">
        <v>0</v>
      </c>
      <c r="AP13" s="222"/>
      <c r="AQ13" s="222"/>
      <c r="AR13" s="222"/>
      <c r="AS13" s="229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13"/>
      <c r="B14" s="213"/>
      <c r="C14" s="215"/>
      <c r="D14" s="21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19"/>
      <c r="AL14" s="219"/>
      <c r="AM14" s="221"/>
      <c r="AN14" s="223"/>
      <c r="AO14" s="225"/>
      <c r="AP14" s="223"/>
      <c r="AQ14" s="223"/>
      <c r="AR14" s="223"/>
      <c r="AS14" s="230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12">
        <v>1</v>
      </c>
      <c r="B16" s="212" t="s">
        <v>163</v>
      </c>
      <c r="C16" s="214" t="str">
        <f>VLOOKUP(B16,DS,2,0)</f>
        <v>Nguyễn Trường Giang</v>
      </c>
      <c r="D16" s="216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18">
        <f t="shared" ref="AK16" si="9">((SUM(F16:AJ16))/8)-(SUMIF($F$6:$AJ$6,"C.Nhật",F16:AJ16)/8)</f>
        <v>25</v>
      </c>
      <c r="AL16" s="218">
        <f t="shared" ref="AL16" si="10">SUM(F17:AJ17)/8*1.5</f>
        <v>0</v>
      </c>
      <c r="AM16" s="220">
        <f>SUMIF($F$6:$AJ$6,"C.Nhật",$F16:$AJ17)/8*2</f>
        <v>0</v>
      </c>
      <c r="AN16" s="222">
        <f>SUM(AK16:AM17)</f>
        <v>25</v>
      </c>
      <c r="AO16" s="224">
        <v>0</v>
      </c>
      <c r="AP16" s="222"/>
      <c r="AQ16" s="222"/>
      <c r="AR16" s="222"/>
      <c r="AS16" s="229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3"/>
      <c r="B17" s="213"/>
      <c r="C17" s="215"/>
      <c r="D17" s="21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9"/>
      <c r="AL17" s="219"/>
      <c r="AM17" s="221"/>
      <c r="AN17" s="223"/>
      <c r="AO17" s="225"/>
      <c r="AP17" s="223"/>
      <c r="AQ17" s="223"/>
      <c r="AR17" s="223"/>
      <c r="AS17" s="230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2">
        <f>A16+1</f>
        <v>2</v>
      </c>
      <c r="B18" s="212" t="s">
        <v>164</v>
      </c>
      <c r="C18" s="214" t="str">
        <f>VLOOKUP(B18,DS,2,0)</f>
        <v>Đoàn Hồng Phong</v>
      </c>
      <c r="D18" s="216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18">
        <f t="shared" ref="AK18" si="11">((SUM(F18:AJ18))/8)-(SUMIF($F$6:$AJ$6,"C.Nhật",F18:AJ18)/8)</f>
        <v>25</v>
      </c>
      <c r="AL18" s="218">
        <f t="shared" ref="AL18" si="12">SUM(F19:AJ19)/8*1.5</f>
        <v>0</v>
      </c>
      <c r="AM18" s="220">
        <f>SUMIF($F$6:$AJ$6,"C.Nhật",$F18:$AJ19)/8*2</f>
        <v>0</v>
      </c>
      <c r="AN18" s="222">
        <f t="shared" ref="AN18" si="13">SUM(AK18:AM19)</f>
        <v>25</v>
      </c>
      <c r="AO18" s="224">
        <v>0</v>
      </c>
      <c r="AP18" s="222"/>
      <c r="AQ18" s="222"/>
      <c r="AR18" s="222"/>
      <c r="AS18" s="229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3"/>
      <c r="B19" s="213"/>
      <c r="C19" s="215"/>
      <c r="D19" s="21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9"/>
      <c r="AL19" s="219"/>
      <c r="AM19" s="221"/>
      <c r="AN19" s="223"/>
      <c r="AO19" s="225"/>
      <c r="AP19" s="223"/>
      <c r="AQ19" s="223"/>
      <c r="AR19" s="223"/>
      <c r="AS19" s="230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2">
        <f t="shared" ref="A20" si="14">A18+1</f>
        <v>3</v>
      </c>
      <c r="B20" s="212" t="s">
        <v>165</v>
      </c>
      <c r="C20" s="214" t="str">
        <f>VLOOKUP(B20,DS,2,0)</f>
        <v>Trần Hữu Tình</v>
      </c>
      <c r="D20" s="216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18">
        <f t="shared" ref="AK20" si="15">((SUM(F20:AJ20))/8)-(SUMIF($F$6:$AJ$6,"C.Nhật",F20:AJ20)/8)</f>
        <v>25</v>
      </c>
      <c r="AL20" s="218">
        <f t="shared" ref="AL20" si="16">SUM(F21:AJ21)/8*1.5</f>
        <v>0</v>
      </c>
      <c r="AM20" s="220">
        <f>SUMIF($F$6:$AJ$6,"C.Nhật",$F20:$AJ21)/8*2</f>
        <v>0</v>
      </c>
      <c r="AN20" s="222">
        <f t="shared" ref="AN20" si="17">SUM(AK20:AM21)</f>
        <v>25</v>
      </c>
      <c r="AO20" s="224">
        <v>0</v>
      </c>
      <c r="AP20" s="222"/>
      <c r="AQ20" s="222"/>
      <c r="AR20" s="222"/>
      <c r="AS20" s="229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3"/>
      <c r="B21" s="213"/>
      <c r="C21" s="215"/>
      <c r="D21" s="21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9"/>
      <c r="AL21" s="219"/>
      <c r="AM21" s="221"/>
      <c r="AN21" s="223"/>
      <c r="AO21" s="225"/>
      <c r="AP21" s="223"/>
      <c r="AQ21" s="223"/>
      <c r="AR21" s="223"/>
      <c r="AS21" s="230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D20:D21"/>
    <mergeCell ref="AK20:AK21"/>
    <mergeCell ref="AL20:AL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3:AO14"/>
    <mergeCell ref="AP13:AP14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K5:AM5"/>
    <mergeCell ref="AK9:AK10"/>
    <mergeCell ref="AN9:AN10"/>
    <mergeCell ref="A13:A14"/>
    <mergeCell ref="B13:B14"/>
    <mergeCell ref="C13:C14"/>
    <mergeCell ref="D13:D14"/>
    <mergeCell ref="AN13:AN14"/>
    <mergeCell ref="AL18:AL19"/>
    <mergeCell ref="AM18:AM19"/>
    <mergeCell ref="AN18:AN19"/>
    <mergeCell ref="AO18:AO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20:A21"/>
    <mergeCell ref="B20:B21"/>
    <mergeCell ref="C20:C21"/>
    <mergeCell ref="AM1:AS1"/>
    <mergeCell ref="AS13:AS14"/>
    <mergeCell ref="AK13:AK14"/>
    <mergeCell ref="AL13:AL14"/>
    <mergeCell ref="AM13:AM14"/>
    <mergeCell ref="AR13:AR14"/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</mergeCells>
  <phoneticPr fontId="47" type="noConversion"/>
  <conditionalFormatting sqref="F5:AJ6 F13:G14 F9:AJ10 H11:AJ14 F16:G21">
    <cfRule type="expression" dxfId="18" priority="25" stopIfTrue="1">
      <formula>IF(WEEKDAY(F$5)=1,TRUE,FALSE)</formula>
    </cfRule>
  </conditionalFormatting>
  <conditionalFormatting sqref="F13:G14 F9:AJ10 H11:AJ14">
    <cfRule type="expression" dxfId="17" priority="22" stopIfTrue="1">
      <formula>IF(WEEKDAY(F$5)=1,TRUE,FALSE)</formula>
    </cfRule>
  </conditionalFormatting>
  <conditionalFormatting sqref="F16:G21">
    <cfRule type="expression" dxfId="16" priority="5" stopIfTrue="1">
      <formula>IF(WEEKDAY(F$5)=1,TRUE,FALSE)</formula>
    </cfRule>
  </conditionalFormatting>
  <conditionalFormatting sqref="F11:G12">
    <cfRule type="expression" dxfId="15" priority="4" stopIfTrue="1">
      <formula>IF(WEEKDAY(F$5)=1,TRUE,FALSE)</formula>
    </cfRule>
  </conditionalFormatting>
  <conditionalFormatting sqref="F11:G12">
    <cfRule type="expression" dxfId="14" priority="3" stopIfTrue="1">
      <formula>IF(WEEKDAY(F$5)=1,TRUE,FALSE)</formula>
    </cfRule>
  </conditionalFormatting>
  <conditionalFormatting sqref="H16:AJ21">
    <cfRule type="expression" dxfId="13" priority="2" stopIfTrue="1">
      <formula>IF(WEEKDAY(H$5)=1,TRUE,FALSE)</formula>
    </cfRule>
  </conditionalFormatting>
  <conditionalFormatting sqref="H16:AJ21">
    <cfRule type="expression" dxfId="12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48" t="str">
        <f>"BẢNG THANH TOÁN LƯƠNG THÁNG"&amp;" "&amp;TEXT($E$4,"mm")&amp;" / "&amp;TEXT($E$4,"yyyy")</f>
        <v>BẢNG THANH TOÁN LƯƠNG THÁNG 05 / 2011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3" t="s">
        <v>185</v>
      </c>
      <c r="S1" s="254"/>
      <c r="T1" s="255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50" t="s">
        <v>19</v>
      </c>
      <c r="B5" s="250" t="s">
        <v>20</v>
      </c>
      <c r="C5" s="205" t="s">
        <v>1</v>
      </c>
      <c r="D5" s="205" t="s">
        <v>2</v>
      </c>
      <c r="E5" s="200" t="s">
        <v>56</v>
      </c>
      <c r="F5" s="241" t="s">
        <v>26</v>
      </c>
      <c r="G5" s="242"/>
      <c r="H5" s="242"/>
      <c r="I5" s="242"/>
      <c r="J5" s="242"/>
      <c r="K5" s="243"/>
      <c r="L5" s="240" t="s">
        <v>57</v>
      </c>
      <c r="M5" s="240" t="s">
        <v>5</v>
      </c>
      <c r="N5" s="205" t="s">
        <v>6</v>
      </c>
      <c r="O5" s="205"/>
      <c r="P5" s="205"/>
      <c r="Q5" s="240" t="s">
        <v>7</v>
      </c>
      <c r="R5" s="240" t="s">
        <v>8</v>
      </c>
      <c r="S5" s="240" t="s">
        <v>9</v>
      </c>
      <c r="T5" s="20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51"/>
      <c r="B6" s="251"/>
      <c r="C6" s="205"/>
      <c r="D6" s="205"/>
      <c r="E6" s="200"/>
      <c r="F6" s="241" t="s">
        <v>59</v>
      </c>
      <c r="G6" s="243"/>
      <c r="H6" s="241" t="s">
        <v>158</v>
      </c>
      <c r="I6" s="242"/>
      <c r="J6" s="245" t="s">
        <v>27</v>
      </c>
      <c r="K6" s="240" t="s">
        <v>4</v>
      </c>
      <c r="L6" s="244"/>
      <c r="M6" s="244"/>
      <c r="N6" s="256" t="s">
        <v>12</v>
      </c>
      <c r="O6" s="240" t="s">
        <v>13</v>
      </c>
      <c r="P6" s="240" t="s">
        <v>34</v>
      </c>
      <c r="Q6" s="244"/>
      <c r="R6" s="244"/>
      <c r="S6" s="244"/>
      <c r="T6" s="20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51"/>
      <c r="B7" s="251"/>
      <c r="C7" s="240"/>
      <c r="D7" s="240"/>
      <c r="E7" s="200"/>
      <c r="F7" s="34" t="s">
        <v>40</v>
      </c>
      <c r="G7" s="35" t="s">
        <v>18</v>
      </c>
      <c r="H7" s="171" t="s">
        <v>40</v>
      </c>
      <c r="I7" s="128" t="s">
        <v>18</v>
      </c>
      <c r="J7" s="246"/>
      <c r="K7" s="244"/>
      <c r="L7" s="252"/>
      <c r="M7" s="252"/>
      <c r="N7" s="257"/>
      <c r="O7" s="244"/>
      <c r="P7" s="244"/>
      <c r="Q7" s="244"/>
      <c r="R7" s="244"/>
      <c r="S7" s="244"/>
      <c r="T7" s="20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2500000</v>
      </c>
      <c r="F10" s="92">
        <f>VLOOKUP(B10,'CC -5'!$B$8:$AS$21,36,0)</f>
        <v>25</v>
      </c>
      <c r="G10" s="145">
        <f t="shared" ref="G10" si="3">ROUND(E10/$U$2*F10,0)</f>
        <v>2500000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2500000</v>
      </c>
      <c r="L10" s="90">
        <f t="shared" ref="L10" si="6">+F10*15000</f>
        <v>375000</v>
      </c>
      <c r="M10" s="40">
        <f t="shared" ref="M10" si="7">K10+L10</f>
        <v>2875000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2875000</v>
      </c>
      <c r="R10" s="39">
        <f>VLOOKUP(B10,DS,23,0)</f>
        <v>0</v>
      </c>
      <c r="S10" s="45">
        <f t="shared" ref="S10" si="9">Q10-R10</f>
        <v>2875000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2000000</v>
      </c>
      <c r="F11" s="92">
        <f>VLOOKUP(B11,'CC -5'!$B$8:$AS$21,36,0)</f>
        <v>25</v>
      </c>
      <c r="G11" s="145">
        <f t="shared" ref="G11:G12" si="13">ROUND(E11/$U$2*F11,0)</f>
        <v>2000000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2000000</v>
      </c>
      <c r="L11" s="90">
        <f t="shared" ref="L11:L12" si="17">+F11*15000</f>
        <v>375000</v>
      </c>
      <c r="M11" s="40">
        <f t="shared" ref="M11:M12" si="18">K11+L11</f>
        <v>2375000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2375000</v>
      </c>
      <c r="R11" s="39">
        <f>VLOOKUP(B11,DS,23,0)</f>
        <v>0</v>
      </c>
      <c r="S11" s="45">
        <f t="shared" ref="S11:S12" si="20">Q11-R11</f>
        <v>2375000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2000000</v>
      </c>
      <c r="F12" s="92">
        <f>VLOOKUP(B12,'CC -5'!$B$8:$AS$21,36,0)</f>
        <v>25</v>
      </c>
      <c r="G12" s="145">
        <f t="shared" si="13"/>
        <v>2000000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2000000</v>
      </c>
      <c r="L12" s="90">
        <f t="shared" si="17"/>
        <v>375000</v>
      </c>
      <c r="M12" s="40">
        <f t="shared" si="18"/>
        <v>2375000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2375000</v>
      </c>
      <c r="R12" s="39">
        <f>VLOOKUP(B12,DS,23,0)</f>
        <v>0</v>
      </c>
      <c r="S12" s="45">
        <f t="shared" si="20"/>
        <v>2375000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58"/>
      <c r="B13" s="259"/>
      <c r="C13" s="260"/>
      <c r="D13" s="261"/>
      <c r="E13" s="262"/>
      <c r="F13" s="263"/>
      <c r="G13" s="264"/>
      <c r="H13" s="263"/>
      <c r="I13" s="264"/>
      <c r="J13" s="265"/>
      <c r="K13" s="266"/>
      <c r="L13" s="262"/>
      <c r="M13" s="267"/>
      <c r="N13" s="267"/>
      <c r="O13" s="267"/>
      <c r="P13" s="267"/>
      <c r="Q13" s="266"/>
      <c r="R13" s="266"/>
      <c r="S13" s="268"/>
      <c r="T13" s="266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47" t="s">
        <v>25</v>
      </c>
      <c r="B14" s="247"/>
      <c r="C14" s="247"/>
      <c r="D14" s="247"/>
      <c r="E14" s="140">
        <f>SUM(E9:E12)</f>
        <v>6500000</v>
      </c>
      <c r="F14" s="140"/>
      <c r="G14" s="140">
        <f>SUM(G9:G12)</f>
        <v>6500000</v>
      </c>
      <c r="H14" s="140"/>
      <c r="I14" s="140">
        <f>SUM(I9:I12)</f>
        <v>0</v>
      </c>
      <c r="J14" s="140"/>
      <c r="K14" s="140">
        <f>SUM(K9:K12)</f>
        <v>6500000</v>
      </c>
      <c r="L14" s="140">
        <f>SUM(L9:L12)</f>
        <v>1125000</v>
      </c>
      <c r="M14" s="140">
        <f>SUM(M9:M12)</f>
        <v>7625000</v>
      </c>
      <c r="N14" s="140">
        <f>SUM(N9:N12)</f>
        <v>0</v>
      </c>
      <c r="O14" s="140">
        <f>SUM(O9:O12)</f>
        <v>0</v>
      </c>
      <c r="P14" s="140">
        <f>SUM(P9:P12)</f>
        <v>0</v>
      </c>
      <c r="Q14" s="140">
        <f>SUM(Q9:Q12)</f>
        <v>7625000</v>
      </c>
      <c r="R14" s="140">
        <f>SUM(R9:R12)</f>
        <v>0</v>
      </c>
      <c r="S14" s="140">
        <f>SUM(S9:S12)</f>
        <v>7625000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1">VLOOKUP(B16,DS,2,0)</f>
        <v>Nguyễn Trường Giang</v>
      </c>
      <c r="D16" s="116" t="str">
        <f t="shared" ref="D16" si="22">VLOOKUP(B16,DS,3,0)</f>
        <v>Thợ in</v>
      </c>
      <c r="E16" s="90">
        <f t="shared" ref="E16" si="23">VLOOKUP(B16,DS,4,0)</f>
        <v>1800000</v>
      </c>
      <c r="F16" s="92">
        <f>VLOOKUP(B16,'CC -5'!$B$8:$AS$21,36,0)</f>
        <v>25</v>
      </c>
      <c r="G16" s="145">
        <f t="shared" ref="G16" si="24">ROUND(E16/$U$2*F16,0)</f>
        <v>1800000</v>
      </c>
      <c r="H16" s="92">
        <f>(VLOOKUP(B16,'CC -5'!$B$8:$AS$21,37,0)+VLOOKUP(B16,'CC -5'!$B$8:$AS$21,38,0))</f>
        <v>0</v>
      </c>
      <c r="I16" s="145">
        <f t="shared" ref="I16" si="25">ROUND(E16/$U$2*H16,0)</f>
        <v>0</v>
      </c>
      <c r="J16" s="146">
        <f t="shared" ref="J16" si="26">F16+H16</f>
        <v>25</v>
      </c>
      <c r="K16" s="39">
        <f t="shared" ref="K16" si="27">G16+I16</f>
        <v>1800000</v>
      </c>
      <c r="L16" s="90">
        <f t="shared" ref="L16" si="28">+F16*15000</f>
        <v>375000</v>
      </c>
      <c r="M16" s="40">
        <f t="shared" ref="M16" si="29">K16+L16</f>
        <v>2175000</v>
      </c>
      <c r="N16" s="40">
        <f>IF(VLOOKUP(B16,DS,9,0)="x",'L - 5'!E16*$N$4,0)</f>
        <v>0</v>
      </c>
      <c r="O16" s="40">
        <f t="shared" ref="O16" si="30">IF(VLOOKUP(B16,DS,9,0)="x",E16*0.015,0)</f>
        <v>0</v>
      </c>
      <c r="P16" s="40">
        <f t="shared" ref="P16" si="31">IF(VLOOKUP(B16,DS,9,0)="x",E16*0.01,0)</f>
        <v>0</v>
      </c>
      <c r="Q16" s="39">
        <f>M16-SUM(N16:P16)</f>
        <v>2175000</v>
      </c>
      <c r="R16" s="39">
        <f t="shared" ref="R16" si="32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18" si="33">VLOOKUP(B17,DS,2,0)</f>
        <v>Đoàn Hồng Phong</v>
      </c>
      <c r="D17" s="116" t="str">
        <f t="shared" ref="D17:D18" si="34">VLOOKUP(B17,DS,3,0)</f>
        <v>Thợ đóng - xả</v>
      </c>
      <c r="E17" s="90">
        <f t="shared" ref="E17:E18" si="35">VLOOKUP(B17,DS,4,0)</f>
        <v>1800000</v>
      </c>
      <c r="F17" s="92">
        <f>VLOOKUP(B17,'CC -5'!$B$8:$AS$21,36,0)</f>
        <v>25</v>
      </c>
      <c r="G17" s="145">
        <f t="shared" ref="G17:G18" si="36">ROUND(E17/$U$2*F17,0)</f>
        <v>1800000</v>
      </c>
      <c r="H17" s="92">
        <f>(VLOOKUP(B17,'CC -5'!$B$8:$AS$21,37,0)+VLOOKUP(B17,'CC -5'!$B$8:$AS$21,38,0))</f>
        <v>0</v>
      </c>
      <c r="I17" s="145">
        <f t="shared" ref="I17:I18" si="37">ROUND(E17/$U$2*H17,0)</f>
        <v>0</v>
      </c>
      <c r="J17" s="146">
        <f t="shared" ref="J17:J18" si="38">F17+H17</f>
        <v>25</v>
      </c>
      <c r="K17" s="39">
        <f t="shared" ref="K17:K18" si="39">G17+I17</f>
        <v>1800000</v>
      </c>
      <c r="L17" s="90">
        <f t="shared" ref="L17:L18" si="40">+F17*15000</f>
        <v>375000</v>
      </c>
      <c r="M17" s="40">
        <f t="shared" ref="M17:M18" si="41">K17+L17</f>
        <v>2175000</v>
      </c>
      <c r="N17" s="40">
        <f>IF(VLOOKUP(B17,DS,9,0)="x",'L - 5'!E17*$N$4,0)</f>
        <v>0</v>
      </c>
      <c r="O17" s="40">
        <f t="shared" ref="O17:O18" si="42">IF(VLOOKUP(B17,DS,9,0)="x",E17*0.015,0)</f>
        <v>0</v>
      </c>
      <c r="P17" s="40">
        <f t="shared" ref="P17:P18" si="43">IF(VLOOKUP(B17,DS,9,0)="x",E17*0.01,0)</f>
        <v>0</v>
      </c>
      <c r="Q17" s="39">
        <f t="shared" ref="Q17:Q18" si="44">M17-SUM(N17:P17)</f>
        <v>2175000</v>
      </c>
      <c r="R17" s="39">
        <f t="shared" ref="R17:R18" si="45">VLOOKUP(B17,DS,23,0)</f>
        <v>0</v>
      </c>
      <c r="S17" s="45">
        <f t="shared" ref="S17:S18" si="46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3"/>
        <v>Trần Hữu Tình</v>
      </c>
      <c r="D18" s="116" t="str">
        <f t="shared" si="34"/>
        <v>Công nhân</v>
      </c>
      <c r="E18" s="90">
        <f t="shared" si="35"/>
        <v>1500000</v>
      </c>
      <c r="F18" s="92">
        <f>VLOOKUP(B18,'CC -5'!$B$8:$AS$21,36,0)</f>
        <v>25</v>
      </c>
      <c r="G18" s="145">
        <f t="shared" si="36"/>
        <v>1500000</v>
      </c>
      <c r="H18" s="92">
        <f>(VLOOKUP(B18,'CC -5'!$B$8:$AS$21,37,0)+VLOOKUP(B18,'CC -5'!$B$8:$AS$21,38,0))</f>
        <v>0</v>
      </c>
      <c r="I18" s="145">
        <f t="shared" si="37"/>
        <v>0</v>
      </c>
      <c r="J18" s="146">
        <f t="shared" si="38"/>
        <v>25</v>
      </c>
      <c r="K18" s="39">
        <f t="shared" si="39"/>
        <v>1500000</v>
      </c>
      <c r="L18" s="90">
        <f t="shared" si="40"/>
        <v>375000</v>
      </c>
      <c r="M18" s="40">
        <f t="shared" si="41"/>
        <v>1875000</v>
      </c>
      <c r="N18" s="40">
        <f>IF(VLOOKUP(B18,DS,9,0)="x",'L - 5'!E18*$N$4,0)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1875000</v>
      </c>
      <c r="R18" s="39">
        <f t="shared" si="45"/>
        <v>0</v>
      </c>
      <c r="S18" s="45">
        <f t="shared" si="46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7" t="s">
        <v>25</v>
      </c>
      <c r="B20" s="247"/>
      <c r="C20" s="247"/>
      <c r="D20" s="247"/>
      <c r="E20" s="140">
        <f>SUM(E15:E19)</f>
        <v>5100000</v>
      </c>
      <c r="F20" s="140"/>
      <c r="G20" s="140">
        <f t="shared" ref="F20:S20" si="47">SUM(G15:G19)</f>
        <v>5100000</v>
      </c>
      <c r="H20" s="140"/>
      <c r="I20" s="140">
        <f t="shared" si="47"/>
        <v>0</v>
      </c>
      <c r="J20" s="140"/>
      <c r="K20" s="140">
        <f t="shared" si="47"/>
        <v>5100000</v>
      </c>
      <c r="L20" s="140">
        <f t="shared" si="47"/>
        <v>1125000</v>
      </c>
      <c r="M20" s="140">
        <f t="shared" si="47"/>
        <v>6225000</v>
      </c>
      <c r="N20" s="140">
        <f t="shared" si="47"/>
        <v>0</v>
      </c>
      <c r="O20" s="140">
        <f t="shared" si="47"/>
        <v>0</v>
      </c>
      <c r="P20" s="140">
        <f t="shared" si="47"/>
        <v>0</v>
      </c>
      <c r="Q20" s="140">
        <f t="shared" si="47"/>
        <v>6225000</v>
      </c>
      <c r="R20" s="140">
        <f t="shared" si="47"/>
        <v>0</v>
      </c>
      <c r="S20" s="140">
        <f t="shared" si="47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A14:D14"/>
    <mergeCell ref="A20:D20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26" t="s">
        <v>185</v>
      </c>
      <c r="AN1" s="227"/>
      <c r="AO1" s="227"/>
      <c r="AP1" s="227"/>
      <c r="AQ1" s="227"/>
      <c r="AR1" s="227"/>
      <c r="AS1" s="22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1" t="s">
        <v>28</v>
      </c>
      <c r="B5" s="231" t="s">
        <v>3</v>
      </c>
      <c r="C5" s="231" t="s">
        <v>1</v>
      </c>
      <c r="D5" s="233" t="s">
        <v>29</v>
      </c>
      <c r="E5" s="231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36" t="s">
        <v>15</v>
      </c>
      <c r="AL5" s="237"/>
      <c r="AM5" s="238"/>
      <c r="AN5" s="234" t="s">
        <v>45</v>
      </c>
      <c r="AO5" s="234" t="s">
        <v>41</v>
      </c>
      <c r="AP5" s="234" t="s">
        <v>42</v>
      </c>
      <c r="AQ5" s="234" t="s">
        <v>43</v>
      </c>
      <c r="AR5" s="234" t="s">
        <v>44</v>
      </c>
      <c r="AS5" s="233" t="s">
        <v>0</v>
      </c>
      <c r="AT5" s="2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32"/>
      <c r="B6" s="232"/>
      <c r="C6" s="232"/>
      <c r="D6" s="232"/>
      <c r="E6" s="232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35"/>
      <c r="AO6" s="235"/>
      <c r="AP6" s="235"/>
      <c r="AQ6" s="235"/>
      <c r="AR6" s="235"/>
      <c r="AS6" s="232"/>
      <c r="AT6" s="2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2">
        <v>1</v>
      </c>
      <c r="B9" s="212" t="s">
        <v>161</v>
      </c>
      <c r="C9" s="214" t="str">
        <f>VLOOKUP(B9,DS,2,0)</f>
        <v>Lê Thị Dung</v>
      </c>
      <c r="D9" s="216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18">
        <f>((SUM(F9:AJ9))/8)-(SUMIF($F$6:$AJ$6,"C.Nhật",F9:AJ9)/8)</f>
        <v>26</v>
      </c>
      <c r="AL9" s="218">
        <f>SUM(F10:AJ10)/8*1.5</f>
        <v>0</v>
      </c>
      <c r="AM9" s="220">
        <f>SUMIF($F$6:$AJ$6,"C.Nhật",$F9:$AJ10)/8*2</f>
        <v>0</v>
      </c>
      <c r="AN9" s="222">
        <f>SUM(AK9:AM10)</f>
        <v>26</v>
      </c>
      <c r="AO9" s="224">
        <v>0</v>
      </c>
      <c r="AP9" s="222"/>
      <c r="AQ9" s="222"/>
      <c r="AR9" s="222"/>
      <c r="AS9" s="229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3"/>
      <c r="B10" s="213"/>
      <c r="C10" s="215"/>
      <c r="D10" s="217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19"/>
      <c r="AL10" s="219"/>
      <c r="AM10" s="221"/>
      <c r="AN10" s="223"/>
      <c r="AO10" s="225"/>
      <c r="AP10" s="223"/>
      <c r="AQ10" s="223"/>
      <c r="AR10" s="223"/>
      <c r="AS10" s="230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2">
        <f>A7+1</f>
        <v>2</v>
      </c>
      <c r="B11" s="212" t="s">
        <v>162</v>
      </c>
      <c r="C11" s="214" t="str">
        <f>VLOOKUP(B11,DS,2,0)</f>
        <v>Phan Văn Hiền</v>
      </c>
      <c r="D11" s="216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18">
        <f t="shared" ref="AK11" si="2">((SUM(F11:AJ11))/8)-(SUMIF($F$6:$AJ$6,"C.Nhật",F11:AJ11)/8)</f>
        <v>26</v>
      </c>
      <c r="AL11" s="218">
        <f t="shared" ref="AL11" si="3">SUM(F12:AJ12)/8*1.5</f>
        <v>0</v>
      </c>
      <c r="AM11" s="220">
        <f t="shared" ref="AM11:AM13" si="4">SUMIF($F$6:$AJ$6,"C.Nhật",$F11:$AJ12)/8*2</f>
        <v>0</v>
      </c>
      <c r="AN11" s="222">
        <f t="shared" ref="AN11" si="5">SUM(AK11:AM12)</f>
        <v>26</v>
      </c>
      <c r="AO11" s="224">
        <v>0</v>
      </c>
      <c r="AP11" s="222"/>
      <c r="AQ11" s="222"/>
      <c r="AR11" s="222"/>
      <c r="AS11" s="229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3"/>
      <c r="B12" s="213"/>
      <c r="C12" s="215"/>
      <c r="D12" s="217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19"/>
      <c r="AL12" s="219"/>
      <c r="AM12" s="221"/>
      <c r="AN12" s="223"/>
      <c r="AO12" s="225"/>
      <c r="AP12" s="223"/>
      <c r="AQ12" s="223"/>
      <c r="AR12" s="223"/>
      <c r="AS12" s="230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12">
        <f>A9+1</f>
        <v>2</v>
      </c>
      <c r="B13" s="212" t="s">
        <v>183</v>
      </c>
      <c r="C13" s="214" t="str">
        <f>VLOOKUP(B13,DS,2,0)</f>
        <v>Nguyễn Thị Thu Sương</v>
      </c>
      <c r="D13" s="216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18">
        <f t="shared" ref="AK13" si="6">((SUM(F13:AJ13))/8)-(SUMIF($F$6:$AJ$6,"C.Nhật",F13:AJ13)/8)</f>
        <v>26</v>
      </c>
      <c r="AL13" s="218">
        <f t="shared" ref="AL13" si="7">SUM(F14:AJ14)/8*1.5</f>
        <v>0</v>
      </c>
      <c r="AM13" s="220">
        <f t="shared" si="4"/>
        <v>0</v>
      </c>
      <c r="AN13" s="222">
        <f t="shared" ref="AN13" si="8">SUM(AK13:AM14)</f>
        <v>26</v>
      </c>
      <c r="AO13" s="224">
        <v>0</v>
      </c>
      <c r="AP13" s="222"/>
      <c r="AQ13" s="222"/>
      <c r="AR13" s="222"/>
      <c r="AS13" s="229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13"/>
      <c r="B14" s="213"/>
      <c r="C14" s="215"/>
      <c r="D14" s="217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19"/>
      <c r="AL14" s="219"/>
      <c r="AM14" s="221"/>
      <c r="AN14" s="223"/>
      <c r="AO14" s="225"/>
      <c r="AP14" s="223"/>
      <c r="AQ14" s="223"/>
      <c r="AR14" s="223"/>
      <c r="AS14" s="230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12">
        <v>1</v>
      </c>
      <c r="B16" s="212" t="s">
        <v>163</v>
      </c>
      <c r="C16" s="214" t="str">
        <f>VLOOKUP(B16,DS,2,0)</f>
        <v>Nguyễn Trường Giang</v>
      </c>
      <c r="D16" s="216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18">
        <f t="shared" ref="AK16" si="9">((SUM(F16:AJ16))/8)-(SUMIF($F$6:$AJ$6,"C.Nhật",F16:AJ16)/8)</f>
        <v>26</v>
      </c>
      <c r="AL16" s="218">
        <f t="shared" ref="AL16" si="10">SUM(F17:AJ17)/8*1.5</f>
        <v>0</v>
      </c>
      <c r="AM16" s="220">
        <f>SUMIF($F$6:$AJ$6,"C.Nhật",$F16:$AJ17)/8*2</f>
        <v>0</v>
      </c>
      <c r="AN16" s="222">
        <f>SUM(AK16:AM17)</f>
        <v>26</v>
      </c>
      <c r="AO16" s="224">
        <v>0</v>
      </c>
      <c r="AP16" s="222"/>
      <c r="AQ16" s="222"/>
      <c r="AR16" s="222"/>
      <c r="AS16" s="229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3"/>
      <c r="B17" s="213"/>
      <c r="C17" s="215"/>
      <c r="D17" s="217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19"/>
      <c r="AL17" s="219"/>
      <c r="AM17" s="221"/>
      <c r="AN17" s="223"/>
      <c r="AO17" s="225"/>
      <c r="AP17" s="223"/>
      <c r="AQ17" s="223"/>
      <c r="AR17" s="223"/>
      <c r="AS17" s="230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2">
        <f>A16+1</f>
        <v>2</v>
      </c>
      <c r="B18" s="212" t="s">
        <v>164</v>
      </c>
      <c r="C18" s="214" t="str">
        <f>VLOOKUP(B18,DS,2,0)</f>
        <v>Đoàn Hồng Phong</v>
      </c>
      <c r="D18" s="216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18">
        <f t="shared" ref="AK18" si="11">((SUM(F18:AJ18))/8)-(SUMIF($F$6:$AJ$6,"C.Nhật",F18:AJ18)/8)</f>
        <v>26</v>
      </c>
      <c r="AL18" s="218">
        <f t="shared" ref="AL18" si="12">SUM(F19:AJ19)/8*1.5</f>
        <v>0</v>
      </c>
      <c r="AM18" s="220">
        <f>SUMIF($F$6:$AJ$6,"C.Nhật",$F18:$AJ19)/8*2</f>
        <v>0</v>
      </c>
      <c r="AN18" s="222">
        <f t="shared" ref="AN18" si="13">SUM(AK18:AM19)</f>
        <v>26</v>
      </c>
      <c r="AO18" s="224">
        <v>0</v>
      </c>
      <c r="AP18" s="222"/>
      <c r="AQ18" s="222"/>
      <c r="AR18" s="222"/>
      <c r="AS18" s="229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3"/>
      <c r="B19" s="213"/>
      <c r="C19" s="215"/>
      <c r="D19" s="217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19"/>
      <c r="AL19" s="219"/>
      <c r="AM19" s="221"/>
      <c r="AN19" s="223"/>
      <c r="AO19" s="225"/>
      <c r="AP19" s="223"/>
      <c r="AQ19" s="223"/>
      <c r="AR19" s="223"/>
      <c r="AS19" s="230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2">
        <f t="shared" ref="A20" si="14">A18+1</f>
        <v>3</v>
      </c>
      <c r="B20" s="212" t="s">
        <v>165</v>
      </c>
      <c r="C20" s="214" t="str">
        <f>VLOOKUP(B20,DS,2,0)</f>
        <v>Trần Hữu Tình</v>
      </c>
      <c r="D20" s="216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18">
        <f t="shared" ref="AK20" si="15">((SUM(F20:AJ20))/8)-(SUMIF($F$6:$AJ$6,"C.Nhật",F20:AJ20)/8)</f>
        <v>26</v>
      </c>
      <c r="AL20" s="218">
        <f t="shared" ref="AL20" si="16">SUM(F21:AJ21)/8*1.5</f>
        <v>0</v>
      </c>
      <c r="AM20" s="220">
        <f>SUMIF($F$6:$AJ$6,"C.Nhật",$F20:$AJ21)/8*2</f>
        <v>0</v>
      </c>
      <c r="AN20" s="222">
        <f t="shared" ref="AN20" si="17">SUM(AK20:AM21)</f>
        <v>26</v>
      </c>
      <c r="AO20" s="224">
        <v>0</v>
      </c>
      <c r="AP20" s="222"/>
      <c r="AQ20" s="222"/>
      <c r="AR20" s="222"/>
      <c r="AS20" s="229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3"/>
      <c r="B21" s="213"/>
      <c r="C21" s="215"/>
      <c r="D21" s="217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19"/>
      <c r="AL21" s="219"/>
      <c r="AM21" s="221"/>
      <c r="AN21" s="223"/>
      <c r="AO21" s="225"/>
      <c r="AP21" s="223"/>
      <c r="AQ21" s="223"/>
      <c r="AR21" s="223"/>
      <c r="AS21" s="230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8:AP19"/>
    <mergeCell ref="AQ18:AQ19"/>
    <mergeCell ref="AR18:AR19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T5:AT6"/>
    <mergeCell ref="A9:A10"/>
    <mergeCell ref="B9:B10"/>
    <mergeCell ref="C9:C10"/>
    <mergeCell ref="D9:D10"/>
    <mergeCell ref="AK9:AK10"/>
    <mergeCell ref="AL9:AL10"/>
    <mergeCell ref="AS9:AS10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M9:AM10"/>
    <mergeCell ref="AN9:AN10"/>
    <mergeCell ref="AO9:AO10"/>
    <mergeCell ref="AP9:AP10"/>
    <mergeCell ref="AQ9:AQ10"/>
    <mergeCell ref="AR9:AR10"/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6:AJ21 F13:AJ14">
    <cfRule type="expression" dxfId="11" priority="12" stopIfTrue="1">
      <formula>IF(WEEKDAY(F$5)=1,TRUE,FALSE)</formula>
    </cfRule>
  </conditionalFormatting>
  <conditionalFormatting sqref="F9:AJ10 F13:AJ14">
    <cfRule type="expression" dxfId="10" priority="11" stopIfTrue="1">
      <formula>IF(WEEKDAY(F$5)=1,TRUE,FALSE)</formula>
    </cfRule>
  </conditionalFormatting>
  <conditionalFormatting sqref="F16:AJ21">
    <cfRule type="expression" dxfId="9" priority="10" stopIfTrue="1">
      <formula>IF(WEEKDAY(F$5)=1,TRUE,FALSE)</formula>
    </cfRule>
  </conditionalFormatting>
  <conditionalFormatting sqref="F16:AJ21">
    <cfRule type="expression" dxfId="8" priority="9" stopIfTrue="1">
      <formula>IF(WEEKDAY(F$5)=1,TRUE,FALSE)</formula>
    </cfRule>
  </conditionalFormatting>
  <conditionalFormatting sqref="F16:AI21">
    <cfRule type="expression" dxfId="7" priority="8" stopIfTrue="1">
      <formula>IF(WEEKDAY(F$5)=1,TRUE,FALSE)</formula>
    </cfRule>
  </conditionalFormatting>
  <conditionalFormatting sqref="F16:AJ21">
    <cfRule type="expression" dxfId="6" priority="7" stopIfTrue="1">
      <formula>IF(WEEKDAY(F$5)=1,TRUE,FALSE)</formula>
    </cfRule>
  </conditionalFormatting>
  <conditionalFormatting sqref="F16:AI21">
    <cfRule type="expression" dxfId="5" priority="6" stopIfTrue="1">
      <formula>IF(WEEKDAY(F$5)=1,TRUE,FALSE)</formula>
    </cfRule>
  </conditionalFormatting>
  <conditionalFormatting sqref="F16:AJ21">
    <cfRule type="expression" dxfId="4" priority="5" stopIfTrue="1">
      <formula>IF(WEEKDAY(F$5)=1,TRUE,FALSE)</formula>
    </cfRule>
  </conditionalFormatting>
  <conditionalFormatting sqref="F16:AJ21">
    <cfRule type="expression" dxfId="3" priority="4" stopIfTrue="1">
      <formula>IF(WEEKDAY(F$5)=1,TRUE,FALSE)</formula>
    </cfRule>
  </conditionalFormatting>
  <conditionalFormatting sqref="F16:AJ21">
    <cfRule type="expression" dxfId="2" priority="3" stopIfTrue="1">
      <formula>IF(WEEKDAY(F$5)=1,TRUE,FALSE)</formula>
    </cfRule>
  </conditionalFormatting>
  <conditionalFormatting sqref="F11:AJ12">
    <cfRule type="expression" dxfId="1" priority="2" stopIfTrue="1">
      <formula>IF(WEEKDAY(F$5)=1,TRUE,FALSE)</formula>
    </cfRule>
  </conditionalFormatting>
  <conditionalFormatting sqref="F11:AJ12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tabSelected="1" zoomScaleNormal="70" workbookViewId="0">
      <pane xSplit="3" ySplit="8" topLeftCell="D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S20" activeCellId="1" sqref="S14 S2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8" t="str">
        <f>"BẢNG THANH TOÁN LƯƠNG THÁNG"&amp;" "&amp;TEXT($E$4,"mm")&amp;" / "&amp;TEXT($E$4,"yyyy")</f>
        <v>BẢNG THANH TOÁN LƯƠNG THÁNG 06 / 2011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3" t="s">
        <v>185</v>
      </c>
      <c r="S1" s="254"/>
      <c r="T1" s="255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50" t="s">
        <v>19</v>
      </c>
      <c r="B5" s="250" t="s">
        <v>20</v>
      </c>
      <c r="C5" s="205" t="s">
        <v>1</v>
      </c>
      <c r="D5" s="205" t="s">
        <v>2</v>
      </c>
      <c r="E5" s="200" t="s">
        <v>56</v>
      </c>
      <c r="F5" s="241" t="s">
        <v>26</v>
      </c>
      <c r="G5" s="242"/>
      <c r="H5" s="242"/>
      <c r="I5" s="242"/>
      <c r="J5" s="242"/>
      <c r="K5" s="243"/>
      <c r="L5" s="240" t="s">
        <v>57</v>
      </c>
      <c r="M5" s="240" t="s">
        <v>5</v>
      </c>
      <c r="N5" s="205" t="s">
        <v>6</v>
      </c>
      <c r="O5" s="205"/>
      <c r="P5" s="205"/>
      <c r="Q5" s="240" t="s">
        <v>7</v>
      </c>
      <c r="R5" s="240" t="s">
        <v>8</v>
      </c>
      <c r="S5" s="240" t="s">
        <v>9</v>
      </c>
      <c r="T5" s="201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51"/>
      <c r="B6" s="251"/>
      <c r="C6" s="205"/>
      <c r="D6" s="205"/>
      <c r="E6" s="200"/>
      <c r="F6" s="241" t="s">
        <v>59</v>
      </c>
      <c r="G6" s="243"/>
      <c r="H6" s="241" t="s">
        <v>158</v>
      </c>
      <c r="I6" s="242"/>
      <c r="J6" s="245" t="s">
        <v>27</v>
      </c>
      <c r="K6" s="240" t="s">
        <v>4</v>
      </c>
      <c r="L6" s="244"/>
      <c r="M6" s="244"/>
      <c r="N6" s="256" t="s">
        <v>12</v>
      </c>
      <c r="O6" s="240" t="s">
        <v>13</v>
      </c>
      <c r="P6" s="240" t="s">
        <v>34</v>
      </c>
      <c r="Q6" s="244"/>
      <c r="R6" s="244"/>
      <c r="S6" s="244"/>
      <c r="T6" s="202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51"/>
      <c r="B7" s="251"/>
      <c r="C7" s="240"/>
      <c r="D7" s="240"/>
      <c r="E7" s="200"/>
      <c r="F7" s="196" t="s">
        <v>40</v>
      </c>
      <c r="G7" s="193" t="s">
        <v>18</v>
      </c>
      <c r="H7" s="196" t="s">
        <v>40</v>
      </c>
      <c r="I7" s="128" t="s">
        <v>18</v>
      </c>
      <c r="J7" s="246"/>
      <c r="K7" s="244"/>
      <c r="L7" s="252"/>
      <c r="M7" s="252"/>
      <c r="N7" s="257"/>
      <c r="O7" s="244"/>
      <c r="P7" s="244"/>
      <c r="Q7" s="244"/>
      <c r="R7" s="244"/>
      <c r="S7" s="244"/>
      <c r="T7" s="202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2500000</v>
      </c>
      <c r="F10" s="92">
        <f>VLOOKUP(B10,'CC -6'!$B$8:$AS$21,36,0)</f>
        <v>26</v>
      </c>
      <c r="G10" s="145">
        <f t="shared" ref="G10:G11" si="3">ROUND(E10/$U$2*F10,0)</f>
        <v>2500000</v>
      </c>
      <c r="H10" s="92">
        <f>(VLOOKUP(B10,'CC -6'!$B$8:$AS$21,37,0)+VLOOKUP(B10,'CC -6'!$B$8:$AS$21,38,0))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2500000</v>
      </c>
      <c r="L10" s="90">
        <f t="shared" ref="L10:L11" si="6">+F10*15000</f>
        <v>390000</v>
      </c>
      <c r="M10" s="40">
        <f t="shared" ref="M10:M11" si="7">K10+L10</f>
        <v>2890000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2890000</v>
      </c>
      <c r="R10" s="39">
        <f>VLOOKUP(B10,DS,23,0)</f>
        <v>0</v>
      </c>
      <c r="S10" s="45">
        <f t="shared" ref="S10:S11" si="9">Q10-R10</f>
        <v>2890000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2000000</v>
      </c>
      <c r="F11" s="92">
        <f>VLOOKUP(B11,'CC -6'!$B$8:$AS$21,36,0)</f>
        <v>26</v>
      </c>
      <c r="G11" s="145">
        <f t="shared" ref="G11:G12" si="13">ROUND(E11/$U$2*F11,0)</f>
        <v>2000000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2000000</v>
      </c>
      <c r="L11" s="90">
        <f t="shared" ref="L11:L12" si="17">+F11*15000</f>
        <v>390000</v>
      </c>
      <c r="M11" s="40">
        <f t="shared" ref="M11:M12" si="18">K11+L11</f>
        <v>2390000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2390000</v>
      </c>
      <c r="R11" s="39">
        <f>VLOOKUP(B11,DS,23,0)</f>
        <v>0</v>
      </c>
      <c r="S11" s="45">
        <f t="shared" ref="S11:S12" si="20">Q11-R11</f>
        <v>2390000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2000000</v>
      </c>
      <c r="F12" s="92">
        <f>VLOOKUP(B12,'CC -6'!$B$8:$AS$21,36,0)</f>
        <v>26</v>
      </c>
      <c r="G12" s="145">
        <f t="shared" si="13"/>
        <v>2000000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2000000</v>
      </c>
      <c r="L12" s="90">
        <f t="shared" si="17"/>
        <v>390000</v>
      </c>
      <c r="M12" s="40">
        <f t="shared" si="18"/>
        <v>2390000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2390000</v>
      </c>
      <c r="R12" s="39">
        <f>VLOOKUP(B12,DS,23,0)</f>
        <v>0</v>
      </c>
      <c r="S12" s="45">
        <f t="shared" si="20"/>
        <v>2390000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58"/>
      <c r="B13" s="259"/>
      <c r="C13" s="260"/>
      <c r="D13" s="261"/>
      <c r="E13" s="262"/>
      <c r="F13" s="263"/>
      <c r="G13" s="264"/>
      <c r="H13" s="263"/>
      <c r="I13" s="264"/>
      <c r="J13" s="265"/>
      <c r="K13" s="266"/>
      <c r="L13" s="262"/>
      <c r="M13" s="267"/>
      <c r="N13" s="267"/>
      <c r="O13" s="267"/>
      <c r="P13" s="267"/>
      <c r="Q13" s="266"/>
      <c r="R13" s="266"/>
      <c r="S13" s="268"/>
      <c r="T13" s="266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47" t="s">
        <v>25</v>
      </c>
      <c r="B14" s="247"/>
      <c r="C14" s="247"/>
      <c r="D14" s="247"/>
      <c r="E14" s="140">
        <f>SUM(E9:E12)</f>
        <v>6500000</v>
      </c>
      <c r="F14" s="140"/>
      <c r="G14" s="140">
        <f>SUM(G9:G12)</f>
        <v>6500000</v>
      </c>
      <c r="H14" s="140"/>
      <c r="I14" s="140">
        <f>SUM(I9:I12)</f>
        <v>0</v>
      </c>
      <c r="J14" s="140"/>
      <c r="K14" s="140">
        <f>SUM(K9:K12)</f>
        <v>6500000</v>
      </c>
      <c r="L14" s="140">
        <f>SUM(L9:L12)</f>
        <v>1170000</v>
      </c>
      <c r="M14" s="140">
        <f>SUM(M9:M12)</f>
        <v>7670000</v>
      </c>
      <c r="N14" s="140">
        <f>SUM(N9:N12)</f>
        <v>0</v>
      </c>
      <c r="O14" s="140">
        <f>SUM(O9:O12)</f>
        <v>0</v>
      </c>
      <c r="P14" s="140">
        <f>SUM(P9:P12)</f>
        <v>0</v>
      </c>
      <c r="Q14" s="140">
        <f>SUM(Q9:Q12)</f>
        <v>7670000</v>
      </c>
      <c r="R14" s="140">
        <f>SUM(R9:R12)</f>
        <v>0</v>
      </c>
      <c r="S14" s="140">
        <f>SUM(S9:S12)</f>
        <v>7670000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1">VLOOKUP(B16,DS,2,0)</f>
        <v>Nguyễn Trường Giang</v>
      </c>
      <c r="D16" s="116" t="str">
        <f t="shared" ref="D16:D18" si="22">VLOOKUP(B16,DS,3,0)</f>
        <v>Thợ in</v>
      </c>
      <c r="E16" s="90">
        <f t="shared" ref="E16:E18" si="23">VLOOKUP(B16,DS,4,0)</f>
        <v>1800000</v>
      </c>
      <c r="F16" s="92">
        <f>VLOOKUP(B16,'CC -6'!$B$8:$AS$21,36,0)</f>
        <v>26</v>
      </c>
      <c r="G16" s="145">
        <f t="shared" ref="G16:G18" si="24">ROUND(E16/$U$2*F16,0)</f>
        <v>1800000</v>
      </c>
      <c r="H16" s="92">
        <f>(VLOOKUP(B16,'CC -6'!$B$8:$AS$21,37,0)+VLOOKUP(B16,'CC -6'!$B$8:$AS$21,38,0))</f>
        <v>0</v>
      </c>
      <c r="I16" s="145">
        <f t="shared" ref="I16:I18" si="25">ROUND(E16/$U$2*H16,0)</f>
        <v>0</v>
      </c>
      <c r="J16" s="146">
        <f t="shared" ref="J16:K18" si="26">F16+H16</f>
        <v>26</v>
      </c>
      <c r="K16" s="39">
        <f t="shared" si="26"/>
        <v>1800000</v>
      </c>
      <c r="L16" s="90">
        <f t="shared" ref="L16:L18" si="27">+F16*15000</f>
        <v>390000</v>
      </c>
      <c r="M16" s="40">
        <f t="shared" ref="M16:M18" si="28">K16+L16</f>
        <v>2190000</v>
      </c>
      <c r="N16" s="40">
        <f>IF(VLOOKUP(B16,DS,9,0)="x",'L - 6'!E16*$N$4,0)</f>
        <v>0</v>
      </c>
      <c r="O16" s="40">
        <f t="shared" ref="O16:O18" si="29">IF(VLOOKUP(B16,DS,9,0)="x",E16*0.015,0)</f>
        <v>0</v>
      </c>
      <c r="P16" s="40">
        <f t="shared" ref="P16:P18" si="30">IF(VLOOKUP(B16,DS,9,0)="x",E16*0.01,0)</f>
        <v>0</v>
      </c>
      <c r="Q16" s="39">
        <f>M16-SUM(N16:P16)</f>
        <v>2190000</v>
      </c>
      <c r="R16" s="39">
        <f t="shared" ref="R16:R18" si="3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1"/>
        <v>Đoàn Hồng Phong</v>
      </c>
      <c r="D17" s="116" t="str">
        <f t="shared" si="22"/>
        <v>Thợ đóng - xả</v>
      </c>
      <c r="E17" s="90">
        <f t="shared" si="23"/>
        <v>1800000</v>
      </c>
      <c r="F17" s="92">
        <f>VLOOKUP(B17,'CC -6'!$B$8:$AS$21,36,0)</f>
        <v>26</v>
      </c>
      <c r="G17" s="145">
        <f t="shared" si="24"/>
        <v>1800000</v>
      </c>
      <c r="H17" s="92">
        <f>(VLOOKUP(B17,'CC -6'!$B$8:$AS$21,37,0)+VLOOKUP(B17,'CC -6'!$B$8:$AS$21,38,0))</f>
        <v>0</v>
      </c>
      <c r="I17" s="145">
        <f t="shared" si="25"/>
        <v>0</v>
      </c>
      <c r="J17" s="146">
        <f t="shared" si="26"/>
        <v>26</v>
      </c>
      <c r="K17" s="39">
        <f t="shared" si="26"/>
        <v>1800000</v>
      </c>
      <c r="L17" s="90">
        <f t="shared" si="27"/>
        <v>390000</v>
      </c>
      <c r="M17" s="40">
        <f t="shared" si="28"/>
        <v>2190000</v>
      </c>
      <c r="N17" s="40">
        <f>IF(VLOOKUP(B17,DS,9,0)="x",'L - 6'!E17*$N$4,0)</f>
        <v>0</v>
      </c>
      <c r="O17" s="40">
        <f t="shared" si="29"/>
        <v>0</v>
      </c>
      <c r="P17" s="40">
        <f t="shared" si="30"/>
        <v>0</v>
      </c>
      <c r="Q17" s="39">
        <f t="shared" ref="Q17:Q18" si="32">M17-SUM(N17:P17)</f>
        <v>2190000</v>
      </c>
      <c r="R17" s="39">
        <f t="shared" si="31"/>
        <v>0</v>
      </c>
      <c r="S17" s="45">
        <f t="shared" ref="S17:S18" si="3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1"/>
        <v>Trần Hữu Tình</v>
      </c>
      <c r="D18" s="116" t="str">
        <f t="shared" si="22"/>
        <v>Công nhân</v>
      </c>
      <c r="E18" s="90">
        <f t="shared" si="23"/>
        <v>1500000</v>
      </c>
      <c r="F18" s="92">
        <f>VLOOKUP(B18,'CC -6'!$B$8:$AS$21,36,0)</f>
        <v>26</v>
      </c>
      <c r="G18" s="145">
        <f t="shared" si="24"/>
        <v>1500000</v>
      </c>
      <c r="H18" s="92">
        <f>(VLOOKUP(B18,'CC -6'!$B$8:$AS$21,37,0)+VLOOKUP(B18,'CC -6'!$B$8:$AS$21,38,0))</f>
        <v>0</v>
      </c>
      <c r="I18" s="145">
        <f t="shared" si="25"/>
        <v>0</v>
      </c>
      <c r="J18" s="146">
        <f t="shared" si="26"/>
        <v>26</v>
      </c>
      <c r="K18" s="39">
        <f t="shared" si="26"/>
        <v>1500000</v>
      </c>
      <c r="L18" s="90">
        <f t="shared" si="27"/>
        <v>390000</v>
      </c>
      <c r="M18" s="40">
        <f t="shared" si="28"/>
        <v>1890000</v>
      </c>
      <c r="N18" s="40">
        <f>IF(VLOOKUP(B18,DS,9,0)="x",'L - 6'!E18*$N$4,0)</f>
        <v>0</v>
      </c>
      <c r="O18" s="40">
        <f t="shared" si="29"/>
        <v>0</v>
      </c>
      <c r="P18" s="40">
        <f t="shared" si="30"/>
        <v>0</v>
      </c>
      <c r="Q18" s="39">
        <f t="shared" si="32"/>
        <v>1890000</v>
      </c>
      <c r="R18" s="39">
        <f t="shared" si="31"/>
        <v>0</v>
      </c>
      <c r="S18" s="45">
        <f t="shared" si="3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47" t="s">
        <v>25</v>
      </c>
      <c r="B20" s="247"/>
      <c r="C20" s="247"/>
      <c r="D20" s="247"/>
      <c r="E20" s="140">
        <f>SUM(E15:E19)</f>
        <v>5100000</v>
      </c>
      <c r="F20" s="140"/>
      <c r="G20" s="140">
        <f t="shared" ref="G20:S20" si="34">SUM(G15:G19)</f>
        <v>5100000</v>
      </c>
      <c r="H20" s="140"/>
      <c r="I20" s="140">
        <f t="shared" si="34"/>
        <v>0</v>
      </c>
      <c r="J20" s="140"/>
      <c r="K20" s="140">
        <f t="shared" si="34"/>
        <v>5100000</v>
      </c>
      <c r="L20" s="140">
        <f t="shared" si="34"/>
        <v>1170000</v>
      </c>
      <c r="M20" s="140">
        <f t="shared" si="34"/>
        <v>6270000</v>
      </c>
      <c r="N20" s="140">
        <f t="shared" si="34"/>
        <v>0</v>
      </c>
      <c r="O20" s="140">
        <f t="shared" si="34"/>
        <v>0</v>
      </c>
      <c r="P20" s="140">
        <f t="shared" si="34"/>
        <v>0</v>
      </c>
      <c r="Q20" s="140">
        <f t="shared" si="34"/>
        <v>6270000</v>
      </c>
      <c r="R20" s="140">
        <f t="shared" si="34"/>
        <v>0</v>
      </c>
      <c r="S20" s="140">
        <f t="shared" si="3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N5:P5"/>
    <mergeCell ref="Q5:Q7"/>
    <mergeCell ref="A14:D14"/>
    <mergeCell ref="K6:K7"/>
    <mergeCell ref="N6:N7"/>
    <mergeCell ref="O6:O7"/>
    <mergeCell ref="P6:P7"/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J6:J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TH</vt:lpstr>
      <vt:lpstr>CC -5</vt:lpstr>
      <vt:lpstr>L - 5</vt:lpstr>
      <vt:lpstr>CC -6</vt:lpstr>
      <vt:lpstr>L - 6</vt:lpstr>
      <vt:lpstr>DS</vt:lpstr>
      <vt:lpstr>'CC -5'!Print_Area</vt:lpstr>
      <vt:lpstr>'CC -6'!Print_Area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2016-04-19T05:27:53Z</cp:lastPrinted>
  <dcterms:created xsi:type="dcterms:W3CDTF">2011-06-27T04:19:15Z</dcterms:created>
  <dcterms:modified xsi:type="dcterms:W3CDTF">2016-05-11T04:39:13Z</dcterms:modified>
</cp:coreProperties>
</file>