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953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THL" sheetId="80" r:id="rId19"/>
    <sheet name="CC -9" sheetId="81" r:id="rId20"/>
    <sheet name="L - 9" sheetId="82" r:id="rId21"/>
    <sheet name="CC -10" sheetId="83" r:id="rId22"/>
    <sheet name="L - 10" sheetId="84" r:id="rId23"/>
    <sheet name="CC -11" sheetId="85" r:id="rId24"/>
    <sheet name="L - 11" sheetId="86" r:id="rId25"/>
    <sheet name="CC -12" sheetId="87" r:id="rId26"/>
    <sheet name="L - 12" sheetId="88" r:id="rId27"/>
  </sheets>
  <externalReferences>
    <externalReference r:id="rId28"/>
  </externalReferences>
  <definedNames>
    <definedName name="____a1" hidden="1">{"'Sheet1'!$L$16"}</definedName>
    <definedName name="_a1" localSheetId="21" hidden="1">{"'Sheet1'!$L$16"}</definedName>
    <definedName name="_a1" localSheetId="23" hidden="1">{"'Sheet1'!$L$16"}</definedName>
    <definedName name="_a1" localSheetId="25" hidden="1">{"'Sheet1'!$L$16"}</definedName>
    <definedName name="_a1" localSheetId="19" hidden="1">{"'Sheet1'!$L$16"}</definedName>
    <definedName name="_a1" localSheetId="22" hidden="1">{"'Sheet1'!$L$16"}</definedName>
    <definedName name="_a1" localSheetId="24" hidden="1">{"'Sheet1'!$L$16"}</definedName>
    <definedName name="_a1" localSheetId="26" hidden="1">{"'Sheet1'!$L$16"}</definedName>
    <definedName name="_a1" localSheetId="20" hidden="1">{"'Sheet1'!$L$16"}</definedName>
    <definedName name="_a1" localSheetId="18" hidden="1">{"'Sheet1'!$L$16"}</definedName>
    <definedName name="_a1" hidden="1">{"'Sheet1'!$L$16"}</definedName>
    <definedName name="_C111">TH!$Q$10:$Q$435</definedName>
    <definedName name="_C112">TH!$T$10:$T$435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'112'!$A$10:$K$35</definedName>
    <definedName name="_xlnm._FilterDatabase" localSheetId="8" hidden="1">'131-CT'!$A$12:$J$25</definedName>
    <definedName name="_xlnm._FilterDatabase" localSheetId="10" hidden="1">'331-CT'!$A$12:$I$21</definedName>
    <definedName name="_xlnm._FilterDatabase" localSheetId="16" hidden="1">BTGT!$A$5:$W$15</definedName>
    <definedName name="_xlnm._FilterDatabase" localSheetId="21" hidden="1">'CC -10'!$A$7:$AS$7</definedName>
    <definedName name="_xlnm._FilterDatabase" localSheetId="23" hidden="1">'CC -11'!$A$7:$AS$7</definedName>
    <definedName name="_xlnm._FilterDatabase" localSheetId="25" hidden="1">'CC -12'!$A$7:$AS$7</definedName>
    <definedName name="_xlnm._FilterDatabase" localSheetId="19" hidden="1">'CC -9'!$A$7:$AS$7</definedName>
    <definedName name="_xlnm._FilterDatabase" localSheetId="3" hidden="1">CTTK!$A$13:$J$15</definedName>
    <definedName name="_xlnm._FilterDatabase" localSheetId="22" hidden="1">'L - 10'!$A$7:$AD$10</definedName>
    <definedName name="_xlnm._FilterDatabase" localSheetId="24" hidden="1">'L - 11'!$A$7:$AD$10</definedName>
    <definedName name="_xlnm._FilterDatabase" localSheetId="26" hidden="1">'L - 12'!$A$7:$AD$10</definedName>
    <definedName name="_xlnm._FilterDatabase" localSheetId="20" hidden="1">'L - 9'!$A$7:$AD$10</definedName>
    <definedName name="_xlnm._FilterDatabase" localSheetId="12" hidden="1">NXT!$A$11:$M$60</definedName>
    <definedName name="_xlnm._FilterDatabase" localSheetId="1" hidden="1">TH!$A$9:$AC$322</definedName>
    <definedName name="_xlnm._FilterDatabase" localSheetId="18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TH!$B$10:$B$435</definedName>
    <definedName name="_N111">TH!$P$10:$P$435</definedName>
    <definedName name="_N112">TH!$S$10:$S$435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TH!$J$10:$J$435</definedName>
    <definedName name="dh" localSheetId="21" hidden="1">{#N/A,#N/A,FALSE,"Chi tiÆt"}</definedName>
    <definedName name="dh" localSheetId="23" hidden="1">{#N/A,#N/A,FALSE,"Chi tiÆt"}</definedName>
    <definedName name="dh" localSheetId="25" hidden="1">{#N/A,#N/A,FALSE,"Chi tiÆt"}</definedName>
    <definedName name="dh" localSheetId="19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26" hidden="1">{#N/A,#N/A,FALSE,"Chi tiÆt"}</definedName>
    <definedName name="dh" localSheetId="20" hidden="1">{#N/A,#N/A,FALSE,"Chi tiÆt"}</definedName>
    <definedName name="dh" localSheetId="18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">THL!$B$11:$X$23</definedName>
    <definedName name="DS_131">'131'!$B$6:$B$15</definedName>
    <definedName name="DSGT1">BTGT!$B$6:$B$35</definedName>
    <definedName name="DSKH">'331'!$B$6:$B$8</definedName>
    <definedName name="DSSP1">BTGT!$B$6:$J$35</definedName>
    <definedName name="DSTK">CDPS!$A$10:$D$48</definedName>
    <definedName name="GFSAH" localSheetId="21" hidden="1">{"'Sheet1'!$L$16"}</definedName>
    <definedName name="GFSAH" localSheetId="23" hidden="1">{"'Sheet1'!$L$16"}</definedName>
    <definedName name="GFSAH" localSheetId="25" hidden="1">{"'Sheet1'!$L$16"}</definedName>
    <definedName name="GFSAH" localSheetId="19" hidden="1">{"'Sheet1'!$L$16"}</definedName>
    <definedName name="GFSAH" localSheetId="22" hidden="1">{"'Sheet1'!$L$16"}</definedName>
    <definedName name="GFSAH" localSheetId="24" hidden="1">{"'Sheet1'!$L$16"}</definedName>
    <definedName name="GFSAH" localSheetId="26" hidden="1">{"'Sheet1'!$L$16"}</definedName>
    <definedName name="GFSAH" localSheetId="20" hidden="1">{"'Sheet1'!$L$16"}</definedName>
    <definedName name="GFSAH" localSheetId="18" hidden="1">{"'Sheet1'!$L$16"}</definedName>
    <definedName name="GFSAH" hidden="1">{"'Sheet1'!$L$16"}</definedName>
    <definedName name="GJFXJXJ" localSheetId="21" hidden="1">{#N/A,#N/A,FALSE,"Chi tiÆt"}</definedName>
    <definedName name="GJFXJXJ" localSheetId="23" hidden="1">{#N/A,#N/A,FALSE,"Chi tiÆt"}</definedName>
    <definedName name="GJFXJXJ" localSheetId="25" hidden="1">{#N/A,#N/A,FALSE,"Chi tiÆt"}</definedName>
    <definedName name="GJFXJXJ" localSheetId="19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26" hidden="1">{#N/A,#N/A,FALSE,"Chi tiÆt"}</definedName>
    <definedName name="GJFXJXJ" localSheetId="20" hidden="1">{#N/A,#N/A,FALSE,"Chi tiÆt"}</definedName>
    <definedName name="GJFXJXJ" localSheetId="18" hidden="1">{#N/A,#N/A,FALSE,"Chi tiÆt"}</definedName>
    <definedName name="GJFXJXJ" hidden="1">{#N/A,#N/A,FALSE,"Chi tiÆt"}</definedName>
    <definedName name="h" localSheetId="21" hidden="1">{"'Sheet1'!$L$16"}</definedName>
    <definedName name="h" localSheetId="23" hidden="1">{"'Sheet1'!$L$16"}</definedName>
    <definedName name="h" localSheetId="25" hidden="1">{"'Sheet1'!$L$16"}</definedName>
    <definedName name="h" localSheetId="19" hidden="1">{"'Sheet1'!$L$16"}</definedName>
    <definedName name="h" localSheetId="22" hidden="1">{"'Sheet1'!$L$16"}</definedName>
    <definedName name="h" localSheetId="24" hidden="1">{"'Sheet1'!$L$16"}</definedName>
    <definedName name="h" localSheetId="26" hidden="1">{"'Sheet1'!$L$16"}</definedName>
    <definedName name="h" localSheetId="20" hidden="1">{"'Sheet1'!$L$16"}</definedName>
    <definedName name="h" localSheetId="18" hidden="1">{"'Sheet1'!$L$16"}</definedName>
    <definedName name="h" hidden="1">{"'Sheet1'!$L$16"}</definedName>
    <definedName name="hsgdkhog" localSheetId="21" hidden="1">{#N/A,#N/A,FALSE,"Chi tiÆt"}</definedName>
    <definedName name="hsgdkhog" localSheetId="23" hidden="1">{#N/A,#N/A,FALSE,"Chi tiÆt"}</definedName>
    <definedName name="hsgdkhog" localSheetId="25" hidden="1">{#N/A,#N/A,FALSE,"Chi tiÆt"}</definedName>
    <definedName name="hsgdkhog" localSheetId="19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26" hidden="1">{#N/A,#N/A,FALSE,"Chi tiÆt"}</definedName>
    <definedName name="hsgdkhog" localSheetId="20" hidden="1">{#N/A,#N/A,FALSE,"Chi tiÆt"}</definedName>
    <definedName name="hsgdkhog" localSheetId="18" hidden="1">{#N/A,#N/A,FALSE,"Chi tiÆt"}</definedName>
    <definedName name="hsgdkhog" hidden="1">{#N/A,#N/A,FALSE,"Chi tiÆt"}</definedName>
    <definedName name="HTML_CodePage" hidden="1">950</definedName>
    <definedName name="HTML_Control" localSheetId="21" hidden="1">{"'Sheet1'!$L$16"}</definedName>
    <definedName name="HTML_Control" localSheetId="23" hidden="1">{"'Sheet1'!$L$16"}</definedName>
    <definedName name="HTML_Control" localSheetId="25" hidden="1">{"'Sheet1'!$L$16"}</definedName>
    <definedName name="HTML_Control" localSheetId="19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26" hidden="1">{"'Sheet1'!$L$16"}</definedName>
    <definedName name="HTML_Control" localSheetId="20" hidden="1">{"'Sheet1'!$L$16"}</definedName>
    <definedName name="HTML_Control" localSheetId="18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1" hidden="1">{"'Sheet1'!$L$16"}</definedName>
    <definedName name="huy" localSheetId="23" hidden="1">{"'Sheet1'!$L$16"}</definedName>
    <definedName name="huy" localSheetId="25" hidden="1">{"'Sheet1'!$L$16"}</definedName>
    <definedName name="huy" localSheetId="19" hidden="1">{"'Sheet1'!$L$16"}</definedName>
    <definedName name="huy" localSheetId="22" hidden="1">{"'Sheet1'!$L$16"}</definedName>
    <definedName name="huy" localSheetId="24" hidden="1">{"'Sheet1'!$L$16"}</definedName>
    <definedName name="huy" localSheetId="26" hidden="1">{"'Sheet1'!$L$16"}</definedName>
    <definedName name="huy" localSheetId="20" hidden="1">{"'Sheet1'!$L$16"}</definedName>
    <definedName name="huy" localSheetId="18" hidden="1">{"'Sheet1'!$L$16"}</definedName>
    <definedName name="huy" hidden="1">{"'Sheet1'!$L$16"}</definedName>
    <definedName name="KH">TH!$H$10:$H$435</definedName>
    <definedName name="KHC">TH!$M$10:$M$435</definedName>
    <definedName name="khkl" localSheetId="21" hidden="1">{"'Sheet1'!$L$16"}</definedName>
    <definedName name="khkl" localSheetId="23" hidden="1">{"'Sheet1'!$L$16"}</definedName>
    <definedName name="khkl" localSheetId="25" hidden="1">{"'Sheet1'!$L$16"}</definedName>
    <definedName name="khkl" localSheetId="19" hidden="1">{"'Sheet1'!$L$16"}</definedName>
    <definedName name="khkl" localSheetId="22" hidden="1">{"'Sheet1'!$L$16"}</definedName>
    <definedName name="khkl" localSheetId="24" hidden="1">{"'Sheet1'!$L$16"}</definedName>
    <definedName name="khkl" localSheetId="26" hidden="1">{"'Sheet1'!$L$16"}</definedName>
    <definedName name="khkl" localSheetId="20" hidden="1">{"'Sheet1'!$L$16"}</definedName>
    <definedName name="khkl" localSheetId="18" hidden="1">{"'Sheet1'!$L$16"}</definedName>
    <definedName name="khkl" hidden="1">{"'Sheet1'!$L$16"}</definedName>
    <definedName name="KHN">TH!$L$10:$L$435</definedName>
    <definedName name="kjjh" localSheetId="21" hidden="1">{"'Sheet1'!$L$16"}</definedName>
    <definedName name="kjjh" localSheetId="23" hidden="1">{"'Sheet1'!$L$16"}</definedName>
    <definedName name="kjjh" localSheetId="25" hidden="1">{"'Sheet1'!$L$16"}</definedName>
    <definedName name="kjjh" localSheetId="19" hidden="1">{"'Sheet1'!$L$16"}</definedName>
    <definedName name="kjjh" localSheetId="22" hidden="1">{"'Sheet1'!$L$16"}</definedName>
    <definedName name="kjjh" localSheetId="24" hidden="1">{"'Sheet1'!$L$16"}</definedName>
    <definedName name="kjjh" localSheetId="26" hidden="1">{"'Sheet1'!$L$16"}</definedName>
    <definedName name="kjjh" localSheetId="20" hidden="1">{"'Sheet1'!$L$16"}</definedName>
    <definedName name="kjjh" localSheetId="18" hidden="1">{"'Sheet1'!$L$16"}</definedName>
    <definedName name="kjjh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5" hidden="1">{"'Sheet1'!$L$16"}</definedName>
    <definedName name="KTLDLAN3" localSheetId="19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26" hidden="1">{"'Sheet1'!$L$16"}</definedName>
    <definedName name="KTLDLAN3" localSheetId="20" hidden="1">{"'Sheet1'!$L$16"}</definedName>
    <definedName name="KTLDLAN3" localSheetId="18" hidden="1">{"'Sheet1'!$L$16"}</definedName>
    <definedName name="KTLDLAN3" hidden="1">{"'Sheet1'!$L$16"}</definedName>
    <definedName name="Loai">OFFSET(TH!$N$5,,,COUNTA(TH!$N$5:$N$38745))</definedName>
    <definedName name="Loai1">OFFSET(TH!$O$5,,,COUNTA(TH!$O$5:$O$38745))</definedName>
    <definedName name="Loai2">OFFSET(TH!$R$5,,,COUNTA(TH!$R$5:$R$38745))</definedName>
    <definedName name="Loai3">OFFSET(#REF!,,,COUNTA(#REF!))</definedName>
    <definedName name="Loai4">OFFSET(TH!#REF!,,,COUNTA(TH!#REF!))</definedName>
    <definedName name="Loai5">OFFSET(TH!$X$5,,,COUNTA(TH!$X$5:$X$38745))</definedName>
    <definedName name="Loai6">OFFSET(TH!$Y$5,,,COUNTA(TH!$Y$5:$Y$38745))</definedName>
    <definedName name="Loai7">OFFSET(TH!$U$5,,,COUNTA(TH!$U$5:$U$38745))</definedName>
    <definedName name="Loai8">OFFSET(TH!$V$5,,,COUNTA(TH!$V$5:$V$38745))</definedName>
    <definedName name="Loai9">OFFSET(TH!$W$5,,,COUNTA(TH!$W$5:$W$38745))</definedName>
    <definedName name="MH">TH!$F$10:$F$435</definedName>
    <definedName name="NXT">NXT!#REF!</definedName>
    <definedName name="_xlnm.Print_Area" localSheetId="4">'111'!$A$1:$J$93</definedName>
    <definedName name="_xlnm.Print_Area" localSheetId="6">'112'!$A$1:$I$43</definedName>
    <definedName name="_xlnm.Print_Area" localSheetId="7">'131'!$A$1:$H$22</definedName>
    <definedName name="_xlnm.Print_Area" localSheetId="8">'131-CT'!$A$1:$J$58</definedName>
    <definedName name="_xlnm.Print_Area" localSheetId="14">'152-CT'!$B$2:$M$25</definedName>
    <definedName name="_xlnm.Print_Area" localSheetId="9">'331'!$A$1:$H$16</definedName>
    <definedName name="_xlnm.Print_Area" localSheetId="10">'331-CT'!$A$1:$I$88</definedName>
    <definedName name="_xlnm.Print_Area" localSheetId="16">BTGT!$A$2:$J$36</definedName>
    <definedName name="_xlnm.Print_Area" localSheetId="21">'CC -10'!$A$1:$AS$45</definedName>
    <definedName name="_xlnm.Print_Area" localSheetId="23">'CC -11'!$A$1:$AS$47</definedName>
    <definedName name="_xlnm.Print_Area" localSheetId="25">'CC -12'!$A$1:$AS$47</definedName>
    <definedName name="_xlnm.Print_Area" localSheetId="19">'CC -9'!$A$1:$AS$45</definedName>
    <definedName name="_xlnm.Print_Area" localSheetId="3">CTTK!$A$2:$I$60</definedName>
    <definedName name="_xlnm.Print_Area" localSheetId="13">'IN-NX'!$A$1:$I$39</definedName>
    <definedName name="_xlnm.Print_Area" localSheetId="5">'IN-TC'!$B$1:$O$28</definedName>
    <definedName name="_xlnm.Print_Area" localSheetId="22">'L - 10'!$A$1:$T$28</definedName>
    <definedName name="_xlnm.Print_Area" localSheetId="24">'L - 11'!$A$1:$T$29</definedName>
    <definedName name="_xlnm.Print_Area" localSheetId="26">'L - 12'!$A$1:$T$33</definedName>
    <definedName name="_xlnm.Print_Area" localSheetId="20">'L - 9'!$A$1:$T$29</definedName>
    <definedName name="_xlnm.Print_Area" localSheetId="2">NKC!$A$1:$I$278</definedName>
    <definedName name="_xlnm.Print_Area" localSheetId="12">NXT!$A$1:$K$65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TH!$I$10:$I$435</definedName>
    <definedName name="TH">TH!$K$10:$K$435</definedName>
    <definedName name="TM">TH!$A$10:$M$435</definedName>
    <definedName name="ưer" localSheetId="21" hidden="1">{"'Sheet1'!$L$16"}</definedName>
    <definedName name="ưer" localSheetId="23" hidden="1">{"'Sheet1'!$L$16"}</definedName>
    <definedName name="ưer" localSheetId="25" hidden="1">{"'Sheet1'!$L$16"}</definedName>
    <definedName name="ưer" localSheetId="19" hidden="1">{"'Sheet1'!$L$16"}</definedName>
    <definedName name="ưer" localSheetId="22" hidden="1">{"'Sheet1'!$L$16"}</definedName>
    <definedName name="ưer" localSheetId="24" hidden="1">{"'Sheet1'!$L$16"}</definedName>
    <definedName name="ưer" localSheetId="26" hidden="1">{"'Sheet1'!$L$16"}</definedName>
    <definedName name="ưer" localSheetId="20" hidden="1">{"'Sheet1'!$L$16"}</definedName>
    <definedName name="ưer" localSheetId="18" hidden="1">{"'Sheet1'!$L$16"}</definedName>
    <definedName name="ưer" hidden="1">{"'Sheet1'!$L$16"}</definedName>
    <definedName name="UU" localSheetId="21" hidden="1">{"'Sheet1'!$L$16"}</definedName>
    <definedName name="UU" localSheetId="23" hidden="1">{"'Sheet1'!$L$16"}</definedName>
    <definedName name="UU" localSheetId="25" hidden="1">{"'Sheet1'!$L$16"}</definedName>
    <definedName name="UU" localSheetId="19" hidden="1">{"'Sheet1'!$L$16"}</definedName>
    <definedName name="UU" localSheetId="22" hidden="1">{"'Sheet1'!$L$16"}</definedName>
    <definedName name="UU" localSheetId="24" hidden="1">{"'Sheet1'!$L$16"}</definedName>
    <definedName name="UU" localSheetId="26" hidden="1">{"'Sheet1'!$L$16"}</definedName>
    <definedName name="UU" localSheetId="20" hidden="1">{"'Sheet1'!$L$16"}</definedName>
    <definedName name="UU" localSheetId="18" hidden="1">{"'Sheet1'!$L$16"}</definedName>
    <definedName name="UU" hidden="1">{"'Sheet1'!$L$16"}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5" hidden="1">{#N/A,#N/A,FALSE,"Chi tiÆt"}</definedName>
    <definedName name="wrn.chi._.tiÆt." localSheetId="19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26" hidden="1">{#N/A,#N/A,FALSE,"Chi tiÆt"}</definedName>
    <definedName name="wrn.chi._.tiÆt." localSheetId="20" hidden="1">{#N/A,#N/A,FALSE,"Chi tiÆt"}</definedName>
    <definedName name="wrn.chi._.tiÆt." localSheetId="18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F19" i="70" l="1"/>
  <c r="X7" i="34"/>
  <c r="X10" i="34" s="1"/>
  <c r="F12" i="12" l="1"/>
  <c r="I63" i="55"/>
  <c r="G2" i="55"/>
  <c r="X213" i="34"/>
  <c r="X237" i="34" l="1"/>
  <c r="X269" i="34"/>
  <c r="X205" i="34"/>
  <c r="X301" i="34"/>
  <c r="X293" i="34"/>
  <c r="X261" i="34"/>
  <c r="X229" i="34"/>
  <c r="X197" i="34"/>
  <c r="X317" i="34"/>
  <c r="X285" i="34"/>
  <c r="X253" i="34"/>
  <c r="X221" i="34"/>
  <c r="X188" i="34"/>
  <c r="X309" i="34"/>
  <c r="X277" i="34"/>
  <c r="X245" i="34"/>
  <c r="X11" i="34"/>
  <c r="X15" i="34"/>
  <c r="X19" i="34"/>
  <c r="X23" i="34"/>
  <c r="X27" i="34"/>
  <c r="X31" i="34"/>
  <c r="X35" i="34"/>
  <c r="X39" i="34"/>
  <c r="X43" i="34"/>
  <c r="X47" i="34"/>
  <c r="X51" i="34"/>
  <c r="X55" i="34"/>
  <c r="X59" i="34"/>
  <c r="X63" i="34"/>
  <c r="X67" i="34"/>
  <c r="X71" i="34"/>
  <c r="X75" i="34"/>
  <c r="X79" i="34"/>
  <c r="X83" i="34"/>
  <c r="X87" i="34"/>
  <c r="X91" i="34"/>
  <c r="X95" i="34"/>
  <c r="X99" i="34"/>
  <c r="X103" i="34"/>
  <c r="X107" i="34"/>
  <c r="X111" i="34"/>
  <c r="X115" i="34"/>
  <c r="X119" i="34"/>
  <c r="X123" i="34"/>
  <c r="X127" i="34"/>
  <c r="X131" i="34"/>
  <c r="X135" i="34"/>
  <c r="X139" i="34"/>
  <c r="X143" i="34"/>
  <c r="X147" i="34"/>
  <c r="X151" i="34"/>
  <c r="X155" i="34"/>
  <c r="X159" i="34"/>
  <c r="X163" i="34"/>
  <c r="X167" i="34"/>
  <c r="X171" i="34"/>
  <c r="X175" i="34"/>
  <c r="X179" i="34"/>
  <c r="X183" i="34"/>
  <c r="X187" i="34"/>
  <c r="X191" i="34"/>
  <c r="X195" i="34"/>
  <c r="X199" i="34"/>
  <c r="X203" i="34"/>
  <c r="X207" i="34"/>
  <c r="X211" i="34"/>
  <c r="X215" i="34"/>
  <c r="X219" i="34"/>
  <c r="X223" i="34"/>
  <c r="X227" i="34"/>
  <c r="X231" i="34"/>
  <c r="X235" i="34"/>
  <c r="X239" i="34"/>
  <c r="X243" i="34"/>
  <c r="X247" i="34"/>
  <c r="X251" i="34"/>
  <c r="X255" i="34"/>
  <c r="X259" i="34"/>
  <c r="X263" i="34"/>
  <c r="X267" i="34"/>
  <c r="X271" i="34"/>
  <c r="X279" i="34"/>
  <c r="X287" i="34"/>
  <c r="X295" i="34"/>
  <c r="X303" i="34"/>
  <c r="X315" i="34"/>
  <c r="X12" i="34"/>
  <c r="X16" i="34"/>
  <c r="X20" i="34"/>
  <c r="X24" i="34"/>
  <c r="X28" i="34"/>
  <c r="X32" i="34"/>
  <c r="X36" i="34"/>
  <c r="X40" i="34"/>
  <c r="X44" i="34"/>
  <c r="X48" i="34"/>
  <c r="X52" i="34"/>
  <c r="X56" i="34"/>
  <c r="X60" i="34"/>
  <c r="X64" i="34"/>
  <c r="X68" i="34"/>
  <c r="X72" i="34"/>
  <c r="X76" i="34"/>
  <c r="X80" i="34"/>
  <c r="X84" i="34"/>
  <c r="X88" i="34"/>
  <c r="X92" i="34"/>
  <c r="X96" i="34"/>
  <c r="X100" i="34"/>
  <c r="X104" i="34"/>
  <c r="X108" i="34"/>
  <c r="X112" i="34"/>
  <c r="X116" i="34"/>
  <c r="X120" i="34"/>
  <c r="X124" i="34"/>
  <c r="X128" i="34"/>
  <c r="X132" i="34"/>
  <c r="X136" i="34"/>
  <c r="X140" i="34"/>
  <c r="X144" i="34"/>
  <c r="X148" i="34"/>
  <c r="X152" i="34"/>
  <c r="X156" i="34"/>
  <c r="X160" i="34"/>
  <c r="X164" i="34"/>
  <c r="X168" i="34"/>
  <c r="X172" i="34"/>
  <c r="X176" i="34"/>
  <c r="X180" i="34"/>
  <c r="X184" i="34"/>
  <c r="X192" i="34"/>
  <c r="X13" i="34"/>
  <c r="X17" i="34"/>
  <c r="X21" i="34"/>
  <c r="X25" i="34"/>
  <c r="X29" i="34"/>
  <c r="X33" i="34"/>
  <c r="X37" i="34"/>
  <c r="X41" i="34"/>
  <c r="X45" i="34"/>
  <c r="X49" i="34"/>
  <c r="X53" i="34"/>
  <c r="X57" i="34"/>
  <c r="X61" i="34"/>
  <c r="X65" i="34"/>
  <c r="X69" i="34"/>
  <c r="X73" i="34"/>
  <c r="X77" i="34"/>
  <c r="X81" i="34"/>
  <c r="X85" i="34"/>
  <c r="X89" i="34"/>
  <c r="X93" i="34"/>
  <c r="X97" i="34"/>
  <c r="X101" i="34"/>
  <c r="X105" i="34"/>
  <c r="X109" i="34"/>
  <c r="X113" i="34"/>
  <c r="X117" i="34"/>
  <c r="X121" i="34"/>
  <c r="X125" i="34"/>
  <c r="X129" i="34"/>
  <c r="X133" i="34"/>
  <c r="X137" i="34"/>
  <c r="X141" i="34"/>
  <c r="X145" i="34"/>
  <c r="X149" i="34"/>
  <c r="X153" i="34"/>
  <c r="X157" i="34"/>
  <c r="X161" i="34"/>
  <c r="X165" i="34"/>
  <c r="X169" i="34"/>
  <c r="X173" i="34"/>
  <c r="X177" i="34"/>
  <c r="X14" i="34"/>
  <c r="X18" i="34"/>
  <c r="X22" i="34"/>
  <c r="X26" i="34"/>
  <c r="X30" i="34"/>
  <c r="X34" i="34"/>
  <c r="X38" i="34"/>
  <c r="X42" i="34"/>
  <c r="X46" i="34"/>
  <c r="X50" i="34"/>
  <c r="X54" i="34"/>
  <c r="X58" i="34"/>
  <c r="X62" i="34"/>
  <c r="X66" i="34"/>
  <c r="X70" i="34"/>
  <c r="X74" i="34"/>
  <c r="X78" i="34"/>
  <c r="X82" i="34"/>
  <c r="X86" i="34"/>
  <c r="X90" i="34"/>
  <c r="X94" i="34"/>
  <c r="X98" i="34"/>
  <c r="X102" i="34"/>
  <c r="X106" i="34"/>
  <c r="X110" i="34"/>
  <c r="X114" i="34"/>
  <c r="X118" i="34"/>
  <c r="X122" i="34"/>
  <c r="X126" i="34"/>
  <c r="X130" i="34"/>
  <c r="X134" i="34"/>
  <c r="X138" i="34"/>
  <c r="X142" i="34"/>
  <c r="X146" i="34"/>
  <c r="X150" i="34"/>
  <c r="X154" i="34"/>
  <c r="X158" i="34"/>
  <c r="X162" i="34"/>
  <c r="X166" i="34"/>
  <c r="X170" i="34"/>
  <c r="X174" i="34"/>
  <c r="X178" i="34"/>
  <c r="X182" i="34"/>
  <c r="X186" i="34"/>
  <c r="X190" i="34"/>
  <c r="X194" i="34"/>
  <c r="X198" i="34"/>
  <c r="X202" i="34"/>
  <c r="X206" i="34"/>
  <c r="X210" i="34"/>
  <c r="X214" i="34"/>
  <c r="X218" i="34"/>
  <c r="X222" i="34"/>
  <c r="X226" i="34"/>
  <c r="X230" i="34"/>
  <c r="X234" i="34"/>
  <c r="X238" i="34"/>
  <c r="X242" i="34"/>
  <c r="X246" i="34"/>
  <c r="X250" i="34"/>
  <c r="X254" i="34"/>
  <c r="X258" i="34"/>
  <c r="X262" i="34"/>
  <c r="X266" i="34"/>
  <c r="X270" i="34"/>
  <c r="X274" i="34"/>
  <c r="X278" i="34"/>
  <c r="X282" i="34"/>
  <c r="X286" i="34"/>
  <c r="X290" i="34"/>
  <c r="X294" i="34"/>
  <c r="X298" i="34"/>
  <c r="X302" i="34"/>
  <c r="X306" i="34"/>
  <c r="X310" i="34"/>
  <c r="X314" i="34"/>
  <c r="X318" i="34"/>
  <c r="X322" i="34"/>
  <c r="X275" i="34"/>
  <c r="X283" i="34"/>
  <c r="X291" i="34"/>
  <c r="X299" i="34"/>
  <c r="X307" i="34"/>
  <c r="X311" i="34"/>
  <c r="X319" i="34"/>
  <c r="X316" i="34"/>
  <c r="X308" i="34"/>
  <c r="X300" i="34"/>
  <c r="X292" i="34"/>
  <c r="X284" i="34"/>
  <c r="X276" i="34"/>
  <c r="X268" i="34"/>
  <c r="X260" i="34"/>
  <c r="X252" i="34"/>
  <c r="X244" i="34"/>
  <c r="X236" i="34"/>
  <c r="X228" i="34"/>
  <c r="X220" i="34"/>
  <c r="X212" i="34"/>
  <c r="X204" i="34"/>
  <c r="X196" i="34"/>
  <c r="X185" i="34"/>
  <c r="X321" i="34"/>
  <c r="X313" i="34"/>
  <c r="X305" i="34"/>
  <c r="X297" i="34"/>
  <c r="X289" i="34"/>
  <c r="X281" i="34"/>
  <c r="X273" i="34"/>
  <c r="X265" i="34"/>
  <c r="X257" i="34"/>
  <c r="X249" i="34"/>
  <c r="X241" i="34"/>
  <c r="X233" i="34"/>
  <c r="X225" i="34"/>
  <c r="X217" i="34"/>
  <c r="X209" i="34"/>
  <c r="X201" i="34"/>
  <c r="X193" i="34"/>
  <c r="X181" i="34"/>
  <c r="X320" i="34"/>
  <c r="X312" i="34"/>
  <c r="X304" i="34"/>
  <c r="X296" i="34"/>
  <c r="X288" i="34"/>
  <c r="X280" i="34"/>
  <c r="X272" i="34"/>
  <c r="X264" i="34"/>
  <c r="X256" i="34"/>
  <c r="X248" i="34"/>
  <c r="X240" i="34"/>
  <c r="X232" i="34"/>
  <c r="X224" i="34"/>
  <c r="X216" i="34"/>
  <c r="X208" i="34"/>
  <c r="X200" i="34"/>
  <c r="X189" i="34"/>
  <c r="K11" i="34"/>
  <c r="A16" i="34" l="1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N15" i="34"/>
  <c r="R15" i="34"/>
  <c r="S15" i="34"/>
  <c r="T15" i="34"/>
  <c r="V15" i="34"/>
  <c r="W15" i="34"/>
  <c r="N16" i="34"/>
  <c r="O16" i="34"/>
  <c r="P16" i="34"/>
  <c r="Q16" i="34"/>
  <c r="R16" i="34"/>
  <c r="S16" i="34"/>
  <c r="T16" i="34"/>
  <c r="U16" i="34"/>
  <c r="V16" i="34"/>
  <c r="W16" i="34"/>
  <c r="N17" i="34"/>
  <c r="O17" i="34"/>
  <c r="P17" i="34"/>
  <c r="Q17" i="34"/>
  <c r="U17" i="34"/>
  <c r="V17" i="34"/>
  <c r="W17" i="34"/>
  <c r="N18" i="34"/>
  <c r="O18" i="34"/>
  <c r="P18" i="34"/>
  <c r="Q18" i="34"/>
  <c r="R18" i="34"/>
  <c r="S18" i="34"/>
  <c r="T18" i="34"/>
  <c r="U18" i="34"/>
  <c r="V18" i="34"/>
  <c r="W18" i="34"/>
  <c r="N19" i="34"/>
  <c r="O19" i="34"/>
  <c r="P19" i="34"/>
  <c r="Q19" i="34"/>
  <c r="R19" i="34"/>
  <c r="S19" i="34"/>
  <c r="T19" i="34"/>
  <c r="U19" i="34"/>
  <c r="V19" i="34"/>
  <c r="W19" i="34"/>
  <c r="N20" i="34"/>
  <c r="O20" i="34"/>
  <c r="P20" i="34"/>
  <c r="Q20" i="34"/>
  <c r="R20" i="34"/>
  <c r="S20" i="34"/>
  <c r="T20" i="34"/>
  <c r="U20" i="34"/>
  <c r="V20" i="34"/>
  <c r="W20" i="34"/>
  <c r="N21" i="34"/>
  <c r="O21" i="34"/>
  <c r="P21" i="34"/>
  <c r="Q21" i="34"/>
  <c r="R21" i="34"/>
  <c r="S21" i="34"/>
  <c r="T21" i="34"/>
  <c r="U21" i="34"/>
  <c r="V21" i="34"/>
  <c r="W21" i="34"/>
  <c r="N22" i="34"/>
  <c r="O22" i="34"/>
  <c r="P22" i="34"/>
  <c r="Q22" i="34"/>
  <c r="U22" i="34"/>
  <c r="V22" i="34"/>
  <c r="W22" i="34"/>
  <c r="N23" i="34"/>
  <c r="O23" i="34"/>
  <c r="P23" i="34"/>
  <c r="Q23" i="34"/>
  <c r="R23" i="34"/>
  <c r="S23" i="34"/>
  <c r="T23" i="34"/>
  <c r="U23" i="34"/>
  <c r="V23" i="34"/>
  <c r="W23" i="34"/>
  <c r="N24" i="34"/>
  <c r="O24" i="34"/>
  <c r="P24" i="34"/>
  <c r="Q24" i="34"/>
  <c r="R24" i="34"/>
  <c r="S24" i="34"/>
  <c r="T24" i="34"/>
  <c r="U24" i="34"/>
  <c r="V24" i="34"/>
  <c r="W24" i="34"/>
  <c r="N25" i="34"/>
  <c r="O25" i="34"/>
  <c r="P25" i="34"/>
  <c r="Q25" i="34"/>
  <c r="R25" i="34"/>
  <c r="S25" i="34"/>
  <c r="T25" i="34"/>
  <c r="U25" i="34"/>
  <c r="V25" i="34"/>
  <c r="W25" i="34"/>
  <c r="N26" i="34"/>
  <c r="O26" i="34"/>
  <c r="P26" i="34"/>
  <c r="Q26" i="34"/>
  <c r="R26" i="34"/>
  <c r="S26" i="34"/>
  <c r="T26" i="34"/>
  <c r="U26" i="34"/>
  <c r="V26" i="34"/>
  <c r="W26" i="34"/>
  <c r="N27" i="34"/>
  <c r="O27" i="34"/>
  <c r="P27" i="34"/>
  <c r="Q27" i="34"/>
  <c r="R27" i="34"/>
  <c r="S27" i="34"/>
  <c r="T27" i="34"/>
  <c r="U27" i="34"/>
  <c r="V27" i="34"/>
  <c r="W27" i="34"/>
  <c r="N28" i="34"/>
  <c r="O28" i="34"/>
  <c r="P28" i="34"/>
  <c r="Q28" i="34"/>
  <c r="R28" i="34"/>
  <c r="S28" i="34"/>
  <c r="T28" i="34"/>
  <c r="U28" i="34"/>
  <c r="V28" i="34"/>
  <c r="W28" i="34"/>
  <c r="N29" i="34"/>
  <c r="O29" i="34"/>
  <c r="P29" i="34"/>
  <c r="Q29" i="34"/>
  <c r="R29" i="34"/>
  <c r="S29" i="34"/>
  <c r="T29" i="34"/>
  <c r="U29" i="34"/>
  <c r="V29" i="34"/>
  <c r="W29" i="34"/>
  <c r="N30" i="34"/>
  <c r="O30" i="34"/>
  <c r="P30" i="34"/>
  <c r="Q30" i="34"/>
  <c r="R30" i="34"/>
  <c r="S30" i="34"/>
  <c r="T30" i="34"/>
  <c r="U30" i="34"/>
  <c r="V30" i="34"/>
  <c r="W30" i="34"/>
  <c r="N31" i="34"/>
  <c r="O31" i="34"/>
  <c r="P31" i="34"/>
  <c r="Q31" i="34"/>
  <c r="R31" i="34"/>
  <c r="S31" i="34"/>
  <c r="T31" i="34"/>
  <c r="U31" i="34"/>
  <c r="V31" i="34"/>
  <c r="W31" i="34"/>
  <c r="N32" i="34"/>
  <c r="O32" i="34"/>
  <c r="P32" i="34"/>
  <c r="Q32" i="34"/>
  <c r="R32" i="34"/>
  <c r="S32" i="34"/>
  <c r="T32" i="34"/>
  <c r="U32" i="34"/>
  <c r="V32" i="34"/>
  <c r="W32" i="34"/>
  <c r="N33" i="34"/>
  <c r="O33" i="34"/>
  <c r="P33" i="34"/>
  <c r="Q33" i="34"/>
  <c r="R33" i="34"/>
  <c r="S33" i="34"/>
  <c r="T33" i="34"/>
  <c r="U33" i="34"/>
  <c r="V33" i="34"/>
  <c r="W33" i="34"/>
  <c r="N34" i="34"/>
  <c r="O34" i="34"/>
  <c r="P34" i="34"/>
  <c r="Q34" i="34"/>
  <c r="R34" i="34"/>
  <c r="S34" i="34"/>
  <c r="T34" i="34"/>
  <c r="U34" i="34"/>
  <c r="V34" i="34"/>
  <c r="W34" i="34"/>
  <c r="N35" i="34"/>
  <c r="O35" i="34"/>
  <c r="P35" i="34"/>
  <c r="Q35" i="34"/>
  <c r="R35" i="34"/>
  <c r="S35" i="34"/>
  <c r="T35" i="34"/>
  <c r="U35" i="34"/>
  <c r="V35" i="34"/>
  <c r="W35" i="34"/>
  <c r="N36" i="34"/>
  <c r="O36" i="34"/>
  <c r="P36" i="34"/>
  <c r="Q36" i="34"/>
  <c r="R36" i="34"/>
  <c r="S36" i="34"/>
  <c r="T36" i="34"/>
  <c r="U36" i="34"/>
  <c r="V36" i="34"/>
  <c r="W36" i="34"/>
  <c r="N37" i="34"/>
  <c r="O37" i="34"/>
  <c r="P37" i="34"/>
  <c r="Q37" i="34"/>
  <c r="R37" i="34"/>
  <c r="S37" i="34"/>
  <c r="T37" i="34"/>
  <c r="U37" i="34"/>
  <c r="V37" i="34"/>
  <c r="W37" i="34"/>
  <c r="N38" i="34"/>
  <c r="O38" i="34"/>
  <c r="P38" i="34"/>
  <c r="Q38" i="34"/>
  <c r="R38" i="34"/>
  <c r="S38" i="34"/>
  <c r="T38" i="34"/>
  <c r="U38" i="34"/>
  <c r="V38" i="34"/>
  <c r="W38" i="34"/>
  <c r="N39" i="34"/>
  <c r="O39" i="34"/>
  <c r="P39" i="34"/>
  <c r="Q39" i="34"/>
  <c r="R39" i="34"/>
  <c r="S39" i="34"/>
  <c r="T39" i="34"/>
  <c r="U39" i="34"/>
  <c r="V39" i="34"/>
  <c r="W39" i="34"/>
  <c r="N40" i="34"/>
  <c r="O40" i="34"/>
  <c r="P40" i="34"/>
  <c r="Q40" i="34"/>
  <c r="R40" i="34"/>
  <c r="S40" i="34"/>
  <c r="T40" i="34"/>
  <c r="U40" i="34"/>
  <c r="V40" i="34"/>
  <c r="W40" i="34"/>
  <c r="N41" i="34"/>
  <c r="O41" i="34"/>
  <c r="P41" i="34"/>
  <c r="Q41" i="34"/>
  <c r="R41" i="34"/>
  <c r="S41" i="34"/>
  <c r="T41" i="34"/>
  <c r="U41" i="34"/>
  <c r="V41" i="34"/>
  <c r="W41" i="34"/>
  <c r="N42" i="34"/>
  <c r="O42" i="34"/>
  <c r="P42" i="34"/>
  <c r="Q42" i="34"/>
  <c r="R42" i="34"/>
  <c r="S42" i="34"/>
  <c r="T42" i="34"/>
  <c r="U42" i="34"/>
  <c r="V42" i="34"/>
  <c r="W42" i="34"/>
  <c r="N43" i="34"/>
  <c r="O43" i="34"/>
  <c r="P43" i="34"/>
  <c r="Q43" i="34"/>
  <c r="R43" i="34"/>
  <c r="S43" i="34"/>
  <c r="T43" i="34"/>
  <c r="U43" i="34"/>
  <c r="V43" i="34"/>
  <c r="W43" i="34"/>
  <c r="N44" i="34"/>
  <c r="O44" i="34"/>
  <c r="P44" i="34"/>
  <c r="Q44" i="34"/>
  <c r="R44" i="34"/>
  <c r="S44" i="34"/>
  <c r="T44" i="34"/>
  <c r="U44" i="34"/>
  <c r="V44" i="34"/>
  <c r="W44" i="34"/>
  <c r="N45" i="34"/>
  <c r="O45" i="34"/>
  <c r="P45" i="34"/>
  <c r="Q45" i="34"/>
  <c r="R45" i="34"/>
  <c r="S45" i="34"/>
  <c r="T45" i="34"/>
  <c r="U45" i="34"/>
  <c r="V45" i="34"/>
  <c r="W45" i="34"/>
  <c r="N46" i="34"/>
  <c r="O46" i="34"/>
  <c r="P46" i="34"/>
  <c r="Q46" i="34"/>
  <c r="R46" i="34"/>
  <c r="S46" i="34"/>
  <c r="T46" i="34"/>
  <c r="U46" i="34"/>
  <c r="V46" i="34"/>
  <c r="W46" i="34"/>
  <c r="N47" i="34"/>
  <c r="O47" i="34"/>
  <c r="P47" i="34"/>
  <c r="Q47" i="34"/>
  <c r="U47" i="34"/>
  <c r="V47" i="34"/>
  <c r="W47" i="34"/>
  <c r="N48" i="34"/>
  <c r="O48" i="34"/>
  <c r="P48" i="34"/>
  <c r="Q48" i="34"/>
  <c r="R48" i="34"/>
  <c r="S48" i="34"/>
  <c r="T48" i="34"/>
  <c r="U48" i="34"/>
  <c r="V48" i="34"/>
  <c r="W48" i="34"/>
  <c r="N49" i="34"/>
  <c r="O49" i="34"/>
  <c r="P49" i="34"/>
  <c r="Q49" i="34"/>
  <c r="R49" i="34"/>
  <c r="S49" i="34"/>
  <c r="T49" i="34"/>
  <c r="U49" i="34"/>
  <c r="V49" i="34"/>
  <c r="W49" i="34"/>
  <c r="N50" i="34"/>
  <c r="O50" i="34"/>
  <c r="P50" i="34"/>
  <c r="Q50" i="34"/>
  <c r="R50" i="34"/>
  <c r="S50" i="34"/>
  <c r="T50" i="34"/>
  <c r="U50" i="34"/>
  <c r="V50" i="34"/>
  <c r="W50" i="34"/>
  <c r="N51" i="34"/>
  <c r="O51" i="34"/>
  <c r="P51" i="34"/>
  <c r="Q51" i="34"/>
  <c r="R51" i="34"/>
  <c r="S51" i="34"/>
  <c r="T51" i="34"/>
  <c r="U51" i="34"/>
  <c r="V51" i="34"/>
  <c r="W51" i="34"/>
  <c r="N52" i="34"/>
  <c r="O52" i="34"/>
  <c r="P52" i="34"/>
  <c r="Q52" i="34"/>
  <c r="R52" i="34"/>
  <c r="S52" i="34"/>
  <c r="T52" i="34"/>
  <c r="U52" i="34"/>
  <c r="V52" i="34"/>
  <c r="W52" i="34"/>
  <c r="N53" i="34"/>
  <c r="O53" i="34"/>
  <c r="P53" i="34"/>
  <c r="Q53" i="34"/>
  <c r="R53" i="34"/>
  <c r="S53" i="34"/>
  <c r="T53" i="34"/>
  <c r="U53" i="34"/>
  <c r="V53" i="34"/>
  <c r="W53" i="34"/>
  <c r="N54" i="34"/>
  <c r="O54" i="34"/>
  <c r="P54" i="34"/>
  <c r="Q54" i="34"/>
  <c r="R54" i="34"/>
  <c r="S54" i="34"/>
  <c r="T54" i="34"/>
  <c r="U54" i="34"/>
  <c r="V54" i="34"/>
  <c r="W54" i="34"/>
  <c r="N55" i="34"/>
  <c r="O55" i="34"/>
  <c r="P55" i="34"/>
  <c r="Q55" i="34"/>
  <c r="R55" i="34"/>
  <c r="S55" i="34"/>
  <c r="T55" i="34"/>
  <c r="U55" i="34"/>
  <c r="V55" i="34"/>
  <c r="W55" i="34"/>
  <c r="N56" i="34"/>
  <c r="O56" i="34"/>
  <c r="P56" i="34"/>
  <c r="Q56" i="34"/>
  <c r="U56" i="34"/>
  <c r="V56" i="34"/>
  <c r="W56" i="34"/>
  <c r="N57" i="34"/>
  <c r="O57" i="34"/>
  <c r="P57" i="34"/>
  <c r="Q57" i="34"/>
  <c r="U57" i="34"/>
  <c r="V57" i="34"/>
  <c r="W57" i="34"/>
  <c r="N58" i="34"/>
  <c r="O58" i="34"/>
  <c r="P58" i="34"/>
  <c r="Q58" i="34"/>
  <c r="R58" i="34"/>
  <c r="S58" i="34"/>
  <c r="T58" i="34"/>
  <c r="U58" i="34"/>
  <c r="V58" i="34"/>
  <c r="W58" i="34"/>
  <c r="N59" i="34"/>
  <c r="O59" i="34"/>
  <c r="P59" i="34"/>
  <c r="Q59" i="34"/>
  <c r="R59" i="34"/>
  <c r="S59" i="34"/>
  <c r="T59" i="34"/>
  <c r="U59" i="34"/>
  <c r="V59" i="34"/>
  <c r="W59" i="34"/>
  <c r="N60" i="34"/>
  <c r="O60" i="34"/>
  <c r="P60" i="34"/>
  <c r="Q60" i="34"/>
  <c r="R60" i="34"/>
  <c r="S60" i="34"/>
  <c r="T60" i="34"/>
  <c r="U60" i="34"/>
  <c r="V60" i="34"/>
  <c r="W60" i="34"/>
  <c r="N61" i="34"/>
  <c r="O61" i="34"/>
  <c r="P61" i="34"/>
  <c r="Q61" i="34"/>
  <c r="R61" i="34"/>
  <c r="S61" i="34"/>
  <c r="T61" i="34"/>
  <c r="U61" i="34"/>
  <c r="V61" i="34"/>
  <c r="W61" i="34"/>
  <c r="N62" i="34"/>
  <c r="O62" i="34"/>
  <c r="P62" i="34"/>
  <c r="Q62" i="34"/>
  <c r="R62" i="34"/>
  <c r="S62" i="34"/>
  <c r="T62" i="34"/>
  <c r="U62" i="34"/>
  <c r="V62" i="34"/>
  <c r="W62" i="34"/>
  <c r="N63" i="34"/>
  <c r="O63" i="34"/>
  <c r="P63" i="34"/>
  <c r="Q63" i="34"/>
  <c r="R63" i="34"/>
  <c r="S63" i="34"/>
  <c r="T63" i="34"/>
  <c r="U63" i="34"/>
  <c r="V63" i="34"/>
  <c r="W63" i="34"/>
  <c r="N64" i="34"/>
  <c r="O64" i="34"/>
  <c r="P64" i="34"/>
  <c r="Q64" i="34"/>
  <c r="U64" i="34"/>
  <c r="V64" i="34"/>
  <c r="W64" i="34"/>
  <c r="N65" i="34"/>
  <c r="O65" i="34"/>
  <c r="P65" i="34"/>
  <c r="Q65" i="34"/>
  <c r="U65" i="34"/>
  <c r="V65" i="34"/>
  <c r="W65" i="34"/>
  <c r="N66" i="34"/>
  <c r="O66" i="34"/>
  <c r="P66" i="34"/>
  <c r="Q66" i="34"/>
  <c r="U66" i="34"/>
  <c r="V66" i="34"/>
  <c r="W66" i="34"/>
  <c r="N67" i="34"/>
  <c r="O67" i="34"/>
  <c r="P67" i="34"/>
  <c r="Q67" i="34"/>
  <c r="U67" i="34"/>
  <c r="V67" i="34"/>
  <c r="W67" i="34"/>
  <c r="N68" i="34"/>
  <c r="O68" i="34"/>
  <c r="P68" i="34"/>
  <c r="Q68" i="34"/>
  <c r="R68" i="34"/>
  <c r="S68" i="34"/>
  <c r="T68" i="34"/>
  <c r="U68" i="34"/>
  <c r="V68" i="34"/>
  <c r="W68" i="34"/>
  <c r="N69" i="34"/>
  <c r="O69" i="34"/>
  <c r="P69" i="34"/>
  <c r="Q69" i="34"/>
  <c r="R69" i="34"/>
  <c r="S69" i="34"/>
  <c r="T69" i="34"/>
  <c r="U69" i="34"/>
  <c r="V69" i="34"/>
  <c r="W69" i="34"/>
  <c r="N70" i="34"/>
  <c r="O70" i="34"/>
  <c r="P70" i="34"/>
  <c r="Q70" i="34"/>
  <c r="R70" i="34"/>
  <c r="S70" i="34"/>
  <c r="T70" i="34"/>
  <c r="U70" i="34"/>
  <c r="V70" i="34"/>
  <c r="W70" i="34"/>
  <c r="N71" i="34"/>
  <c r="O71" i="34"/>
  <c r="P71" i="34"/>
  <c r="Q71" i="34"/>
  <c r="R71" i="34"/>
  <c r="S71" i="34"/>
  <c r="T71" i="34"/>
  <c r="U71" i="34"/>
  <c r="V71" i="34"/>
  <c r="W71" i="34"/>
  <c r="N72" i="34"/>
  <c r="O72" i="34"/>
  <c r="P72" i="34"/>
  <c r="Q72" i="34"/>
  <c r="R72" i="34"/>
  <c r="S72" i="34"/>
  <c r="T72" i="34"/>
  <c r="U72" i="34"/>
  <c r="V72" i="34"/>
  <c r="W72" i="34"/>
  <c r="N73" i="34"/>
  <c r="O73" i="34"/>
  <c r="P73" i="34"/>
  <c r="Q73" i="34"/>
  <c r="U73" i="34"/>
  <c r="V73" i="34"/>
  <c r="W73" i="34"/>
  <c r="N74" i="34"/>
  <c r="O74" i="34"/>
  <c r="P74" i="34"/>
  <c r="Q74" i="34"/>
  <c r="R74" i="34"/>
  <c r="S74" i="34"/>
  <c r="T74" i="34"/>
  <c r="U74" i="34"/>
  <c r="V74" i="34"/>
  <c r="W74" i="34"/>
  <c r="N75" i="34"/>
  <c r="O75" i="34"/>
  <c r="P75" i="34"/>
  <c r="Q75" i="34"/>
  <c r="R75" i="34"/>
  <c r="S75" i="34"/>
  <c r="T75" i="34"/>
  <c r="U75" i="34"/>
  <c r="V75" i="34"/>
  <c r="W75" i="34"/>
  <c r="N76" i="34"/>
  <c r="O76" i="34"/>
  <c r="P76" i="34"/>
  <c r="Q76" i="34"/>
  <c r="R76" i="34"/>
  <c r="S76" i="34"/>
  <c r="T76" i="34"/>
  <c r="U76" i="34"/>
  <c r="V76" i="34"/>
  <c r="W76" i="34"/>
  <c r="N77" i="34"/>
  <c r="O77" i="34"/>
  <c r="P77" i="34"/>
  <c r="Q77" i="34"/>
  <c r="R77" i="34"/>
  <c r="S77" i="34"/>
  <c r="T77" i="34"/>
  <c r="U77" i="34"/>
  <c r="V77" i="34"/>
  <c r="W77" i="34"/>
  <c r="N78" i="34"/>
  <c r="O78" i="34"/>
  <c r="P78" i="34"/>
  <c r="Q78" i="34"/>
  <c r="R78" i="34"/>
  <c r="S78" i="34"/>
  <c r="T78" i="34"/>
  <c r="U78" i="34"/>
  <c r="V78" i="34"/>
  <c r="W78" i="34"/>
  <c r="N79" i="34"/>
  <c r="O79" i="34"/>
  <c r="P79" i="34"/>
  <c r="Q79" i="34"/>
  <c r="R79" i="34"/>
  <c r="S79" i="34"/>
  <c r="T79" i="34"/>
  <c r="U79" i="34"/>
  <c r="V79" i="34"/>
  <c r="W79" i="34"/>
  <c r="N80" i="34"/>
  <c r="O80" i="34"/>
  <c r="P80" i="34"/>
  <c r="Q80" i="34"/>
  <c r="R80" i="34"/>
  <c r="S80" i="34"/>
  <c r="T80" i="34"/>
  <c r="U80" i="34"/>
  <c r="V80" i="34"/>
  <c r="W80" i="34"/>
  <c r="N81" i="34"/>
  <c r="O81" i="34"/>
  <c r="P81" i="34"/>
  <c r="Q81" i="34"/>
  <c r="R81" i="34"/>
  <c r="S81" i="34"/>
  <c r="T81" i="34"/>
  <c r="U81" i="34"/>
  <c r="V81" i="34"/>
  <c r="W81" i="34"/>
  <c r="N82" i="34"/>
  <c r="O82" i="34"/>
  <c r="P82" i="34"/>
  <c r="Q82" i="34"/>
  <c r="R82" i="34"/>
  <c r="S82" i="34"/>
  <c r="T82" i="34"/>
  <c r="U82" i="34"/>
  <c r="V82" i="34"/>
  <c r="W82" i="34"/>
  <c r="N83" i="34"/>
  <c r="O83" i="34"/>
  <c r="P83" i="34"/>
  <c r="Q83" i="34"/>
  <c r="R83" i="34"/>
  <c r="S83" i="34"/>
  <c r="T83" i="34"/>
  <c r="U83" i="34"/>
  <c r="V83" i="34"/>
  <c r="W83" i="34"/>
  <c r="N84" i="34"/>
  <c r="O84" i="34"/>
  <c r="P84" i="34"/>
  <c r="Q84" i="34"/>
  <c r="R84" i="34"/>
  <c r="S84" i="34"/>
  <c r="T84" i="34"/>
  <c r="U84" i="34"/>
  <c r="V84" i="34"/>
  <c r="W84" i="34"/>
  <c r="N85" i="34"/>
  <c r="O85" i="34"/>
  <c r="P85" i="34"/>
  <c r="Q85" i="34"/>
  <c r="R85" i="34"/>
  <c r="S85" i="34"/>
  <c r="T85" i="34"/>
  <c r="U85" i="34"/>
  <c r="V85" i="34"/>
  <c r="W85" i="34"/>
  <c r="N86" i="34"/>
  <c r="O86" i="34"/>
  <c r="P86" i="34"/>
  <c r="Q86" i="34"/>
  <c r="R86" i="34"/>
  <c r="S86" i="34"/>
  <c r="T86" i="34"/>
  <c r="U86" i="34"/>
  <c r="V86" i="34"/>
  <c r="W86" i="34"/>
  <c r="N87" i="34"/>
  <c r="O87" i="34"/>
  <c r="P87" i="34"/>
  <c r="Q87" i="34"/>
  <c r="R87" i="34"/>
  <c r="S87" i="34"/>
  <c r="T87" i="34"/>
  <c r="U87" i="34"/>
  <c r="V87" i="34"/>
  <c r="W87" i="34"/>
  <c r="N88" i="34"/>
  <c r="O88" i="34"/>
  <c r="P88" i="34"/>
  <c r="Q88" i="34"/>
  <c r="R88" i="34"/>
  <c r="S88" i="34"/>
  <c r="T88" i="34"/>
  <c r="U88" i="34"/>
  <c r="V88" i="34"/>
  <c r="W88" i="34"/>
  <c r="N89" i="34"/>
  <c r="O89" i="34"/>
  <c r="P89" i="34"/>
  <c r="Q89" i="34"/>
  <c r="R89" i="34"/>
  <c r="S89" i="34"/>
  <c r="T89" i="34"/>
  <c r="U89" i="34"/>
  <c r="V89" i="34"/>
  <c r="W89" i="34"/>
  <c r="N90" i="34"/>
  <c r="O90" i="34"/>
  <c r="P90" i="34"/>
  <c r="Q90" i="34"/>
  <c r="U90" i="34"/>
  <c r="V90" i="34"/>
  <c r="W90" i="34"/>
  <c r="N91" i="34"/>
  <c r="O91" i="34"/>
  <c r="P91" i="34"/>
  <c r="Q91" i="34"/>
  <c r="U91" i="34"/>
  <c r="V91" i="34"/>
  <c r="W91" i="34"/>
  <c r="N92" i="34"/>
  <c r="O92" i="34"/>
  <c r="P92" i="34"/>
  <c r="Q92" i="34"/>
  <c r="U92" i="34"/>
  <c r="V92" i="34"/>
  <c r="W92" i="34"/>
  <c r="N93" i="34"/>
  <c r="O93" i="34"/>
  <c r="P93" i="34"/>
  <c r="Q93" i="34"/>
  <c r="R93" i="34"/>
  <c r="S93" i="34"/>
  <c r="T93" i="34"/>
  <c r="U93" i="34"/>
  <c r="V93" i="34"/>
  <c r="W93" i="34"/>
  <c r="N94" i="34"/>
  <c r="O94" i="34"/>
  <c r="P94" i="34"/>
  <c r="Q94" i="34"/>
  <c r="R94" i="34"/>
  <c r="S94" i="34"/>
  <c r="T94" i="34"/>
  <c r="U94" i="34"/>
  <c r="V94" i="34"/>
  <c r="W94" i="34"/>
  <c r="N95" i="34"/>
  <c r="O95" i="34"/>
  <c r="P95" i="34"/>
  <c r="Q95" i="34"/>
  <c r="R95" i="34"/>
  <c r="S95" i="34"/>
  <c r="T95" i="34"/>
  <c r="U95" i="34"/>
  <c r="V95" i="34"/>
  <c r="W95" i="34"/>
  <c r="N96" i="34"/>
  <c r="O96" i="34"/>
  <c r="P96" i="34"/>
  <c r="Q96" i="34"/>
  <c r="R96" i="34"/>
  <c r="S96" i="34"/>
  <c r="T96" i="34"/>
  <c r="U96" i="34"/>
  <c r="V96" i="34"/>
  <c r="W96" i="34"/>
  <c r="N97" i="34"/>
  <c r="O97" i="34"/>
  <c r="P97" i="34"/>
  <c r="Q97" i="34"/>
  <c r="R97" i="34"/>
  <c r="S97" i="34"/>
  <c r="T97" i="34"/>
  <c r="U97" i="34"/>
  <c r="V97" i="34"/>
  <c r="W97" i="34"/>
  <c r="N98" i="34"/>
  <c r="O98" i="34"/>
  <c r="P98" i="34"/>
  <c r="Q98" i="34"/>
  <c r="R98" i="34"/>
  <c r="S98" i="34"/>
  <c r="T98" i="34"/>
  <c r="U98" i="34"/>
  <c r="V98" i="34"/>
  <c r="W98" i="34"/>
  <c r="N99" i="34"/>
  <c r="O99" i="34"/>
  <c r="P99" i="34"/>
  <c r="Q99" i="34"/>
  <c r="R99" i="34"/>
  <c r="S99" i="34"/>
  <c r="T99" i="34"/>
  <c r="U99" i="34"/>
  <c r="V99" i="34"/>
  <c r="W99" i="34"/>
  <c r="N100" i="34"/>
  <c r="O100" i="34"/>
  <c r="P100" i="34"/>
  <c r="Q100" i="34"/>
  <c r="R100" i="34"/>
  <c r="S100" i="34"/>
  <c r="T100" i="34"/>
  <c r="U100" i="34"/>
  <c r="V100" i="34"/>
  <c r="W100" i="34"/>
  <c r="N101" i="34"/>
  <c r="O101" i="34"/>
  <c r="P101" i="34"/>
  <c r="Q101" i="34"/>
  <c r="R101" i="34"/>
  <c r="S101" i="34"/>
  <c r="T101" i="34"/>
  <c r="U101" i="34"/>
  <c r="V101" i="34"/>
  <c r="W101" i="34"/>
  <c r="N102" i="34"/>
  <c r="O102" i="34"/>
  <c r="P102" i="34"/>
  <c r="Q102" i="34"/>
  <c r="R102" i="34"/>
  <c r="S102" i="34"/>
  <c r="T102" i="34"/>
  <c r="U102" i="34"/>
  <c r="V102" i="34"/>
  <c r="W102" i="34"/>
  <c r="N103" i="34"/>
  <c r="O103" i="34"/>
  <c r="P103" i="34"/>
  <c r="Q103" i="34"/>
  <c r="R103" i="34"/>
  <c r="S103" i="34"/>
  <c r="T103" i="34"/>
  <c r="U103" i="34"/>
  <c r="V103" i="34"/>
  <c r="W103" i="34"/>
  <c r="N104" i="34"/>
  <c r="O104" i="34"/>
  <c r="P104" i="34"/>
  <c r="Q104" i="34"/>
  <c r="R104" i="34"/>
  <c r="S104" i="34"/>
  <c r="T104" i="34"/>
  <c r="U104" i="34"/>
  <c r="V104" i="34"/>
  <c r="W104" i="34"/>
  <c r="N105" i="34"/>
  <c r="O105" i="34"/>
  <c r="P105" i="34"/>
  <c r="Q105" i="34"/>
  <c r="R105" i="34"/>
  <c r="S105" i="34"/>
  <c r="T105" i="34"/>
  <c r="U105" i="34"/>
  <c r="V105" i="34"/>
  <c r="W105" i="34"/>
  <c r="N106" i="34"/>
  <c r="O106" i="34"/>
  <c r="P106" i="34"/>
  <c r="Q106" i="34"/>
  <c r="R106" i="34"/>
  <c r="S106" i="34"/>
  <c r="T106" i="34"/>
  <c r="U106" i="34"/>
  <c r="V106" i="34"/>
  <c r="W106" i="34"/>
  <c r="N107" i="34"/>
  <c r="O107" i="34"/>
  <c r="P107" i="34"/>
  <c r="Q107" i="34"/>
  <c r="R107" i="34"/>
  <c r="S107" i="34"/>
  <c r="T107" i="34"/>
  <c r="U107" i="34"/>
  <c r="V107" i="34"/>
  <c r="W107" i="34"/>
  <c r="N108" i="34"/>
  <c r="O108" i="34"/>
  <c r="P108" i="34"/>
  <c r="Q108" i="34"/>
  <c r="R108" i="34"/>
  <c r="S108" i="34"/>
  <c r="T108" i="34"/>
  <c r="U108" i="34"/>
  <c r="V108" i="34"/>
  <c r="W108" i="34"/>
  <c r="N109" i="34"/>
  <c r="O109" i="34"/>
  <c r="P109" i="34"/>
  <c r="Q109" i="34"/>
  <c r="R109" i="34"/>
  <c r="S109" i="34"/>
  <c r="T109" i="34"/>
  <c r="U109" i="34"/>
  <c r="V109" i="34"/>
  <c r="W109" i="34"/>
  <c r="N110" i="34"/>
  <c r="O110" i="34"/>
  <c r="P110" i="34"/>
  <c r="Q110" i="34"/>
  <c r="R110" i="34"/>
  <c r="S110" i="34"/>
  <c r="T110" i="34"/>
  <c r="U110" i="34"/>
  <c r="V110" i="34"/>
  <c r="W110" i="34"/>
  <c r="N111" i="34"/>
  <c r="O111" i="34"/>
  <c r="P111" i="34"/>
  <c r="Q111" i="34"/>
  <c r="R111" i="34"/>
  <c r="S111" i="34"/>
  <c r="T111" i="34"/>
  <c r="U111" i="34"/>
  <c r="V111" i="34"/>
  <c r="W111" i="34"/>
  <c r="N112" i="34"/>
  <c r="O112" i="34"/>
  <c r="P112" i="34"/>
  <c r="Q112" i="34"/>
  <c r="R112" i="34"/>
  <c r="S112" i="34"/>
  <c r="T112" i="34"/>
  <c r="U112" i="34"/>
  <c r="V112" i="34"/>
  <c r="W112" i="34"/>
  <c r="N113" i="34"/>
  <c r="O113" i="34"/>
  <c r="P113" i="34"/>
  <c r="Q113" i="34"/>
  <c r="R113" i="34"/>
  <c r="S113" i="34"/>
  <c r="T113" i="34"/>
  <c r="U113" i="34"/>
  <c r="V113" i="34"/>
  <c r="W113" i="34"/>
  <c r="N114" i="34"/>
  <c r="O114" i="34"/>
  <c r="P114" i="34"/>
  <c r="Q114" i="34"/>
  <c r="R114" i="34"/>
  <c r="S114" i="34"/>
  <c r="T114" i="34"/>
  <c r="U114" i="34"/>
  <c r="V114" i="34"/>
  <c r="W114" i="34"/>
  <c r="N115" i="34"/>
  <c r="O115" i="34"/>
  <c r="P115" i="34"/>
  <c r="Q115" i="34"/>
  <c r="R115" i="34"/>
  <c r="S115" i="34"/>
  <c r="T115" i="34"/>
  <c r="U115" i="34"/>
  <c r="V115" i="34"/>
  <c r="W115" i="34"/>
  <c r="N116" i="34"/>
  <c r="O116" i="34"/>
  <c r="P116" i="34"/>
  <c r="Q116" i="34"/>
  <c r="R116" i="34"/>
  <c r="S116" i="34"/>
  <c r="T116" i="34"/>
  <c r="U116" i="34"/>
  <c r="V116" i="34"/>
  <c r="W116" i="34"/>
  <c r="N117" i="34"/>
  <c r="O117" i="34"/>
  <c r="P117" i="34"/>
  <c r="Q117" i="34"/>
  <c r="U117" i="34"/>
  <c r="V117" i="34"/>
  <c r="W117" i="34"/>
  <c r="N118" i="34"/>
  <c r="O118" i="34"/>
  <c r="P118" i="34"/>
  <c r="Q118" i="34"/>
  <c r="R118" i="34"/>
  <c r="S118" i="34"/>
  <c r="T118" i="34"/>
  <c r="U118" i="34"/>
  <c r="V118" i="34"/>
  <c r="W118" i="34"/>
  <c r="N119" i="34"/>
  <c r="O119" i="34"/>
  <c r="P119" i="34"/>
  <c r="Q119" i="34"/>
  <c r="R119" i="34"/>
  <c r="S119" i="34"/>
  <c r="T119" i="34"/>
  <c r="U119" i="34"/>
  <c r="V119" i="34"/>
  <c r="W119" i="34"/>
  <c r="N120" i="34"/>
  <c r="O120" i="34"/>
  <c r="P120" i="34"/>
  <c r="Q120" i="34"/>
  <c r="R120" i="34"/>
  <c r="S120" i="34"/>
  <c r="T120" i="34"/>
  <c r="U120" i="34"/>
  <c r="V120" i="34"/>
  <c r="W120" i="34"/>
  <c r="N121" i="34"/>
  <c r="O121" i="34"/>
  <c r="P121" i="34"/>
  <c r="Q121" i="34"/>
  <c r="R121" i="34"/>
  <c r="S121" i="34"/>
  <c r="T121" i="34"/>
  <c r="U121" i="34"/>
  <c r="V121" i="34"/>
  <c r="W121" i="34"/>
  <c r="N122" i="34"/>
  <c r="O122" i="34"/>
  <c r="P122" i="34"/>
  <c r="Q122" i="34"/>
  <c r="R122" i="34"/>
  <c r="S122" i="34"/>
  <c r="T122" i="34"/>
  <c r="U122" i="34"/>
  <c r="V122" i="34"/>
  <c r="W122" i="34"/>
  <c r="N123" i="34"/>
  <c r="O123" i="34"/>
  <c r="P123" i="34"/>
  <c r="Q123" i="34"/>
  <c r="R123" i="34"/>
  <c r="S123" i="34"/>
  <c r="T123" i="34"/>
  <c r="U123" i="34"/>
  <c r="V123" i="34"/>
  <c r="W123" i="34"/>
  <c r="N124" i="34"/>
  <c r="O124" i="34"/>
  <c r="P124" i="34"/>
  <c r="Q124" i="34"/>
  <c r="R124" i="34"/>
  <c r="S124" i="34"/>
  <c r="T124" i="34"/>
  <c r="U124" i="34"/>
  <c r="V124" i="34"/>
  <c r="W124" i="34"/>
  <c r="N125" i="34"/>
  <c r="O125" i="34"/>
  <c r="P125" i="34"/>
  <c r="Q125" i="34"/>
  <c r="R125" i="34"/>
  <c r="S125" i="34"/>
  <c r="T125" i="34"/>
  <c r="U125" i="34"/>
  <c r="V125" i="34"/>
  <c r="W125" i="34"/>
  <c r="N126" i="34"/>
  <c r="O126" i="34"/>
  <c r="P126" i="34"/>
  <c r="Q126" i="34"/>
  <c r="R126" i="34"/>
  <c r="S126" i="34"/>
  <c r="T126" i="34"/>
  <c r="U126" i="34"/>
  <c r="V126" i="34"/>
  <c r="W126" i="34"/>
  <c r="N127" i="34"/>
  <c r="O127" i="34"/>
  <c r="P127" i="34"/>
  <c r="Q127" i="34"/>
  <c r="R127" i="34"/>
  <c r="S127" i="34"/>
  <c r="T127" i="34"/>
  <c r="U127" i="34"/>
  <c r="V127" i="34"/>
  <c r="W127" i="34"/>
  <c r="N128" i="34"/>
  <c r="O128" i="34"/>
  <c r="P128" i="34"/>
  <c r="Q128" i="34"/>
  <c r="R128" i="34"/>
  <c r="S128" i="34"/>
  <c r="T128" i="34"/>
  <c r="U128" i="34"/>
  <c r="V128" i="34"/>
  <c r="W128" i="34"/>
  <c r="N129" i="34"/>
  <c r="O129" i="34"/>
  <c r="P129" i="34"/>
  <c r="Q129" i="34"/>
  <c r="R129" i="34"/>
  <c r="S129" i="34"/>
  <c r="T129" i="34"/>
  <c r="U129" i="34"/>
  <c r="V129" i="34"/>
  <c r="W129" i="34"/>
  <c r="N130" i="34"/>
  <c r="O130" i="34"/>
  <c r="P130" i="34"/>
  <c r="Q130" i="34"/>
  <c r="R130" i="34"/>
  <c r="S130" i="34"/>
  <c r="T130" i="34"/>
  <c r="U130" i="34"/>
  <c r="V130" i="34"/>
  <c r="W130" i="34"/>
  <c r="N131" i="34"/>
  <c r="O131" i="34"/>
  <c r="P131" i="34"/>
  <c r="Q131" i="34"/>
  <c r="R131" i="34"/>
  <c r="S131" i="34"/>
  <c r="T131" i="34"/>
  <c r="U131" i="34"/>
  <c r="V131" i="34"/>
  <c r="W131" i="34"/>
  <c r="N132" i="34"/>
  <c r="O132" i="34"/>
  <c r="P132" i="34"/>
  <c r="Q132" i="34"/>
  <c r="R132" i="34"/>
  <c r="S132" i="34"/>
  <c r="T132" i="34"/>
  <c r="U132" i="34"/>
  <c r="V132" i="34"/>
  <c r="W132" i="34"/>
  <c r="N133" i="34"/>
  <c r="O133" i="34"/>
  <c r="P133" i="34"/>
  <c r="Q133" i="34"/>
  <c r="R133" i="34"/>
  <c r="S133" i="34"/>
  <c r="T133" i="34"/>
  <c r="U133" i="34"/>
  <c r="V133" i="34"/>
  <c r="W133" i="34"/>
  <c r="N134" i="34"/>
  <c r="O134" i="34"/>
  <c r="P134" i="34"/>
  <c r="Q134" i="34"/>
  <c r="U134" i="34"/>
  <c r="V134" i="34"/>
  <c r="W134" i="34"/>
  <c r="N135" i="34"/>
  <c r="O135" i="34"/>
  <c r="P135" i="34"/>
  <c r="Q135" i="34"/>
  <c r="R135" i="34"/>
  <c r="S135" i="34"/>
  <c r="T135" i="34"/>
  <c r="U135" i="34"/>
  <c r="V135" i="34"/>
  <c r="W135" i="34"/>
  <c r="N136" i="34"/>
  <c r="O136" i="34"/>
  <c r="P136" i="34"/>
  <c r="Q136" i="34"/>
  <c r="R136" i="34"/>
  <c r="S136" i="34"/>
  <c r="T136" i="34"/>
  <c r="U136" i="34"/>
  <c r="V136" i="34"/>
  <c r="W136" i="34"/>
  <c r="N137" i="34"/>
  <c r="O137" i="34"/>
  <c r="P137" i="34"/>
  <c r="Q137" i="34"/>
  <c r="R137" i="34"/>
  <c r="S137" i="34"/>
  <c r="T137" i="34"/>
  <c r="U137" i="34"/>
  <c r="V137" i="34"/>
  <c r="W137" i="34"/>
  <c r="N138" i="34"/>
  <c r="O138" i="34"/>
  <c r="P138" i="34"/>
  <c r="Q138" i="34"/>
  <c r="R138" i="34"/>
  <c r="S138" i="34"/>
  <c r="T138" i="34"/>
  <c r="U138" i="34"/>
  <c r="V138" i="34"/>
  <c r="W138" i="34"/>
  <c r="N139" i="34"/>
  <c r="O139" i="34"/>
  <c r="P139" i="34"/>
  <c r="Q139" i="34"/>
  <c r="R139" i="34"/>
  <c r="S139" i="34"/>
  <c r="T139" i="34"/>
  <c r="U139" i="34"/>
  <c r="V139" i="34"/>
  <c r="W139" i="34"/>
  <c r="N140" i="34"/>
  <c r="O140" i="34"/>
  <c r="P140" i="34"/>
  <c r="Q140" i="34"/>
  <c r="R140" i="34"/>
  <c r="S140" i="34"/>
  <c r="T140" i="34"/>
  <c r="U140" i="34"/>
  <c r="V140" i="34"/>
  <c r="W140" i="34"/>
  <c r="N141" i="34"/>
  <c r="O141" i="34"/>
  <c r="P141" i="34"/>
  <c r="Q141" i="34"/>
  <c r="R141" i="34"/>
  <c r="S141" i="34"/>
  <c r="T141" i="34"/>
  <c r="U141" i="34"/>
  <c r="V141" i="34"/>
  <c r="W141" i="34"/>
  <c r="N142" i="34"/>
  <c r="O142" i="34"/>
  <c r="P142" i="34"/>
  <c r="Q142" i="34"/>
  <c r="R142" i="34"/>
  <c r="S142" i="34"/>
  <c r="T142" i="34"/>
  <c r="U142" i="34"/>
  <c r="V142" i="34"/>
  <c r="W142" i="34"/>
  <c r="N143" i="34"/>
  <c r="O143" i="34"/>
  <c r="P143" i="34"/>
  <c r="Q143" i="34"/>
  <c r="R143" i="34"/>
  <c r="S143" i="34"/>
  <c r="T143" i="34"/>
  <c r="U143" i="34"/>
  <c r="V143" i="34"/>
  <c r="W143" i="34"/>
  <c r="N144" i="34"/>
  <c r="O144" i="34"/>
  <c r="P144" i="34"/>
  <c r="Q144" i="34"/>
  <c r="R144" i="34"/>
  <c r="S144" i="34"/>
  <c r="T144" i="34"/>
  <c r="U144" i="34"/>
  <c r="V144" i="34"/>
  <c r="W144" i="34"/>
  <c r="N145" i="34"/>
  <c r="O145" i="34"/>
  <c r="P145" i="34"/>
  <c r="Q145" i="34"/>
  <c r="R145" i="34"/>
  <c r="S145" i="34"/>
  <c r="T145" i="34"/>
  <c r="U145" i="34"/>
  <c r="V145" i="34"/>
  <c r="W145" i="34"/>
  <c r="N146" i="34"/>
  <c r="O146" i="34"/>
  <c r="P146" i="34"/>
  <c r="Q146" i="34"/>
  <c r="R146" i="34"/>
  <c r="S146" i="34"/>
  <c r="T146" i="34"/>
  <c r="U146" i="34"/>
  <c r="V146" i="34"/>
  <c r="W146" i="34"/>
  <c r="N147" i="34"/>
  <c r="O147" i="34"/>
  <c r="P147" i="34"/>
  <c r="Q147" i="34"/>
  <c r="R147" i="34"/>
  <c r="S147" i="34"/>
  <c r="T147" i="34"/>
  <c r="U147" i="34"/>
  <c r="V147" i="34"/>
  <c r="W147" i="34"/>
  <c r="N148" i="34"/>
  <c r="O148" i="34"/>
  <c r="P148" i="34"/>
  <c r="Q148" i="34"/>
  <c r="R148" i="34"/>
  <c r="S148" i="34"/>
  <c r="T148" i="34"/>
  <c r="U148" i="34"/>
  <c r="V148" i="34"/>
  <c r="W148" i="34"/>
  <c r="N149" i="34"/>
  <c r="O149" i="34"/>
  <c r="P149" i="34"/>
  <c r="Q149" i="34"/>
  <c r="R149" i="34"/>
  <c r="S149" i="34"/>
  <c r="T149" i="34"/>
  <c r="U149" i="34"/>
  <c r="V149" i="34"/>
  <c r="W149" i="34"/>
  <c r="N150" i="34"/>
  <c r="O150" i="34"/>
  <c r="P150" i="34"/>
  <c r="Q150" i="34"/>
  <c r="R150" i="34"/>
  <c r="S150" i="34"/>
  <c r="T150" i="34"/>
  <c r="U150" i="34"/>
  <c r="V150" i="34"/>
  <c r="W150" i="34"/>
  <c r="N151" i="34"/>
  <c r="O151" i="34"/>
  <c r="P151" i="34"/>
  <c r="Q151" i="34"/>
  <c r="R151" i="34"/>
  <c r="S151" i="34"/>
  <c r="T151" i="34"/>
  <c r="U151" i="34"/>
  <c r="V151" i="34"/>
  <c r="W151" i="34"/>
  <c r="N152" i="34"/>
  <c r="O152" i="34"/>
  <c r="P152" i="34"/>
  <c r="Q152" i="34"/>
  <c r="R152" i="34"/>
  <c r="S152" i="34"/>
  <c r="T152" i="34"/>
  <c r="U152" i="34"/>
  <c r="V152" i="34"/>
  <c r="W152" i="34"/>
  <c r="N153" i="34"/>
  <c r="O153" i="34"/>
  <c r="P153" i="34"/>
  <c r="Q153" i="34"/>
  <c r="R153" i="34"/>
  <c r="S153" i="34"/>
  <c r="T153" i="34"/>
  <c r="U153" i="34"/>
  <c r="V153" i="34"/>
  <c r="W153" i="34"/>
  <c r="N154" i="34"/>
  <c r="O154" i="34"/>
  <c r="P154" i="34"/>
  <c r="Q154" i="34"/>
  <c r="R154" i="34"/>
  <c r="S154" i="34"/>
  <c r="T154" i="34"/>
  <c r="U154" i="34"/>
  <c r="V154" i="34"/>
  <c r="W154" i="34"/>
  <c r="N155" i="34"/>
  <c r="O155" i="34"/>
  <c r="P155" i="34"/>
  <c r="Q155" i="34"/>
  <c r="R155" i="34"/>
  <c r="S155" i="34"/>
  <c r="T155" i="34"/>
  <c r="U155" i="34"/>
  <c r="V155" i="34"/>
  <c r="W155" i="34"/>
  <c r="N156" i="34"/>
  <c r="O156" i="34"/>
  <c r="P156" i="34"/>
  <c r="Q156" i="34"/>
  <c r="R156" i="34"/>
  <c r="S156" i="34"/>
  <c r="T156" i="34"/>
  <c r="U156" i="34"/>
  <c r="V156" i="34"/>
  <c r="W156" i="34"/>
  <c r="N157" i="34"/>
  <c r="O157" i="34"/>
  <c r="P157" i="34"/>
  <c r="Q157" i="34"/>
  <c r="R157" i="34"/>
  <c r="S157" i="34"/>
  <c r="T157" i="34"/>
  <c r="U157" i="34"/>
  <c r="V157" i="34"/>
  <c r="W157" i="34"/>
  <c r="N158" i="34"/>
  <c r="O158" i="34"/>
  <c r="P158" i="34"/>
  <c r="Q158" i="34"/>
  <c r="R158" i="34"/>
  <c r="S158" i="34"/>
  <c r="T158" i="34"/>
  <c r="U158" i="34"/>
  <c r="V158" i="34"/>
  <c r="W158" i="34"/>
  <c r="N159" i="34"/>
  <c r="O159" i="34"/>
  <c r="P159" i="34"/>
  <c r="Q159" i="34"/>
  <c r="U159" i="34"/>
  <c r="V159" i="34"/>
  <c r="W159" i="34"/>
  <c r="N160" i="34"/>
  <c r="O160" i="34"/>
  <c r="P160" i="34"/>
  <c r="Q160" i="34"/>
  <c r="R160" i="34"/>
  <c r="S160" i="34"/>
  <c r="T160" i="34"/>
  <c r="U160" i="34"/>
  <c r="V160" i="34"/>
  <c r="W160" i="34"/>
  <c r="N161" i="34"/>
  <c r="O161" i="34"/>
  <c r="P161" i="34"/>
  <c r="Q161" i="34"/>
  <c r="R161" i="34"/>
  <c r="S161" i="34"/>
  <c r="T161" i="34"/>
  <c r="U161" i="34"/>
  <c r="V161" i="34"/>
  <c r="W161" i="34"/>
  <c r="N162" i="34"/>
  <c r="O162" i="34"/>
  <c r="P162" i="34"/>
  <c r="Q162" i="34"/>
  <c r="R162" i="34"/>
  <c r="S162" i="34"/>
  <c r="T162" i="34"/>
  <c r="U162" i="34"/>
  <c r="V162" i="34"/>
  <c r="W162" i="34"/>
  <c r="N163" i="34"/>
  <c r="O163" i="34"/>
  <c r="P163" i="34"/>
  <c r="Q163" i="34"/>
  <c r="R163" i="34"/>
  <c r="S163" i="34"/>
  <c r="T163" i="34"/>
  <c r="U163" i="34"/>
  <c r="V163" i="34"/>
  <c r="W163" i="34"/>
  <c r="N164" i="34"/>
  <c r="O164" i="34"/>
  <c r="P164" i="34"/>
  <c r="Q164" i="34"/>
  <c r="R164" i="34"/>
  <c r="S164" i="34"/>
  <c r="T164" i="34"/>
  <c r="U164" i="34"/>
  <c r="V164" i="34"/>
  <c r="W164" i="34"/>
  <c r="N165" i="34"/>
  <c r="O165" i="34"/>
  <c r="P165" i="34"/>
  <c r="Q165" i="34"/>
  <c r="R165" i="34"/>
  <c r="S165" i="34"/>
  <c r="T165" i="34"/>
  <c r="U165" i="34"/>
  <c r="V165" i="34"/>
  <c r="W165" i="34"/>
  <c r="N166" i="34"/>
  <c r="O166" i="34"/>
  <c r="P166" i="34"/>
  <c r="Q166" i="34"/>
  <c r="R166" i="34"/>
  <c r="S166" i="34"/>
  <c r="T166" i="34"/>
  <c r="U166" i="34"/>
  <c r="V166" i="34"/>
  <c r="W166" i="34"/>
  <c r="N167" i="34"/>
  <c r="O167" i="34"/>
  <c r="P167" i="34"/>
  <c r="Q167" i="34"/>
  <c r="R167" i="34"/>
  <c r="S167" i="34"/>
  <c r="T167" i="34"/>
  <c r="U167" i="34"/>
  <c r="V167" i="34"/>
  <c r="W167" i="34"/>
  <c r="N168" i="34"/>
  <c r="O168" i="34"/>
  <c r="P168" i="34"/>
  <c r="Q168" i="34"/>
  <c r="R168" i="34"/>
  <c r="S168" i="34"/>
  <c r="T168" i="34"/>
  <c r="U168" i="34"/>
  <c r="V168" i="34"/>
  <c r="W168" i="34"/>
  <c r="N169" i="34"/>
  <c r="O169" i="34"/>
  <c r="P169" i="34"/>
  <c r="Q169" i="34"/>
  <c r="R169" i="34"/>
  <c r="S169" i="34"/>
  <c r="T169" i="34"/>
  <c r="U169" i="34"/>
  <c r="V169" i="34"/>
  <c r="W169" i="34"/>
  <c r="N170" i="34"/>
  <c r="O170" i="34"/>
  <c r="P170" i="34"/>
  <c r="Q170" i="34"/>
  <c r="U170" i="34"/>
  <c r="V170" i="34"/>
  <c r="W170" i="34"/>
  <c r="N171" i="34"/>
  <c r="O171" i="34"/>
  <c r="P171" i="34"/>
  <c r="Q171" i="34"/>
  <c r="U171" i="34"/>
  <c r="V171" i="34"/>
  <c r="W171" i="34"/>
  <c r="N172" i="34"/>
  <c r="O172" i="34"/>
  <c r="P172" i="34"/>
  <c r="Q172" i="34"/>
  <c r="R172" i="34"/>
  <c r="S172" i="34"/>
  <c r="T172" i="34"/>
  <c r="U172" i="34"/>
  <c r="V172" i="34"/>
  <c r="W172" i="34"/>
  <c r="N173" i="34"/>
  <c r="O173" i="34"/>
  <c r="P173" i="34"/>
  <c r="Q173" i="34"/>
  <c r="R173" i="34"/>
  <c r="S173" i="34"/>
  <c r="T173" i="34"/>
  <c r="U173" i="34"/>
  <c r="V173" i="34"/>
  <c r="W173" i="34"/>
  <c r="N174" i="34"/>
  <c r="O174" i="34"/>
  <c r="P174" i="34"/>
  <c r="Q174" i="34"/>
  <c r="R174" i="34"/>
  <c r="S174" i="34"/>
  <c r="T174" i="34"/>
  <c r="U174" i="34"/>
  <c r="V174" i="34"/>
  <c r="W174" i="34"/>
  <c r="N175" i="34"/>
  <c r="O175" i="34"/>
  <c r="P175" i="34"/>
  <c r="Q175" i="34"/>
  <c r="R175" i="34"/>
  <c r="S175" i="34"/>
  <c r="T175" i="34"/>
  <c r="U175" i="34"/>
  <c r="V175" i="34"/>
  <c r="W175" i="34"/>
  <c r="N176" i="34"/>
  <c r="O176" i="34"/>
  <c r="P176" i="34"/>
  <c r="Q176" i="34"/>
  <c r="R176" i="34"/>
  <c r="S176" i="34"/>
  <c r="T176" i="34"/>
  <c r="U176" i="34"/>
  <c r="V176" i="34"/>
  <c r="W176" i="34"/>
  <c r="N177" i="34"/>
  <c r="O177" i="34"/>
  <c r="P177" i="34"/>
  <c r="Q177" i="34"/>
  <c r="R177" i="34"/>
  <c r="S177" i="34"/>
  <c r="T177" i="34"/>
  <c r="U177" i="34"/>
  <c r="V177" i="34"/>
  <c r="W177" i="34"/>
  <c r="N178" i="34"/>
  <c r="O178" i="34"/>
  <c r="P178" i="34"/>
  <c r="Q178" i="34"/>
  <c r="U178" i="34"/>
  <c r="V178" i="34"/>
  <c r="W178" i="34"/>
  <c r="N179" i="34"/>
  <c r="O179" i="34"/>
  <c r="P179" i="34"/>
  <c r="Q179" i="34"/>
  <c r="R179" i="34"/>
  <c r="S179" i="34"/>
  <c r="T179" i="34"/>
  <c r="U179" i="34"/>
  <c r="V179" i="34"/>
  <c r="W179" i="34"/>
  <c r="N180" i="34"/>
  <c r="O180" i="34"/>
  <c r="P180" i="34"/>
  <c r="Q180" i="34"/>
  <c r="R180" i="34"/>
  <c r="S180" i="34"/>
  <c r="T180" i="34"/>
  <c r="U180" i="34"/>
  <c r="V180" i="34"/>
  <c r="W180" i="34"/>
  <c r="N181" i="34"/>
  <c r="O181" i="34"/>
  <c r="P181" i="34"/>
  <c r="Q181" i="34"/>
  <c r="R181" i="34"/>
  <c r="S181" i="34"/>
  <c r="T181" i="34"/>
  <c r="U181" i="34"/>
  <c r="V181" i="34"/>
  <c r="W181" i="34"/>
  <c r="N182" i="34"/>
  <c r="O182" i="34"/>
  <c r="P182" i="34"/>
  <c r="Q182" i="34"/>
  <c r="R182" i="34"/>
  <c r="S182" i="34"/>
  <c r="T182" i="34"/>
  <c r="U182" i="34"/>
  <c r="V182" i="34"/>
  <c r="W182" i="34"/>
  <c r="N183" i="34"/>
  <c r="O183" i="34"/>
  <c r="P183" i="34"/>
  <c r="Q183" i="34"/>
  <c r="R183" i="34"/>
  <c r="S183" i="34"/>
  <c r="T183" i="34"/>
  <c r="U183" i="34"/>
  <c r="V183" i="34"/>
  <c r="W183" i="34"/>
  <c r="N184" i="34"/>
  <c r="O184" i="34"/>
  <c r="P184" i="34"/>
  <c r="Q184" i="34"/>
  <c r="R184" i="34"/>
  <c r="S184" i="34"/>
  <c r="T184" i="34"/>
  <c r="U184" i="34"/>
  <c r="V184" i="34"/>
  <c r="W184" i="34"/>
  <c r="N185" i="34"/>
  <c r="O185" i="34"/>
  <c r="P185" i="34"/>
  <c r="Q185" i="34"/>
  <c r="R185" i="34"/>
  <c r="S185" i="34"/>
  <c r="T185" i="34"/>
  <c r="U185" i="34"/>
  <c r="V185" i="34"/>
  <c r="W185" i="34"/>
  <c r="N186" i="34"/>
  <c r="O186" i="34"/>
  <c r="P186" i="34"/>
  <c r="Q186" i="34"/>
  <c r="R186" i="34"/>
  <c r="S186" i="34"/>
  <c r="T186" i="34"/>
  <c r="U186" i="34"/>
  <c r="V186" i="34"/>
  <c r="W186" i="34"/>
  <c r="N187" i="34"/>
  <c r="O187" i="34"/>
  <c r="P187" i="34"/>
  <c r="Q187" i="34"/>
  <c r="R187" i="34"/>
  <c r="S187" i="34"/>
  <c r="T187" i="34"/>
  <c r="U187" i="34"/>
  <c r="V187" i="34"/>
  <c r="W187" i="34"/>
  <c r="N188" i="34"/>
  <c r="O188" i="34"/>
  <c r="P188" i="34"/>
  <c r="Q188" i="34"/>
  <c r="R188" i="34"/>
  <c r="S188" i="34"/>
  <c r="T188" i="34"/>
  <c r="U188" i="34"/>
  <c r="V188" i="34"/>
  <c r="W188" i="34"/>
  <c r="N189" i="34"/>
  <c r="O189" i="34"/>
  <c r="P189" i="34"/>
  <c r="Q189" i="34"/>
  <c r="R189" i="34"/>
  <c r="S189" i="34"/>
  <c r="T189" i="34"/>
  <c r="U189" i="34"/>
  <c r="V189" i="34"/>
  <c r="W189" i="34"/>
  <c r="N190" i="34"/>
  <c r="O190" i="34"/>
  <c r="P190" i="34"/>
  <c r="Q190" i="34"/>
  <c r="R190" i="34"/>
  <c r="S190" i="34"/>
  <c r="T190" i="34"/>
  <c r="U190" i="34"/>
  <c r="V190" i="34"/>
  <c r="W190" i="34"/>
  <c r="N191" i="34"/>
  <c r="O191" i="34"/>
  <c r="P191" i="34"/>
  <c r="Q191" i="34"/>
  <c r="R191" i="34"/>
  <c r="S191" i="34"/>
  <c r="T191" i="34"/>
  <c r="U191" i="34"/>
  <c r="V191" i="34"/>
  <c r="W191" i="34"/>
  <c r="N192" i="34"/>
  <c r="O192" i="34"/>
  <c r="P192" i="34"/>
  <c r="Q192" i="34"/>
  <c r="U192" i="34"/>
  <c r="V192" i="34"/>
  <c r="W192" i="34"/>
  <c r="N193" i="34"/>
  <c r="O193" i="34"/>
  <c r="P193" i="34"/>
  <c r="Q193" i="34"/>
  <c r="R193" i="34"/>
  <c r="S193" i="34"/>
  <c r="T193" i="34"/>
  <c r="U193" i="34"/>
  <c r="V193" i="34"/>
  <c r="W193" i="34"/>
  <c r="N194" i="34"/>
  <c r="O194" i="34"/>
  <c r="P194" i="34"/>
  <c r="Q194" i="34"/>
  <c r="R194" i="34"/>
  <c r="S194" i="34"/>
  <c r="T194" i="34"/>
  <c r="U194" i="34"/>
  <c r="V194" i="34"/>
  <c r="W194" i="34"/>
  <c r="N195" i="34"/>
  <c r="O195" i="34"/>
  <c r="P195" i="34"/>
  <c r="Q195" i="34"/>
  <c r="R195" i="34"/>
  <c r="S195" i="34"/>
  <c r="T195" i="34"/>
  <c r="U195" i="34"/>
  <c r="V195" i="34"/>
  <c r="W195" i="34"/>
  <c r="N196" i="34"/>
  <c r="O196" i="34"/>
  <c r="P196" i="34"/>
  <c r="Q196" i="34"/>
  <c r="R196" i="34"/>
  <c r="S196" i="34"/>
  <c r="T196" i="34"/>
  <c r="U196" i="34"/>
  <c r="V196" i="34"/>
  <c r="W196" i="34"/>
  <c r="N197" i="34"/>
  <c r="O197" i="34"/>
  <c r="P197" i="34"/>
  <c r="Q197" i="34"/>
  <c r="R197" i="34"/>
  <c r="S197" i="34"/>
  <c r="T197" i="34"/>
  <c r="U197" i="34"/>
  <c r="V197" i="34"/>
  <c r="W197" i="34"/>
  <c r="N198" i="34"/>
  <c r="O198" i="34"/>
  <c r="P198" i="34"/>
  <c r="Q198" i="34"/>
  <c r="R198" i="34"/>
  <c r="S198" i="34"/>
  <c r="T198" i="34"/>
  <c r="U198" i="34"/>
  <c r="V198" i="34"/>
  <c r="W198" i="34"/>
  <c r="N199" i="34"/>
  <c r="O199" i="34"/>
  <c r="P199" i="34"/>
  <c r="Q199" i="34"/>
  <c r="R199" i="34"/>
  <c r="S199" i="34"/>
  <c r="T199" i="34"/>
  <c r="U199" i="34"/>
  <c r="V199" i="34"/>
  <c r="W199" i="34"/>
  <c r="N200" i="34"/>
  <c r="O200" i="34"/>
  <c r="P200" i="34"/>
  <c r="Q200" i="34"/>
  <c r="R200" i="34"/>
  <c r="S200" i="34"/>
  <c r="T200" i="34"/>
  <c r="U200" i="34"/>
  <c r="V200" i="34"/>
  <c r="W200" i="34"/>
  <c r="N201" i="34"/>
  <c r="O201" i="34"/>
  <c r="P201" i="34"/>
  <c r="Q201" i="34"/>
  <c r="R201" i="34"/>
  <c r="S201" i="34"/>
  <c r="T201" i="34"/>
  <c r="U201" i="34"/>
  <c r="V201" i="34"/>
  <c r="W201" i="34"/>
  <c r="N202" i="34"/>
  <c r="O202" i="34"/>
  <c r="P202" i="34"/>
  <c r="Q202" i="34"/>
  <c r="R202" i="34"/>
  <c r="S202" i="34"/>
  <c r="T202" i="34"/>
  <c r="U202" i="34"/>
  <c r="V202" i="34"/>
  <c r="W202" i="34"/>
  <c r="N203" i="34"/>
  <c r="O203" i="34"/>
  <c r="P203" i="34"/>
  <c r="Q203" i="34"/>
  <c r="R203" i="34"/>
  <c r="S203" i="34"/>
  <c r="T203" i="34"/>
  <c r="U203" i="34"/>
  <c r="V203" i="34"/>
  <c r="W203" i="34"/>
  <c r="N204" i="34"/>
  <c r="O204" i="34"/>
  <c r="P204" i="34"/>
  <c r="Q204" i="34"/>
  <c r="R204" i="34"/>
  <c r="S204" i="34"/>
  <c r="T204" i="34"/>
  <c r="U204" i="34"/>
  <c r="V204" i="34"/>
  <c r="W204" i="34"/>
  <c r="N205" i="34"/>
  <c r="O205" i="34"/>
  <c r="P205" i="34"/>
  <c r="Q205" i="34"/>
  <c r="R205" i="34"/>
  <c r="S205" i="34"/>
  <c r="T205" i="34"/>
  <c r="U205" i="34"/>
  <c r="V205" i="34"/>
  <c r="W205" i="34"/>
  <c r="N206" i="34"/>
  <c r="O206" i="34"/>
  <c r="P206" i="34"/>
  <c r="Q206" i="34"/>
  <c r="R206" i="34"/>
  <c r="S206" i="34"/>
  <c r="T206" i="34"/>
  <c r="U206" i="34"/>
  <c r="V206" i="34"/>
  <c r="W206" i="34"/>
  <c r="N207" i="34"/>
  <c r="O207" i="34"/>
  <c r="P207" i="34"/>
  <c r="Q207" i="34"/>
  <c r="R207" i="34"/>
  <c r="S207" i="34"/>
  <c r="T207" i="34"/>
  <c r="U207" i="34"/>
  <c r="V207" i="34"/>
  <c r="W207" i="34"/>
  <c r="N208" i="34"/>
  <c r="O208" i="34"/>
  <c r="P208" i="34"/>
  <c r="Q208" i="34"/>
  <c r="R208" i="34"/>
  <c r="S208" i="34"/>
  <c r="T208" i="34"/>
  <c r="U208" i="34"/>
  <c r="V208" i="34"/>
  <c r="W208" i="34"/>
  <c r="N209" i="34"/>
  <c r="O209" i="34"/>
  <c r="P209" i="34"/>
  <c r="Q209" i="34"/>
  <c r="R209" i="34"/>
  <c r="S209" i="34"/>
  <c r="T209" i="34"/>
  <c r="U209" i="34"/>
  <c r="V209" i="34"/>
  <c r="W209" i="34"/>
  <c r="N210" i="34"/>
  <c r="O210" i="34"/>
  <c r="P210" i="34"/>
  <c r="Q210" i="34"/>
  <c r="R210" i="34"/>
  <c r="S210" i="34"/>
  <c r="T210" i="34"/>
  <c r="U210" i="34"/>
  <c r="V210" i="34"/>
  <c r="W210" i="34"/>
  <c r="N211" i="34"/>
  <c r="O211" i="34"/>
  <c r="P211" i="34"/>
  <c r="Q211" i="34"/>
  <c r="U211" i="34"/>
  <c r="V211" i="34"/>
  <c r="W211" i="34"/>
  <c r="N212" i="34"/>
  <c r="O212" i="34"/>
  <c r="P212" i="34"/>
  <c r="Q212" i="34"/>
  <c r="R212" i="34"/>
  <c r="S212" i="34"/>
  <c r="T212" i="34"/>
  <c r="U212" i="34"/>
  <c r="V212" i="34"/>
  <c r="W212" i="34"/>
  <c r="N213" i="34"/>
  <c r="O213" i="34"/>
  <c r="P213" i="34"/>
  <c r="Q213" i="34"/>
  <c r="R213" i="34"/>
  <c r="S213" i="34"/>
  <c r="T213" i="34"/>
  <c r="U213" i="34"/>
  <c r="V213" i="34"/>
  <c r="W213" i="34"/>
  <c r="N214" i="34"/>
  <c r="O214" i="34"/>
  <c r="P214" i="34"/>
  <c r="Q214" i="34"/>
  <c r="R214" i="34"/>
  <c r="S214" i="34"/>
  <c r="T214" i="34"/>
  <c r="U214" i="34"/>
  <c r="V214" i="34"/>
  <c r="W214" i="34"/>
  <c r="N215" i="34"/>
  <c r="O215" i="34"/>
  <c r="P215" i="34"/>
  <c r="Q215" i="34"/>
  <c r="R215" i="34"/>
  <c r="S215" i="34"/>
  <c r="T215" i="34"/>
  <c r="U215" i="34"/>
  <c r="V215" i="34"/>
  <c r="W215" i="34"/>
  <c r="N216" i="34"/>
  <c r="O216" i="34"/>
  <c r="P216" i="34"/>
  <c r="Q216" i="34"/>
  <c r="R216" i="34"/>
  <c r="S216" i="34"/>
  <c r="T216" i="34"/>
  <c r="U216" i="34"/>
  <c r="V216" i="34"/>
  <c r="W216" i="34"/>
  <c r="N217" i="34"/>
  <c r="O217" i="34"/>
  <c r="P217" i="34"/>
  <c r="Q217" i="34"/>
  <c r="R217" i="34"/>
  <c r="S217" i="34"/>
  <c r="T217" i="34"/>
  <c r="U217" i="34"/>
  <c r="V217" i="34"/>
  <c r="W217" i="34"/>
  <c r="N218" i="34"/>
  <c r="O218" i="34"/>
  <c r="P218" i="34"/>
  <c r="Q218" i="34"/>
  <c r="R218" i="34"/>
  <c r="S218" i="34"/>
  <c r="T218" i="34"/>
  <c r="U218" i="34"/>
  <c r="V218" i="34"/>
  <c r="W218" i="34"/>
  <c r="N219" i="34"/>
  <c r="O219" i="34"/>
  <c r="P219" i="34"/>
  <c r="Q219" i="34"/>
  <c r="R219" i="34"/>
  <c r="S219" i="34"/>
  <c r="T219" i="34"/>
  <c r="U219" i="34"/>
  <c r="V219" i="34"/>
  <c r="W219" i="34"/>
  <c r="N220" i="34"/>
  <c r="O220" i="34"/>
  <c r="P220" i="34"/>
  <c r="Q220" i="34"/>
  <c r="U220" i="34"/>
  <c r="V220" i="34"/>
  <c r="W220" i="34"/>
  <c r="N221" i="34"/>
  <c r="O221" i="34"/>
  <c r="P221" i="34"/>
  <c r="Q221" i="34"/>
  <c r="R221" i="34"/>
  <c r="S221" i="34"/>
  <c r="T221" i="34"/>
  <c r="U221" i="34"/>
  <c r="V221" i="34"/>
  <c r="W221" i="34"/>
  <c r="N222" i="34"/>
  <c r="O222" i="34"/>
  <c r="P222" i="34"/>
  <c r="Q222" i="34"/>
  <c r="R222" i="34"/>
  <c r="S222" i="34"/>
  <c r="T222" i="34"/>
  <c r="U222" i="34"/>
  <c r="V222" i="34"/>
  <c r="W222" i="34"/>
  <c r="N223" i="34"/>
  <c r="O223" i="34"/>
  <c r="P223" i="34"/>
  <c r="Q223" i="34"/>
  <c r="R223" i="34"/>
  <c r="S223" i="34"/>
  <c r="T223" i="34"/>
  <c r="U223" i="34"/>
  <c r="V223" i="34"/>
  <c r="W223" i="34"/>
  <c r="N224" i="34"/>
  <c r="O224" i="34"/>
  <c r="P224" i="34"/>
  <c r="Q224" i="34"/>
  <c r="R224" i="34"/>
  <c r="S224" i="34"/>
  <c r="T224" i="34"/>
  <c r="U224" i="34"/>
  <c r="V224" i="34"/>
  <c r="W224" i="34"/>
  <c r="N225" i="34"/>
  <c r="O225" i="34"/>
  <c r="P225" i="34"/>
  <c r="Q225" i="34"/>
  <c r="R225" i="34"/>
  <c r="S225" i="34"/>
  <c r="T225" i="34"/>
  <c r="U225" i="34"/>
  <c r="V225" i="34"/>
  <c r="W225" i="34"/>
  <c r="N226" i="34"/>
  <c r="O226" i="34"/>
  <c r="P226" i="34"/>
  <c r="Q226" i="34"/>
  <c r="R226" i="34"/>
  <c r="S226" i="34"/>
  <c r="T226" i="34"/>
  <c r="U226" i="34"/>
  <c r="V226" i="34"/>
  <c r="W226" i="34"/>
  <c r="N227" i="34"/>
  <c r="O227" i="34"/>
  <c r="P227" i="34"/>
  <c r="Q227" i="34"/>
  <c r="R227" i="34"/>
  <c r="S227" i="34"/>
  <c r="T227" i="34"/>
  <c r="U227" i="34"/>
  <c r="V227" i="34"/>
  <c r="W227" i="34"/>
  <c r="N228" i="34"/>
  <c r="O228" i="34"/>
  <c r="P228" i="34"/>
  <c r="Q228" i="34"/>
  <c r="R228" i="34"/>
  <c r="S228" i="34"/>
  <c r="T228" i="34"/>
  <c r="U228" i="34"/>
  <c r="V228" i="34"/>
  <c r="W228" i="34"/>
  <c r="N229" i="34"/>
  <c r="O229" i="34"/>
  <c r="P229" i="34"/>
  <c r="Q229" i="34"/>
  <c r="R229" i="34"/>
  <c r="S229" i="34"/>
  <c r="T229" i="34"/>
  <c r="U229" i="34"/>
  <c r="V229" i="34"/>
  <c r="W229" i="34"/>
  <c r="N230" i="34"/>
  <c r="O230" i="34"/>
  <c r="P230" i="34"/>
  <c r="Q230" i="34"/>
  <c r="U230" i="34"/>
  <c r="V230" i="34"/>
  <c r="W230" i="34"/>
  <c r="N231" i="34"/>
  <c r="O231" i="34"/>
  <c r="P231" i="34"/>
  <c r="Q231" i="34"/>
  <c r="U231" i="34"/>
  <c r="V231" i="34"/>
  <c r="W231" i="34"/>
  <c r="N232" i="34"/>
  <c r="O232" i="34"/>
  <c r="P232" i="34"/>
  <c r="Q232" i="34"/>
  <c r="R232" i="34"/>
  <c r="S232" i="34"/>
  <c r="T232" i="34"/>
  <c r="U232" i="34"/>
  <c r="V232" i="34"/>
  <c r="W232" i="34"/>
  <c r="N233" i="34"/>
  <c r="O233" i="34"/>
  <c r="P233" i="34"/>
  <c r="Q233" i="34"/>
  <c r="R233" i="34"/>
  <c r="S233" i="34"/>
  <c r="T233" i="34"/>
  <c r="U233" i="34"/>
  <c r="V233" i="34"/>
  <c r="W233" i="34"/>
  <c r="N234" i="34"/>
  <c r="O234" i="34"/>
  <c r="P234" i="34"/>
  <c r="Q234" i="34"/>
  <c r="R234" i="34"/>
  <c r="S234" i="34"/>
  <c r="T234" i="34"/>
  <c r="U234" i="34"/>
  <c r="V234" i="34"/>
  <c r="W234" i="34"/>
  <c r="N235" i="34"/>
  <c r="O235" i="34"/>
  <c r="P235" i="34"/>
  <c r="Q235" i="34"/>
  <c r="R235" i="34"/>
  <c r="S235" i="34"/>
  <c r="T235" i="34"/>
  <c r="U235" i="34"/>
  <c r="V235" i="34"/>
  <c r="W235" i="34"/>
  <c r="N236" i="34"/>
  <c r="O236" i="34"/>
  <c r="P236" i="34"/>
  <c r="Q236" i="34"/>
  <c r="R236" i="34"/>
  <c r="S236" i="34"/>
  <c r="T236" i="34"/>
  <c r="U236" i="34"/>
  <c r="V236" i="34"/>
  <c r="W236" i="34"/>
  <c r="N237" i="34"/>
  <c r="O237" i="34"/>
  <c r="P237" i="34"/>
  <c r="Q237" i="34"/>
  <c r="R237" i="34"/>
  <c r="S237" i="34"/>
  <c r="T237" i="34"/>
  <c r="U237" i="34"/>
  <c r="V237" i="34"/>
  <c r="W237" i="34"/>
  <c r="N238" i="34"/>
  <c r="O238" i="34"/>
  <c r="P238" i="34"/>
  <c r="Q238" i="34"/>
  <c r="R238" i="34"/>
  <c r="S238" i="34"/>
  <c r="T238" i="34"/>
  <c r="U238" i="34"/>
  <c r="V238" i="34"/>
  <c r="W238" i="34"/>
  <c r="N239" i="34"/>
  <c r="O239" i="34"/>
  <c r="P239" i="34"/>
  <c r="Q239" i="34"/>
  <c r="R239" i="34"/>
  <c r="S239" i="34"/>
  <c r="T239" i="34"/>
  <c r="U239" i="34"/>
  <c r="V239" i="34"/>
  <c r="W239" i="34"/>
  <c r="N240" i="34"/>
  <c r="O240" i="34"/>
  <c r="P240" i="34"/>
  <c r="Q240" i="34"/>
  <c r="R240" i="34"/>
  <c r="S240" i="34"/>
  <c r="T240" i="34"/>
  <c r="U240" i="34"/>
  <c r="V240" i="34"/>
  <c r="W240" i="34"/>
  <c r="N241" i="34"/>
  <c r="O241" i="34"/>
  <c r="P241" i="34"/>
  <c r="Q241" i="34"/>
  <c r="R241" i="34"/>
  <c r="S241" i="34"/>
  <c r="T241" i="34"/>
  <c r="U241" i="34"/>
  <c r="V241" i="34"/>
  <c r="W241" i="34"/>
  <c r="N242" i="34"/>
  <c r="O242" i="34"/>
  <c r="P242" i="34"/>
  <c r="Q242" i="34"/>
  <c r="R242" i="34"/>
  <c r="S242" i="34"/>
  <c r="T242" i="34"/>
  <c r="U242" i="34"/>
  <c r="V242" i="34"/>
  <c r="W242" i="34"/>
  <c r="N243" i="34"/>
  <c r="O243" i="34"/>
  <c r="P243" i="34"/>
  <c r="Q243" i="34"/>
  <c r="R243" i="34"/>
  <c r="S243" i="34"/>
  <c r="T243" i="34"/>
  <c r="U243" i="34"/>
  <c r="V243" i="34"/>
  <c r="W243" i="34"/>
  <c r="N244" i="34"/>
  <c r="O244" i="34"/>
  <c r="P244" i="34"/>
  <c r="Q244" i="34"/>
  <c r="R244" i="34"/>
  <c r="S244" i="34"/>
  <c r="T244" i="34"/>
  <c r="U244" i="34"/>
  <c r="V244" i="34"/>
  <c r="W244" i="34"/>
  <c r="N245" i="34"/>
  <c r="O245" i="34"/>
  <c r="P245" i="34"/>
  <c r="Q245" i="34"/>
  <c r="R245" i="34"/>
  <c r="S245" i="34"/>
  <c r="T245" i="34"/>
  <c r="U245" i="34"/>
  <c r="V245" i="34"/>
  <c r="W245" i="34"/>
  <c r="N246" i="34"/>
  <c r="O246" i="34"/>
  <c r="P246" i="34"/>
  <c r="Q246" i="34"/>
  <c r="R246" i="34"/>
  <c r="S246" i="34"/>
  <c r="T246" i="34"/>
  <c r="U246" i="34"/>
  <c r="V246" i="34"/>
  <c r="W246" i="34"/>
  <c r="N247" i="34"/>
  <c r="O247" i="34"/>
  <c r="P247" i="34"/>
  <c r="Q247" i="34"/>
  <c r="R247" i="34"/>
  <c r="S247" i="34"/>
  <c r="T247" i="34"/>
  <c r="U247" i="34"/>
  <c r="V247" i="34"/>
  <c r="W247" i="34"/>
  <c r="N248" i="34"/>
  <c r="O248" i="34"/>
  <c r="P248" i="34"/>
  <c r="Q248" i="34"/>
  <c r="R248" i="34"/>
  <c r="S248" i="34"/>
  <c r="T248" i="34"/>
  <c r="U248" i="34"/>
  <c r="V248" i="34"/>
  <c r="W248" i="34"/>
  <c r="N249" i="34"/>
  <c r="O249" i="34"/>
  <c r="P249" i="34"/>
  <c r="Q249" i="34"/>
  <c r="R249" i="34"/>
  <c r="S249" i="34"/>
  <c r="T249" i="34"/>
  <c r="U249" i="34"/>
  <c r="V249" i="34"/>
  <c r="W249" i="34"/>
  <c r="N250" i="34"/>
  <c r="O250" i="34"/>
  <c r="P250" i="34"/>
  <c r="Q250" i="34"/>
  <c r="R250" i="34"/>
  <c r="S250" i="34"/>
  <c r="T250" i="34"/>
  <c r="U250" i="34"/>
  <c r="V250" i="34"/>
  <c r="W250" i="34"/>
  <c r="N251" i="34"/>
  <c r="O251" i="34"/>
  <c r="P251" i="34"/>
  <c r="Q251" i="34"/>
  <c r="R251" i="34"/>
  <c r="S251" i="34"/>
  <c r="T251" i="34"/>
  <c r="U251" i="34"/>
  <c r="V251" i="34"/>
  <c r="W251" i="34"/>
  <c r="N252" i="34"/>
  <c r="O252" i="34"/>
  <c r="P252" i="34"/>
  <c r="Q252" i="34"/>
  <c r="R252" i="34"/>
  <c r="S252" i="34"/>
  <c r="T252" i="34"/>
  <c r="U252" i="34"/>
  <c r="V252" i="34"/>
  <c r="W252" i="34"/>
  <c r="N253" i="34"/>
  <c r="O253" i="34"/>
  <c r="P253" i="34"/>
  <c r="Q253" i="34"/>
  <c r="R253" i="34"/>
  <c r="S253" i="34"/>
  <c r="T253" i="34"/>
  <c r="U253" i="34"/>
  <c r="V253" i="34"/>
  <c r="W253" i="34"/>
  <c r="N254" i="34"/>
  <c r="O254" i="34"/>
  <c r="P254" i="34"/>
  <c r="Q254" i="34"/>
  <c r="R254" i="34"/>
  <c r="S254" i="34"/>
  <c r="T254" i="34"/>
  <c r="U254" i="34"/>
  <c r="V254" i="34"/>
  <c r="W254" i="34"/>
  <c r="N255" i="34"/>
  <c r="O255" i="34"/>
  <c r="P255" i="34"/>
  <c r="Q255" i="34"/>
  <c r="R255" i="34"/>
  <c r="S255" i="34"/>
  <c r="T255" i="34"/>
  <c r="U255" i="34"/>
  <c r="V255" i="34"/>
  <c r="W255" i="34"/>
  <c r="N256" i="34"/>
  <c r="O256" i="34"/>
  <c r="P256" i="34"/>
  <c r="Q256" i="34"/>
  <c r="R256" i="34"/>
  <c r="S256" i="34"/>
  <c r="T256" i="34"/>
  <c r="U256" i="34"/>
  <c r="V256" i="34"/>
  <c r="W256" i="34"/>
  <c r="N257" i="34"/>
  <c r="O257" i="34"/>
  <c r="P257" i="34"/>
  <c r="Q257" i="34"/>
  <c r="R257" i="34"/>
  <c r="S257" i="34"/>
  <c r="T257" i="34"/>
  <c r="U257" i="34"/>
  <c r="V257" i="34"/>
  <c r="W257" i="34"/>
  <c r="N258" i="34"/>
  <c r="O258" i="34"/>
  <c r="P258" i="34"/>
  <c r="Q258" i="34"/>
  <c r="R258" i="34"/>
  <c r="S258" i="34"/>
  <c r="T258" i="34"/>
  <c r="U258" i="34"/>
  <c r="V258" i="34"/>
  <c r="W258" i="34"/>
  <c r="N259" i="34"/>
  <c r="O259" i="34"/>
  <c r="P259" i="34"/>
  <c r="Q259" i="34"/>
  <c r="R259" i="34"/>
  <c r="S259" i="34"/>
  <c r="T259" i="34"/>
  <c r="U259" i="34"/>
  <c r="V259" i="34"/>
  <c r="W259" i="34"/>
  <c r="N260" i="34"/>
  <c r="O260" i="34"/>
  <c r="P260" i="34"/>
  <c r="Q260" i="34"/>
  <c r="R260" i="34"/>
  <c r="S260" i="34"/>
  <c r="T260" i="34"/>
  <c r="U260" i="34"/>
  <c r="V260" i="34"/>
  <c r="W260" i="34"/>
  <c r="N261" i="34"/>
  <c r="O261" i="34"/>
  <c r="P261" i="34"/>
  <c r="Q261" i="34"/>
  <c r="R261" i="34"/>
  <c r="S261" i="34"/>
  <c r="T261" i="34"/>
  <c r="U261" i="34"/>
  <c r="V261" i="34"/>
  <c r="W261" i="34"/>
  <c r="N262" i="34"/>
  <c r="O262" i="34"/>
  <c r="P262" i="34"/>
  <c r="Q262" i="34"/>
  <c r="R262" i="34"/>
  <c r="S262" i="34"/>
  <c r="T262" i="34"/>
  <c r="U262" i="34"/>
  <c r="V262" i="34"/>
  <c r="W262" i="34"/>
  <c r="N263" i="34"/>
  <c r="O263" i="34"/>
  <c r="P263" i="34"/>
  <c r="Q263" i="34"/>
  <c r="R263" i="34"/>
  <c r="S263" i="34"/>
  <c r="T263" i="34"/>
  <c r="U263" i="34"/>
  <c r="V263" i="34"/>
  <c r="W263" i="34"/>
  <c r="N264" i="34"/>
  <c r="O264" i="34"/>
  <c r="P264" i="34"/>
  <c r="Q264" i="34"/>
  <c r="R264" i="34"/>
  <c r="S264" i="34"/>
  <c r="T264" i="34"/>
  <c r="U264" i="34"/>
  <c r="V264" i="34"/>
  <c r="W264" i="34"/>
  <c r="N265" i="34"/>
  <c r="O265" i="34"/>
  <c r="P265" i="34"/>
  <c r="Q265" i="34"/>
  <c r="R265" i="34"/>
  <c r="S265" i="34"/>
  <c r="T265" i="34"/>
  <c r="U265" i="34"/>
  <c r="V265" i="34"/>
  <c r="W265" i="34"/>
  <c r="N266" i="34"/>
  <c r="O266" i="34"/>
  <c r="P266" i="34"/>
  <c r="Q266" i="34"/>
  <c r="R266" i="34"/>
  <c r="S266" i="34"/>
  <c r="T266" i="34"/>
  <c r="U266" i="34"/>
  <c r="V266" i="34"/>
  <c r="W266" i="34"/>
  <c r="N267" i="34"/>
  <c r="O267" i="34"/>
  <c r="P267" i="34"/>
  <c r="Q267" i="34"/>
  <c r="R267" i="34"/>
  <c r="S267" i="34"/>
  <c r="T267" i="34"/>
  <c r="U267" i="34"/>
  <c r="V267" i="34"/>
  <c r="W267" i="34"/>
  <c r="N268" i="34"/>
  <c r="O268" i="34"/>
  <c r="P268" i="34"/>
  <c r="Q268" i="34"/>
  <c r="R268" i="34"/>
  <c r="S268" i="34"/>
  <c r="T268" i="34"/>
  <c r="U268" i="34"/>
  <c r="V268" i="34"/>
  <c r="W268" i="34"/>
  <c r="N269" i="34"/>
  <c r="O269" i="34"/>
  <c r="P269" i="34"/>
  <c r="Q269" i="34"/>
  <c r="R269" i="34"/>
  <c r="S269" i="34"/>
  <c r="T269" i="34"/>
  <c r="U269" i="34"/>
  <c r="V269" i="34"/>
  <c r="W269" i="34"/>
  <c r="N270" i="34"/>
  <c r="O270" i="34"/>
  <c r="P270" i="34"/>
  <c r="Q270" i="34"/>
  <c r="R270" i="34"/>
  <c r="S270" i="34"/>
  <c r="T270" i="34"/>
  <c r="U270" i="34"/>
  <c r="V270" i="34"/>
  <c r="W270" i="34"/>
  <c r="N271" i="34"/>
  <c r="O271" i="34"/>
  <c r="P271" i="34"/>
  <c r="Q271" i="34"/>
  <c r="R271" i="34"/>
  <c r="S271" i="34"/>
  <c r="T271" i="34"/>
  <c r="U271" i="34"/>
  <c r="V271" i="34"/>
  <c r="W271" i="34"/>
  <c r="N272" i="34"/>
  <c r="O272" i="34"/>
  <c r="P272" i="34"/>
  <c r="Q272" i="34"/>
  <c r="R272" i="34"/>
  <c r="S272" i="34"/>
  <c r="T272" i="34"/>
  <c r="U272" i="34"/>
  <c r="V272" i="34"/>
  <c r="W272" i="34"/>
  <c r="N273" i="34"/>
  <c r="O273" i="34"/>
  <c r="P273" i="34"/>
  <c r="Q273" i="34"/>
  <c r="R273" i="34"/>
  <c r="S273" i="34"/>
  <c r="T273" i="34"/>
  <c r="U273" i="34"/>
  <c r="V273" i="34"/>
  <c r="W273" i="34"/>
  <c r="N274" i="34"/>
  <c r="O274" i="34"/>
  <c r="P274" i="34"/>
  <c r="Q274" i="34"/>
  <c r="R274" i="34"/>
  <c r="S274" i="34"/>
  <c r="T274" i="34"/>
  <c r="U274" i="34"/>
  <c r="V274" i="34"/>
  <c r="W274" i="34"/>
  <c r="N275" i="34"/>
  <c r="O275" i="34"/>
  <c r="P275" i="34"/>
  <c r="Q275" i="34"/>
  <c r="R275" i="34"/>
  <c r="S275" i="34"/>
  <c r="T275" i="34"/>
  <c r="U275" i="34"/>
  <c r="V275" i="34"/>
  <c r="W275" i="34"/>
  <c r="N276" i="34"/>
  <c r="O276" i="34"/>
  <c r="P276" i="34"/>
  <c r="Q276" i="34"/>
  <c r="R276" i="34"/>
  <c r="S276" i="34"/>
  <c r="T276" i="34"/>
  <c r="U276" i="34"/>
  <c r="V276" i="34"/>
  <c r="W276" i="34"/>
  <c r="N277" i="34"/>
  <c r="O277" i="34"/>
  <c r="P277" i="34"/>
  <c r="Q277" i="34"/>
  <c r="R277" i="34"/>
  <c r="S277" i="34"/>
  <c r="T277" i="34"/>
  <c r="U277" i="34"/>
  <c r="V277" i="34"/>
  <c r="W277" i="34"/>
  <c r="N278" i="34"/>
  <c r="O278" i="34"/>
  <c r="P278" i="34"/>
  <c r="Q278" i="34"/>
  <c r="R278" i="34"/>
  <c r="S278" i="34"/>
  <c r="T278" i="34"/>
  <c r="U278" i="34"/>
  <c r="V278" i="34"/>
  <c r="W278" i="34"/>
  <c r="N279" i="34"/>
  <c r="O279" i="34"/>
  <c r="P279" i="34"/>
  <c r="Q279" i="34"/>
  <c r="R279" i="34"/>
  <c r="S279" i="34"/>
  <c r="T279" i="34"/>
  <c r="U279" i="34"/>
  <c r="V279" i="34"/>
  <c r="W279" i="34"/>
  <c r="N280" i="34"/>
  <c r="O280" i="34"/>
  <c r="P280" i="34"/>
  <c r="Q280" i="34"/>
  <c r="R280" i="34"/>
  <c r="S280" i="34"/>
  <c r="T280" i="34"/>
  <c r="U280" i="34"/>
  <c r="V280" i="34"/>
  <c r="W280" i="34"/>
  <c r="N281" i="34"/>
  <c r="O281" i="34"/>
  <c r="P281" i="34"/>
  <c r="Q281" i="34"/>
  <c r="R281" i="34"/>
  <c r="S281" i="34"/>
  <c r="T281" i="34"/>
  <c r="U281" i="34"/>
  <c r="V281" i="34"/>
  <c r="W281" i="34"/>
  <c r="N282" i="34"/>
  <c r="O282" i="34"/>
  <c r="P282" i="34"/>
  <c r="Q282" i="34"/>
  <c r="R282" i="34"/>
  <c r="S282" i="34"/>
  <c r="T282" i="34"/>
  <c r="U282" i="34"/>
  <c r="V282" i="34"/>
  <c r="W282" i="34"/>
  <c r="N283" i="34"/>
  <c r="O283" i="34"/>
  <c r="P283" i="34"/>
  <c r="Q283" i="34"/>
  <c r="R283" i="34"/>
  <c r="S283" i="34"/>
  <c r="T283" i="34"/>
  <c r="U283" i="34"/>
  <c r="V283" i="34"/>
  <c r="W283" i="34"/>
  <c r="N284" i="34"/>
  <c r="O284" i="34"/>
  <c r="P284" i="34"/>
  <c r="Q284" i="34"/>
  <c r="R284" i="34"/>
  <c r="S284" i="34"/>
  <c r="T284" i="34"/>
  <c r="U284" i="34"/>
  <c r="V284" i="34"/>
  <c r="W284" i="34"/>
  <c r="N285" i="34"/>
  <c r="O285" i="34"/>
  <c r="P285" i="34"/>
  <c r="Q285" i="34"/>
  <c r="R285" i="34"/>
  <c r="S285" i="34"/>
  <c r="T285" i="34"/>
  <c r="U285" i="34"/>
  <c r="V285" i="34"/>
  <c r="W285" i="34"/>
  <c r="N286" i="34"/>
  <c r="O286" i="34"/>
  <c r="P286" i="34"/>
  <c r="Q286" i="34"/>
  <c r="R286" i="34"/>
  <c r="S286" i="34"/>
  <c r="T286" i="34"/>
  <c r="U286" i="34"/>
  <c r="V286" i="34"/>
  <c r="W286" i="34"/>
  <c r="N287" i="34"/>
  <c r="O287" i="34"/>
  <c r="P287" i="34"/>
  <c r="Q287" i="34"/>
  <c r="R287" i="34"/>
  <c r="S287" i="34"/>
  <c r="T287" i="34"/>
  <c r="U287" i="34"/>
  <c r="V287" i="34"/>
  <c r="W287" i="34"/>
  <c r="N288" i="34"/>
  <c r="O288" i="34"/>
  <c r="P288" i="34"/>
  <c r="Q288" i="34"/>
  <c r="R288" i="34"/>
  <c r="S288" i="34"/>
  <c r="T288" i="34"/>
  <c r="U288" i="34"/>
  <c r="V288" i="34"/>
  <c r="W288" i="34"/>
  <c r="N289" i="34"/>
  <c r="O289" i="34"/>
  <c r="P289" i="34"/>
  <c r="Q289" i="34"/>
  <c r="R289" i="34"/>
  <c r="S289" i="34"/>
  <c r="T289" i="34"/>
  <c r="U289" i="34"/>
  <c r="V289" i="34"/>
  <c r="W289" i="34"/>
  <c r="N290" i="34"/>
  <c r="O290" i="34"/>
  <c r="P290" i="34"/>
  <c r="Q290" i="34"/>
  <c r="R290" i="34"/>
  <c r="S290" i="34"/>
  <c r="T290" i="34"/>
  <c r="U290" i="34"/>
  <c r="V290" i="34"/>
  <c r="W290" i="34"/>
  <c r="N291" i="34"/>
  <c r="O291" i="34"/>
  <c r="P291" i="34"/>
  <c r="Q291" i="34"/>
  <c r="R291" i="34"/>
  <c r="S291" i="34"/>
  <c r="T291" i="34"/>
  <c r="U291" i="34"/>
  <c r="V291" i="34"/>
  <c r="W291" i="34"/>
  <c r="N292" i="34"/>
  <c r="O292" i="34"/>
  <c r="P292" i="34"/>
  <c r="Q292" i="34"/>
  <c r="R292" i="34"/>
  <c r="S292" i="34"/>
  <c r="T292" i="34"/>
  <c r="U292" i="34"/>
  <c r="V292" i="34"/>
  <c r="W292" i="34"/>
  <c r="N293" i="34"/>
  <c r="O293" i="34"/>
  <c r="P293" i="34"/>
  <c r="Q293" i="34"/>
  <c r="R293" i="34"/>
  <c r="S293" i="34"/>
  <c r="T293" i="34"/>
  <c r="U293" i="34"/>
  <c r="V293" i="34"/>
  <c r="W293" i="34"/>
  <c r="N294" i="34"/>
  <c r="O294" i="34"/>
  <c r="P294" i="34"/>
  <c r="Q294" i="34"/>
  <c r="R294" i="34"/>
  <c r="S294" i="34"/>
  <c r="T294" i="34"/>
  <c r="U294" i="34"/>
  <c r="V294" i="34"/>
  <c r="W294" i="34"/>
  <c r="N295" i="34"/>
  <c r="O295" i="34"/>
  <c r="P295" i="34"/>
  <c r="Q295" i="34"/>
  <c r="R295" i="34"/>
  <c r="S295" i="34"/>
  <c r="T295" i="34"/>
  <c r="U295" i="34"/>
  <c r="V295" i="34"/>
  <c r="W295" i="34"/>
  <c r="N296" i="34"/>
  <c r="O296" i="34"/>
  <c r="P296" i="34"/>
  <c r="Q296" i="34"/>
  <c r="R296" i="34"/>
  <c r="S296" i="34"/>
  <c r="T296" i="34"/>
  <c r="U296" i="34"/>
  <c r="V296" i="34"/>
  <c r="W296" i="34"/>
  <c r="N297" i="34"/>
  <c r="O297" i="34"/>
  <c r="P297" i="34"/>
  <c r="Q297" i="34"/>
  <c r="R297" i="34"/>
  <c r="S297" i="34"/>
  <c r="T297" i="34"/>
  <c r="U297" i="34"/>
  <c r="V297" i="34"/>
  <c r="W297" i="34"/>
  <c r="N298" i="34"/>
  <c r="O298" i="34"/>
  <c r="P298" i="34"/>
  <c r="Q298" i="34"/>
  <c r="R298" i="34"/>
  <c r="S298" i="34"/>
  <c r="T298" i="34"/>
  <c r="U298" i="34"/>
  <c r="V298" i="34"/>
  <c r="W298" i="34"/>
  <c r="N299" i="34"/>
  <c r="O299" i="34"/>
  <c r="P299" i="34"/>
  <c r="Q299" i="34"/>
  <c r="R299" i="34"/>
  <c r="S299" i="34"/>
  <c r="T299" i="34"/>
  <c r="U299" i="34"/>
  <c r="V299" i="34"/>
  <c r="W299" i="34"/>
  <c r="N300" i="34"/>
  <c r="O300" i="34"/>
  <c r="P300" i="34"/>
  <c r="Q300" i="34"/>
  <c r="R300" i="34"/>
  <c r="S300" i="34"/>
  <c r="T300" i="34"/>
  <c r="U300" i="34"/>
  <c r="V300" i="34"/>
  <c r="W300" i="34"/>
  <c r="N301" i="34"/>
  <c r="O301" i="34"/>
  <c r="P301" i="34"/>
  <c r="Q301" i="34"/>
  <c r="R301" i="34"/>
  <c r="S301" i="34"/>
  <c r="T301" i="34"/>
  <c r="U301" i="34"/>
  <c r="V301" i="34"/>
  <c r="W301" i="34"/>
  <c r="N302" i="34"/>
  <c r="O302" i="34"/>
  <c r="P302" i="34"/>
  <c r="Q302" i="34"/>
  <c r="R302" i="34"/>
  <c r="S302" i="34"/>
  <c r="T302" i="34"/>
  <c r="U302" i="34"/>
  <c r="V302" i="34"/>
  <c r="W302" i="34"/>
  <c r="N303" i="34"/>
  <c r="O303" i="34"/>
  <c r="P303" i="34"/>
  <c r="Q303" i="34"/>
  <c r="R303" i="34"/>
  <c r="S303" i="34"/>
  <c r="T303" i="34"/>
  <c r="U303" i="34"/>
  <c r="V303" i="34"/>
  <c r="W303" i="34"/>
  <c r="N304" i="34"/>
  <c r="O304" i="34"/>
  <c r="P304" i="34"/>
  <c r="Q304" i="34"/>
  <c r="R304" i="34"/>
  <c r="S304" i="34"/>
  <c r="T304" i="34"/>
  <c r="U304" i="34"/>
  <c r="V304" i="34"/>
  <c r="W304" i="34"/>
  <c r="N305" i="34"/>
  <c r="O305" i="34"/>
  <c r="P305" i="34"/>
  <c r="Q305" i="34"/>
  <c r="R305" i="34"/>
  <c r="S305" i="34"/>
  <c r="T305" i="34"/>
  <c r="U305" i="34"/>
  <c r="V305" i="34"/>
  <c r="W305" i="34"/>
  <c r="N306" i="34"/>
  <c r="O306" i="34"/>
  <c r="P306" i="34"/>
  <c r="Q306" i="34"/>
  <c r="R306" i="34"/>
  <c r="S306" i="34"/>
  <c r="T306" i="34"/>
  <c r="U306" i="34"/>
  <c r="V306" i="34"/>
  <c r="W306" i="34"/>
  <c r="N307" i="34"/>
  <c r="O307" i="34"/>
  <c r="P307" i="34"/>
  <c r="Q307" i="34"/>
  <c r="R307" i="34"/>
  <c r="S307" i="34"/>
  <c r="T307" i="34"/>
  <c r="U307" i="34"/>
  <c r="V307" i="34"/>
  <c r="W307" i="34"/>
  <c r="N308" i="34"/>
  <c r="O308" i="34"/>
  <c r="P308" i="34"/>
  <c r="Q308" i="34"/>
  <c r="R308" i="34"/>
  <c r="S308" i="34"/>
  <c r="T308" i="34"/>
  <c r="U308" i="34"/>
  <c r="V308" i="34"/>
  <c r="W308" i="34"/>
  <c r="N309" i="34"/>
  <c r="O309" i="34"/>
  <c r="P309" i="34"/>
  <c r="Q309" i="34"/>
  <c r="R309" i="34"/>
  <c r="S309" i="34"/>
  <c r="T309" i="34"/>
  <c r="U309" i="34"/>
  <c r="V309" i="34"/>
  <c r="W309" i="34"/>
  <c r="N310" i="34"/>
  <c r="O310" i="34"/>
  <c r="P310" i="34"/>
  <c r="Q310" i="34"/>
  <c r="R310" i="34"/>
  <c r="S310" i="34"/>
  <c r="T310" i="34"/>
  <c r="U310" i="34"/>
  <c r="V310" i="34"/>
  <c r="W310" i="34"/>
  <c r="N311" i="34"/>
  <c r="O311" i="34"/>
  <c r="P311" i="34"/>
  <c r="Q311" i="34"/>
  <c r="R311" i="34"/>
  <c r="S311" i="34"/>
  <c r="T311" i="34"/>
  <c r="U311" i="34"/>
  <c r="V311" i="34"/>
  <c r="W311" i="34"/>
  <c r="N312" i="34"/>
  <c r="O312" i="34"/>
  <c r="P312" i="34"/>
  <c r="Q312" i="34"/>
  <c r="R312" i="34"/>
  <c r="S312" i="34"/>
  <c r="T312" i="34"/>
  <c r="U312" i="34"/>
  <c r="V312" i="34"/>
  <c r="W312" i="34"/>
  <c r="N313" i="34"/>
  <c r="O313" i="34"/>
  <c r="P313" i="34"/>
  <c r="Q313" i="34"/>
  <c r="R313" i="34"/>
  <c r="S313" i="34"/>
  <c r="T313" i="34"/>
  <c r="U313" i="34"/>
  <c r="V313" i="34"/>
  <c r="W313" i="34"/>
  <c r="N314" i="34"/>
  <c r="O314" i="34"/>
  <c r="P314" i="34"/>
  <c r="Q314" i="34"/>
  <c r="R314" i="34"/>
  <c r="S314" i="34"/>
  <c r="T314" i="34"/>
  <c r="U314" i="34"/>
  <c r="V314" i="34"/>
  <c r="W314" i="34"/>
  <c r="N315" i="34"/>
  <c r="O315" i="34"/>
  <c r="P315" i="34"/>
  <c r="Q315" i="34"/>
  <c r="R315" i="34"/>
  <c r="S315" i="34"/>
  <c r="T315" i="34"/>
  <c r="U315" i="34"/>
  <c r="V315" i="34"/>
  <c r="W315" i="34"/>
  <c r="N316" i="34"/>
  <c r="O316" i="34"/>
  <c r="P316" i="34"/>
  <c r="Q316" i="34"/>
  <c r="R316" i="34"/>
  <c r="S316" i="34"/>
  <c r="T316" i="34"/>
  <c r="U316" i="34"/>
  <c r="V316" i="34"/>
  <c r="W316" i="34"/>
  <c r="N317" i="34"/>
  <c r="O317" i="34"/>
  <c r="P317" i="34"/>
  <c r="Q317" i="34"/>
  <c r="R317" i="34"/>
  <c r="S317" i="34"/>
  <c r="T317" i="34"/>
  <c r="U317" i="34"/>
  <c r="V317" i="34"/>
  <c r="W317" i="34"/>
  <c r="N318" i="34"/>
  <c r="O318" i="34"/>
  <c r="P318" i="34"/>
  <c r="Q318" i="34"/>
  <c r="R318" i="34"/>
  <c r="S318" i="34"/>
  <c r="T318" i="34"/>
  <c r="U318" i="34"/>
  <c r="V318" i="34"/>
  <c r="W318" i="34"/>
  <c r="N319" i="34"/>
  <c r="O319" i="34"/>
  <c r="P319" i="34"/>
  <c r="Q319" i="34"/>
  <c r="R319" i="34"/>
  <c r="S319" i="34"/>
  <c r="T319" i="34"/>
  <c r="U319" i="34"/>
  <c r="V319" i="34"/>
  <c r="W319" i="34"/>
  <c r="N320" i="34"/>
  <c r="O320" i="34"/>
  <c r="P320" i="34"/>
  <c r="Q320" i="34"/>
  <c r="R320" i="34"/>
  <c r="S320" i="34"/>
  <c r="T320" i="34"/>
  <c r="U320" i="34"/>
  <c r="V320" i="34"/>
  <c r="W320" i="34"/>
  <c r="N321" i="34"/>
  <c r="O321" i="34"/>
  <c r="P321" i="34"/>
  <c r="Q321" i="34"/>
  <c r="R321" i="34"/>
  <c r="S321" i="34"/>
  <c r="T321" i="34"/>
  <c r="U321" i="34"/>
  <c r="V321" i="34"/>
  <c r="W321" i="34"/>
  <c r="N322" i="34"/>
  <c r="O322" i="34"/>
  <c r="P322" i="34"/>
  <c r="Q322" i="34"/>
  <c r="R322" i="34"/>
  <c r="S322" i="34"/>
  <c r="T322" i="34"/>
  <c r="U322" i="34"/>
  <c r="V322" i="34"/>
  <c r="W322" i="34"/>
  <c r="E6" i="43"/>
  <c r="A5" i="43" l="1"/>
  <c r="I13" i="58" l="1"/>
  <c r="K238" i="34" l="1"/>
  <c r="C238" i="34"/>
  <c r="B238" i="34" s="1"/>
  <c r="C237" i="34"/>
  <c r="B237" i="34" s="1"/>
  <c r="C236" i="34"/>
  <c r="B236" i="34" s="1"/>
  <c r="K116" i="34"/>
  <c r="C116" i="34"/>
  <c r="B116" i="34" s="1"/>
  <c r="C115" i="34"/>
  <c r="B115" i="34" s="1"/>
  <c r="C114" i="34"/>
  <c r="B114" i="34" s="1"/>
  <c r="K183" i="34"/>
  <c r="C183" i="34"/>
  <c r="B183" i="34" s="1"/>
  <c r="C182" i="34"/>
  <c r="B182" i="34" s="1"/>
  <c r="C181" i="34"/>
  <c r="B181" i="34" s="1"/>
  <c r="K63" i="34"/>
  <c r="C62" i="34"/>
  <c r="B62" i="34" s="1"/>
  <c r="C63" i="34"/>
  <c r="B63" i="34" s="1"/>
  <c r="C61" i="34"/>
  <c r="B61" i="34" s="1"/>
  <c r="B318" i="34"/>
  <c r="B320" i="34"/>
  <c r="B319" i="34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 s="1"/>
  <c r="P17" i="88"/>
  <c r="P22" i="88" s="1"/>
  <c r="O17" i="88"/>
  <c r="O22" i="88" s="1"/>
  <c r="N17" i="88"/>
  <c r="N22" i="88" s="1"/>
  <c r="L17" i="88"/>
  <c r="L22" i="88" s="1"/>
  <c r="E17" i="88"/>
  <c r="E22" i="88" s="1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 s="1"/>
  <c r="P10" i="88"/>
  <c r="P15" i="88" s="1"/>
  <c r="O10" i="88"/>
  <c r="O15" i="88" s="1"/>
  <c r="N10" i="88"/>
  <c r="N15" i="88" s="1"/>
  <c r="L10" i="88"/>
  <c r="L15" i="88" s="1"/>
  <c r="E10" i="88"/>
  <c r="E15" i="88" s="1"/>
  <c r="D10" i="88"/>
  <c r="C10" i="88"/>
  <c r="E4" i="88"/>
  <c r="S24" i="88" s="1"/>
  <c r="AL24" i="87"/>
  <c r="D24" i="87"/>
  <c r="C24" i="87"/>
  <c r="AL22" i="87"/>
  <c r="D22" i="87"/>
  <c r="C22" i="87"/>
  <c r="A22" i="87"/>
  <c r="A24" i="87" s="1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 s="1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 s="1"/>
  <c r="P17" i="86"/>
  <c r="P22" i="86" s="1"/>
  <c r="O17" i="86"/>
  <c r="O22" i="86" s="1"/>
  <c r="N17" i="86"/>
  <c r="N22" i="86" s="1"/>
  <c r="L17" i="86"/>
  <c r="L22" i="86" s="1"/>
  <c r="E17" i="86"/>
  <c r="E22" i="86" s="1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 s="1"/>
  <c r="P10" i="86"/>
  <c r="P15" i="86" s="1"/>
  <c r="O10" i="86"/>
  <c r="O15" i="86" s="1"/>
  <c r="N10" i="86"/>
  <c r="N15" i="86" s="1"/>
  <c r="L10" i="86"/>
  <c r="L15" i="86" s="1"/>
  <c r="E10" i="86"/>
  <c r="E15" i="86" s="1"/>
  <c r="D10" i="86"/>
  <c r="C10" i="86"/>
  <c r="E4" i="86"/>
  <c r="S24" i="86" s="1"/>
  <c r="D1" i="86"/>
  <c r="AL24" i="85"/>
  <c r="D24" i="85"/>
  <c r="C24" i="85"/>
  <c r="AL22" i="85"/>
  <c r="D22" i="85"/>
  <c r="C22" i="85"/>
  <c r="A22" i="85"/>
  <c r="A24" i="85" s="1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 s="1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 s="1"/>
  <c r="P16" i="84"/>
  <c r="P21" i="84" s="1"/>
  <c r="O16" i="84"/>
  <c r="O21" i="84" s="1"/>
  <c r="N16" i="84"/>
  <c r="N21" i="84" s="1"/>
  <c r="L16" i="84"/>
  <c r="L21" i="84" s="1"/>
  <c r="E16" i="84"/>
  <c r="E21" i="84" s="1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 s="1"/>
  <c r="P10" i="84"/>
  <c r="P14" i="84" s="1"/>
  <c r="O10" i="84"/>
  <c r="O14" i="84" s="1"/>
  <c r="N10" i="84"/>
  <c r="N14" i="84" s="1"/>
  <c r="L10" i="84"/>
  <c r="L14" i="84" s="1"/>
  <c r="E10" i="84"/>
  <c r="E14" i="84" s="1"/>
  <c r="D10" i="84"/>
  <c r="C10" i="84"/>
  <c r="E4" i="84"/>
  <c r="S23" i="84" s="1"/>
  <c r="AL22" i="83"/>
  <c r="D22" i="83"/>
  <c r="C22" i="83"/>
  <c r="AL20" i="83"/>
  <c r="D20" i="83"/>
  <c r="C20" i="83"/>
  <c r="AL18" i="83"/>
  <c r="D18" i="83"/>
  <c r="C18" i="83"/>
  <c r="A18" i="83"/>
  <c r="A20" i="83" s="1"/>
  <c r="A22" i="83" s="1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 s="1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 s="1"/>
  <c r="D1" i="82"/>
  <c r="AL22" i="81"/>
  <c r="D22" i="81"/>
  <c r="C22" i="81"/>
  <c r="AL18" i="81"/>
  <c r="D18" i="81"/>
  <c r="C18" i="81"/>
  <c r="A18" i="81"/>
  <c r="A20" i="81" s="1"/>
  <c r="A22" i="81" s="1"/>
  <c r="AL16" i="81"/>
  <c r="D16" i="81"/>
  <c r="C16" i="81"/>
  <c r="AL11" i="81"/>
  <c r="D11" i="81"/>
  <c r="C11" i="81"/>
  <c r="AL9" i="81"/>
  <c r="D9" i="81"/>
  <c r="C9" i="81"/>
  <c r="F5" i="81"/>
  <c r="F6" i="81" s="1"/>
  <c r="S1" i="81"/>
  <c r="M78" i="80"/>
  <c r="N108" i="80" s="1"/>
  <c r="M77" i="80"/>
  <c r="N106" i="80" s="1"/>
  <c r="M76" i="80"/>
  <c r="N104" i="80" s="1"/>
  <c r="M75" i="80"/>
  <c r="N102" i="80" s="1"/>
  <c r="M74" i="80"/>
  <c r="N100" i="80" s="1"/>
  <c r="M73" i="80"/>
  <c r="N98" i="80" s="1"/>
  <c r="M72" i="80"/>
  <c r="N96" i="80" s="1"/>
  <c r="M71" i="80"/>
  <c r="N94" i="80" s="1"/>
  <c r="M70" i="80"/>
  <c r="N92" i="80" s="1"/>
  <c r="M69" i="80"/>
  <c r="N90" i="80" s="1"/>
  <c r="M68" i="80"/>
  <c r="N88" i="80" s="1"/>
  <c r="M67" i="80"/>
  <c r="N86" i="80" s="1"/>
  <c r="M66" i="80"/>
  <c r="N84" i="80" s="1"/>
  <c r="M65" i="80"/>
  <c r="N82" i="80" s="1"/>
  <c r="M64" i="80"/>
  <c r="N80" i="80" s="1"/>
  <c r="M63" i="80"/>
  <c r="N78" i="80" s="1"/>
  <c r="M62" i="80"/>
  <c r="N76" i="80" s="1"/>
  <c r="M61" i="80"/>
  <c r="N74" i="80" s="1"/>
  <c r="M60" i="80"/>
  <c r="N72" i="80" s="1"/>
  <c r="M59" i="80"/>
  <c r="N70" i="80" s="1"/>
  <c r="M58" i="80"/>
  <c r="N68" i="80" s="1"/>
  <c r="M57" i="80"/>
  <c r="N66" i="80" s="1"/>
  <c r="M56" i="80"/>
  <c r="N64" i="80" s="1"/>
  <c r="M55" i="80"/>
  <c r="N62" i="80" s="1"/>
  <c r="M54" i="80"/>
  <c r="N60" i="80" s="1"/>
  <c r="M53" i="80"/>
  <c r="N58" i="80" s="1"/>
  <c r="M52" i="80"/>
  <c r="N56" i="80" s="1"/>
  <c r="M51" i="80"/>
  <c r="N54" i="80" s="1"/>
  <c r="M50" i="80"/>
  <c r="N52" i="80" s="1"/>
  <c r="M49" i="80"/>
  <c r="N50" i="80" s="1"/>
  <c r="M48" i="80"/>
  <c r="N48" i="80" s="1"/>
  <c r="K26" i="80"/>
  <c r="K27" i="80" s="1"/>
  <c r="U22" i="80" a="1"/>
  <c r="U22" i="80" s="1"/>
  <c r="T22" i="80" a="1"/>
  <c r="T22" i="80" s="1"/>
  <c r="S22" i="80" a="1"/>
  <c r="S22" i="80" s="1"/>
  <c r="R22" i="80" a="1"/>
  <c r="R22" i="80" s="1"/>
  <c r="Q22" i="80" a="1"/>
  <c r="Q22" i="80" s="1"/>
  <c r="P22" i="80" a="1"/>
  <c r="P22" i="80" s="1"/>
  <c r="O22" i="80" a="1"/>
  <c r="O22" i="80" s="1"/>
  <c r="N22" i="80" a="1"/>
  <c r="N22" i="80" s="1"/>
  <c r="M22" i="80" a="1"/>
  <c r="M22" i="80" s="1"/>
  <c r="L22" i="80" a="1"/>
  <c r="L22" i="80" s="1"/>
  <c r="K22" i="80" a="1"/>
  <c r="K22" i="80" s="1"/>
  <c r="J22" i="80" a="1"/>
  <c r="J22" i="80" s="1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G5" i="87" l="1"/>
  <c r="D1" i="88"/>
  <c r="G5" i="85"/>
  <c r="G6" i="85" s="1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 l="1"/>
  <c r="H5" i="87"/>
  <c r="I5" i="85"/>
  <c r="H6" i="85"/>
  <c r="G6" i="83"/>
  <c r="H5" i="83"/>
  <c r="G6" i="81"/>
  <c r="H5" i="81"/>
  <c r="I5" i="87" l="1"/>
  <c r="H6" i="87"/>
  <c r="J5" i="85"/>
  <c r="I6" i="85"/>
  <c r="I5" i="83"/>
  <c r="H6" i="83"/>
  <c r="I5" i="81"/>
  <c r="H6" i="81"/>
  <c r="J5" i="87" l="1"/>
  <c r="I6" i="87"/>
  <c r="J6" i="85"/>
  <c r="K5" i="85"/>
  <c r="J5" i="83"/>
  <c r="I6" i="83"/>
  <c r="J5" i="81"/>
  <c r="I6" i="81"/>
  <c r="J6" i="87" l="1"/>
  <c r="K5" i="87"/>
  <c r="K6" i="85"/>
  <c r="L5" i="85"/>
  <c r="J6" i="83"/>
  <c r="K5" i="83"/>
  <c r="J6" i="81"/>
  <c r="K5" i="81"/>
  <c r="K6" i="87" l="1"/>
  <c r="L5" i="87"/>
  <c r="M5" i="85"/>
  <c r="L6" i="85"/>
  <c r="K6" i="83"/>
  <c r="L5" i="83"/>
  <c r="K6" i="81"/>
  <c r="L5" i="81"/>
  <c r="M5" i="87" l="1"/>
  <c r="L6" i="87"/>
  <c r="N5" i="85"/>
  <c r="M6" i="85"/>
  <c r="M5" i="83"/>
  <c r="L6" i="83"/>
  <c r="M5" i="81"/>
  <c r="L6" i="81"/>
  <c r="N5" i="87" l="1"/>
  <c r="M6" i="87"/>
  <c r="N6" i="85"/>
  <c r="O5" i="85"/>
  <c r="N5" i="83"/>
  <c r="M6" i="83"/>
  <c r="N5" i="81"/>
  <c r="M6" i="81"/>
  <c r="N6" i="87" l="1"/>
  <c r="O5" i="87"/>
  <c r="O6" i="85"/>
  <c r="P5" i="85"/>
  <c r="N6" i="83"/>
  <c r="O5" i="83"/>
  <c r="N6" i="81"/>
  <c r="O5" i="81"/>
  <c r="O6" i="87" l="1"/>
  <c r="P5" i="87"/>
  <c r="Q5" i="85"/>
  <c r="P6" i="85"/>
  <c r="O6" i="83"/>
  <c r="P5" i="83"/>
  <c r="O6" i="81"/>
  <c r="P5" i="81"/>
  <c r="Q5" i="87" l="1"/>
  <c r="P6" i="87"/>
  <c r="R5" i="85"/>
  <c r="Q6" i="85"/>
  <c r="Q5" i="83"/>
  <c r="P6" i="83"/>
  <c r="Q5" i="81"/>
  <c r="P6" i="81"/>
  <c r="R5" i="87" l="1"/>
  <c r="Q6" i="87"/>
  <c r="R6" i="85"/>
  <c r="S5" i="85"/>
  <c r="R5" i="83"/>
  <c r="Q6" i="83"/>
  <c r="R5" i="81"/>
  <c r="Q6" i="81"/>
  <c r="R6" i="87" l="1"/>
  <c r="S5" i="87"/>
  <c r="S6" i="85"/>
  <c r="T5" i="85"/>
  <c r="R6" i="83"/>
  <c r="S5" i="83"/>
  <c r="R6" i="81"/>
  <c r="S5" i="81"/>
  <c r="S6" i="87" l="1"/>
  <c r="T5" i="87"/>
  <c r="U5" i="85"/>
  <c r="T6" i="85"/>
  <c r="S6" i="83"/>
  <c r="T5" i="83"/>
  <c r="S6" i="81"/>
  <c r="T5" i="81"/>
  <c r="U5" i="87" l="1"/>
  <c r="T6" i="87"/>
  <c r="V5" i="85"/>
  <c r="U6" i="85"/>
  <c r="U5" i="83"/>
  <c r="T6" i="83"/>
  <c r="U5" i="81"/>
  <c r="T6" i="81"/>
  <c r="V5" i="87" l="1"/>
  <c r="U6" i="87"/>
  <c r="V6" i="85"/>
  <c r="W5" i="85"/>
  <c r="V5" i="83"/>
  <c r="U6" i="83"/>
  <c r="V5" i="81"/>
  <c r="U6" i="81"/>
  <c r="V6" i="87" l="1"/>
  <c r="W5" i="87"/>
  <c r="W6" i="85"/>
  <c r="X5" i="85"/>
  <c r="V6" i="83"/>
  <c r="W5" i="83"/>
  <c r="V6" i="81"/>
  <c r="W5" i="81"/>
  <c r="W6" i="87" l="1"/>
  <c r="X5" i="87"/>
  <c r="Y5" i="85"/>
  <c r="X6" i="85"/>
  <c r="W6" i="83"/>
  <c r="X5" i="83"/>
  <c r="W6" i="81"/>
  <c r="X5" i="81"/>
  <c r="Y5" i="87" l="1"/>
  <c r="X6" i="87"/>
  <c r="Z5" i="85"/>
  <c r="Y6" i="85"/>
  <c r="Y5" i="83"/>
  <c r="X6" i="83"/>
  <c r="Y5" i="81"/>
  <c r="X6" i="81"/>
  <c r="Z5" i="87" l="1"/>
  <c r="Y6" i="87"/>
  <c r="Z6" i="85"/>
  <c r="AA5" i="85"/>
  <c r="Z5" i="83"/>
  <c r="Y6" i="83"/>
  <c r="Z5" i="81"/>
  <c r="Y6" i="81"/>
  <c r="Z6" i="87" l="1"/>
  <c r="AA5" i="87"/>
  <c r="AA6" i="85"/>
  <c r="AB5" i="85"/>
  <c r="Z6" i="83"/>
  <c r="AA5" i="83"/>
  <c r="Z6" i="81"/>
  <c r="AA5" i="81"/>
  <c r="AA6" i="87" l="1"/>
  <c r="AB5" i="87"/>
  <c r="AC5" i="85"/>
  <c r="AB6" i="85"/>
  <c r="AA6" i="83"/>
  <c r="AB5" i="83"/>
  <c r="AA6" i="81"/>
  <c r="AB5" i="81"/>
  <c r="AC5" i="87" l="1"/>
  <c r="AB6" i="87"/>
  <c r="AD5" i="85"/>
  <c r="AC6" i="85"/>
  <c r="AC5" i="83"/>
  <c r="AB6" i="83"/>
  <c r="AC5" i="81"/>
  <c r="AB6" i="81"/>
  <c r="AD5" i="87" l="1"/>
  <c r="AC6" i="87"/>
  <c r="AD6" i="85"/>
  <c r="AE5" i="85"/>
  <c r="AD5" i="83"/>
  <c r="AC6" i="83"/>
  <c r="AD5" i="81"/>
  <c r="AC6" i="81"/>
  <c r="AD6" i="87" l="1"/>
  <c r="AE5" i="87"/>
  <c r="AE6" i="85"/>
  <c r="AF5" i="85"/>
  <c r="AD6" i="83"/>
  <c r="AE5" i="83"/>
  <c r="AD6" i="81"/>
  <c r="AE5" i="81"/>
  <c r="AE6" i="87" l="1"/>
  <c r="AF5" i="87"/>
  <c r="AG5" i="85"/>
  <c r="AF6" i="85"/>
  <c r="AE6" i="83"/>
  <c r="AF5" i="83"/>
  <c r="AE6" i="81"/>
  <c r="AF5" i="81"/>
  <c r="AG5" i="87" l="1"/>
  <c r="AF6" i="87"/>
  <c r="AH5" i="85"/>
  <c r="AG6" i="85"/>
  <c r="AG5" i="83"/>
  <c r="AF6" i="83"/>
  <c r="AG5" i="81"/>
  <c r="AF6" i="81"/>
  <c r="AH5" i="87" l="1"/>
  <c r="AG6" i="87"/>
  <c r="AH6" i="85"/>
  <c r="AI5" i="85"/>
  <c r="AH5" i="83"/>
  <c r="AG6" i="83"/>
  <c r="AH5" i="81"/>
  <c r="AG6" i="81"/>
  <c r="AH6" i="87" l="1"/>
  <c r="AI5" i="87"/>
  <c r="AI6" i="85"/>
  <c r="AJ5" i="85"/>
  <c r="AJ6" i="85" s="1"/>
  <c r="AH6" i="83"/>
  <c r="AI5" i="83"/>
  <c r="AH6" i="81"/>
  <c r="AI5" i="81"/>
  <c r="AI6" i="87" l="1"/>
  <c r="AJ5" i="87"/>
  <c r="AJ6" i="87" s="1"/>
  <c r="AK22" i="85"/>
  <c r="AM13" i="85"/>
  <c r="H12" i="86" s="1"/>
  <c r="AM22" i="85"/>
  <c r="H19" i="86" s="1"/>
  <c r="AK24" i="85"/>
  <c r="AM15" i="85"/>
  <c r="H13" i="86" s="1"/>
  <c r="AK11" i="85"/>
  <c r="AM18" i="85"/>
  <c r="H17" i="86" s="1"/>
  <c r="AM9" i="85"/>
  <c r="H10" i="86" s="1"/>
  <c r="AK15" i="85"/>
  <c r="AK13" i="85"/>
  <c r="AK9" i="85"/>
  <c r="AM11" i="85"/>
  <c r="H11" i="86" s="1"/>
  <c r="AM24" i="85"/>
  <c r="H20" i="86" s="1"/>
  <c r="AK18" i="85"/>
  <c r="AM20" i="85"/>
  <c r="H18" i="86" s="1"/>
  <c r="AK20" i="85"/>
  <c r="AI6" i="83"/>
  <c r="AJ5" i="83"/>
  <c r="AJ6" i="83" s="1"/>
  <c r="AI6" i="81"/>
  <c r="AJ5" i="81"/>
  <c r="AJ6" i="81" s="1"/>
  <c r="AK11" i="87" l="1"/>
  <c r="AM20" i="87"/>
  <c r="H18" i="88" s="1"/>
  <c r="AK13" i="87"/>
  <c r="AM11" i="87"/>
  <c r="H11" i="88" s="1"/>
  <c r="AK18" i="87"/>
  <c r="AM24" i="87"/>
  <c r="H20" i="88" s="1"/>
  <c r="AK15" i="87"/>
  <c r="AM13" i="87"/>
  <c r="H12" i="88" s="1"/>
  <c r="AK22" i="87"/>
  <c r="AK24" i="87"/>
  <c r="AK20" i="87"/>
  <c r="AM15" i="87"/>
  <c r="H13" i="88" s="1"/>
  <c r="AK9" i="87"/>
  <c r="AM9" i="87"/>
  <c r="H10" i="88" s="1"/>
  <c r="AM22" i="87"/>
  <c r="H19" i="88" s="1"/>
  <c r="AM18" i="87"/>
  <c r="H17" i="88" s="1"/>
  <c r="F17" i="86"/>
  <c r="J17" i="86" s="1"/>
  <c r="AN18" i="85"/>
  <c r="F18" i="86"/>
  <c r="J18" i="86" s="1"/>
  <c r="AN20" i="85"/>
  <c r="AN24" i="85"/>
  <c r="F20" i="86"/>
  <c r="J20" i="86" s="1"/>
  <c r="F10" i="86"/>
  <c r="J10" i="86" s="1"/>
  <c r="AN9" i="85"/>
  <c r="U2" i="86"/>
  <c r="F11" i="86"/>
  <c r="J11" i="86" s="1"/>
  <c r="AN11" i="85"/>
  <c r="AN13" i="85"/>
  <c r="F12" i="86"/>
  <c r="J12" i="86" s="1"/>
  <c r="F13" i="86"/>
  <c r="J13" i="86" s="1"/>
  <c r="AN15" i="85"/>
  <c r="F19" i="86"/>
  <c r="J19" i="86" s="1"/>
  <c r="AN22" i="85"/>
  <c r="AK18" i="83"/>
  <c r="AM13" i="83"/>
  <c r="H12" i="84" s="1"/>
  <c r="AM20" i="83"/>
  <c r="H18" i="84" s="1"/>
  <c r="AM22" i="83"/>
  <c r="H19" i="84" s="1"/>
  <c r="AM9" i="83"/>
  <c r="H10" i="84" s="1"/>
  <c r="AK9" i="83"/>
  <c r="AK20" i="83"/>
  <c r="AM11" i="83"/>
  <c r="H11" i="84" s="1"/>
  <c r="AK11" i="83"/>
  <c r="AK22" i="83"/>
  <c r="AK16" i="83"/>
  <c r="AK13" i="83"/>
  <c r="AM16" i="83"/>
  <c r="H16" i="84" s="1"/>
  <c r="AM18" i="83"/>
  <c r="H17" i="84" s="1"/>
  <c r="AK20" i="81"/>
  <c r="AM13" i="81"/>
  <c r="H12" i="82" s="1"/>
  <c r="AM20" i="81"/>
  <c r="H18" i="82" s="1"/>
  <c r="AK13" i="81"/>
  <c r="AM9" i="81"/>
  <c r="H10" i="82" s="1"/>
  <c r="AK16" i="81"/>
  <c r="AM11" i="81"/>
  <c r="H11" i="82" s="1"/>
  <c r="AM16" i="81"/>
  <c r="H16" i="82" s="1"/>
  <c r="AK9" i="81"/>
  <c r="AK22" i="81"/>
  <c r="F19" i="82" s="1"/>
  <c r="AK18" i="81"/>
  <c r="AK11" i="81"/>
  <c r="AM18" i="81"/>
  <c r="H17" i="82" s="1"/>
  <c r="AM22" i="81"/>
  <c r="H19" i="82" s="1"/>
  <c r="U2" i="82" l="1"/>
  <c r="I17" i="82" s="1"/>
  <c r="F18" i="88"/>
  <c r="J18" i="88" s="1"/>
  <c r="AN20" i="87"/>
  <c r="F13" i="88"/>
  <c r="J13" i="88" s="1"/>
  <c r="AN15" i="87"/>
  <c r="AN13" i="87"/>
  <c r="F12" i="88"/>
  <c r="J12" i="88" s="1"/>
  <c r="AN24" i="87"/>
  <c r="F20" i="88"/>
  <c r="J20" i="88" s="1"/>
  <c r="F10" i="88"/>
  <c r="J10" i="88" s="1"/>
  <c r="AN9" i="87"/>
  <c r="U2" i="88"/>
  <c r="F19" i="88"/>
  <c r="J19" i="88" s="1"/>
  <c r="AN22" i="87"/>
  <c r="F17" i="88"/>
  <c r="J17" i="88" s="1"/>
  <c r="AN18" i="87"/>
  <c r="F11" i="88"/>
  <c r="J11" i="88" s="1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 s="1"/>
  <c r="AN16" i="83"/>
  <c r="F18" i="84"/>
  <c r="J18" i="84" s="1"/>
  <c r="AN20" i="83"/>
  <c r="AN22" i="83"/>
  <c r="F19" i="84"/>
  <c r="J19" i="84" s="1"/>
  <c r="F10" i="84"/>
  <c r="J10" i="84" s="1"/>
  <c r="AN9" i="83"/>
  <c r="U2" i="84"/>
  <c r="F11" i="84"/>
  <c r="J11" i="84" s="1"/>
  <c r="AN11" i="83"/>
  <c r="AN13" i="83"/>
  <c r="F12" i="84"/>
  <c r="J12" i="84" s="1"/>
  <c r="F17" i="84"/>
  <c r="J17" i="84" s="1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 l="1"/>
  <c r="K19" i="82"/>
  <c r="I11" i="82"/>
  <c r="I16" i="82"/>
  <c r="I21" i="82" s="1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 s="1"/>
  <c r="M11" i="88" s="1"/>
  <c r="Q11" i="88" s="1"/>
  <c r="S11" i="88" s="1"/>
  <c r="G10" i="88"/>
  <c r="I12" i="88"/>
  <c r="I20" i="88"/>
  <c r="G18" i="88"/>
  <c r="G17" i="88"/>
  <c r="I13" i="88"/>
  <c r="I22" i="86"/>
  <c r="K12" i="86"/>
  <c r="M12" i="86" s="1"/>
  <c r="Q12" i="86" s="1"/>
  <c r="S12" i="86" s="1"/>
  <c r="K10" i="86"/>
  <c r="G15" i="86"/>
  <c r="K17" i="86"/>
  <c r="G22" i="86"/>
  <c r="K19" i="86"/>
  <c r="M19" i="86" s="1"/>
  <c r="Q19" i="86" s="1"/>
  <c r="S19" i="86" s="1"/>
  <c r="K13" i="86"/>
  <c r="M13" i="86" s="1"/>
  <c r="Q13" i="86" s="1"/>
  <c r="S13" i="86" s="1"/>
  <c r="I15" i="86"/>
  <c r="K18" i="86"/>
  <c r="M18" i="86" s="1"/>
  <c r="Q18" i="86" s="1"/>
  <c r="S18" i="86" s="1"/>
  <c r="K11" i="86"/>
  <c r="M11" i="86" s="1"/>
  <c r="Q11" i="86" s="1"/>
  <c r="S11" i="86" s="1"/>
  <c r="K20" i="86"/>
  <c r="M20" i="86" s="1"/>
  <c r="Q20" i="86" s="1"/>
  <c r="S20" i="86" s="1"/>
  <c r="G19" i="84"/>
  <c r="G18" i="84"/>
  <c r="G12" i="84"/>
  <c r="I17" i="84"/>
  <c r="G11" i="84"/>
  <c r="G10" i="84"/>
  <c r="I11" i="84"/>
  <c r="I18" i="84"/>
  <c r="G17" i="84"/>
  <c r="K17" i="84" s="1"/>
  <c r="M17" i="84" s="1"/>
  <c r="Q17" i="84" s="1"/>
  <c r="S17" i="84" s="1"/>
  <c r="G16" i="84"/>
  <c r="I19" i="84"/>
  <c r="I10" i="84"/>
  <c r="I16" i="84"/>
  <c r="I12" i="84"/>
  <c r="J18" i="82"/>
  <c r="G18" i="82"/>
  <c r="K18" i="82" s="1"/>
  <c r="J12" i="82"/>
  <c r="G12" i="82"/>
  <c r="M19" i="82"/>
  <c r="Q19" i="82" s="1"/>
  <c r="S19" i="82" s="1"/>
  <c r="G10" i="82"/>
  <c r="J10" i="82"/>
  <c r="G17" i="82"/>
  <c r="K17" i="82" s="1"/>
  <c r="J17" i="82"/>
  <c r="G11" i="82"/>
  <c r="K11" i="82" s="1"/>
  <c r="J11" i="82"/>
  <c r="J16" i="82"/>
  <c r="G16" i="82"/>
  <c r="K12" i="82" l="1"/>
  <c r="I14" i="82"/>
  <c r="K13" i="88"/>
  <c r="M13" i="88" s="1"/>
  <c r="Q13" i="88" s="1"/>
  <c r="S13" i="88" s="1"/>
  <c r="K18" i="88"/>
  <c r="M18" i="88" s="1"/>
  <c r="Q18" i="88" s="1"/>
  <c r="S18" i="88" s="1"/>
  <c r="K19" i="88"/>
  <c r="M19" i="88" s="1"/>
  <c r="Q19" i="88" s="1"/>
  <c r="S19" i="88" s="1"/>
  <c r="K12" i="88"/>
  <c r="M12" i="88" s="1"/>
  <c r="Q12" i="88" s="1"/>
  <c r="S12" i="88" s="1"/>
  <c r="K17" i="88"/>
  <c r="G22" i="88"/>
  <c r="K10" i="88"/>
  <c r="G15" i="88"/>
  <c r="I22" i="88"/>
  <c r="I15" i="88"/>
  <c r="K20" i="88"/>
  <c r="M20" i="88" s="1"/>
  <c r="Q20" i="88" s="1"/>
  <c r="S20" i="88" s="1"/>
  <c r="K22" i="86"/>
  <c r="M17" i="86"/>
  <c r="K15" i="86"/>
  <c r="M10" i="86"/>
  <c r="K11" i="84"/>
  <c r="M11" i="84" s="1"/>
  <c r="Q11" i="84" s="1"/>
  <c r="S11" i="84" s="1"/>
  <c r="I14" i="84"/>
  <c r="K16" i="84"/>
  <c r="G21" i="84"/>
  <c r="K12" i="84"/>
  <c r="M12" i="84" s="1"/>
  <c r="Q12" i="84" s="1"/>
  <c r="S12" i="84" s="1"/>
  <c r="I21" i="84"/>
  <c r="K10" i="84"/>
  <c r="G14" i="84"/>
  <c r="K18" i="84"/>
  <c r="M18" i="84" s="1"/>
  <c r="Q18" i="84" s="1"/>
  <c r="S18" i="84" s="1"/>
  <c r="K19" i="84"/>
  <c r="M19" i="84" s="1"/>
  <c r="Q19" i="84" s="1"/>
  <c r="S19" i="84" s="1"/>
  <c r="M12" i="82"/>
  <c r="Q12" i="82" s="1"/>
  <c r="S12" i="82" s="1"/>
  <c r="M18" i="82"/>
  <c r="Q18" i="82" s="1"/>
  <c r="S18" i="82" s="1"/>
  <c r="L21" i="82"/>
  <c r="M17" i="82"/>
  <c r="Q17" i="82" s="1"/>
  <c r="S17" i="82" s="1"/>
  <c r="G14" i="82"/>
  <c r="K10" i="82"/>
  <c r="M11" i="82"/>
  <c r="Q11" i="82" s="1"/>
  <c r="S11" i="82" s="1"/>
  <c r="G21" i="82"/>
  <c r="K16" i="82"/>
  <c r="L14" i="82"/>
  <c r="K15" i="88" l="1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 l="1"/>
  <c r="M22" i="88"/>
  <c r="Q10" i="88"/>
  <c r="M15" i="88"/>
  <c r="S17" i="86"/>
  <c r="S22" i="86" s="1"/>
  <c r="Q22" i="86"/>
  <c r="S10" i="86"/>
  <c r="S15" i="86" s="1"/>
  <c r="Q15" i="86"/>
  <c r="Q16" i="84"/>
  <c r="M21" i="84"/>
  <c r="Q10" i="84"/>
  <c r="M14" i="84"/>
  <c r="Q10" i="82"/>
  <c r="M14" i="82"/>
  <c r="Q16" i="82"/>
  <c r="M21" i="82"/>
  <c r="S10" i="88" l="1"/>
  <c r="S15" i="88" s="1"/>
  <c r="Q15" i="88"/>
  <c r="S17" i="88"/>
  <c r="S22" i="88" s="1"/>
  <c r="Q22" i="88"/>
  <c r="S16" i="84"/>
  <c r="S21" i="84" s="1"/>
  <c r="Q21" i="84"/>
  <c r="S10" i="84"/>
  <c r="S14" i="84" s="1"/>
  <c r="Q14" i="84"/>
  <c r="Q21" i="82"/>
  <c r="S16" i="82"/>
  <c r="S21" i="82" s="1"/>
  <c r="Q14" i="82"/>
  <c r="S10" i="82"/>
  <c r="S14" i="82" s="1"/>
  <c r="A14" i="54" l="1"/>
  <c r="C20" i="54"/>
  <c r="C67" i="34" l="1"/>
  <c r="B67" i="34" s="1"/>
  <c r="C239" i="34" l="1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K317" i="34" l="1"/>
  <c r="K316" i="34"/>
  <c r="K315" i="34"/>
  <c r="K314" i="34"/>
  <c r="K313" i="34"/>
  <c r="K312" i="34"/>
  <c r="K311" i="34"/>
  <c r="K310" i="34"/>
  <c r="K309" i="34"/>
  <c r="K308" i="34"/>
  <c r="K307" i="34"/>
  <c r="K306" i="34"/>
  <c r="K305" i="34"/>
  <c r="K304" i="34"/>
  <c r="K303" i="34"/>
  <c r="K302" i="34"/>
  <c r="K301" i="34"/>
  <c r="K300" i="34"/>
  <c r="K299" i="34"/>
  <c r="K298" i="34"/>
  <c r="K297" i="34"/>
  <c r="K296" i="34"/>
  <c r="K295" i="34"/>
  <c r="K294" i="34"/>
  <c r="K293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299" i="34"/>
  <c r="B298" i="34"/>
  <c r="B297" i="34"/>
  <c r="B296" i="34"/>
  <c r="B295" i="34"/>
  <c r="B294" i="34"/>
  <c r="B293" i="34"/>
  <c r="B31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66" i="34"/>
  <c r="K267" i="34"/>
  <c r="P17" i="60"/>
  <c r="R17" i="60" s="1"/>
  <c r="P16" i="60"/>
  <c r="R16" i="60" s="1"/>
  <c r="K240" i="34"/>
  <c r="K241" i="34"/>
  <c r="K242" i="34"/>
  <c r="K243" i="34"/>
  <c r="K244" i="34"/>
  <c r="K245" i="34"/>
  <c r="K246" i="34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39" i="34"/>
  <c r="B258" i="34"/>
  <c r="B257" i="34"/>
  <c r="B256" i="34"/>
  <c r="B255" i="34"/>
  <c r="B254" i="34"/>
  <c r="B253" i="34"/>
  <c r="B252" i="34"/>
  <c r="B251" i="34"/>
  <c r="B250" i="34"/>
  <c r="B249" i="34"/>
  <c r="B248" i="34"/>
  <c r="B247" i="34"/>
  <c r="B246" i="34"/>
  <c r="B245" i="34"/>
  <c r="B244" i="34"/>
  <c r="B243" i="34"/>
  <c r="B242" i="34"/>
  <c r="B241" i="34"/>
  <c r="B240" i="34"/>
  <c r="B239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264" i="34"/>
  <c r="B263" i="34"/>
  <c r="B262" i="34"/>
  <c r="B261" i="34"/>
  <c r="B260" i="34"/>
  <c r="B259" i="34"/>
  <c r="P18" i="60"/>
  <c r="R19" i="60"/>
  <c r="P20" i="60"/>
  <c r="R20" i="60" s="1"/>
  <c r="R21" i="60"/>
  <c r="C20" i="60" s="1"/>
  <c r="R22" i="60"/>
  <c r="C22" i="60" s="1"/>
  <c r="R23" i="60"/>
  <c r="C23" i="60" s="1"/>
  <c r="R15" i="60"/>
  <c r="R8" i="60"/>
  <c r="C8" i="60" s="1"/>
  <c r="P29" i="60"/>
  <c r="R29" i="60" s="1"/>
  <c r="C29" i="60" s="1"/>
  <c r="P30" i="60"/>
  <c r="R30" i="60" s="1"/>
  <c r="C30" i="60" s="1"/>
  <c r="P28" i="60"/>
  <c r="R28" i="60" s="1"/>
  <c r="C28" i="60" s="1"/>
  <c r="P7" i="60"/>
  <c r="R9" i="60"/>
  <c r="C9" i="60" s="1"/>
  <c r="R10" i="60"/>
  <c r="C10" i="60" s="1"/>
  <c r="R11" i="60"/>
  <c r="C11" i="60" s="1"/>
  <c r="R12" i="60"/>
  <c r="C12" i="60" s="1"/>
  <c r="R13" i="60"/>
  <c r="C13" i="60" s="1"/>
  <c r="R14" i="60"/>
  <c r="C14" i="60" s="1"/>
  <c r="R18" i="60"/>
  <c r="R24" i="60"/>
  <c r="C24" i="60" s="1"/>
  <c r="R25" i="60"/>
  <c r="C25" i="60" s="1"/>
  <c r="R26" i="60"/>
  <c r="C26" i="60" s="1"/>
  <c r="R27" i="60"/>
  <c r="C27" i="60" s="1"/>
  <c r="R31" i="60"/>
  <c r="C31" i="60" s="1"/>
  <c r="R32" i="60"/>
  <c r="C32" i="60" s="1"/>
  <c r="R33" i="60"/>
  <c r="C33" i="60" s="1"/>
  <c r="R34" i="60"/>
  <c r="C34" i="60" s="1"/>
  <c r="C15" i="60" l="1"/>
  <c r="C18" i="60"/>
  <c r="C60" i="34" l="1"/>
  <c r="C113" i="34"/>
  <c r="C235" i="34"/>
  <c r="K205" i="34"/>
  <c r="K204" i="34"/>
  <c r="C50" i="34"/>
  <c r="B50" i="34" s="1"/>
  <c r="C89" i="34"/>
  <c r="B89" i="34" s="1"/>
  <c r="C99" i="34"/>
  <c r="B99" i="34" s="1"/>
  <c r="C112" i="34"/>
  <c r="B112" i="34" s="1"/>
  <c r="C143" i="34"/>
  <c r="B143" i="34" s="1"/>
  <c r="C147" i="34"/>
  <c r="B147" i="34" s="1"/>
  <c r="C163" i="34"/>
  <c r="B163" i="34" s="1"/>
  <c r="C202" i="34"/>
  <c r="B202" i="34" s="1"/>
  <c r="C121" i="34"/>
  <c r="B121" i="34" s="1"/>
  <c r="C130" i="34"/>
  <c r="B130" i="34" s="1"/>
  <c r="C133" i="34"/>
  <c r="B133" i="34" s="1"/>
  <c r="C214" i="34"/>
  <c r="B214" i="34" s="1"/>
  <c r="C177" i="34"/>
  <c r="B177" i="34" s="1"/>
  <c r="C219" i="34"/>
  <c r="B219" i="34" s="1"/>
  <c r="K217" i="34" l="1"/>
  <c r="K212" i="34"/>
  <c r="K209" i="34"/>
  <c r="K208" i="34"/>
  <c r="K207" i="34"/>
  <c r="K206" i="34"/>
  <c r="K200" i="34"/>
  <c r="K199" i="34"/>
  <c r="K193" i="34"/>
  <c r="K190" i="34"/>
  <c r="K189" i="34"/>
  <c r="K175" i="34"/>
  <c r="K174" i="34"/>
  <c r="K173" i="34"/>
  <c r="K172" i="34"/>
  <c r="K161" i="34"/>
  <c r="K160" i="34"/>
  <c r="K145" i="34"/>
  <c r="K141" i="34"/>
  <c r="K137" i="34"/>
  <c r="K131" i="34"/>
  <c r="K128" i="34"/>
  <c r="K119" i="34"/>
  <c r="K118" i="34"/>
  <c r="K110" i="34"/>
  <c r="K109" i="34"/>
  <c r="K107" i="34"/>
  <c r="K97" i="34"/>
  <c r="K87" i="34"/>
  <c r="K86" i="34"/>
  <c r="K74" i="34"/>
  <c r="K68" i="34"/>
  <c r="K58" i="34"/>
  <c r="K48" i="34"/>
  <c r="K45" i="34"/>
  <c r="K44" i="34"/>
  <c r="K43" i="34"/>
  <c r="K41" i="34"/>
  <c r="K39" i="34"/>
  <c r="K38" i="34"/>
  <c r="C38" i="34"/>
  <c r="C39" i="34"/>
  <c r="C40" i="34"/>
  <c r="C41" i="34"/>
  <c r="C42" i="34"/>
  <c r="C43" i="34"/>
  <c r="C44" i="34"/>
  <c r="C45" i="34"/>
  <c r="C46" i="34"/>
  <c r="C48" i="34"/>
  <c r="C49" i="34"/>
  <c r="C58" i="34"/>
  <c r="C59" i="34"/>
  <c r="C68" i="34"/>
  <c r="C69" i="34"/>
  <c r="C74" i="34"/>
  <c r="C75" i="34"/>
  <c r="C86" i="34"/>
  <c r="C87" i="34"/>
  <c r="C88" i="34"/>
  <c r="C97" i="34"/>
  <c r="C98" i="34"/>
  <c r="C107" i="34"/>
  <c r="C108" i="34"/>
  <c r="C109" i="34"/>
  <c r="C110" i="34"/>
  <c r="C111" i="34"/>
  <c r="C118" i="34"/>
  <c r="C119" i="34"/>
  <c r="C120" i="34"/>
  <c r="C128" i="34"/>
  <c r="C129" i="34"/>
  <c r="C131" i="34"/>
  <c r="C132" i="34"/>
  <c r="C137" i="34"/>
  <c r="C138" i="34"/>
  <c r="C141" i="34"/>
  <c r="C142" i="34"/>
  <c r="C145" i="34"/>
  <c r="C146" i="34"/>
  <c r="C160" i="34"/>
  <c r="C161" i="34"/>
  <c r="C162" i="34"/>
  <c r="C172" i="34"/>
  <c r="C173" i="34"/>
  <c r="C174" i="34"/>
  <c r="C175" i="34"/>
  <c r="C176" i="34"/>
  <c r="C189" i="34"/>
  <c r="C190" i="34"/>
  <c r="C191" i="34"/>
  <c r="C193" i="34"/>
  <c r="C194" i="34"/>
  <c r="C199" i="34"/>
  <c r="C200" i="34"/>
  <c r="C201" i="34"/>
  <c r="C206" i="34"/>
  <c r="C207" i="34"/>
  <c r="C208" i="34"/>
  <c r="C209" i="34"/>
  <c r="C210" i="34"/>
  <c r="C212" i="34"/>
  <c r="C213" i="34"/>
  <c r="C217" i="34"/>
  <c r="C218" i="34"/>
  <c r="D7" i="56" l="1"/>
  <c r="C105" i="34"/>
  <c r="B105" i="34" s="1"/>
  <c r="C198" i="34"/>
  <c r="B198" i="34" s="1"/>
  <c r="C188" i="34"/>
  <c r="B188" i="34" s="1"/>
  <c r="C227" i="34"/>
  <c r="B227" i="34" s="1"/>
  <c r="C167" i="34"/>
  <c r="B167" i="34" s="1"/>
  <c r="C158" i="34"/>
  <c r="B158" i="34" s="1"/>
  <c r="C152" i="34"/>
  <c r="B152" i="34" s="1"/>
  <c r="C127" i="34"/>
  <c r="B127" i="34" s="1"/>
  <c r="C124" i="34"/>
  <c r="B124" i="34" s="1"/>
  <c r="C83" i="34"/>
  <c r="B83" i="34" s="1"/>
  <c r="C72" i="34"/>
  <c r="B72" i="34" s="1"/>
  <c r="C102" i="34"/>
  <c r="B102" i="34" s="1"/>
  <c r="C96" i="34"/>
  <c r="B96" i="34" s="1"/>
  <c r="C55" i="34"/>
  <c r="B55" i="34" s="1"/>
  <c r="C37" i="34"/>
  <c r="B37" i="34" s="1"/>
  <c r="C34" i="34"/>
  <c r="B34" i="34" s="1"/>
  <c r="C30" i="34"/>
  <c r="B30" i="34" s="1"/>
  <c r="C26" i="34"/>
  <c r="B26" i="34" s="1"/>
  <c r="A12" i="56" l="1"/>
  <c r="A11" i="56"/>
  <c r="A10" i="56"/>
  <c r="F32" i="56"/>
  <c r="F33" i="56"/>
  <c r="H33" i="56"/>
  <c r="C90" i="34"/>
  <c r="C91" i="34"/>
  <c r="C92" i="34"/>
  <c r="C134" i="34"/>
  <c r="C170" i="34"/>
  <c r="C178" i="34"/>
  <c r="C117" i="34"/>
  <c r="C159" i="34"/>
  <c r="C171" i="34"/>
  <c r="C192" i="34"/>
  <c r="C211" i="34"/>
  <c r="C220" i="34"/>
  <c r="C230" i="34"/>
  <c r="C231" i="34"/>
  <c r="K196" i="34" l="1"/>
  <c r="K195" i="34"/>
  <c r="K186" i="34"/>
  <c r="K185" i="34"/>
  <c r="K225" i="34"/>
  <c r="K224" i="34"/>
  <c r="K223" i="34"/>
  <c r="K168" i="34"/>
  <c r="K165" i="34"/>
  <c r="K164" i="34"/>
  <c r="K155" i="34"/>
  <c r="K156" i="34"/>
  <c r="K149" i="34"/>
  <c r="K150" i="34"/>
  <c r="K148" i="34"/>
  <c r="K125" i="34"/>
  <c r="K122" i="34"/>
  <c r="K154" i="34"/>
  <c r="K153" i="34"/>
  <c r="K85" i="34"/>
  <c r="K84" i="34"/>
  <c r="K81" i="34"/>
  <c r="K80" i="34"/>
  <c r="K70" i="34"/>
  <c r="K100" i="34"/>
  <c r="K94" i="34"/>
  <c r="K93" i="34"/>
  <c r="K103" i="34"/>
  <c r="K53" i="34"/>
  <c r="K18" i="34"/>
  <c r="K35" i="34"/>
  <c r="K31" i="34" l="1"/>
  <c r="K32" i="34"/>
  <c r="K27" i="34"/>
  <c r="K28" i="34"/>
  <c r="K24" i="34"/>
  <c r="K23" i="34"/>
  <c r="K52" i="34"/>
  <c r="K51" i="34"/>
  <c r="C52" i="34"/>
  <c r="C20" i="34"/>
  <c r="C21" i="34"/>
  <c r="C23" i="34"/>
  <c r="C24" i="34"/>
  <c r="C25" i="34"/>
  <c r="C27" i="34"/>
  <c r="C28" i="34"/>
  <c r="C29" i="34"/>
  <c r="C31" i="34"/>
  <c r="C32" i="34"/>
  <c r="C33" i="34"/>
  <c r="C35" i="34"/>
  <c r="C36" i="34"/>
  <c r="C18" i="34"/>
  <c r="C19" i="34"/>
  <c r="C53" i="34"/>
  <c r="C54" i="34"/>
  <c r="C76" i="34"/>
  <c r="C77" i="34"/>
  <c r="C78" i="34"/>
  <c r="C103" i="34"/>
  <c r="C104" i="34"/>
  <c r="C79" i="34"/>
  <c r="C106" i="34"/>
  <c r="C93" i="34"/>
  <c r="C94" i="34"/>
  <c r="C95" i="34"/>
  <c r="C100" i="34"/>
  <c r="C101" i="34"/>
  <c r="C70" i="34"/>
  <c r="C71" i="34"/>
  <c r="C80" i="34"/>
  <c r="C81" i="34"/>
  <c r="C82" i="34"/>
  <c r="C84" i="34"/>
  <c r="C85" i="34"/>
  <c r="C144" i="34"/>
  <c r="C139" i="34"/>
  <c r="C140" i="34"/>
  <c r="C16" i="34"/>
  <c r="C179" i="34"/>
  <c r="C180" i="34"/>
  <c r="C184" i="34"/>
  <c r="C153" i="34"/>
  <c r="C154" i="34"/>
  <c r="C135" i="34"/>
  <c r="C136" i="34"/>
  <c r="C122" i="34"/>
  <c r="C123" i="34"/>
  <c r="C125" i="34"/>
  <c r="C126" i="34"/>
  <c r="C148" i="34"/>
  <c r="C149" i="34"/>
  <c r="C150" i="34"/>
  <c r="C151" i="34"/>
  <c r="C155" i="34"/>
  <c r="C156" i="34"/>
  <c r="C157" i="34"/>
  <c r="C164" i="34"/>
  <c r="C165" i="34"/>
  <c r="C166" i="34"/>
  <c r="C168" i="34"/>
  <c r="C169" i="34"/>
  <c r="C204" i="34"/>
  <c r="C205" i="34"/>
  <c r="C228" i="34"/>
  <c r="C229" i="34"/>
  <c r="C221" i="34"/>
  <c r="C222" i="34"/>
  <c r="C215" i="34"/>
  <c r="C216" i="34"/>
  <c r="C232" i="34"/>
  <c r="C233" i="34"/>
  <c r="C223" i="34"/>
  <c r="C224" i="34"/>
  <c r="C225" i="34"/>
  <c r="C226" i="34"/>
  <c r="C185" i="34"/>
  <c r="C186" i="34"/>
  <c r="C187" i="34"/>
  <c r="C195" i="34"/>
  <c r="C196" i="34"/>
  <c r="C197" i="34"/>
  <c r="C234" i="34"/>
  <c r="C203" i="34"/>
  <c r="C17" i="34"/>
  <c r="C22" i="34"/>
  <c r="C47" i="34"/>
  <c r="C56" i="34"/>
  <c r="C57" i="34"/>
  <c r="C64" i="34"/>
  <c r="C65" i="34"/>
  <c r="C66" i="34"/>
  <c r="C73" i="34"/>
  <c r="C51" i="34"/>
  <c r="A31" i="55" l="1"/>
  <c r="F31" i="55" a="1"/>
  <c r="F31" i="55" s="1"/>
  <c r="H31" i="55" a="1"/>
  <c r="H31" i="55" s="1"/>
  <c r="A29" i="55"/>
  <c r="F29" i="55" a="1"/>
  <c r="F29" i="55" s="1"/>
  <c r="H29" i="55" a="1"/>
  <c r="H29" i="55" s="1"/>
  <c r="A26" i="55"/>
  <c r="F26" i="55" a="1"/>
  <c r="F26" i="55" s="1"/>
  <c r="H26" i="55" a="1"/>
  <c r="H26" i="55" s="1"/>
  <c r="A38" i="55"/>
  <c r="F38" i="55" a="1"/>
  <c r="F38" i="55" s="1"/>
  <c r="H38" i="55" a="1"/>
  <c r="H38" i="55" s="1"/>
  <c r="A48" i="55"/>
  <c r="F48" i="55" a="1"/>
  <c r="F48" i="55" s="1"/>
  <c r="H48" i="55" a="1"/>
  <c r="H48" i="55" s="1"/>
  <c r="A55" i="55"/>
  <c r="F55" i="55" a="1"/>
  <c r="F55" i="55" s="1"/>
  <c r="H55" i="55" a="1"/>
  <c r="H55" i="55" s="1"/>
  <c r="A57" i="55"/>
  <c r="F57" i="55" a="1"/>
  <c r="F57" i="55" s="1"/>
  <c r="H57" i="55" a="1"/>
  <c r="H57" i="55" s="1"/>
  <c r="A35" i="55"/>
  <c r="F35" i="55" a="1"/>
  <c r="F35" i="55" s="1"/>
  <c r="H35" i="55" a="1"/>
  <c r="H35" i="55" s="1"/>
  <c r="A37" i="55"/>
  <c r="F37" i="55" a="1"/>
  <c r="F37" i="55" s="1"/>
  <c r="H37" i="55" a="1"/>
  <c r="H37" i="55" s="1"/>
  <c r="A14" i="55"/>
  <c r="F14" i="55" a="1"/>
  <c r="F14" i="55" s="1"/>
  <c r="H14" i="55" a="1"/>
  <c r="H14" i="55" s="1"/>
  <c r="A22" i="55"/>
  <c r="F22" i="55" a="1"/>
  <c r="F22" i="55" s="1"/>
  <c r="H22" i="55" a="1"/>
  <c r="H22" i="55" s="1"/>
  <c r="A51" i="55"/>
  <c r="F51" i="55" a="1"/>
  <c r="F51" i="55" s="1"/>
  <c r="H51" i="55" a="1"/>
  <c r="H51" i="55" s="1"/>
  <c r="A42" i="55"/>
  <c r="F42" i="55" a="1"/>
  <c r="F42" i="55" s="1"/>
  <c r="H42" i="55" a="1"/>
  <c r="H42" i="55" s="1"/>
  <c r="A17" i="55"/>
  <c r="F17" i="55" a="1"/>
  <c r="F17" i="55" s="1"/>
  <c r="H17" i="55" a="1"/>
  <c r="H17" i="55" s="1"/>
  <c r="A52" i="55"/>
  <c r="F52" i="55" a="1"/>
  <c r="F52" i="55" s="1"/>
  <c r="H52" i="55" a="1"/>
  <c r="H52" i="55" s="1"/>
  <c r="A13" i="55"/>
  <c r="F13" i="55" a="1"/>
  <c r="F13" i="55" s="1"/>
  <c r="H13" i="55" a="1"/>
  <c r="H13" i="55" s="1"/>
  <c r="A12" i="55"/>
  <c r="F12" i="55" a="1"/>
  <c r="F12" i="55" s="1"/>
  <c r="H12" i="55" a="1"/>
  <c r="H12" i="55" s="1"/>
  <c r="A56" i="55"/>
  <c r="F56" i="55" a="1"/>
  <c r="F56" i="55" s="1"/>
  <c r="H56" i="55" a="1"/>
  <c r="H56" i="55" s="1"/>
  <c r="A54" i="55"/>
  <c r="F54" i="55" a="1"/>
  <c r="F54" i="55" s="1"/>
  <c r="H54" i="55" a="1"/>
  <c r="H54" i="55" s="1"/>
  <c r="A47" i="55"/>
  <c r="F47" i="55" a="1"/>
  <c r="F47" i="55" s="1"/>
  <c r="H47" i="55" a="1"/>
  <c r="H47" i="55" s="1"/>
  <c r="F19" i="55" a="1"/>
  <c r="F19" i="55" s="1"/>
  <c r="H19" i="55" a="1"/>
  <c r="H19" i="55" s="1"/>
  <c r="F15" i="55" a="1"/>
  <c r="F15" i="55" s="1"/>
  <c r="H15" i="55" a="1"/>
  <c r="H15" i="55" s="1"/>
  <c r="F21" i="55" a="1"/>
  <c r="F21" i="55" s="1"/>
  <c r="H21" i="55" a="1"/>
  <c r="H21" i="55" s="1"/>
  <c r="F18" i="55" a="1"/>
  <c r="F18" i="55" s="1"/>
  <c r="H18" i="55" a="1"/>
  <c r="H18" i="55" s="1"/>
  <c r="F25" i="55" a="1"/>
  <c r="F25" i="55" s="1"/>
  <c r="H25" i="55" a="1"/>
  <c r="H25" i="55" s="1"/>
  <c r="F27" i="55" a="1"/>
  <c r="F27" i="55" s="1"/>
  <c r="H27" i="55" a="1"/>
  <c r="H27" i="55" s="1"/>
  <c r="F24" i="55" a="1"/>
  <c r="F24" i="55" s="1"/>
  <c r="H24" i="55" a="1"/>
  <c r="H24" i="55" s="1"/>
  <c r="F16" i="55" a="1"/>
  <c r="F16" i="55" s="1"/>
  <c r="H16" i="55" a="1"/>
  <c r="H16" i="55" s="1"/>
  <c r="F32" i="55" a="1"/>
  <c r="F32" i="55" s="1"/>
  <c r="H32" i="55" a="1"/>
  <c r="H32" i="55" s="1"/>
  <c r="F28" i="55" a="1"/>
  <c r="F28" i="55" s="1"/>
  <c r="H28" i="55" a="1"/>
  <c r="H28" i="55" s="1"/>
  <c r="F30" i="55" a="1"/>
  <c r="F30" i="55" s="1"/>
  <c r="H30" i="55" a="1"/>
  <c r="H30" i="55" s="1"/>
  <c r="F33" i="55" a="1"/>
  <c r="F33" i="55" s="1"/>
  <c r="H33" i="55" a="1"/>
  <c r="H33" i="55" s="1"/>
  <c r="F45" i="55" a="1"/>
  <c r="F45" i="55" s="1"/>
  <c r="H45" i="55" a="1"/>
  <c r="H45" i="55" s="1"/>
  <c r="F44" i="55" a="1"/>
  <c r="F44" i="55" s="1"/>
  <c r="H44" i="55" a="1"/>
  <c r="H44" i="55" s="1"/>
  <c r="F36" i="55" a="1"/>
  <c r="F36" i="55" s="1"/>
  <c r="H36" i="55" a="1"/>
  <c r="H36" i="55" s="1"/>
  <c r="F50" i="55" a="1"/>
  <c r="F50" i="55" s="1"/>
  <c r="H50" i="55" a="1"/>
  <c r="H50" i="55" s="1"/>
  <c r="F46" i="55" a="1"/>
  <c r="F46" i="55" s="1"/>
  <c r="H46" i="55" a="1"/>
  <c r="H46" i="55" s="1"/>
  <c r="F53" i="55" a="1"/>
  <c r="F53" i="55" s="1"/>
  <c r="H53" i="55" a="1"/>
  <c r="H53" i="55" s="1"/>
  <c r="F39" i="55" a="1"/>
  <c r="F39" i="55" s="1"/>
  <c r="H39" i="55" a="1"/>
  <c r="H39" i="55" s="1"/>
  <c r="F49" i="55" a="1"/>
  <c r="F49" i="55" s="1"/>
  <c r="H49" i="55" a="1"/>
  <c r="H49" i="55" s="1"/>
  <c r="F43" i="55" a="1"/>
  <c r="F43" i="55" s="1"/>
  <c r="H43" i="55" a="1"/>
  <c r="H43" i="55" s="1"/>
  <c r="F40" i="55" a="1"/>
  <c r="F40" i="55" s="1"/>
  <c r="H40" i="55" a="1"/>
  <c r="H40" i="55" s="1"/>
  <c r="F41" i="55" a="1"/>
  <c r="F41" i="55" s="1"/>
  <c r="H41" i="55" a="1"/>
  <c r="H41" i="55" s="1"/>
  <c r="F34" i="55" a="1"/>
  <c r="F34" i="55" s="1"/>
  <c r="H34" i="55" a="1"/>
  <c r="H34" i="55" s="1"/>
  <c r="F23" i="55" a="1"/>
  <c r="F23" i="55" s="1"/>
  <c r="H23" i="55" a="1"/>
  <c r="H23" i="55" s="1"/>
  <c r="H20" i="55" a="1"/>
  <c r="H20" i="55" s="1"/>
  <c r="F20" i="55" a="1"/>
  <c r="F20" i="55" s="1"/>
  <c r="D59" i="55"/>
  <c r="A19" i="55"/>
  <c r="A15" i="55"/>
  <c r="A21" i="55"/>
  <c r="A18" i="55"/>
  <c r="A25" i="55"/>
  <c r="A27" i="55"/>
  <c r="A24" i="55"/>
  <c r="A16" i="55"/>
  <c r="A32" i="55"/>
  <c r="A28" i="55"/>
  <c r="A30" i="55"/>
  <c r="A33" i="55"/>
  <c r="A45" i="55"/>
  <c r="A44" i="55"/>
  <c r="A36" i="55"/>
  <c r="A50" i="55"/>
  <c r="A46" i="55"/>
  <c r="A53" i="55"/>
  <c r="A39" i="55"/>
  <c r="A49" i="55"/>
  <c r="A43" i="55"/>
  <c r="A40" i="55"/>
  <c r="A41" i="55"/>
  <c r="A34" i="55"/>
  <c r="A23" i="55"/>
  <c r="A58" i="55"/>
  <c r="A20" i="55"/>
  <c r="J19" i="55" l="1"/>
  <c r="J21" i="55"/>
  <c r="J27" i="55"/>
  <c r="J36" i="55"/>
  <c r="J28" i="55"/>
  <c r="J15" i="55"/>
  <c r="J25" i="55"/>
  <c r="J51" i="55"/>
  <c r="J39" i="55"/>
  <c r="J44" i="55"/>
  <c r="J32" i="55"/>
  <c r="J41" i="55"/>
  <c r="J56" i="55"/>
  <c r="J52" i="55"/>
  <c r="J14" i="55"/>
  <c r="J13" i="55"/>
  <c r="J17" i="55"/>
  <c r="J48" i="55"/>
  <c r="J12" i="55"/>
  <c r="J42" i="55"/>
  <c r="J29" i="55"/>
  <c r="J37" i="55"/>
  <c r="J35" i="55"/>
  <c r="J57" i="55"/>
  <c r="J26" i="55"/>
  <c r="J31" i="55"/>
  <c r="J55" i="55"/>
  <c r="J38" i="55"/>
  <c r="J22" i="55"/>
  <c r="J43" i="55"/>
  <c r="J54" i="55"/>
  <c r="J40" i="55"/>
  <c r="J49" i="55"/>
  <c r="J53" i="55"/>
  <c r="J45" i="55"/>
  <c r="J30" i="55"/>
  <c r="J24" i="55"/>
  <c r="J18" i="55"/>
  <c r="J47" i="55"/>
  <c r="J46" i="55"/>
  <c r="J50" i="55"/>
  <c r="J33" i="55"/>
  <c r="J16" i="55"/>
  <c r="J23" i="55"/>
  <c r="J34" i="55"/>
  <c r="J20" i="55"/>
  <c r="B104" i="34"/>
  <c r="B78" i="34"/>
  <c r="B76" i="34"/>
  <c r="B19" i="34"/>
  <c r="D39" i="15" l="1"/>
  <c r="G39" i="15"/>
  <c r="H39" i="15"/>
  <c r="C39" i="15"/>
  <c r="A6" i="70" l="1"/>
  <c r="A12" i="70"/>
  <c r="A11" i="70"/>
  <c r="A13" i="70"/>
  <c r="T8" i="43" l="1"/>
  <c r="A3" i="54" l="1"/>
  <c r="A2" i="54"/>
  <c r="A2" i="55" l="1"/>
  <c r="A1" i="55"/>
  <c r="A7" i="12"/>
  <c r="A6" i="12"/>
  <c r="A7" i="70"/>
  <c r="A14" i="70"/>
  <c r="A8" i="70"/>
  <c r="A10" i="70"/>
  <c r="A9" i="70"/>
  <c r="A2" i="12"/>
  <c r="A1" i="12"/>
  <c r="A2" i="70"/>
  <c r="A1" i="70"/>
  <c r="A2" i="60" l="1"/>
  <c r="E21" i="54" l="1"/>
  <c r="E16" i="61"/>
  <c r="C10" i="34"/>
  <c r="C11" i="34"/>
  <c r="C12" i="34"/>
  <c r="C13" i="34"/>
  <c r="C14" i="34"/>
  <c r="C15" i="34"/>
  <c r="J3" i="54" l="1"/>
  <c r="L3" i="39"/>
  <c r="L2" i="39"/>
  <c r="A15" i="70" l="1"/>
  <c r="B80" i="34" l="1"/>
  <c r="B71" i="34"/>
  <c r="B70" i="34"/>
  <c r="B101" i="34"/>
  <c r="B100" i="34"/>
  <c r="B95" i="34"/>
  <c r="B94" i="34"/>
  <c r="B93" i="34"/>
  <c r="B106" i="34"/>
  <c r="B79" i="34"/>
  <c r="B103" i="34"/>
  <c r="B77" i="34"/>
  <c r="B54" i="34"/>
  <c r="B53" i="34"/>
  <c r="B18" i="34"/>
  <c r="B36" i="34"/>
  <c r="B35" i="34"/>
  <c r="B33" i="34"/>
  <c r="B32" i="34"/>
  <c r="B31" i="34"/>
  <c r="B29" i="34"/>
  <c r="B28" i="34"/>
  <c r="B27" i="34"/>
  <c r="B25" i="34"/>
  <c r="B24" i="34"/>
  <c r="B23" i="34"/>
  <c r="B21" i="34"/>
  <c r="B20" i="34"/>
  <c r="B52" i="34"/>
  <c r="B168" i="34"/>
  <c r="B166" i="34"/>
  <c r="B165" i="34"/>
  <c r="B164" i="34"/>
  <c r="B157" i="34"/>
  <c r="B156" i="34"/>
  <c r="B155" i="34"/>
  <c r="B151" i="34"/>
  <c r="B150" i="34"/>
  <c r="B149" i="34"/>
  <c r="B148" i="34"/>
  <c r="B126" i="34"/>
  <c r="B125" i="34"/>
  <c r="B123" i="34"/>
  <c r="B122" i="34"/>
  <c r="B136" i="34"/>
  <c r="B135" i="34"/>
  <c r="B154" i="34"/>
  <c r="B153" i="34"/>
  <c r="B184" i="34"/>
  <c r="B180" i="34"/>
  <c r="B179" i="34"/>
  <c r="B16" i="34"/>
  <c r="B140" i="34"/>
  <c r="B139" i="34"/>
  <c r="B144" i="34"/>
  <c r="B85" i="34"/>
  <c r="B84" i="34"/>
  <c r="B82" i="34"/>
  <c r="B81" i="34"/>
  <c r="B131" i="34" l="1"/>
  <c r="B129" i="34"/>
  <c r="B196" i="34" l="1"/>
  <c r="B51" i="34" l="1"/>
  <c r="E59" i="55" l="1"/>
  <c r="E60" i="55" s="1"/>
  <c r="B211" i="34" l="1"/>
  <c r="B159" i="34"/>
  <c r="B134" i="34"/>
  <c r="B199" i="34"/>
  <c r="I7" i="12"/>
  <c r="I8" i="12"/>
  <c r="I6" i="12"/>
  <c r="B173" i="34" l="1"/>
  <c r="B146" i="34"/>
  <c r="B141" i="34"/>
  <c r="B322" i="34" l="1"/>
  <c r="B321" i="34"/>
  <c r="B292" i="34"/>
  <c r="B291" i="34"/>
  <c r="B290" i="34"/>
  <c r="B289" i="34"/>
  <c r="B288" i="34"/>
  <c r="B284" i="34"/>
  <c r="B283" i="34"/>
  <c r="B282" i="34"/>
  <c r="B281" i="34"/>
  <c r="B280" i="34"/>
  <c r="B279" i="34"/>
  <c r="B278" i="34"/>
  <c r="B194" i="34"/>
  <c r="B193" i="34"/>
  <c r="B191" i="34"/>
  <c r="B190" i="34"/>
  <c r="B189" i="34"/>
  <c r="B176" i="34"/>
  <c r="B175" i="34"/>
  <c r="B174" i="34"/>
  <c r="B161" i="34"/>
  <c r="B160" i="34"/>
  <c r="B145" i="34"/>
  <c r="B142" i="34"/>
  <c r="B138" i="34"/>
  <c r="B137" i="34"/>
  <c r="B132" i="34"/>
  <c r="B91" i="34" l="1"/>
  <c r="B92" i="34"/>
  <c r="B75" i="34"/>
  <c r="I16" i="54" l="1"/>
  <c r="N10" i="34" l="1"/>
  <c r="N11" i="34"/>
  <c r="N12" i="34"/>
  <c r="N13" i="34"/>
  <c r="N14" i="34"/>
  <c r="A50" i="14" l="1"/>
  <c r="E50" i="14"/>
  <c r="B51" i="14"/>
  <c r="F51" i="14"/>
  <c r="C52" i="14"/>
  <c r="G52" i="14"/>
  <c r="D53" i="14"/>
  <c r="A54" i="14"/>
  <c r="E54" i="14"/>
  <c r="B55" i="14"/>
  <c r="F55" i="14"/>
  <c r="C56" i="14"/>
  <c r="G56" i="14"/>
  <c r="D57" i="14"/>
  <c r="A58" i="14"/>
  <c r="E58" i="14"/>
  <c r="B59" i="14"/>
  <c r="F59" i="14"/>
  <c r="C60" i="14"/>
  <c r="G60" i="14"/>
  <c r="D61" i="14"/>
  <c r="A62" i="14"/>
  <c r="E62" i="14"/>
  <c r="B63" i="14"/>
  <c r="F63" i="14"/>
  <c r="C64" i="14"/>
  <c r="G64" i="14"/>
  <c r="D65" i="14"/>
  <c r="A66" i="14"/>
  <c r="E66" i="14"/>
  <c r="B67" i="14"/>
  <c r="F67" i="14"/>
  <c r="C68" i="14"/>
  <c r="G68" i="14"/>
  <c r="D69" i="14"/>
  <c r="A70" i="14"/>
  <c r="E70" i="14"/>
  <c r="B71" i="14"/>
  <c r="F71" i="14"/>
  <c r="C72" i="14"/>
  <c r="G72" i="14"/>
  <c r="D73" i="14"/>
  <c r="A74" i="14"/>
  <c r="E74" i="14"/>
  <c r="B75" i="14"/>
  <c r="F75" i="14"/>
  <c r="C76" i="14"/>
  <c r="G76" i="14"/>
  <c r="D77" i="14"/>
  <c r="A78" i="14"/>
  <c r="E78" i="14"/>
  <c r="C71" i="14"/>
  <c r="D72" i="14"/>
  <c r="E73" i="14"/>
  <c r="B74" i="14"/>
  <c r="C75" i="14"/>
  <c r="G75" i="14"/>
  <c r="A77" i="14"/>
  <c r="B78" i="14"/>
  <c r="F78" i="14"/>
  <c r="B73" i="14"/>
  <c r="G74" i="14"/>
  <c r="B50" i="14"/>
  <c r="F50" i="14"/>
  <c r="C51" i="14"/>
  <c r="G51" i="14"/>
  <c r="D52" i="14"/>
  <c r="A53" i="14"/>
  <c r="E53" i="14"/>
  <c r="B54" i="14"/>
  <c r="F54" i="14"/>
  <c r="C55" i="14"/>
  <c r="G55" i="14"/>
  <c r="D56" i="14"/>
  <c r="A57" i="14"/>
  <c r="E57" i="14"/>
  <c r="B58" i="14"/>
  <c r="F58" i="14"/>
  <c r="C59" i="14"/>
  <c r="G59" i="14"/>
  <c r="D60" i="14"/>
  <c r="A61" i="14"/>
  <c r="E61" i="14"/>
  <c r="B62" i="14"/>
  <c r="F62" i="14"/>
  <c r="C63" i="14"/>
  <c r="G63" i="14"/>
  <c r="D64" i="14"/>
  <c r="A65" i="14"/>
  <c r="E65" i="14"/>
  <c r="B66" i="14"/>
  <c r="F66" i="14"/>
  <c r="C67" i="14"/>
  <c r="G67" i="14"/>
  <c r="D68" i="14"/>
  <c r="A69" i="14"/>
  <c r="E69" i="14"/>
  <c r="B70" i="14"/>
  <c r="F70" i="14"/>
  <c r="G71" i="14"/>
  <c r="A73" i="14"/>
  <c r="F74" i="14"/>
  <c r="D76" i="14"/>
  <c r="E77" i="14"/>
  <c r="F73" i="14"/>
  <c r="C50" i="14"/>
  <c r="G50" i="14"/>
  <c r="D51" i="14"/>
  <c r="A52" i="14"/>
  <c r="E52" i="14"/>
  <c r="B53" i="14"/>
  <c r="F53" i="14"/>
  <c r="C54" i="14"/>
  <c r="G54" i="14"/>
  <c r="D55" i="14"/>
  <c r="A56" i="14"/>
  <c r="E56" i="14"/>
  <c r="B57" i="14"/>
  <c r="F57" i="14"/>
  <c r="C58" i="14"/>
  <c r="G58" i="14"/>
  <c r="D59" i="14"/>
  <c r="A60" i="14"/>
  <c r="E60" i="14"/>
  <c r="B61" i="14"/>
  <c r="F61" i="14"/>
  <c r="C62" i="14"/>
  <c r="G62" i="14"/>
  <c r="D63" i="14"/>
  <c r="A64" i="14"/>
  <c r="E64" i="14"/>
  <c r="B65" i="14"/>
  <c r="F65" i="14"/>
  <c r="C66" i="14"/>
  <c r="G66" i="14"/>
  <c r="D67" i="14"/>
  <c r="A68" i="14"/>
  <c r="E68" i="14"/>
  <c r="B69" i="14"/>
  <c r="F69" i="14"/>
  <c r="C70" i="14"/>
  <c r="G70" i="14"/>
  <c r="D71" i="14"/>
  <c r="A72" i="14"/>
  <c r="E72" i="14"/>
  <c r="C74" i="14"/>
  <c r="D50" i="14"/>
  <c r="A51" i="14"/>
  <c r="E51" i="14"/>
  <c r="B52" i="14"/>
  <c r="F52" i="14"/>
  <c r="C53" i="14"/>
  <c r="G53" i="14"/>
  <c r="D54" i="14"/>
  <c r="A55" i="14"/>
  <c r="E55" i="14"/>
  <c r="B56" i="14"/>
  <c r="F56" i="14"/>
  <c r="C57" i="14"/>
  <c r="G57" i="14"/>
  <c r="D58" i="14"/>
  <c r="A59" i="14"/>
  <c r="E59" i="14"/>
  <c r="B60" i="14"/>
  <c r="F60" i="14"/>
  <c r="C61" i="14"/>
  <c r="G61" i="14"/>
  <c r="D62" i="14"/>
  <c r="A63" i="14"/>
  <c r="E63" i="14"/>
  <c r="B64" i="14"/>
  <c r="F64" i="14"/>
  <c r="C65" i="14"/>
  <c r="G65" i="14"/>
  <c r="D66" i="14"/>
  <c r="A67" i="14"/>
  <c r="E67" i="14"/>
  <c r="B68" i="14"/>
  <c r="F68" i="14"/>
  <c r="C69" i="14"/>
  <c r="G69" i="14"/>
  <c r="D70" i="14"/>
  <c r="A71" i="14"/>
  <c r="E71" i="14"/>
  <c r="B72" i="14"/>
  <c r="F72" i="14"/>
  <c r="C73" i="14"/>
  <c r="G73" i="14"/>
  <c r="D74" i="14"/>
  <c r="A75" i="14"/>
  <c r="E75" i="14"/>
  <c r="B76" i="14"/>
  <c r="F76" i="14"/>
  <c r="C77" i="14"/>
  <c r="G77" i="14"/>
  <c r="D78" i="14"/>
  <c r="E76" i="14"/>
  <c r="B77" i="14"/>
  <c r="D75" i="14"/>
  <c r="F77" i="14"/>
  <c r="A76" i="14"/>
  <c r="C78" i="14"/>
  <c r="G78" i="14"/>
  <c r="A50" i="71"/>
  <c r="E50" i="71"/>
  <c r="B50" i="71"/>
  <c r="G50" i="71"/>
  <c r="C50" i="71"/>
  <c r="H50" i="71"/>
  <c r="D50" i="71"/>
  <c r="A38" i="71"/>
  <c r="E38" i="71"/>
  <c r="B39" i="71"/>
  <c r="G39" i="71"/>
  <c r="C40" i="71"/>
  <c r="H40" i="71"/>
  <c r="D41" i="71"/>
  <c r="A42" i="71"/>
  <c r="E42" i="71"/>
  <c r="B43" i="71"/>
  <c r="G43" i="71"/>
  <c r="C44" i="71"/>
  <c r="H44" i="71"/>
  <c r="D45" i="71"/>
  <c r="A46" i="71"/>
  <c r="E46" i="71"/>
  <c r="B47" i="71"/>
  <c r="G47" i="71"/>
  <c r="C48" i="71"/>
  <c r="H48" i="71"/>
  <c r="D49" i="71"/>
  <c r="B38" i="71"/>
  <c r="G38" i="71"/>
  <c r="C39" i="71"/>
  <c r="H39" i="71"/>
  <c r="D40" i="71"/>
  <c r="A41" i="71"/>
  <c r="E41" i="71"/>
  <c r="B42" i="71"/>
  <c r="G42" i="71"/>
  <c r="C43" i="71"/>
  <c r="H43" i="71"/>
  <c r="D44" i="71"/>
  <c r="A45" i="71"/>
  <c r="E45" i="71"/>
  <c r="B46" i="71"/>
  <c r="G46" i="71"/>
  <c r="C47" i="71"/>
  <c r="H47" i="71"/>
  <c r="D48" i="71"/>
  <c r="A49" i="71"/>
  <c r="E49" i="71"/>
  <c r="C38" i="71"/>
  <c r="H38" i="71"/>
  <c r="D39" i="71"/>
  <c r="A40" i="71"/>
  <c r="E40" i="71"/>
  <c r="B41" i="71"/>
  <c r="G41" i="71"/>
  <c r="C42" i="71"/>
  <c r="H42" i="71"/>
  <c r="D43" i="71"/>
  <c r="A44" i="71"/>
  <c r="E44" i="71"/>
  <c r="B45" i="71"/>
  <c r="G45" i="71"/>
  <c r="C46" i="71"/>
  <c r="H46" i="71"/>
  <c r="D47" i="71"/>
  <c r="A48" i="71"/>
  <c r="E48" i="71"/>
  <c r="B49" i="71"/>
  <c r="G49" i="71"/>
  <c r="D38" i="71"/>
  <c r="A39" i="71"/>
  <c r="E39" i="71"/>
  <c r="B40" i="71"/>
  <c r="G40" i="71"/>
  <c r="C41" i="71"/>
  <c r="H41" i="71"/>
  <c r="D42" i="71"/>
  <c r="A43" i="71"/>
  <c r="E43" i="71"/>
  <c r="B44" i="71"/>
  <c r="G44" i="71"/>
  <c r="C45" i="71"/>
  <c r="H45" i="71"/>
  <c r="D46" i="71"/>
  <c r="A47" i="71"/>
  <c r="E47" i="71"/>
  <c r="B48" i="71"/>
  <c r="G48" i="71"/>
  <c r="C49" i="71"/>
  <c r="H49" i="71"/>
  <c r="A30" i="71"/>
  <c r="E30" i="71"/>
  <c r="B31" i="71"/>
  <c r="G31" i="71"/>
  <c r="C32" i="71"/>
  <c r="H32" i="71"/>
  <c r="D33" i="71"/>
  <c r="A34" i="71"/>
  <c r="E34" i="71"/>
  <c r="B35" i="71"/>
  <c r="G35" i="71"/>
  <c r="C36" i="71"/>
  <c r="H36" i="71"/>
  <c r="D37" i="71"/>
  <c r="G37" i="71"/>
  <c r="B30" i="71"/>
  <c r="G30" i="71"/>
  <c r="C31" i="71"/>
  <c r="H31" i="71"/>
  <c r="D32" i="71"/>
  <c r="A33" i="71"/>
  <c r="E33" i="71"/>
  <c r="B34" i="71"/>
  <c r="G34" i="71"/>
  <c r="C35" i="71"/>
  <c r="H35" i="71"/>
  <c r="D36" i="71"/>
  <c r="A37" i="71"/>
  <c r="C30" i="71"/>
  <c r="H30" i="71"/>
  <c r="D31" i="71"/>
  <c r="A32" i="71"/>
  <c r="E32" i="71"/>
  <c r="B33" i="71"/>
  <c r="G33" i="71"/>
  <c r="C34" i="71"/>
  <c r="H34" i="71"/>
  <c r="D35" i="71"/>
  <c r="A36" i="71"/>
  <c r="E36" i="71"/>
  <c r="B37" i="71"/>
  <c r="D30" i="71"/>
  <c r="A31" i="71"/>
  <c r="E31" i="71"/>
  <c r="B32" i="71"/>
  <c r="G32" i="71"/>
  <c r="C33" i="71"/>
  <c r="H33" i="71"/>
  <c r="D34" i="71"/>
  <c r="A35" i="71"/>
  <c r="E35" i="71"/>
  <c r="B36" i="71"/>
  <c r="G36" i="71"/>
  <c r="C37" i="71"/>
  <c r="H37" i="71"/>
  <c r="E37" i="71"/>
  <c r="B118" i="34"/>
  <c r="B111" i="34"/>
  <c r="I78" i="14" l="1"/>
  <c r="H78" i="14"/>
  <c r="J50" i="71"/>
  <c r="I50" i="71"/>
  <c r="B119" i="34"/>
  <c r="D5" i="61"/>
  <c r="R7" i="60"/>
  <c r="C7" i="60" s="1"/>
  <c r="R6" i="60"/>
  <c r="C6" i="60" s="1"/>
  <c r="I12" i="61"/>
  <c r="D12" i="61"/>
  <c r="C12" i="61"/>
  <c r="G12" i="61"/>
  <c r="E12" i="61"/>
  <c r="H12" i="61"/>
  <c r="F12" i="61"/>
  <c r="R36" i="60" l="1"/>
  <c r="C26" i="15" l="1"/>
  <c r="C27" i="15" s="1"/>
  <c r="Q3" i="56" l="1"/>
  <c r="P3" i="56"/>
  <c r="R10" i="34" l="1"/>
  <c r="S10" i="34"/>
  <c r="T10" i="34"/>
  <c r="V10" i="34"/>
  <c r="W10" i="34"/>
  <c r="R11" i="34"/>
  <c r="S11" i="34"/>
  <c r="T11" i="34"/>
  <c r="V11" i="34"/>
  <c r="W11" i="34"/>
  <c r="R12" i="34"/>
  <c r="S12" i="34"/>
  <c r="T12" i="34"/>
  <c r="V12" i="34"/>
  <c r="W12" i="34"/>
  <c r="R13" i="34"/>
  <c r="S13" i="34"/>
  <c r="T13" i="34"/>
  <c r="V13" i="34"/>
  <c r="W13" i="34"/>
  <c r="R14" i="34"/>
  <c r="S14" i="34"/>
  <c r="T14" i="34"/>
  <c r="V14" i="34"/>
  <c r="W14" i="34"/>
  <c r="B14" i="57" l="1"/>
  <c r="A14" i="57" s="1"/>
  <c r="F14" i="57"/>
  <c r="C14" i="57"/>
  <c r="G14" i="57"/>
  <c r="D14" i="57"/>
  <c r="I14" i="57"/>
  <c r="E14" i="57"/>
  <c r="B56" i="34"/>
  <c r="B47" i="34"/>
  <c r="J23" i="57" l="1"/>
  <c r="B6" i="57"/>
  <c r="H14" i="57"/>
  <c r="J14" i="57"/>
  <c r="A3" i="15"/>
  <c r="A2" i="15"/>
  <c r="N8" i="73"/>
  <c r="M8" i="73"/>
  <c r="A2" i="73"/>
  <c r="A1" i="73"/>
  <c r="Y19" i="34" l="1"/>
  <c r="Y23" i="34"/>
  <c r="Y27" i="34"/>
  <c r="Y31" i="34"/>
  <c r="Y35" i="34"/>
  <c r="Y39" i="34"/>
  <c r="Y43" i="34"/>
  <c r="Y47" i="34"/>
  <c r="Y51" i="34"/>
  <c r="Y55" i="34"/>
  <c r="Y59" i="34"/>
  <c r="Y63" i="34"/>
  <c r="Y67" i="34"/>
  <c r="Y71" i="34"/>
  <c r="Y75" i="34"/>
  <c r="Y79" i="34"/>
  <c r="Y83" i="34"/>
  <c r="Y87" i="34"/>
  <c r="Y91" i="34"/>
  <c r="Y95" i="34"/>
  <c r="Y99" i="34"/>
  <c r="Y103" i="34"/>
  <c r="Y107" i="34"/>
  <c r="Y111" i="34"/>
  <c r="Y115" i="34"/>
  <c r="Y119" i="34"/>
  <c r="Y123" i="34"/>
  <c r="Y127" i="34"/>
  <c r="Y131" i="34"/>
  <c r="Y135" i="34"/>
  <c r="Y139" i="34"/>
  <c r="Y143" i="34"/>
  <c r="Y147" i="34"/>
  <c r="Y151" i="34"/>
  <c r="Y155" i="34"/>
  <c r="Y159" i="34"/>
  <c r="Y163" i="34"/>
  <c r="Y167" i="34"/>
  <c r="Y171" i="34"/>
  <c r="Y175" i="34"/>
  <c r="Y179" i="34"/>
  <c r="Y183" i="34"/>
  <c r="Y187" i="34"/>
  <c r="Y191" i="34"/>
  <c r="Y195" i="34"/>
  <c r="Y199" i="34"/>
  <c r="Y203" i="34"/>
  <c r="Y207" i="34"/>
  <c r="Y211" i="34"/>
  <c r="Y215" i="34"/>
  <c r="Y219" i="34"/>
  <c r="Y223" i="34"/>
  <c r="Y227" i="34"/>
  <c r="Y231" i="34"/>
  <c r="Y235" i="34"/>
  <c r="Y239" i="34"/>
  <c r="Y243" i="34"/>
  <c r="Y247" i="34"/>
  <c r="Y251" i="34"/>
  <c r="Y255" i="34"/>
  <c r="Y259" i="34"/>
  <c r="Y263" i="34"/>
  <c r="Y267" i="34"/>
  <c r="Y271" i="34"/>
  <c r="Y275" i="34"/>
  <c r="Y279" i="34"/>
  <c r="Y283" i="34"/>
  <c r="Y287" i="34"/>
  <c r="Y291" i="34"/>
  <c r="Y295" i="34"/>
  <c r="Y299" i="34"/>
  <c r="Y303" i="34"/>
  <c r="Y307" i="34"/>
  <c r="Y311" i="34"/>
  <c r="Y315" i="34"/>
  <c r="Y319" i="34"/>
  <c r="Y20" i="34"/>
  <c r="Y32" i="34"/>
  <c r="Y40" i="34"/>
  <c r="Y48" i="34"/>
  <c r="Y68" i="34"/>
  <c r="Y84" i="34"/>
  <c r="Y18" i="34"/>
  <c r="Y22" i="34"/>
  <c r="Y26" i="34"/>
  <c r="Y30" i="34"/>
  <c r="Y34" i="34"/>
  <c r="Y38" i="34"/>
  <c r="Y42" i="34"/>
  <c r="Y46" i="34"/>
  <c r="Y50" i="34"/>
  <c r="Y54" i="34"/>
  <c r="Y58" i="34"/>
  <c r="Y62" i="34"/>
  <c r="Y66" i="34"/>
  <c r="Y70" i="34"/>
  <c r="Y74" i="34"/>
  <c r="Y78" i="34"/>
  <c r="Y82" i="34"/>
  <c r="Y86" i="34"/>
  <c r="Y90" i="34"/>
  <c r="Y94" i="34"/>
  <c r="Y98" i="34"/>
  <c r="Y102" i="34"/>
  <c r="Y106" i="34"/>
  <c r="Y110" i="34"/>
  <c r="Y114" i="34"/>
  <c r="Y118" i="34"/>
  <c r="Y122" i="34"/>
  <c r="Y126" i="34"/>
  <c r="Y130" i="34"/>
  <c r="Y134" i="34"/>
  <c r="Y138" i="34"/>
  <c r="Y142" i="34"/>
  <c r="Y146" i="34"/>
  <c r="Y150" i="34"/>
  <c r="Y154" i="34"/>
  <c r="Y158" i="34"/>
  <c r="Y162" i="34"/>
  <c r="Y166" i="34"/>
  <c r="Y170" i="34"/>
  <c r="Y174" i="34"/>
  <c r="Y178" i="34"/>
  <c r="Y182" i="34"/>
  <c r="Y186" i="34"/>
  <c r="Y190" i="34"/>
  <c r="Y194" i="34"/>
  <c r="Y198" i="34"/>
  <c r="Y202" i="34"/>
  <c r="Y206" i="34"/>
  <c r="Y210" i="34"/>
  <c r="Y214" i="34"/>
  <c r="Y218" i="34"/>
  <c r="Y222" i="34"/>
  <c r="Y226" i="34"/>
  <c r="Y230" i="34"/>
  <c r="Y234" i="34"/>
  <c r="Y238" i="34"/>
  <c r="Y242" i="34"/>
  <c r="Y246" i="34"/>
  <c r="Y250" i="34"/>
  <c r="Y254" i="34"/>
  <c r="Y258" i="34"/>
  <c r="Y262" i="34"/>
  <c r="Y266" i="34"/>
  <c r="Y270" i="34"/>
  <c r="Y274" i="34"/>
  <c r="Y278" i="34"/>
  <c r="Y282" i="34"/>
  <c r="Y286" i="34"/>
  <c r="Y290" i="34"/>
  <c r="Y294" i="34"/>
  <c r="Y298" i="34"/>
  <c r="Y302" i="34"/>
  <c r="Y306" i="34"/>
  <c r="Y310" i="34"/>
  <c r="Y314" i="34"/>
  <c r="Y318" i="34"/>
  <c r="Y322" i="34"/>
  <c r="Y24" i="34"/>
  <c r="Y36" i="34"/>
  <c r="Y44" i="34"/>
  <c r="Y64" i="34"/>
  <c r="Y72" i="34"/>
  <c r="Y92" i="34"/>
  <c r="Y17" i="34"/>
  <c r="Y21" i="34"/>
  <c r="Y25" i="34"/>
  <c r="Y29" i="34"/>
  <c r="Y33" i="34"/>
  <c r="Y37" i="34"/>
  <c r="Y41" i="34"/>
  <c r="Y45" i="34"/>
  <c r="Y49" i="34"/>
  <c r="Y53" i="34"/>
  <c r="Y57" i="34"/>
  <c r="Y61" i="34"/>
  <c r="Y65" i="34"/>
  <c r="Y69" i="34"/>
  <c r="Y73" i="34"/>
  <c r="Y77" i="34"/>
  <c r="Y81" i="34"/>
  <c r="Y85" i="34"/>
  <c r="Y89" i="34"/>
  <c r="Y93" i="34"/>
  <c r="Y97" i="34"/>
  <c r="Y101" i="34"/>
  <c r="Y105" i="34"/>
  <c r="Y109" i="34"/>
  <c r="Y113" i="34"/>
  <c r="Y117" i="34"/>
  <c r="Y121" i="34"/>
  <c r="Y125" i="34"/>
  <c r="Y129" i="34"/>
  <c r="Y133" i="34"/>
  <c r="Y137" i="34"/>
  <c r="Y141" i="34"/>
  <c r="Y145" i="34"/>
  <c r="Y149" i="34"/>
  <c r="Y153" i="34"/>
  <c r="Y157" i="34"/>
  <c r="Y161" i="34"/>
  <c r="Y165" i="34"/>
  <c r="Y169" i="34"/>
  <c r="Y173" i="34"/>
  <c r="Y177" i="34"/>
  <c r="Y181" i="34"/>
  <c r="Y185" i="34"/>
  <c r="Y189" i="34"/>
  <c r="Y193" i="34"/>
  <c r="Y197" i="34"/>
  <c r="Y201" i="34"/>
  <c r="Y205" i="34"/>
  <c r="Y209" i="34"/>
  <c r="Y213" i="34"/>
  <c r="Y217" i="34"/>
  <c r="Y221" i="34"/>
  <c r="Y225" i="34"/>
  <c r="Y229" i="34"/>
  <c r="Y233" i="34"/>
  <c r="Y237" i="34"/>
  <c r="Y241" i="34"/>
  <c r="Y245" i="34"/>
  <c r="Y249" i="34"/>
  <c r="Y253" i="34"/>
  <c r="Y257" i="34"/>
  <c r="Y261" i="34"/>
  <c r="Y265" i="34"/>
  <c r="Y269" i="34"/>
  <c r="Y273" i="34"/>
  <c r="Y277" i="34"/>
  <c r="Y281" i="34"/>
  <c r="Y285" i="34"/>
  <c r="Y289" i="34"/>
  <c r="Y293" i="34"/>
  <c r="Y297" i="34"/>
  <c r="Y301" i="34"/>
  <c r="Y305" i="34"/>
  <c r="Y309" i="34"/>
  <c r="Y313" i="34"/>
  <c r="Y317" i="34"/>
  <c r="Y321" i="34"/>
  <c r="Y16" i="34"/>
  <c r="Y28" i="34"/>
  <c r="Y52" i="34"/>
  <c r="Y56" i="34"/>
  <c r="Y60" i="34"/>
  <c r="Y76" i="34"/>
  <c r="Y80" i="34"/>
  <c r="Y88" i="34"/>
  <c r="Y100" i="34"/>
  <c r="Y116" i="34"/>
  <c r="Y132" i="34"/>
  <c r="Y148" i="34"/>
  <c r="Y164" i="34"/>
  <c r="Y180" i="34"/>
  <c r="Y196" i="34"/>
  <c r="Y212" i="34"/>
  <c r="Y228" i="34"/>
  <c r="Y244" i="34"/>
  <c r="Y260" i="34"/>
  <c r="Y276" i="34"/>
  <c r="Y292" i="34"/>
  <c r="Y308" i="34"/>
  <c r="Y140" i="34"/>
  <c r="Y188" i="34"/>
  <c r="Y236" i="34"/>
  <c r="Y252" i="34"/>
  <c r="Y300" i="34"/>
  <c r="Y104" i="34"/>
  <c r="Y120" i="34"/>
  <c r="Y136" i="34"/>
  <c r="Y152" i="34"/>
  <c r="Y168" i="34"/>
  <c r="Y184" i="34"/>
  <c r="Y200" i="34"/>
  <c r="Y216" i="34"/>
  <c r="Y232" i="34"/>
  <c r="Y248" i="34"/>
  <c r="Y264" i="34"/>
  <c r="Y280" i="34"/>
  <c r="Y296" i="34"/>
  <c r="Y312" i="34"/>
  <c r="Y172" i="34"/>
  <c r="Y268" i="34"/>
  <c r="Y284" i="34"/>
  <c r="Y96" i="34"/>
  <c r="Y112" i="34"/>
  <c r="Y128" i="34"/>
  <c r="Y144" i="34"/>
  <c r="Y160" i="34"/>
  <c r="Y176" i="34"/>
  <c r="Y192" i="34"/>
  <c r="Y208" i="34"/>
  <c r="Y224" i="34"/>
  <c r="Y240" i="34"/>
  <c r="Y256" i="34"/>
  <c r="Y272" i="34"/>
  <c r="Y288" i="34"/>
  <c r="Y304" i="34"/>
  <c r="Y320" i="34"/>
  <c r="Y108" i="34"/>
  <c r="Y124" i="34"/>
  <c r="Y156" i="34"/>
  <c r="Y204" i="34"/>
  <c r="Y220" i="34"/>
  <c r="Y316" i="34"/>
  <c r="A2" i="61"/>
  <c r="A1" i="61"/>
  <c r="A2" i="58"/>
  <c r="A1" i="58"/>
  <c r="B3" i="57"/>
  <c r="B2" i="57"/>
  <c r="A3" i="56"/>
  <c r="A2" i="56"/>
  <c r="A2" i="14" l="1"/>
  <c r="A1" i="14"/>
  <c r="A2" i="71"/>
  <c r="A1" i="71"/>
  <c r="A2" i="43"/>
  <c r="A1" i="43"/>
  <c r="A2" i="42"/>
  <c r="A1" i="42"/>
  <c r="B2" i="39"/>
  <c r="B1" i="39"/>
  <c r="A3" i="47"/>
  <c r="A2" i="47"/>
  <c r="I13" i="71" l="1"/>
  <c r="O11" i="42"/>
  <c r="N11" i="42"/>
  <c r="A37" i="14" l="1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K14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14" i="71"/>
  <c r="H28" i="71"/>
  <c r="H26" i="71"/>
  <c r="H24" i="71"/>
  <c r="H22" i="71"/>
  <c r="H20" i="71"/>
  <c r="H18" i="71"/>
  <c r="J13" i="71"/>
  <c r="D16" i="70"/>
  <c r="C16" i="70"/>
  <c r="H51" i="71" l="1"/>
  <c r="G51" i="71"/>
  <c r="B213" i="34"/>
  <c r="B217" i="34"/>
  <c r="B218" i="34"/>
  <c r="B60" i="34"/>
  <c r="B113" i="34"/>
  <c r="B200" i="34"/>
  <c r="B201" i="34"/>
  <c r="B98" i="34" l="1"/>
  <c r="B107" i="34"/>
  <c r="B108" i="34"/>
  <c r="B109" i="34"/>
  <c r="B110" i="34"/>
  <c r="B208" i="34"/>
  <c r="B209" i="34"/>
  <c r="B210" i="34"/>
  <c r="B212" i="34"/>
  <c r="B58" i="34"/>
  <c r="B59" i="34"/>
  <c r="B68" i="34"/>
  <c r="B69" i="34"/>
  <c r="B74" i="34"/>
  <c r="B86" i="34"/>
  <c r="B87" i="34"/>
  <c r="B88" i="34"/>
  <c r="B97" i="34"/>
  <c r="B49" i="34"/>
  <c r="B187" i="34"/>
  <c r="B48" i="34"/>
  <c r="B128" i="34"/>
  <c r="B120" i="34"/>
  <c r="B287" i="34"/>
  <c r="B186" i="34"/>
  <c r="B233" i="34"/>
  <c r="B223" i="34"/>
  <c r="B204" i="34"/>
  <c r="B205" i="34"/>
  <c r="B228" i="34"/>
  <c r="B229" i="34"/>
  <c r="B221" i="34"/>
  <c r="B222" i="34"/>
  <c r="B215" i="34"/>
  <c r="B41" i="34"/>
  <c r="B42" i="34"/>
  <c r="B235" i="34"/>
  <c r="B285" i="34"/>
  <c r="B286" i="34"/>
  <c r="B38" i="34"/>
  <c r="B171" i="34"/>
  <c r="B192" i="34"/>
  <c r="B170" i="34"/>
  <c r="B178" i="34"/>
  <c r="B65" i="34"/>
  <c r="B66" i="34"/>
  <c r="B73" i="34"/>
  <c r="B90" i="34"/>
  <c r="B57" i="34"/>
  <c r="B64" i="34"/>
  <c r="B197" i="34"/>
  <c r="B234" i="34"/>
  <c r="B203" i="34"/>
  <c r="B17" i="34"/>
  <c r="B22" i="34"/>
  <c r="B216" i="34"/>
  <c r="B232" i="34"/>
  <c r="B224" i="34"/>
  <c r="B225" i="34"/>
  <c r="B226" i="34"/>
  <c r="B185" i="34"/>
  <c r="B169" i="34"/>
  <c r="B39" i="34"/>
  <c r="B40" i="34"/>
  <c r="B44" i="34"/>
  <c r="B45" i="34"/>
  <c r="B220" i="34"/>
  <c r="B230" i="34"/>
  <c r="B231" i="34"/>
  <c r="B207" i="34" l="1"/>
  <c r="B206" i="34"/>
  <c r="B162" i="34"/>
  <c r="B172" i="34"/>
  <c r="B117" i="34"/>
  <c r="A14" i="71" l="1"/>
  <c r="E56" i="71" s="1"/>
  <c r="A19" i="71"/>
  <c r="A20" i="71"/>
  <c r="A17" i="71"/>
  <c r="A18" i="71"/>
  <c r="A16" i="71"/>
  <c r="A15" i="71"/>
  <c r="A55" i="71" l="1"/>
  <c r="H2" i="71"/>
  <c r="O8" i="43" l="1"/>
  <c r="N8" i="43"/>
  <c r="S17" i="34" l="1"/>
  <c r="S47" i="34"/>
  <c r="S57" i="34"/>
  <c r="S65" i="34"/>
  <c r="S67" i="34"/>
  <c r="S73" i="34"/>
  <c r="S91" i="34"/>
  <c r="S117" i="34"/>
  <c r="S159" i="34"/>
  <c r="S171" i="34"/>
  <c r="S211" i="34"/>
  <c r="S231" i="34"/>
  <c r="R178" i="34"/>
  <c r="R220" i="34"/>
  <c r="R230" i="34"/>
  <c r="S178" i="34"/>
  <c r="T17" i="34"/>
  <c r="R22" i="34"/>
  <c r="T47" i="34"/>
  <c r="R56" i="34"/>
  <c r="T57" i="34"/>
  <c r="R64" i="34"/>
  <c r="T65" i="34"/>
  <c r="R66" i="34"/>
  <c r="T67" i="34"/>
  <c r="T73" i="34"/>
  <c r="R90" i="34"/>
  <c r="T91" i="34"/>
  <c r="R92" i="34"/>
  <c r="T117" i="34"/>
  <c r="R134" i="34"/>
  <c r="T159" i="34"/>
  <c r="R170" i="34"/>
  <c r="T171" i="34"/>
  <c r="R192" i="34"/>
  <c r="T211" i="34"/>
  <c r="T231" i="34"/>
  <c r="S134" i="34"/>
  <c r="S170" i="34"/>
  <c r="S230" i="34"/>
  <c r="S22" i="34"/>
  <c r="S56" i="34"/>
  <c r="S64" i="34"/>
  <c r="S66" i="34"/>
  <c r="S90" i="34"/>
  <c r="S92" i="34"/>
  <c r="S192" i="34"/>
  <c r="S220" i="34"/>
  <c r="R17" i="34"/>
  <c r="T22" i="34"/>
  <c r="R47" i="34"/>
  <c r="T56" i="34"/>
  <c r="R57" i="34"/>
  <c r="T64" i="34"/>
  <c r="R65" i="34"/>
  <c r="T66" i="34"/>
  <c r="R67" i="34"/>
  <c r="R73" i="34"/>
  <c r="T90" i="34"/>
  <c r="R91" i="34"/>
  <c r="T92" i="34"/>
  <c r="R117" i="34"/>
  <c r="T134" i="34"/>
  <c r="R159" i="34"/>
  <c r="T170" i="34"/>
  <c r="R171" i="34"/>
  <c r="T178" i="34"/>
  <c r="T192" i="34"/>
  <c r="R211" i="34"/>
  <c r="T220" i="34"/>
  <c r="T230" i="34"/>
  <c r="R231" i="34"/>
  <c r="D13" i="15"/>
  <c r="C13" i="15"/>
  <c r="B43" i="34"/>
  <c r="B195" i="34"/>
  <c r="B46" i="34" l="1"/>
  <c r="C36" i="15"/>
  <c r="D36" i="15"/>
  <c r="C29" i="15"/>
  <c r="D29" i="15"/>
  <c r="D26" i="15"/>
  <c r="D27" i="15" s="1"/>
  <c r="C18" i="15"/>
  <c r="D18" i="15"/>
  <c r="D16" i="15"/>
  <c r="C16" i="15"/>
  <c r="D11" i="15"/>
  <c r="C11" i="15"/>
  <c r="I6" i="43" l="1"/>
  <c r="A8" i="12" l="1"/>
  <c r="A30" i="43" l="1"/>
  <c r="G30" i="43"/>
  <c r="E30" i="43"/>
  <c r="F30" i="43"/>
  <c r="D31" i="43"/>
  <c r="F31" i="43"/>
  <c r="B31" i="43"/>
  <c r="C31" i="43"/>
  <c r="D30" i="43"/>
  <c r="G31" i="43"/>
  <c r="C30" i="43"/>
  <c r="A31" i="43"/>
  <c r="H31" i="43" s="1"/>
  <c r="B30" i="43"/>
  <c r="E31" i="43"/>
  <c r="H11" i="43"/>
  <c r="A12" i="43"/>
  <c r="G36" i="43" s="1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8" i="60" s="1"/>
  <c r="A20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l="1"/>
  <c r="A32" i="60" s="1"/>
  <c r="A33" i="60" s="1"/>
  <c r="A34" i="60" s="1"/>
  <c r="F2" i="43"/>
  <c r="A35" i="43"/>
  <c r="K13" i="34"/>
  <c r="K10" i="34"/>
  <c r="B10" i="34" l="1"/>
  <c r="B11" i="34"/>
  <c r="B12" i="34"/>
  <c r="B15" i="34"/>
  <c r="B13" i="34"/>
  <c r="A13" i="34" s="1"/>
  <c r="B14" i="34"/>
  <c r="A14" i="34" s="1"/>
  <c r="Q15" i="34" l="1"/>
  <c r="U15" i="34"/>
  <c r="A15" i="34"/>
  <c r="O15" i="34"/>
  <c r="P15" i="34"/>
  <c r="Y15" i="34"/>
  <c r="A11" i="34"/>
  <c r="A12" i="34"/>
  <c r="P13" i="34"/>
  <c r="Q13" i="34"/>
  <c r="O13" i="34"/>
  <c r="Y13" i="34"/>
  <c r="O14" i="34"/>
  <c r="Y14" i="34"/>
  <c r="P14" i="34"/>
  <c r="Q14" i="34"/>
  <c r="P11" i="34"/>
  <c r="Q11" i="34"/>
  <c r="O11" i="34"/>
  <c r="Y11" i="34"/>
  <c r="O12" i="34"/>
  <c r="Y12" i="34"/>
  <c r="P12" i="34"/>
  <c r="Q12" i="34"/>
  <c r="O10" i="34"/>
  <c r="Y10" i="34"/>
  <c r="D25" i="73" s="1"/>
  <c r="P10" i="34"/>
  <c r="Q10" i="34"/>
  <c r="D9" i="12"/>
  <c r="C9" i="12"/>
  <c r="A204" i="73" l="1"/>
  <c r="F204" i="73"/>
  <c r="A205" i="73"/>
  <c r="I205" i="73"/>
  <c r="D206" i="73"/>
  <c r="E206" i="73" s="1"/>
  <c r="H206" i="73"/>
  <c r="C207" i="73"/>
  <c r="H207" i="73"/>
  <c r="C208" i="73"/>
  <c r="H208" i="73"/>
  <c r="C209" i="73"/>
  <c r="G209" i="73"/>
  <c r="B210" i="73"/>
  <c r="F210" i="73"/>
  <c r="A211" i="73"/>
  <c r="F211" i="73"/>
  <c r="A212" i="73"/>
  <c r="F212" i="73"/>
  <c r="A213" i="73"/>
  <c r="I213" i="73"/>
  <c r="D214" i="73"/>
  <c r="E214" i="73" s="1"/>
  <c r="H214" i="73"/>
  <c r="C215" i="73"/>
  <c r="H215" i="73"/>
  <c r="C216" i="73"/>
  <c r="H216" i="73"/>
  <c r="C217" i="73"/>
  <c r="G217" i="73"/>
  <c r="B218" i="73"/>
  <c r="F218" i="73"/>
  <c r="A219" i="73"/>
  <c r="F219" i="73"/>
  <c r="A220" i="73"/>
  <c r="F220" i="73"/>
  <c r="A221" i="73"/>
  <c r="I221" i="73"/>
  <c r="D222" i="73"/>
  <c r="E222" i="73" s="1"/>
  <c r="H222" i="73"/>
  <c r="C223" i="73"/>
  <c r="H223" i="73"/>
  <c r="C224" i="73"/>
  <c r="H224" i="73"/>
  <c r="C225" i="73"/>
  <c r="G225" i="73"/>
  <c r="B226" i="73"/>
  <c r="G226" i="73"/>
  <c r="B227" i="73"/>
  <c r="G227" i="73"/>
  <c r="B228" i="73"/>
  <c r="G228" i="73"/>
  <c r="B229" i="73"/>
  <c r="F229" i="73"/>
  <c r="A230" i="73"/>
  <c r="F230" i="73"/>
  <c r="A231" i="73"/>
  <c r="F231" i="73"/>
  <c r="A232" i="73"/>
  <c r="F232" i="73"/>
  <c r="A233" i="73"/>
  <c r="I233" i="73"/>
  <c r="D234" i="73"/>
  <c r="E234" i="73" s="1"/>
  <c r="I234" i="73"/>
  <c r="D235" i="73"/>
  <c r="E235" i="73" s="1"/>
  <c r="I235" i="73"/>
  <c r="D236" i="73"/>
  <c r="E236" i="73" s="1"/>
  <c r="I236" i="73"/>
  <c r="D237" i="73"/>
  <c r="E237" i="73" s="1"/>
  <c r="H237" i="73"/>
  <c r="C238" i="73"/>
  <c r="H238" i="73"/>
  <c r="C239" i="73"/>
  <c r="H239" i="73"/>
  <c r="C240" i="73"/>
  <c r="H240" i="73"/>
  <c r="C241" i="73"/>
  <c r="G241" i="73"/>
  <c r="B242" i="73"/>
  <c r="G242" i="73"/>
  <c r="B243" i="73"/>
  <c r="G243" i="73"/>
  <c r="B244" i="73"/>
  <c r="B204" i="73"/>
  <c r="G204" i="73"/>
  <c r="B205" i="73"/>
  <c r="F205" i="73"/>
  <c r="A206" i="73"/>
  <c r="I206" i="73"/>
  <c r="D207" i="73"/>
  <c r="E207" i="73" s="1"/>
  <c r="I207" i="73"/>
  <c r="D208" i="73"/>
  <c r="E208" i="73" s="1"/>
  <c r="I208" i="73"/>
  <c r="D209" i="73"/>
  <c r="E209" i="73" s="1"/>
  <c r="H209" i="73"/>
  <c r="C210" i="73"/>
  <c r="G210" i="73"/>
  <c r="B211" i="73"/>
  <c r="G211" i="73"/>
  <c r="B212" i="73"/>
  <c r="G212" i="73"/>
  <c r="B213" i="73"/>
  <c r="F213" i="73"/>
  <c r="A214" i="73"/>
  <c r="I214" i="73"/>
  <c r="D215" i="73"/>
  <c r="E215" i="73" s="1"/>
  <c r="I215" i="73"/>
  <c r="D216" i="73"/>
  <c r="E216" i="73" s="1"/>
  <c r="I216" i="73"/>
  <c r="D217" i="73"/>
  <c r="E217" i="73" s="1"/>
  <c r="H217" i="73"/>
  <c r="C218" i="73"/>
  <c r="G218" i="73"/>
  <c r="B219" i="73"/>
  <c r="G219" i="73"/>
  <c r="B220" i="73"/>
  <c r="G220" i="73"/>
  <c r="B221" i="73"/>
  <c r="F221" i="73"/>
  <c r="A222" i="73"/>
  <c r="I222" i="73"/>
  <c r="D223" i="73"/>
  <c r="E223" i="73" s="1"/>
  <c r="I223" i="73"/>
  <c r="D224" i="73"/>
  <c r="E224" i="73" s="1"/>
  <c r="I224" i="73"/>
  <c r="C204" i="73"/>
  <c r="H204" i="73"/>
  <c r="C205" i="73"/>
  <c r="G205" i="73"/>
  <c r="B206" i="73"/>
  <c r="F206" i="73"/>
  <c r="A207" i="73"/>
  <c r="F207" i="73"/>
  <c r="A208" i="73"/>
  <c r="F208" i="73"/>
  <c r="A209" i="73"/>
  <c r="I209" i="73"/>
  <c r="D210" i="73"/>
  <c r="E210" i="73" s="1"/>
  <c r="H210" i="73"/>
  <c r="C211" i="73"/>
  <c r="H211" i="73"/>
  <c r="C212" i="73"/>
  <c r="H212" i="73"/>
  <c r="C213" i="73"/>
  <c r="G213" i="73"/>
  <c r="B214" i="73"/>
  <c r="F214" i="73"/>
  <c r="A215" i="73"/>
  <c r="F215" i="73"/>
  <c r="A216" i="73"/>
  <c r="F216" i="73"/>
  <c r="A217" i="73"/>
  <c r="I217" i="73"/>
  <c r="D218" i="73"/>
  <c r="E218" i="73" s="1"/>
  <c r="H218" i="73"/>
  <c r="C219" i="73"/>
  <c r="H219" i="73"/>
  <c r="C220" i="73"/>
  <c r="H220" i="73"/>
  <c r="C221" i="73"/>
  <c r="G221" i="73"/>
  <c r="B222" i="73"/>
  <c r="F222" i="73"/>
  <c r="A223" i="73"/>
  <c r="F223" i="73"/>
  <c r="A224" i="73"/>
  <c r="F224" i="73"/>
  <c r="A225" i="73"/>
  <c r="I225" i="73"/>
  <c r="D226" i="73"/>
  <c r="E226" i="73" s="1"/>
  <c r="I226" i="73"/>
  <c r="D227" i="73"/>
  <c r="E227" i="73" s="1"/>
  <c r="I227" i="73"/>
  <c r="D228" i="73"/>
  <c r="E228" i="73" s="1"/>
  <c r="I228" i="73"/>
  <c r="D229" i="73"/>
  <c r="E229" i="73" s="1"/>
  <c r="H229" i="73"/>
  <c r="C230" i="73"/>
  <c r="H230" i="73"/>
  <c r="C231" i="73"/>
  <c r="H231" i="73"/>
  <c r="C232" i="73"/>
  <c r="H232" i="73"/>
  <c r="C233" i="73"/>
  <c r="G233" i="73"/>
  <c r="B234" i="73"/>
  <c r="G234" i="73"/>
  <c r="B235" i="73"/>
  <c r="G235" i="73"/>
  <c r="B236" i="73"/>
  <c r="G236" i="73"/>
  <c r="B237" i="73"/>
  <c r="F237" i="73"/>
  <c r="A238" i="73"/>
  <c r="F238" i="73"/>
  <c r="A239" i="73"/>
  <c r="F239" i="73"/>
  <c r="A240" i="73"/>
  <c r="F240" i="73"/>
  <c r="A241" i="73"/>
  <c r="I241" i="73"/>
  <c r="D242" i="73"/>
  <c r="E242" i="73" s="1"/>
  <c r="I242" i="73"/>
  <c r="D204" i="73"/>
  <c r="E204" i="73" s="1"/>
  <c r="I204" i="73"/>
  <c r="D205" i="73"/>
  <c r="E205" i="73" s="1"/>
  <c r="H205" i="73"/>
  <c r="C206" i="73"/>
  <c r="G206" i="73"/>
  <c r="B207" i="73"/>
  <c r="G207" i="73"/>
  <c r="B208" i="73"/>
  <c r="G208" i="73"/>
  <c r="B209" i="73"/>
  <c r="F209" i="73"/>
  <c r="A210" i="73"/>
  <c r="I210" i="73"/>
  <c r="D211" i="73"/>
  <c r="E211" i="73" s="1"/>
  <c r="I211" i="73"/>
  <c r="D212" i="73"/>
  <c r="E212" i="73" s="1"/>
  <c r="I212" i="73"/>
  <c r="D213" i="73"/>
  <c r="E213" i="73" s="1"/>
  <c r="H213" i="73"/>
  <c r="C214" i="73"/>
  <c r="G214" i="73"/>
  <c r="B215" i="73"/>
  <c r="G215" i="73"/>
  <c r="B216" i="73"/>
  <c r="G216" i="73"/>
  <c r="B217" i="73"/>
  <c r="F217" i="73"/>
  <c r="A218" i="73"/>
  <c r="I218" i="73"/>
  <c r="D219" i="73"/>
  <c r="E219" i="73" s="1"/>
  <c r="I219" i="73"/>
  <c r="D220" i="73"/>
  <c r="E220" i="73" s="1"/>
  <c r="I220" i="73"/>
  <c r="D221" i="73"/>
  <c r="E221" i="73" s="1"/>
  <c r="H221" i="73"/>
  <c r="C222" i="73"/>
  <c r="G222" i="73"/>
  <c r="B223" i="73"/>
  <c r="G223" i="73"/>
  <c r="B224" i="73"/>
  <c r="G224" i="73"/>
  <c r="B225" i="73"/>
  <c r="F225" i="73"/>
  <c r="A226" i="73"/>
  <c r="F226" i="73"/>
  <c r="A227" i="73"/>
  <c r="F227" i="73"/>
  <c r="A228" i="73"/>
  <c r="F228" i="73"/>
  <c r="A229" i="73"/>
  <c r="I229" i="73"/>
  <c r="D230" i="73"/>
  <c r="E230" i="73" s="1"/>
  <c r="I230" i="73"/>
  <c r="D231" i="73"/>
  <c r="E231" i="73" s="1"/>
  <c r="I231" i="73"/>
  <c r="D232" i="73"/>
  <c r="E232" i="73" s="1"/>
  <c r="I232" i="73"/>
  <c r="D233" i="73"/>
  <c r="E233" i="73" s="1"/>
  <c r="H233" i="73"/>
  <c r="C234" i="73"/>
  <c r="H234" i="73"/>
  <c r="C235" i="73"/>
  <c r="H235" i="73"/>
  <c r="C236" i="73"/>
  <c r="H236" i="73"/>
  <c r="C237" i="73"/>
  <c r="G237" i="73"/>
  <c r="B238" i="73"/>
  <c r="G238" i="73"/>
  <c r="B239" i="73"/>
  <c r="G239" i="73"/>
  <c r="B240" i="73"/>
  <c r="D225" i="73"/>
  <c r="E225" i="73" s="1"/>
  <c r="C227" i="73"/>
  <c r="C229" i="73"/>
  <c r="B231" i="73"/>
  <c r="B233" i="73"/>
  <c r="A235" i="73"/>
  <c r="A237" i="73"/>
  <c r="I238" i="73"/>
  <c r="G240" i="73"/>
  <c r="F241" i="73"/>
  <c r="F242" i="73"/>
  <c r="D243" i="73"/>
  <c r="E243" i="73" s="1"/>
  <c r="A244" i="73"/>
  <c r="G244" i="73"/>
  <c r="B245" i="73"/>
  <c r="F245" i="73"/>
  <c r="A246" i="73"/>
  <c r="F246" i="73"/>
  <c r="A247" i="73"/>
  <c r="F247" i="73"/>
  <c r="A248" i="73"/>
  <c r="F248" i="73"/>
  <c r="A249" i="73"/>
  <c r="I249" i="73"/>
  <c r="D250" i="73"/>
  <c r="E250" i="73" s="1"/>
  <c r="I250" i="73"/>
  <c r="D251" i="73"/>
  <c r="E251" i="73" s="1"/>
  <c r="I251" i="73"/>
  <c r="D252" i="73"/>
  <c r="E252" i="73" s="1"/>
  <c r="I252" i="73"/>
  <c r="D253" i="73"/>
  <c r="E253" i="73" s="1"/>
  <c r="H253" i="73"/>
  <c r="C254" i="73"/>
  <c r="H254" i="73"/>
  <c r="C255" i="73"/>
  <c r="H255" i="73"/>
  <c r="C256" i="73"/>
  <c r="H256" i="73"/>
  <c r="C257" i="73"/>
  <c r="G257" i="73"/>
  <c r="B258" i="73"/>
  <c r="G258" i="73"/>
  <c r="B259" i="73"/>
  <c r="G259" i="73"/>
  <c r="B260" i="73"/>
  <c r="G260" i="73"/>
  <c r="B261" i="73"/>
  <c r="F261" i="73"/>
  <c r="A262" i="73"/>
  <c r="F262" i="73"/>
  <c r="A263" i="73"/>
  <c r="F263" i="73"/>
  <c r="A264" i="73"/>
  <c r="F264" i="73"/>
  <c r="A265" i="73"/>
  <c r="I265" i="73"/>
  <c r="D266" i="73"/>
  <c r="E266" i="73" s="1"/>
  <c r="I266" i="73"/>
  <c r="D267" i="73"/>
  <c r="E267" i="73" s="1"/>
  <c r="I267" i="73"/>
  <c r="D268" i="73"/>
  <c r="E268" i="73" s="1"/>
  <c r="I268" i="73"/>
  <c r="D269" i="73"/>
  <c r="E269" i="73" s="1"/>
  <c r="H269" i="73"/>
  <c r="C270" i="73"/>
  <c r="H270" i="73"/>
  <c r="C271" i="73"/>
  <c r="I271" i="73"/>
  <c r="H225" i="73"/>
  <c r="H227" i="73"/>
  <c r="G229" i="73"/>
  <c r="G231" i="73"/>
  <c r="F233" i="73"/>
  <c r="F235" i="73"/>
  <c r="D239" i="73"/>
  <c r="E239" i="73" s="1"/>
  <c r="I240" i="73"/>
  <c r="H241" i="73"/>
  <c r="H242" i="73"/>
  <c r="F243" i="73"/>
  <c r="C244" i="73"/>
  <c r="H244" i="73"/>
  <c r="C245" i="73"/>
  <c r="G245" i="73"/>
  <c r="B246" i="73"/>
  <c r="G246" i="73"/>
  <c r="B247" i="73"/>
  <c r="G247" i="73"/>
  <c r="B248" i="73"/>
  <c r="G248" i="73"/>
  <c r="B249" i="73"/>
  <c r="F249" i="73"/>
  <c r="A250" i="73"/>
  <c r="F250" i="73"/>
  <c r="A251" i="73"/>
  <c r="F251" i="73"/>
  <c r="A252" i="73"/>
  <c r="F252" i="73"/>
  <c r="A253" i="73"/>
  <c r="I253" i="73"/>
  <c r="D254" i="73"/>
  <c r="E254" i="73" s="1"/>
  <c r="I254" i="73"/>
  <c r="D255" i="73"/>
  <c r="E255" i="73" s="1"/>
  <c r="I255" i="73"/>
  <c r="D256" i="73"/>
  <c r="E256" i="73" s="1"/>
  <c r="I256" i="73"/>
  <c r="D257" i="73"/>
  <c r="E257" i="73" s="1"/>
  <c r="H257" i="73"/>
  <c r="C258" i="73"/>
  <c r="H258" i="73"/>
  <c r="C259" i="73"/>
  <c r="H259" i="73"/>
  <c r="C260" i="73"/>
  <c r="H260" i="73"/>
  <c r="C261" i="73"/>
  <c r="G261" i="73"/>
  <c r="B262" i="73"/>
  <c r="G262" i="73"/>
  <c r="B263" i="73"/>
  <c r="G263" i="73"/>
  <c r="B264" i="73"/>
  <c r="G264" i="73"/>
  <c r="B265" i="73"/>
  <c r="F265" i="73"/>
  <c r="A266" i="73"/>
  <c r="F266" i="73"/>
  <c r="A267" i="73"/>
  <c r="F267" i="73"/>
  <c r="A268" i="73"/>
  <c r="F268" i="73"/>
  <c r="A269" i="73"/>
  <c r="I269" i="73"/>
  <c r="D270" i="73"/>
  <c r="E270" i="73" s="1"/>
  <c r="I270" i="73"/>
  <c r="D271" i="73"/>
  <c r="E271" i="73" s="1"/>
  <c r="F271" i="73"/>
  <c r="C226" i="73"/>
  <c r="C228" i="73"/>
  <c r="B230" i="73"/>
  <c r="B232" i="73"/>
  <c r="A234" i="73"/>
  <c r="A236" i="73"/>
  <c r="I237" i="73"/>
  <c r="I239" i="73"/>
  <c r="B241" i="73"/>
  <c r="A242" i="73"/>
  <c r="A243" i="73"/>
  <c r="H243" i="73"/>
  <c r="D244" i="73"/>
  <c r="E244" i="73" s="1"/>
  <c r="I244" i="73"/>
  <c r="D245" i="73"/>
  <c r="E245" i="73" s="1"/>
  <c r="H245" i="73"/>
  <c r="C246" i="73"/>
  <c r="H246" i="73"/>
  <c r="C247" i="73"/>
  <c r="H247" i="73"/>
  <c r="C248" i="73"/>
  <c r="H248" i="73"/>
  <c r="C249" i="73"/>
  <c r="G249" i="73"/>
  <c r="B250" i="73"/>
  <c r="G250" i="73"/>
  <c r="B251" i="73"/>
  <c r="G251" i="73"/>
  <c r="B252" i="73"/>
  <c r="G252" i="73"/>
  <c r="B253" i="73"/>
  <c r="F253" i="73"/>
  <c r="A254" i="73"/>
  <c r="F254" i="73"/>
  <c r="A255" i="73"/>
  <c r="F255" i="73"/>
  <c r="A256" i="73"/>
  <c r="F256" i="73"/>
  <c r="A257" i="73"/>
  <c r="I257" i="73"/>
  <c r="D258" i="73"/>
  <c r="E258" i="73" s="1"/>
  <c r="I258" i="73"/>
  <c r="D259" i="73"/>
  <c r="E259" i="73" s="1"/>
  <c r="I259" i="73"/>
  <c r="D260" i="73"/>
  <c r="E260" i="73" s="1"/>
  <c r="I260" i="73"/>
  <c r="D261" i="73"/>
  <c r="E261" i="73" s="1"/>
  <c r="H261" i="73"/>
  <c r="C262" i="73"/>
  <c r="H262" i="73"/>
  <c r="C263" i="73"/>
  <c r="H263" i="73"/>
  <c r="C264" i="73"/>
  <c r="H264" i="73"/>
  <c r="C265" i="73"/>
  <c r="G265" i="73"/>
  <c r="B266" i="73"/>
  <c r="G266" i="73"/>
  <c r="B267" i="73"/>
  <c r="G267" i="73"/>
  <c r="B268" i="73"/>
  <c r="G268" i="73"/>
  <c r="B269" i="73"/>
  <c r="F269" i="73"/>
  <c r="A270" i="73"/>
  <c r="A271" i="73"/>
  <c r="H226" i="73"/>
  <c r="H228" i="73"/>
  <c r="G230" i="73"/>
  <c r="G232" i="73"/>
  <c r="F234" i="73"/>
  <c r="F236" i="73"/>
  <c r="D238" i="73"/>
  <c r="E238" i="73" s="1"/>
  <c r="D240" i="73"/>
  <c r="E240" i="73" s="1"/>
  <c r="D241" i="73"/>
  <c r="E241" i="73" s="1"/>
  <c r="C242" i="73"/>
  <c r="C243" i="73"/>
  <c r="I243" i="73"/>
  <c r="F244" i="73"/>
  <c r="A245" i="73"/>
  <c r="I245" i="73"/>
  <c r="D246" i="73"/>
  <c r="E246" i="73" s="1"/>
  <c r="I246" i="73"/>
  <c r="D247" i="73"/>
  <c r="E247" i="73" s="1"/>
  <c r="I247" i="73"/>
  <c r="D248" i="73"/>
  <c r="E248" i="73" s="1"/>
  <c r="I248" i="73"/>
  <c r="D249" i="73"/>
  <c r="E249" i="73" s="1"/>
  <c r="H249" i="73"/>
  <c r="C250" i="73"/>
  <c r="H250" i="73"/>
  <c r="C251" i="73"/>
  <c r="H251" i="73"/>
  <c r="C252" i="73"/>
  <c r="H252" i="73"/>
  <c r="C253" i="73"/>
  <c r="G253" i="73"/>
  <c r="B254" i="73"/>
  <c r="G254" i="73"/>
  <c r="B255" i="73"/>
  <c r="G255" i="73"/>
  <c r="B256" i="73"/>
  <c r="G256" i="73"/>
  <c r="B257" i="73"/>
  <c r="F257" i="73"/>
  <c r="A258" i="73"/>
  <c r="F258" i="73"/>
  <c r="A259" i="73"/>
  <c r="F259" i="73"/>
  <c r="A260" i="73"/>
  <c r="F260" i="73"/>
  <c r="A261" i="73"/>
  <c r="I261" i="73"/>
  <c r="D262" i="73"/>
  <c r="E262" i="73" s="1"/>
  <c r="I262" i="73"/>
  <c r="D263" i="73"/>
  <c r="E263" i="73" s="1"/>
  <c r="I263" i="73"/>
  <c r="D264" i="73"/>
  <c r="E264" i="73" s="1"/>
  <c r="I264" i="73"/>
  <c r="D265" i="73"/>
  <c r="E265" i="73" s="1"/>
  <c r="H265" i="73"/>
  <c r="C266" i="73"/>
  <c r="H266" i="73"/>
  <c r="C267" i="73"/>
  <c r="H267" i="73"/>
  <c r="C268" i="73"/>
  <c r="H268" i="73"/>
  <c r="C269" i="73"/>
  <c r="G269" i="73"/>
  <c r="B270" i="73"/>
  <c r="G270" i="73"/>
  <c r="B271" i="73"/>
  <c r="G271" i="73"/>
  <c r="H271" i="73"/>
  <c r="F270" i="73"/>
  <c r="A183" i="73"/>
  <c r="F183" i="73"/>
  <c r="A184" i="73"/>
  <c r="I184" i="73"/>
  <c r="D185" i="73"/>
  <c r="E185" i="73" s="1"/>
  <c r="H185" i="73"/>
  <c r="C186" i="73"/>
  <c r="H186" i="73"/>
  <c r="C187" i="73"/>
  <c r="H187" i="73"/>
  <c r="C188" i="73"/>
  <c r="G188" i="73"/>
  <c r="B189" i="73"/>
  <c r="F189" i="73"/>
  <c r="A190" i="73"/>
  <c r="F190" i="73"/>
  <c r="A191" i="73"/>
  <c r="F191" i="73"/>
  <c r="A192" i="73"/>
  <c r="I192" i="73"/>
  <c r="D193" i="73"/>
  <c r="E193" i="73" s="1"/>
  <c r="H193" i="73"/>
  <c r="C194" i="73"/>
  <c r="H194" i="73"/>
  <c r="C195" i="73"/>
  <c r="H195" i="73"/>
  <c r="C196" i="73"/>
  <c r="G196" i="73"/>
  <c r="B197" i="73"/>
  <c r="F197" i="73"/>
  <c r="A198" i="73"/>
  <c r="F198" i="73"/>
  <c r="A199" i="73"/>
  <c r="F199" i="73"/>
  <c r="A200" i="73"/>
  <c r="I200" i="73"/>
  <c r="D201" i="73"/>
  <c r="E201" i="73" s="1"/>
  <c r="H201" i="73"/>
  <c r="C202" i="73"/>
  <c r="H202" i="73"/>
  <c r="C203" i="73"/>
  <c r="H203" i="73"/>
  <c r="I202" i="73"/>
  <c r="B183" i="73"/>
  <c r="G183" i="73"/>
  <c r="B184" i="73"/>
  <c r="F184" i="73"/>
  <c r="A185" i="73"/>
  <c r="I185" i="73"/>
  <c r="D186" i="73"/>
  <c r="E186" i="73" s="1"/>
  <c r="I186" i="73"/>
  <c r="D187" i="73"/>
  <c r="E187" i="73" s="1"/>
  <c r="I187" i="73"/>
  <c r="D188" i="73"/>
  <c r="E188" i="73" s="1"/>
  <c r="H188" i="73"/>
  <c r="C189" i="73"/>
  <c r="G189" i="73"/>
  <c r="B190" i="73"/>
  <c r="G190" i="73"/>
  <c r="B191" i="73"/>
  <c r="G191" i="73"/>
  <c r="B192" i="73"/>
  <c r="F192" i="73"/>
  <c r="A193" i="73"/>
  <c r="I193" i="73"/>
  <c r="D194" i="73"/>
  <c r="E194" i="73" s="1"/>
  <c r="I194" i="73"/>
  <c r="D195" i="73"/>
  <c r="E195" i="73" s="1"/>
  <c r="I195" i="73"/>
  <c r="D196" i="73"/>
  <c r="E196" i="73" s="1"/>
  <c r="H196" i="73"/>
  <c r="C197" i="73"/>
  <c r="G197" i="73"/>
  <c r="B198" i="73"/>
  <c r="G198" i="73"/>
  <c r="B199" i="73"/>
  <c r="G199" i="73"/>
  <c r="B200" i="73"/>
  <c r="F200" i="73"/>
  <c r="A201" i="73"/>
  <c r="I201" i="73"/>
  <c r="D202" i="73"/>
  <c r="E202" i="73" s="1"/>
  <c r="D203" i="73"/>
  <c r="E203" i="73" s="1"/>
  <c r="C183" i="73"/>
  <c r="H183" i="73"/>
  <c r="C184" i="73"/>
  <c r="G184" i="73"/>
  <c r="B185" i="73"/>
  <c r="F185" i="73"/>
  <c r="A186" i="73"/>
  <c r="F186" i="73"/>
  <c r="A187" i="73"/>
  <c r="F187" i="73"/>
  <c r="A188" i="73"/>
  <c r="I188" i="73"/>
  <c r="D189" i="73"/>
  <c r="E189" i="73" s="1"/>
  <c r="H189" i="73"/>
  <c r="C190" i="73"/>
  <c r="H190" i="73"/>
  <c r="C191" i="73"/>
  <c r="H191" i="73"/>
  <c r="C192" i="73"/>
  <c r="G192" i="73"/>
  <c r="B193" i="73"/>
  <c r="F193" i="73"/>
  <c r="A194" i="73"/>
  <c r="F194" i="73"/>
  <c r="A195" i="73"/>
  <c r="F195" i="73"/>
  <c r="A196" i="73"/>
  <c r="I196" i="73"/>
  <c r="D197" i="73"/>
  <c r="E197" i="73" s="1"/>
  <c r="H197" i="73"/>
  <c r="C198" i="73"/>
  <c r="H198" i="73"/>
  <c r="C199" i="73"/>
  <c r="H199" i="73"/>
  <c r="C200" i="73"/>
  <c r="G200" i="73"/>
  <c r="B201" i="73"/>
  <c r="F201" i="73"/>
  <c r="A202" i="73"/>
  <c r="F202" i="73"/>
  <c r="A203" i="73"/>
  <c r="F203" i="73"/>
  <c r="D183" i="73"/>
  <c r="E183" i="73" s="1"/>
  <c r="I183" i="73"/>
  <c r="D184" i="73"/>
  <c r="E184" i="73" s="1"/>
  <c r="H184" i="73"/>
  <c r="C185" i="73"/>
  <c r="G185" i="73"/>
  <c r="B186" i="73"/>
  <c r="G186" i="73"/>
  <c r="B187" i="73"/>
  <c r="G187" i="73"/>
  <c r="B188" i="73"/>
  <c r="F188" i="73"/>
  <c r="A189" i="73"/>
  <c r="I189" i="73"/>
  <c r="D190" i="73"/>
  <c r="E190" i="73" s="1"/>
  <c r="I190" i="73"/>
  <c r="D191" i="73"/>
  <c r="E191" i="73" s="1"/>
  <c r="I191" i="73"/>
  <c r="D192" i="73"/>
  <c r="E192" i="73" s="1"/>
  <c r="H192" i="73"/>
  <c r="C193" i="73"/>
  <c r="G193" i="73"/>
  <c r="B194" i="73"/>
  <c r="G194" i="73"/>
  <c r="B195" i="73"/>
  <c r="G195" i="73"/>
  <c r="B196" i="73"/>
  <c r="F196" i="73"/>
  <c r="A197" i="73"/>
  <c r="I197" i="73"/>
  <c r="D198" i="73"/>
  <c r="E198" i="73" s="1"/>
  <c r="I198" i="73"/>
  <c r="D199" i="73"/>
  <c r="E199" i="73" s="1"/>
  <c r="I199" i="73"/>
  <c r="D200" i="73"/>
  <c r="E200" i="73" s="1"/>
  <c r="H200" i="73"/>
  <c r="C201" i="73"/>
  <c r="G201" i="73"/>
  <c r="B202" i="73"/>
  <c r="G202" i="73"/>
  <c r="B203" i="73"/>
  <c r="G203" i="73"/>
  <c r="I203" i="73"/>
  <c r="A165" i="73"/>
  <c r="F165" i="73"/>
  <c r="A166" i="73"/>
  <c r="F166" i="73"/>
  <c r="A167" i="73"/>
  <c r="I167" i="73"/>
  <c r="D168" i="73"/>
  <c r="E168" i="73" s="1"/>
  <c r="H168" i="73"/>
  <c r="C169" i="73"/>
  <c r="H169" i="73"/>
  <c r="C170" i="73"/>
  <c r="H170" i="73"/>
  <c r="C171" i="73"/>
  <c r="G171" i="73"/>
  <c r="B172" i="73"/>
  <c r="F172" i="73"/>
  <c r="A173" i="73"/>
  <c r="F173" i="73"/>
  <c r="A174" i="73"/>
  <c r="I174" i="73"/>
  <c r="D175" i="73"/>
  <c r="E175" i="73" s="1"/>
  <c r="H175" i="73"/>
  <c r="C176" i="73"/>
  <c r="G176" i="73"/>
  <c r="B177" i="73"/>
  <c r="G177" i="73"/>
  <c r="B178" i="73"/>
  <c r="F178" i="73"/>
  <c r="A179" i="73"/>
  <c r="I179" i="73"/>
  <c r="D180" i="73"/>
  <c r="E180" i="73" s="1"/>
  <c r="H180" i="73"/>
  <c r="C181" i="73"/>
  <c r="H181" i="73"/>
  <c r="C182" i="73"/>
  <c r="G182" i="73"/>
  <c r="I182" i="73"/>
  <c r="B165" i="73"/>
  <c r="G165" i="73"/>
  <c r="B166" i="73"/>
  <c r="G166" i="73"/>
  <c r="B167" i="73"/>
  <c r="F167" i="73"/>
  <c r="A168" i="73"/>
  <c r="I168" i="73"/>
  <c r="D169" i="73"/>
  <c r="E169" i="73" s="1"/>
  <c r="I169" i="73"/>
  <c r="D170" i="73"/>
  <c r="E170" i="73" s="1"/>
  <c r="I170" i="73"/>
  <c r="D171" i="73"/>
  <c r="E171" i="73" s="1"/>
  <c r="H171" i="73"/>
  <c r="C172" i="73"/>
  <c r="G172" i="73"/>
  <c r="B173" i="73"/>
  <c r="G173" i="73"/>
  <c r="B174" i="73"/>
  <c r="F174" i="73"/>
  <c r="A175" i="73"/>
  <c r="I175" i="73"/>
  <c r="D176" i="73"/>
  <c r="E176" i="73" s="1"/>
  <c r="H176" i="73"/>
  <c r="C177" i="73"/>
  <c r="H177" i="73"/>
  <c r="C178" i="73"/>
  <c r="G178" i="73"/>
  <c r="B179" i="73"/>
  <c r="F179" i="73"/>
  <c r="A180" i="73"/>
  <c r="I180" i="73"/>
  <c r="D181" i="73"/>
  <c r="E181" i="73" s="1"/>
  <c r="I181" i="73"/>
  <c r="D182" i="73"/>
  <c r="E182" i="73" s="1"/>
  <c r="H182" i="73"/>
  <c r="C165" i="73"/>
  <c r="H165" i="73"/>
  <c r="C166" i="73"/>
  <c r="H166" i="73"/>
  <c r="C167" i="73"/>
  <c r="G167" i="73"/>
  <c r="B168" i="73"/>
  <c r="F168" i="73"/>
  <c r="A169" i="73"/>
  <c r="F169" i="73"/>
  <c r="A170" i="73"/>
  <c r="F170" i="73"/>
  <c r="A171" i="73"/>
  <c r="I171" i="73"/>
  <c r="D172" i="73"/>
  <c r="E172" i="73" s="1"/>
  <c r="H172" i="73"/>
  <c r="C173" i="73"/>
  <c r="H173" i="73"/>
  <c r="C174" i="73"/>
  <c r="G174" i="73"/>
  <c r="B175" i="73"/>
  <c r="F175" i="73"/>
  <c r="A176" i="73"/>
  <c r="I176" i="73"/>
  <c r="D177" i="73"/>
  <c r="E177" i="73" s="1"/>
  <c r="I177" i="73"/>
  <c r="D178" i="73"/>
  <c r="E178" i="73" s="1"/>
  <c r="H178" i="73"/>
  <c r="C179" i="73"/>
  <c r="G179" i="73"/>
  <c r="B180" i="73"/>
  <c r="F180" i="73"/>
  <c r="A181" i="73"/>
  <c r="F181" i="73"/>
  <c r="D165" i="73"/>
  <c r="E165" i="73" s="1"/>
  <c r="I165" i="73"/>
  <c r="D166" i="73"/>
  <c r="E166" i="73" s="1"/>
  <c r="I166" i="73"/>
  <c r="D167" i="73"/>
  <c r="E167" i="73" s="1"/>
  <c r="H167" i="73"/>
  <c r="C168" i="73"/>
  <c r="G168" i="73"/>
  <c r="B169" i="73"/>
  <c r="G169" i="73"/>
  <c r="B170" i="73"/>
  <c r="G170" i="73"/>
  <c r="B171" i="73"/>
  <c r="F171" i="73"/>
  <c r="A172" i="73"/>
  <c r="I172" i="73"/>
  <c r="D173" i="73"/>
  <c r="E173" i="73" s="1"/>
  <c r="I173" i="73"/>
  <c r="D174" i="73"/>
  <c r="E174" i="73" s="1"/>
  <c r="H174" i="73"/>
  <c r="C175" i="73"/>
  <c r="G175" i="73"/>
  <c r="B176" i="73"/>
  <c r="F176" i="73"/>
  <c r="A177" i="73"/>
  <c r="F177" i="73"/>
  <c r="A178" i="73"/>
  <c r="I178" i="73"/>
  <c r="D179" i="73"/>
  <c r="E179" i="73" s="1"/>
  <c r="H179" i="73"/>
  <c r="C180" i="73"/>
  <c r="G180" i="73"/>
  <c r="B181" i="73"/>
  <c r="G181" i="73"/>
  <c r="B182" i="73"/>
  <c r="F182" i="73"/>
  <c r="A182" i="73"/>
  <c r="A51" i="73"/>
  <c r="F51" i="73"/>
  <c r="A52" i="73"/>
  <c r="I52" i="73"/>
  <c r="D53" i="73"/>
  <c r="E53" i="73" s="1"/>
  <c r="H53" i="73"/>
  <c r="C54" i="73"/>
  <c r="H54" i="73"/>
  <c r="C55" i="73"/>
  <c r="H55" i="73"/>
  <c r="C56" i="73"/>
  <c r="G56" i="73"/>
  <c r="B57" i="73"/>
  <c r="F57" i="73"/>
  <c r="A58" i="73"/>
  <c r="I58" i="73"/>
  <c r="D59" i="73"/>
  <c r="E59" i="73" s="1"/>
  <c r="I59" i="73"/>
  <c r="D60" i="73"/>
  <c r="E60" i="73" s="1"/>
  <c r="H60" i="73"/>
  <c r="C61" i="73"/>
  <c r="G61" i="73"/>
  <c r="B62" i="73"/>
  <c r="G62" i="73"/>
  <c r="B63" i="73"/>
  <c r="G63" i="73"/>
  <c r="B64" i="73"/>
  <c r="F64" i="73"/>
  <c r="A65" i="73"/>
  <c r="I65" i="73"/>
  <c r="D66" i="73"/>
  <c r="E66" i="73" s="1"/>
  <c r="I66" i="73"/>
  <c r="D67" i="73"/>
  <c r="E67" i="73" s="1"/>
  <c r="I67" i="73"/>
  <c r="D68" i="73"/>
  <c r="E68" i="73" s="1"/>
  <c r="H68" i="73"/>
  <c r="C69" i="73"/>
  <c r="G69" i="73"/>
  <c r="B70" i="73"/>
  <c r="G70" i="73"/>
  <c r="B71" i="73"/>
  <c r="G71" i="73"/>
  <c r="B72" i="73"/>
  <c r="F72" i="73"/>
  <c r="A73" i="73"/>
  <c r="I73" i="73"/>
  <c r="D74" i="73"/>
  <c r="E74" i="73" s="1"/>
  <c r="I74" i="73"/>
  <c r="D75" i="73"/>
  <c r="E75" i="73" s="1"/>
  <c r="I75" i="73"/>
  <c r="D76" i="73"/>
  <c r="E76" i="73" s="1"/>
  <c r="H76" i="73"/>
  <c r="C77" i="73"/>
  <c r="G77" i="73"/>
  <c r="B78" i="73"/>
  <c r="G78" i="73"/>
  <c r="B79" i="73"/>
  <c r="G79" i="73"/>
  <c r="B80" i="73"/>
  <c r="F80" i="73"/>
  <c r="A81" i="73"/>
  <c r="I81" i="73"/>
  <c r="D82" i="73"/>
  <c r="E82" i="73" s="1"/>
  <c r="I82" i="73"/>
  <c r="D83" i="73"/>
  <c r="E83" i="73" s="1"/>
  <c r="I83" i="73"/>
  <c r="D84" i="73"/>
  <c r="E84" i="73" s="1"/>
  <c r="H84" i="73"/>
  <c r="C85" i="73"/>
  <c r="G85" i="73"/>
  <c r="B86" i="73"/>
  <c r="G86" i="73"/>
  <c r="B87" i="73"/>
  <c r="G87" i="73"/>
  <c r="B88" i="73"/>
  <c r="F88" i="73"/>
  <c r="A89" i="73"/>
  <c r="I89" i="73"/>
  <c r="D90" i="73"/>
  <c r="E90" i="73" s="1"/>
  <c r="B51" i="73"/>
  <c r="G51" i="73"/>
  <c r="B52" i="73"/>
  <c r="F52" i="73"/>
  <c r="A53" i="73"/>
  <c r="I53" i="73"/>
  <c r="D54" i="73"/>
  <c r="E54" i="73" s="1"/>
  <c r="I54" i="73"/>
  <c r="D55" i="73"/>
  <c r="E55" i="73" s="1"/>
  <c r="I55" i="73"/>
  <c r="D56" i="73"/>
  <c r="E56" i="73" s="1"/>
  <c r="H56" i="73"/>
  <c r="C57" i="73"/>
  <c r="G57" i="73"/>
  <c r="B58" i="73"/>
  <c r="F58" i="73"/>
  <c r="A59" i="73"/>
  <c r="F59" i="73"/>
  <c r="A60" i="73"/>
  <c r="I60" i="73"/>
  <c r="D61" i="73"/>
  <c r="E61" i="73" s="1"/>
  <c r="H61" i="73"/>
  <c r="C62" i="73"/>
  <c r="H62" i="73"/>
  <c r="C63" i="73"/>
  <c r="H63" i="73"/>
  <c r="C64" i="73"/>
  <c r="G64" i="73"/>
  <c r="B65" i="73"/>
  <c r="F65" i="73"/>
  <c r="A66" i="73"/>
  <c r="F66" i="73"/>
  <c r="A67" i="73"/>
  <c r="F67" i="73"/>
  <c r="A68" i="73"/>
  <c r="I68" i="73"/>
  <c r="D69" i="73"/>
  <c r="E69" i="73" s="1"/>
  <c r="H69" i="73"/>
  <c r="C70" i="73"/>
  <c r="H70" i="73"/>
  <c r="C71" i="73"/>
  <c r="H71" i="73"/>
  <c r="C72" i="73"/>
  <c r="G72" i="73"/>
  <c r="B73" i="73"/>
  <c r="F73" i="73"/>
  <c r="A74" i="73"/>
  <c r="F74" i="73"/>
  <c r="A75" i="73"/>
  <c r="F75" i="73"/>
  <c r="A76" i="73"/>
  <c r="I76" i="73"/>
  <c r="D77" i="73"/>
  <c r="E77" i="73" s="1"/>
  <c r="H77" i="73"/>
  <c r="C78" i="73"/>
  <c r="H78" i="73"/>
  <c r="C79" i="73"/>
  <c r="H79" i="73"/>
  <c r="C80" i="73"/>
  <c r="G80" i="73"/>
  <c r="B81" i="73"/>
  <c r="F81" i="73"/>
  <c r="A82" i="73"/>
  <c r="F82" i="73"/>
  <c r="A83" i="73"/>
  <c r="F83" i="73"/>
  <c r="A84" i="73"/>
  <c r="I84" i="73"/>
  <c r="D85" i="73"/>
  <c r="E85" i="73" s="1"/>
  <c r="H85" i="73"/>
  <c r="C86" i="73"/>
  <c r="H86" i="73"/>
  <c r="C87" i="73"/>
  <c r="H87" i="73"/>
  <c r="C88" i="73"/>
  <c r="G88" i="73"/>
  <c r="B89" i="73"/>
  <c r="F89" i="73"/>
  <c r="A90" i="73"/>
  <c r="C51" i="73"/>
  <c r="H51" i="73"/>
  <c r="C52" i="73"/>
  <c r="G52" i="73"/>
  <c r="B53" i="73"/>
  <c r="F53" i="73"/>
  <c r="A54" i="73"/>
  <c r="F54" i="73"/>
  <c r="A55" i="73"/>
  <c r="F55" i="73"/>
  <c r="A56" i="73"/>
  <c r="I56" i="73"/>
  <c r="D57" i="73"/>
  <c r="E57" i="73" s="1"/>
  <c r="H57" i="73"/>
  <c r="C58" i="73"/>
  <c r="G58" i="73"/>
  <c r="B59" i="73"/>
  <c r="G59" i="73"/>
  <c r="B60" i="73"/>
  <c r="F60" i="73"/>
  <c r="A61" i="73"/>
  <c r="I61" i="73"/>
  <c r="D62" i="73"/>
  <c r="E62" i="73" s="1"/>
  <c r="I62" i="73"/>
  <c r="D63" i="73"/>
  <c r="E63" i="73" s="1"/>
  <c r="I63" i="73"/>
  <c r="D64" i="73"/>
  <c r="E64" i="73" s="1"/>
  <c r="H64" i="73"/>
  <c r="C65" i="73"/>
  <c r="G65" i="73"/>
  <c r="B66" i="73"/>
  <c r="G66" i="73"/>
  <c r="B67" i="73"/>
  <c r="G67" i="73"/>
  <c r="B68" i="73"/>
  <c r="F68" i="73"/>
  <c r="A69" i="73"/>
  <c r="I69" i="73"/>
  <c r="D70" i="73"/>
  <c r="E70" i="73" s="1"/>
  <c r="I70" i="73"/>
  <c r="D71" i="73"/>
  <c r="E71" i="73" s="1"/>
  <c r="I71" i="73"/>
  <c r="D72" i="73"/>
  <c r="E72" i="73" s="1"/>
  <c r="H72" i="73"/>
  <c r="C73" i="73"/>
  <c r="G73" i="73"/>
  <c r="B74" i="73"/>
  <c r="G74" i="73"/>
  <c r="B75" i="73"/>
  <c r="G75" i="73"/>
  <c r="B76" i="73"/>
  <c r="F76" i="73"/>
  <c r="A77" i="73"/>
  <c r="I77" i="73"/>
  <c r="D78" i="73"/>
  <c r="E78" i="73" s="1"/>
  <c r="I78" i="73"/>
  <c r="D79" i="73"/>
  <c r="E79" i="73" s="1"/>
  <c r="I79" i="73"/>
  <c r="D80" i="73"/>
  <c r="E80" i="73" s="1"/>
  <c r="H80" i="73"/>
  <c r="C81" i="73"/>
  <c r="G81" i="73"/>
  <c r="B82" i="73"/>
  <c r="G82" i="73"/>
  <c r="B83" i="73"/>
  <c r="G83" i="73"/>
  <c r="B84" i="73"/>
  <c r="F84" i="73"/>
  <c r="A85" i="73"/>
  <c r="I85" i="73"/>
  <c r="D86" i="73"/>
  <c r="E86" i="73" s="1"/>
  <c r="I86" i="73"/>
  <c r="D87" i="73"/>
  <c r="E87" i="73" s="1"/>
  <c r="I87" i="73"/>
  <c r="D88" i="73"/>
  <c r="E88" i="73" s="1"/>
  <c r="H88" i="73"/>
  <c r="C89" i="73"/>
  <c r="G89" i="73"/>
  <c r="B90" i="73"/>
  <c r="D51" i="73"/>
  <c r="E51" i="73" s="1"/>
  <c r="I51" i="73"/>
  <c r="D52" i="73"/>
  <c r="E52" i="73" s="1"/>
  <c r="H52" i="73"/>
  <c r="C53" i="73"/>
  <c r="G53" i="73"/>
  <c r="B54" i="73"/>
  <c r="G54" i="73"/>
  <c r="B55" i="73"/>
  <c r="G55" i="73"/>
  <c r="B56" i="73"/>
  <c r="F56" i="73"/>
  <c r="A57" i="73"/>
  <c r="I57" i="73"/>
  <c r="D58" i="73"/>
  <c r="E58" i="73" s="1"/>
  <c r="H58" i="73"/>
  <c r="C59" i="73"/>
  <c r="H59" i="73"/>
  <c r="C60" i="73"/>
  <c r="G60" i="73"/>
  <c r="B61" i="73"/>
  <c r="F61" i="73"/>
  <c r="A62" i="73"/>
  <c r="F62" i="73"/>
  <c r="A63" i="73"/>
  <c r="F63" i="73"/>
  <c r="A64" i="73"/>
  <c r="I64" i="73"/>
  <c r="D65" i="73"/>
  <c r="E65" i="73" s="1"/>
  <c r="H65" i="73"/>
  <c r="C66" i="73"/>
  <c r="H66" i="73"/>
  <c r="C67" i="73"/>
  <c r="H67" i="73"/>
  <c r="C68" i="73"/>
  <c r="G68" i="73"/>
  <c r="B69" i="73"/>
  <c r="F69" i="73"/>
  <c r="A70" i="73"/>
  <c r="F70" i="73"/>
  <c r="A71" i="73"/>
  <c r="F71" i="73"/>
  <c r="A72" i="73"/>
  <c r="I72" i="73"/>
  <c r="D73" i="73"/>
  <c r="E73" i="73" s="1"/>
  <c r="H73" i="73"/>
  <c r="C74" i="73"/>
  <c r="H74" i="73"/>
  <c r="C75" i="73"/>
  <c r="H75" i="73"/>
  <c r="C76" i="73"/>
  <c r="G76" i="73"/>
  <c r="B77" i="73"/>
  <c r="F77" i="73"/>
  <c r="A78" i="73"/>
  <c r="F78" i="73"/>
  <c r="A79" i="73"/>
  <c r="F79" i="73"/>
  <c r="A80" i="73"/>
  <c r="I80" i="73"/>
  <c r="D81" i="73"/>
  <c r="E81" i="73" s="1"/>
  <c r="H81" i="73"/>
  <c r="C82" i="73"/>
  <c r="H82" i="73"/>
  <c r="C83" i="73"/>
  <c r="H83" i="73"/>
  <c r="C84" i="73"/>
  <c r="G84" i="73"/>
  <c r="B85" i="73"/>
  <c r="F85" i="73"/>
  <c r="A86" i="73"/>
  <c r="F86" i="73"/>
  <c r="A87" i="73"/>
  <c r="F87" i="73"/>
  <c r="A88" i="73"/>
  <c r="I88" i="73"/>
  <c r="D89" i="73"/>
  <c r="E89" i="73" s="1"/>
  <c r="H89" i="73"/>
  <c r="C90" i="73"/>
  <c r="H90" i="73"/>
  <c r="F90" i="73"/>
  <c r="B91" i="73"/>
  <c r="G91" i="73"/>
  <c r="B92" i="73"/>
  <c r="F92" i="73"/>
  <c r="A93" i="73"/>
  <c r="I93" i="73"/>
  <c r="D94" i="73"/>
  <c r="E94" i="73" s="1"/>
  <c r="I94" i="73"/>
  <c r="D95" i="73"/>
  <c r="E95" i="73" s="1"/>
  <c r="I95" i="73"/>
  <c r="D96" i="73"/>
  <c r="E96" i="73" s="1"/>
  <c r="H96" i="73"/>
  <c r="C97" i="73"/>
  <c r="G97" i="73"/>
  <c r="B98" i="73"/>
  <c r="G98" i="73"/>
  <c r="B99" i="73"/>
  <c r="G99" i="73"/>
  <c r="B100" i="73"/>
  <c r="F100" i="73"/>
  <c r="A101" i="73"/>
  <c r="I101" i="73"/>
  <c r="D102" i="73"/>
  <c r="E102" i="73" s="1"/>
  <c r="I102" i="73"/>
  <c r="D103" i="73"/>
  <c r="E103" i="73" s="1"/>
  <c r="I103" i="73"/>
  <c r="D104" i="73"/>
  <c r="E104" i="73" s="1"/>
  <c r="H104" i="73"/>
  <c r="C105" i="73"/>
  <c r="G105" i="73"/>
  <c r="B106" i="73"/>
  <c r="G106" i="73"/>
  <c r="B107" i="73"/>
  <c r="G107" i="73"/>
  <c r="B108" i="73"/>
  <c r="F108" i="73"/>
  <c r="A109" i="73"/>
  <c r="I109" i="73"/>
  <c r="D110" i="73"/>
  <c r="E110" i="73" s="1"/>
  <c r="I110" i="73"/>
  <c r="D111" i="73"/>
  <c r="E111" i="73" s="1"/>
  <c r="I111" i="73"/>
  <c r="D112" i="73"/>
  <c r="E112" i="73" s="1"/>
  <c r="H112" i="73"/>
  <c r="C113" i="73"/>
  <c r="G113" i="73"/>
  <c r="B114" i="73"/>
  <c r="G114" i="73"/>
  <c r="B115" i="73"/>
  <c r="G115" i="73"/>
  <c r="B116" i="73"/>
  <c r="F116" i="73"/>
  <c r="A117" i="73"/>
  <c r="I117" i="73"/>
  <c r="D118" i="73"/>
  <c r="E118" i="73" s="1"/>
  <c r="I118" i="73"/>
  <c r="D119" i="73"/>
  <c r="E119" i="73" s="1"/>
  <c r="I119" i="73"/>
  <c r="D120" i="73"/>
  <c r="E120" i="73" s="1"/>
  <c r="H120" i="73"/>
  <c r="C121" i="73"/>
  <c r="G121" i="73"/>
  <c r="B122" i="73"/>
  <c r="G122" i="73"/>
  <c r="B123" i="73"/>
  <c r="G123" i="73"/>
  <c r="B124" i="73"/>
  <c r="F124" i="73"/>
  <c r="A125" i="73"/>
  <c r="I125" i="73"/>
  <c r="D126" i="73"/>
  <c r="E126" i="73" s="1"/>
  <c r="I126" i="73"/>
  <c r="D127" i="73"/>
  <c r="E127" i="73" s="1"/>
  <c r="I127" i="73"/>
  <c r="D128" i="73"/>
  <c r="E128" i="73" s="1"/>
  <c r="H128" i="73"/>
  <c r="C129" i="73"/>
  <c r="G129" i="73"/>
  <c r="G90" i="73"/>
  <c r="C91" i="73"/>
  <c r="H91" i="73"/>
  <c r="C92" i="73"/>
  <c r="G92" i="73"/>
  <c r="B93" i="73"/>
  <c r="F93" i="73"/>
  <c r="A94" i="73"/>
  <c r="F94" i="73"/>
  <c r="A95" i="73"/>
  <c r="F95" i="73"/>
  <c r="A96" i="73"/>
  <c r="I96" i="73"/>
  <c r="D97" i="73"/>
  <c r="E97" i="73" s="1"/>
  <c r="H97" i="73"/>
  <c r="C98" i="73"/>
  <c r="H98" i="73"/>
  <c r="C99" i="73"/>
  <c r="H99" i="73"/>
  <c r="C100" i="73"/>
  <c r="G100" i="73"/>
  <c r="B101" i="73"/>
  <c r="F101" i="73"/>
  <c r="A102" i="73"/>
  <c r="F102" i="73"/>
  <c r="A103" i="73"/>
  <c r="F103" i="73"/>
  <c r="A104" i="73"/>
  <c r="I104" i="73"/>
  <c r="D105" i="73"/>
  <c r="E105" i="73" s="1"/>
  <c r="H105" i="73"/>
  <c r="C106" i="73"/>
  <c r="H106" i="73"/>
  <c r="C107" i="73"/>
  <c r="H107" i="73"/>
  <c r="C108" i="73"/>
  <c r="G108" i="73"/>
  <c r="B109" i="73"/>
  <c r="F109" i="73"/>
  <c r="A110" i="73"/>
  <c r="F110" i="73"/>
  <c r="A111" i="73"/>
  <c r="F111" i="73"/>
  <c r="A112" i="73"/>
  <c r="I112" i="73"/>
  <c r="D113" i="73"/>
  <c r="E113" i="73" s="1"/>
  <c r="H113" i="73"/>
  <c r="C114" i="73"/>
  <c r="H114" i="73"/>
  <c r="C115" i="73"/>
  <c r="H115" i="73"/>
  <c r="C116" i="73"/>
  <c r="G116" i="73"/>
  <c r="B117" i="73"/>
  <c r="F117" i="73"/>
  <c r="A118" i="73"/>
  <c r="F118" i="73"/>
  <c r="A119" i="73"/>
  <c r="F119" i="73"/>
  <c r="A120" i="73"/>
  <c r="I120" i="73"/>
  <c r="D121" i="73"/>
  <c r="E121" i="73" s="1"/>
  <c r="H121" i="73"/>
  <c r="C122" i="73"/>
  <c r="H122" i="73"/>
  <c r="C123" i="73"/>
  <c r="H123" i="73"/>
  <c r="C124" i="73"/>
  <c r="G124" i="73"/>
  <c r="B125" i="73"/>
  <c r="F125" i="73"/>
  <c r="A126" i="73"/>
  <c r="F126" i="73"/>
  <c r="A127" i="73"/>
  <c r="F127" i="73"/>
  <c r="A128" i="73"/>
  <c r="I128" i="73"/>
  <c r="D129" i="73"/>
  <c r="E129" i="73" s="1"/>
  <c r="H129" i="73"/>
  <c r="I90" i="73"/>
  <c r="D91" i="73"/>
  <c r="E91" i="73" s="1"/>
  <c r="I91" i="73"/>
  <c r="D92" i="73"/>
  <c r="E92" i="73" s="1"/>
  <c r="H92" i="73"/>
  <c r="C93" i="73"/>
  <c r="G93" i="73"/>
  <c r="B94" i="73"/>
  <c r="G94" i="73"/>
  <c r="B95" i="73"/>
  <c r="G95" i="73"/>
  <c r="B96" i="73"/>
  <c r="F96" i="73"/>
  <c r="A97" i="73"/>
  <c r="I97" i="73"/>
  <c r="D98" i="73"/>
  <c r="E98" i="73" s="1"/>
  <c r="I98" i="73"/>
  <c r="D99" i="73"/>
  <c r="E99" i="73" s="1"/>
  <c r="I99" i="73"/>
  <c r="D100" i="73"/>
  <c r="E100" i="73" s="1"/>
  <c r="H100" i="73"/>
  <c r="C101" i="73"/>
  <c r="G101" i="73"/>
  <c r="B102" i="73"/>
  <c r="G102" i="73"/>
  <c r="B103" i="73"/>
  <c r="G103" i="73"/>
  <c r="B104" i="73"/>
  <c r="F104" i="73"/>
  <c r="A105" i="73"/>
  <c r="I105" i="73"/>
  <c r="D106" i="73"/>
  <c r="E106" i="73" s="1"/>
  <c r="I106" i="73"/>
  <c r="D107" i="73"/>
  <c r="E107" i="73" s="1"/>
  <c r="I107" i="73"/>
  <c r="D108" i="73"/>
  <c r="E108" i="73" s="1"/>
  <c r="H108" i="73"/>
  <c r="C109" i="73"/>
  <c r="G109" i="73"/>
  <c r="B110" i="73"/>
  <c r="G110" i="73"/>
  <c r="B111" i="73"/>
  <c r="G111" i="73"/>
  <c r="B112" i="73"/>
  <c r="F112" i="73"/>
  <c r="A113" i="73"/>
  <c r="I113" i="73"/>
  <c r="D114" i="73"/>
  <c r="E114" i="73" s="1"/>
  <c r="I114" i="73"/>
  <c r="D115" i="73"/>
  <c r="E115" i="73" s="1"/>
  <c r="I115" i="73"/>
  <c r="D116" i="73"/>
  <c r="E116" i="73" s="1"/>
  <c r="H116" i="73"/>
  <c r="C117" i="73"/>
  <c r="G117" i="73"/>
  <c r="B118" i="73"/>
  <c r="G118" i="73"/>
  <c r="B119" i="73"/>
  <c r="G119" i="73"/>
  <c r="B120" i="73"/>
  <c r="F120" i="73"/>
  <c r="A121" i="73"/>
  <c r="I121" i="73"/>
  <c r="D122" i="73"/>
  <c r="E122" i="73" s="1"/>
  <c r="I122" i="73"/>
  <c r="D123" i="73"/>
  <c r="E123" i="73" s="1"/>
  <c r="I123" i="73"/>
  <c r="D124" i="73"/>
  <c r="E124" i="73" s="1"/>
  <c r="H124" i="73"/>
  <c r="C125" i="73"/>
  <c r="G125" i="73"/>
  <c r="B126" i="73"/>
  <c r="G126" i="73"/>
  <c r="B127" i="73"/>
  <c r="G127" i="73"/>
  <c r="B128" i="73"/>
  <c r="F128" i="73"/>
  <c r="A129" i="73"/>
  <c r="A91" i="73"/>
  <c r="F91" i="73"/>
  <c r="A92" i="73"/>
  <c r="I92" i="73"/>
  <c r="D93" i="73"/>
  <c r="E93" i="73" s="1"/>
  <c r="H93" i="73"/>
  <c r="C94" i="73"/>
  <c r="H94" i="73"/>
  <c r="C95" i="73"/>
  <c r="H95" i="73"/>
  <c r="C96" i="73"/>
  <c r="G96" i="73"/>
  <c r="B97" i="73"/>
  <c r="F97" i="73"/>
  <c r="A98" i="73"/>
  <c r="F98" i="73"/>
  <c r="A99" i="73"/>
  <c r="F99" i="73"/>
  <c r="A100" i="73"/>
  <c r="I100" i="73"/>
  <c r="D101" i="73"/>
  <c r="E101" i="73" s="1"/>
  <c r="H101" i="73"/>
  <c r="C102" i="73"/>
  <c r="H102" i="73"/>
  <c r="C103" i="73"/>
  <c r="H103" i="73"/>
  <c r="C104" i="73"/>
  <c r="G104" i="73"/>
  <c r="B105" i="73"/>
  <c r="F105" i="73"/>
  <c r="A106" i="73"/>
  <c r="F106" i="73"/>
  <c r="A107" i="73"/>
  <c r="F107" i="73"/>
  <c r="A108" i="73"/>
  <c r="I108" i="73"/>
  <c r="D109" i="73"/>
  <c r="E109" i="73" s="1"/>
  <c r="H109" i="73"/>
  <c r="C110" i="73"/>
  <c r="H110" i="73"/>
  <c r="C111" i="73"/>
  <c r="H111" i="73"/>
  <c r="C112" i="73"/>
  <c r="G112" i="73"/>
  <c r="B113" i="73"/>
  <c r="F113" i="73"/>
  <c r="A114" i="73"/>
  <c r="F114" i="73"/>
  <c r="A115" i="73"/>
  <c r="F115" i="73"/>
  <c r="A116" i="73"/>
  <c r="I116" i="73"/>
  <c r="D117" i="73"/>
  <c r="E117" i="73" s="1"/>
  <c r="H117" i="73"/>
  <c r="C118" i="73"/>
  <c r="H118" i="73"/>
  <c r="C119" i="73"/>
  <c r="H119" i="73"/>
  <c r="C120" i="73"/>
  <c r="G120" i="73"/>
  <c r="B121" i="73"/>
  <c r="F121" i="73"/>
  <c r="A122" i="73"/>
  <c r="F122" i="73"/>
  <c r="A123" i="73"/>
  <c r="F123" i="73"/>
  <c r="A124" i="73"/>
  <c r="I124" i="73"/>
  <c r="D125" i="73"/>
  <c r="E125" i="73" s="1"/>
  <c r="H125" i="73"/>
  <c r="C126" i="73"/>
  <c r="H126" i="73"/>
  <c r="C127" i="73"/>
  <c r="H127" i="73"/>
  <c r="C128" i="73"/>
  <c r="G128" i="73"/>
  <c r="B129" i="73"/>
  <c r="F129" i="73"/>
  <c r="A130" i="73"/>
  <c r="F130" i="73"/>
  <c r="D130" i="73"/>
  <c r="E130" i="73" s="1"/>
  <c r="A131" i="73"/>
  <c r="F131" i="73"/>
  <c r="A132" i="73"/>
  <c r="I132" i="73"/>
  <c r="D133" i="73"/>
  <c r="E133" i="73" s="1"/>
  <c r="H133" i="73"/>
  <c r="C134" i="73"/>
  <c r="H134" i="73"/>
  <c r="C135" i="73"/>
  <c r="H135" i="73"/>
  <c r="C136" i="73"/>
  <c r="G136" i="73"/>
  <c r="B137" i="73"/>
  <c r="F137" i="73"/>
  <c r="A138" i="73"/>
  <c r="F138" i="73"/>
  <c r="A139" i="73"/>
  <c r="F139" i="73"/>
  <c r="A140" i="73"/>
  <c r="I140" i="73"/>
  <c r="D141" i="73"/>
  <c r="E141" i="73" s="1"/>
  <c r="H141" i="73"/>
  <c r="C142" i="73"/>
  <c r="H142" i="73"/>
  <c r="C143" i="73"/>
  <c r="H143" i="73"/>
  <c r="C144" i="73"/>
  <c r="G144" i="73"/>
  <c r="B145" i="73"/>
  <c r="F145" i="73"/>
  <c r="A146" i="73"/>
  <c r="F146" i="73"/>
  <c r="A147" i="73"/>
  <c r="F147" i="73"/>
  <c r="A148" i="73"/>
  <c r="I148" i="73"/>
  <c r="D149" i="73"/>
  <c r="E149" i="73" s="1"/>
  <c r="H149" i="73"/>
  <c r="C150" i="73"/>
  <c r="H150" i="73"/>
  <c r="C151" i="73"/>
  <c r="H151" i="73"/>
  <c r="C152" i="73"/>
  <c r="G152" i="73"/>
  <c r="B153" i="73"/>
  <c r="F153" i="73"/>
  <c r="A154" i="73"/>
  <c r="F154" i="73"/>
  <c r="A155" i="73"/>
  <c r="F155" i="73"/>
  <c r="A156" i="73"/>
  <c r="I156" i="73"/>
  <c r="D157" i="73"/>
  <c r="E157" i="73" s="1"/>
  <c r="H157" i="73"/>
  <c r="C158" i="73"/>
  <c r="H158" i="73"/>
  <c r="C159" i="73"/>
  <c r="H159" i="73"/>
  <c r="C160" i="73"/>
  <c r="G160" i="73"/>
  <c r="B161" i="73"/>
  <c r="F161" i="73"/>
  <c r="A162" i="73"/>
  <c r="I162" i="73"/>
  <c r="D163" i="73"/>
  <c r="E163" i="73" s="1"/>
  <c r="I163" i="73"/>
  <c r="D164" i="73"/>
  <c r="E164" i="73" s="1"/>
  <c r="H164" i="73"/>
  <c r="A164" i="73"/>
  <c r="F164" i="73"/>
  <c r="I129" i="73"/>
  <c r="G130" i="73"/>
  <c r="B131" i="73"/>
  <c r="G131" i="73"/>
  <c r="B132" i="73"/>
  <c r="F132" i="73"/>
  <c r="A133" i="73"/>
  <c r="I133" i="73"/>
  <c r="D134" i="73"/>
  <c r="E134" i="73" s="1"/>
  <c r="I134" i="73"/>
  <c r="D135" i="73"/>
  <c r="E135" i="73" s="1"/>
  <c r="I135" i="73"/>
  <c r="D136" i="73"/>
  <c r="E136" i="73" s="1"/>
  <c r="H136" i="73"/>
  <c r="C137" i="73"/>
  <c r="G137" i="73"/>
  <c r="B138" i="73"/>
  <c r="G138" i="73"/>
  <c r="B139" i="73"/>
  <c r="G139" i="73"/>
  <c r="B140" i="73"/>
  <c r="F140" i="73"/>
  <c r="A141" i="73"/>
  <c r="I141" i="73"/>
  <c r="D142" i="73"/>
  <c r="E142" i="73" s="1"/>
  <c r="I142" i="73"/>
  <c r="D143" i="73"/>
  <c r="E143" i="73" s="1"/>
  <c r="I143" i="73"/>
  <c r="D144" i="73"/>
  <c r="E144" i="73" s="1"/>
  <c r="H144" i="73"/>
  <c r="C145" i="73"/>
  <c r="G145" i="73"/>
  <c r="B146" i="73"/>
  <c r="G146" i="73"/>
  <c r="B147" i="73"/>
  <c r="G147" i="73"/>
  <c r="B148" i="73"/>
  <c r="F148" i="73"/>
  <c r="A149" i="73"/>
  <c r="I149" i="73"/>
  <c r="D150" i="73"/>
  <c r="E150" i="73" s="1"/>
  <c r="I150" i="73"/>
  <c r="D151" i="73"/>
  <c r="E151" i="73" s="1"/>
  <c r="I151" i="73"/>
  <c r="D152" i="73"/>
  <c r="E152" i="73" s="1"/>
  <c r="H152" i="73"/>
  <c r="C153" i="73"/>
  <c r="G153" i="73"/>
  <c r="B154" i="73"/>
  <c r="G154" i="73"/>
  <c r="B155" i="73"/>
  <c r="G155" i="73"/>
  <c r="B156" i="73"/>
  <c r="F156" i="73"/>
  <c r="A157" i="73"/>
  <c r="I157" i="73"/>
  <c r="D158" i="73"/>
  <c r="E158" i="73" s="1"/>
  <c r="I158" i="73"/>
  <c r="D159" i="73"/>
  <c r="E159" i="73" s="1"/>
  <c r="I159" i="73"/>
  <c r="D160" i="73"/>
  <c r="E160" i="73" s="1"/>
  <c r="H160" i="73"/>
  <c r="C161" i="73"/>
  <c r="G161" i="73"/>
  <c r="B162" i="73"/>
  <c r="F162" i="73"/>
  <c r="A163" i="73"/>
  <c r="I164" i="73"/>
  <c r="B130" i="73"/>
  <c r="H130" i="73"/>
  <c r="C131" i="73"/>
  <c r="H131" i="73"/>
  <c r="C132" i="73"/>
  <c r="G132" i="73"/>
  <c r="B133" i="73"/>
  <c r="F133" i="73"/>
  <c r="A134" i="73"/>
  <c r="F134" i="73"/>
  <c r="A135" i="73"/>
  <c r="F135" i="73"/>
  <c r="A136" i="73"/>
  <c r="I136" i="73"/>
  <c r="D137" i="73"/>
  <c r="E137" i="73" s="1"/>
  <c r="H137" i="73"/>
  <c r="C138" i="73"/>
  <c r="H138" i="73"/>
  <c r="C139" i="73"/>
  <c r="H139" i="73"/>
  <c r="C140" i="73"/>
  <c r="G140" i="73"/>
  <c r="B141" i="73"/>
  <c r="F141" i="73"/>
  <c r="A142" i="73"/>
  <c r="F142" i="73"/>
  <c r="A143" i="73"/>
  <c r="F143" i="73"/>
  <c r="A144" i="73"/>
  <c r="I144" i="73"/>
  <c r="D145" i="73"/>
  <c r="E145" i="73" s="1"/>
  <c r="H145" i="73"/>
  <c r="C146" i="73"/>
  <c r="H146" i="73"/>
  <c r="C147" i="73"/>
  <c r="H147" i="73"/>
  <c r="C148" i="73"/>
  <c r="G148" i="73"/>
  <c r="B149" i="73"/>
  <c r="F149" i="73"/>
  <c r="A150" i="73"/>
  <c r="F150" i="73"/>
  <c r="A151" i="73"/>
  <c r="F151" i="73"/>
  <c r="A152" i="73"/>
  <c r="I152" i="73"/>
  <c r="D153" i="73"/>
  <c r="E153" i="73" s="1"/>
  <c r="H153" i="73"/>
  <c r="C154" i="73"/>
  <c r="H154" i="73"/>
  <c r="C155" i="73"/>
  <c r="H155" i="73"/>
  <c r="C156" i="73"/>
  <c r="G156" i="73"/>
  <c r="B157" i="73"/>
  <c r="F157" i="73"/>
  <c r="A158" i="73"/>
  <c r="F158" i="73"/>
  <c r="A159" i="73"/>
  <c r="F159" i="73"/>
  <c r="A160" i="73"/>
  <c r="I160" i="73"/>
  <c r="D161" i="73"/>
  <c r="E161" i="73" s="1"/>
  <c r="H161" i="73"/>
  <c r="C162" i="73"/>
  <c r="G162" i="73"/>
  <c r="B163" i="73"/>
  <c r="B164" i="73"/>
  <c r="C130" i="73"/>
  <c r="I130" i="73"/>
  <c r="D131" i="73"/>
  <c r="E131" i="73" s="1"/>
  <c r="I131" i="73"/>
  <c r="D132" i="73"/>
  <c r="E132" i="73" s="1"/>
  <c r="H132" i="73"/>
  <c r="C133" i="73"/>
  <c r="G133" i="73"/>
  <c r="B134" i="73"/>
  <c r="G134" i="73"/>
  <c r="B135" i="73"/>
  <c r="G135" i="73"/>
  <c r="B136" i="73"/>
  <c r="F136" i="73"/>
  <c r="A137" i="73"/>
  <c r="I137" i="73"/>
  <c r="D138" i="73"/>
  <c r="E138" i="73" s="1"/>
  <c r="I138" i="73"/>
  <c r="D139" i="73"/>
  <c r="E139" i="73" s="1"/>
  <c r="I139" i="73"/>
  <c r="D140" i="73"/>
  <c r="E140" i="73" s="1"/>
  <c r="H140" i="73"/>
  <c r="C141" i="73"/>
  <c r="G141" i="73"/>
  <c r="B142" i="73"/>
  <c r="G142" i="73"/>
  <c r="B143" i="73"/>
  <c r="G143" i="73"/>
  <c r="B144" i="73"/>
  <c r="F144" i="73"/>
  <c r="A145" i="73"/>
  <c r="I145" i="73"/>
  <c r="D146" i="73"/>
  <c r="E146" i="73" s="1"/>
  <c r="I146" i="73"/>
  <c r="D147" i="73"/>
  <c r="E147" i="73" s="1"/>
  <c r="I147" i="73"/>
  <c r="D148" i="73"/>
  <c r="E148" i="73" s="1"/>
  <c r="H148" i="73"/>
  <c r="C149" i="73"/>
  <c r="G149" i="73"/>
  <c r="B150" i="73"/>
  <c r="G150" i="73"/>
  <c r="B151" i="73"/>
  <c r="G151" i="73"/>
  <c r="B152" i="73"/>
  <c r="F152" i="73"/>
  <c r="A153" i="73"/>
  <c r="I153" i="73"/>
  <c r="D154" i="73"/>
  <c r="E154" i="73" s="1"/>
  <c r="I154" i="73"/>
  <c r="D155" i="73"/>
  <c r="E155" i="73" s="1"/>
  <c r="I155" i="73"/>
  <c r="D156" i="73"/>
  <c r="E156" i="73" s="1"/>
  <c r="H156" i="73"/>
  <c r="C157" i="73"/>
  <c r="G157" i="73"/>
  <c r="B158" i="73"/>
  <c r="G158" i="73"/>
  <c r="B159" i="73"/>
  <c r="G159" i="73"/>
  <c r="B160" i="73"/>
  <c r="F160" i="73"/>
  <c r="A161" i="73"/>
  <c r="I161" i="73"/>
  <c r="D162" i="73"/>
  <c r="E162" i="73" s="1"/>
  <c r="H162" i="73"/>
  <c r="C163" i="73"/>
  <c r="H163" i="73"/>
  <c r="C164" i="73"/>
  <c r="G164" i="73"/>
  <c r="F163" i="73"/>
  <c r="G163" i="73"/>
  <c r="A78" i="42"/>
  <c r="E78" i="42"/>
  <c r="I78" i="42" s="1"/>
  <c r="B78" i="42"/>
  <c r="F78" i="42"/>
  <c r="C78" i="42"/>
  <c r="G78" i="42"/>
  <c r="D78" i="42"/>
  <c r="H78" i="42"/>
  <c r="A72" i="42"/>
  <c r="E72" i="42"/>
  <c r="A73" i="42"/>
  <c r="E73" i="42"/>
  <c r="A74" i="42"/>
  <c r="E74" i="42"/>
  <c r="A75" i="42"/>
  <c r="E75" i="42"/>
  <c r="A76" i="42"/>
  <c r="E76" i="42"/>
  <c r="A77" i="42"/>
  <c r="E77" i="42"/>
  <c r="B72" i="42"/>
  <c r="F72" i="42"/>
  <c r="B73" i="42"/>
  <c r="F73" i="42"/>
  <c r="B74" i="42"/>
  <c r="F74" i="42"/>
  <c r="B75" i="42"/>
  <c r="F75" i="42"/>
  <c r="B76" i="42"/>
  <c r="F76" i="42"/>
  <c r="B77" i="42"/>
  <c r="F77" i="42"/>
  <c r="C72" i="42"/>
  <c r="G72" i="42"/>
  <c r="C73" i="42"/>
  <c r="G73" i="42"/>
  <c r="C74" i="42"/>
  <c r="G74" i="42"/>
  <c r="C75" i="42"/>
  <c r="G75" i="42"/>
  <c r="C76" i="42"/>
  <c r="G76" i="42"/>
  <c r="C77" i="42"/>
  <c r="G77" i="42"/>
  <c r="D72" i="42"/>
  <c r="H72" i="42"/>
  <c r="D73" i="42"/>
  <c r="H73" i="42"/>
  <c r="D74" i="42"/>
  <c r="H74" i="42"/>
  <c r="D75" i="42"/>
  <c r="H75" i="42"/>
  <c r="D76" i="42"/>
  <c r="H76" i="42"/>
  <c r="D77" i="42"/>
  <c r="H77" i="42"/>
  <c r="A66" i="42"/>
  <c r="E66" i="42"/>
  <c r="A67" i="42"/>
  <c r="E67" i="42"/>
  <c r="A68" i="42"/>
  <c r="E68" i="42"/>
  <c r="A69" i="42"/>
  <c r="E69" i="42"/>
  <c r="A70" i="42"/>
  <c r="E70" i="42"/>
  <c r="A71" i="42"/>
  <c r="E71" i="42"/>
  <c r="H69" i="42"/>
  <c r="B66" i="42"/>
  <c r="F66" i="42"/>
  <c r="B67" i="42"/>
  <c r="F67" i="42"/>
  <c r="B68" i="42"/>
  <c r="F68" i="42"/>
  <c r="B69" i="42"/>
  <c r="F69" i="42"/>
  <c r="B70" i="42"/>
  <c r="F70" i="42"/>
  <c r="B71" i="42"/>
  <c r="F71" i="42"/>
  <c r="D70" i="42"/>
  <c r="C66" i="42"/>
  <c r="G66" i="42"/>
  <c r="C67" i="42"/>
  <c r="G67" i="42"/>
  <c r="C68" i="42"/>
  <c r="G68" i="42"/>
  <c r="C69" i="42"/>
  <c r="G69" i="42"/>
  <c r="C70" i="42"/>
  <c r="G70" i="42"/>
  <c r="C71" i="42"/>
  <c r="G71" i="42"/>
  <c r="D66" i="42"/>
  <c r="H66" i="42"/>
  <c r="D67" i="42"/>
  <c r="H67" i="42"/>
  <c r="D68" i="42"/>
  <c r="H68" i="42"/>
  <c r="D69" i="42"/>
  <c r="H70" i="42"/>
  <c r="D71" i="42"/>
  <c r="H71" i="42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E25" i="73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275" i="73" s="1"/>
  <c r="B22" i="73"/>
  <c r="A30" i="73"/>
  <c r="A38" i="73"/>
  <c r="G15" i="73"/>
  <c r="G23" i="73"/>
  <c r="F31" i="73"/>
  <c r="F39" i="73"/>
  <c r="C17" i="73"/>
  <c r="C25" i="73"/>
  <c r="B33" i="73"/>
  <c r="G11" i="73"/>
  <c r="F2" i="73" l="1"/>
  <c r="A274" i="73"/>
  <c r="D6" i="73"/>
  <c r="C31" i="15" l="1"/>
  <c r="C49" i="15" s="1"/>
  <c r="D31" i="15"/>
  <c r="D49" i="15" s="1"/>
  <c r="D33" i="15" l="1"/>
  <c r="B11" i="61" l="1"/>
  <c r="I36" i="60"/>
  <c r="G36" i="60"/>
  <c r="C36" i="60"/>
  <c r="A24" i="58"/>
  <c r="C8" i="58"/>
  <c r="A19" i="57"/>
  <c r="L13" i="57"/>
  <c r="K13" i="57"/>
  <c r="C7" i="56"/>
  <c r="D5" i="56"/>
  <c r="F59" i="55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B15" i="58" l="1"/>
  <c r="F15" i="58" s="1"/>
  <c r="C16" i="58"/>
  <c r="G16" i="58"/>
  <c r="D17" i="58"/>
  <c r="H17" i="58"/>
  <c r="E18" i="58"/>
  <c r="B19" i="58"/>
  <c r="F19" i="58" s="1"/>
  <c r="B20" i="58"/>
  <c r="F20" i="58" s="1"/>
  <c r="B21" i="58"/>
  <c r="F21" i="58" s="1"/>
  <c r="B22" i="58"/>
  <c r="F22" i="58" s="1"/>
  <c r="B23" i="58"/>
  <c r="F23" i="58" s="1"/>
  <c r="H14" i="58"/>
  <c r="C15" i="58"/>
  <c r="G15" i="58"/>
  <c r="D16" i="58"/>
  <c r="H16" i="58"/>
  <c r="E17" i="58"/>
  <c r="B18" i="58"/>
  <c r="F18" i="58" s="1"/>
  <c r="C19" i="58"/>
  <c r="G19" i="58"/>
  <c r="C20" i="58"/>
  <c r="G20" i="58"/>
  <c r="C21" i="58"/>
  <c r="G21" i="58"/>
  <c r="C22" i="58"/>
  <c r="G22" i="58"/>
  <c r="C23" i="58"/>
  <c r="G23" i="58"/>
  <c r="D15" i="58"/>
  <c r="H15" i="58"/>
  <c r="E16" i="58"/>
  <c r="B17" i="58"/>
  <c r="F17" i="58" s="1"/>
  <c r="C18" i="58"/>
  <c r="G18" i="58"/>
  <c r="D19" i="58"/>
  <c r="H19" i="58"/>
  <c r="D20" i="58"/>
  <c r="H20" i="58"/>
  <c r="D21" i="58"/>
  <c r="H21" i="58"/>
  <c r="D22" i="58"/>
  <c r="H22" i="58"/>
  <c r="D23" i="58"/>
  <c r="H23" i="58"/>
  <c r="E15" i="58"/>
  <c r="B16" i="58"/>
  <c r="F16" i="58" s="1"/>
  <c r="C17" i="58"/>
  <c r="G17" i="58"/>
  <c r="D18" i="58"/>
  <c r="H18" i="58"/>
  <c r="E19" i="58"/>
  <c r="I19" i="58" s="1"/>
  <c r="E20" i="58"/>
  <c r="I20" i="58" s="1"/>
  <c r="E21" i="58"/>
  <c r="I21" i="58" s="1"/>
  <c r="E22" i="58"/>
  <c r="I22" i="58" s="1"/>
  <c r="E23" i="58"/>
  <c r="I23" i="58" s="1"/>
  <c r="C14" i="58"/>
  <c r="G14" i="58"/>
  <c r="D14" i="58"/>
  <c r="G15" i="57"/>
  <c r="G17" i="57"/>
  <c r="I15" i="57"/>
  <c r="I17" i="57"/>
  <c r="G16" i="57"/>
  <c r="G18" i="57"/>
  <c r="I16" i="57"/>
  <c r="I18" i="57"/>
  <c r="E9" i="60"/>
  <c r="E13" i="60"/>
  <c r="E20" i="60"/>
  <c r="E25" i="60"/>
  <c r="E29" i="60"/>
  <c r="E33" i="60"/>
  <c r="E10" i="60"/>
  <c r="E14" i="60"/>
  <c r="E22" i="60"/>
  <c r="E26" i="60"/>
  <c r="E30" i="60"/>
  <c r="E34" i="60"/>
  <c r="E7" i="60"/>
  <c r="E11" i="60"/>
  <c r="E15" i="60"/>
  <c r="E23" i="60"/>
  <c r="E27" i="60"/>
  <c r="E31" i="60"/>
  <c r="E6" i="60"/>
  <c r="E12" i="60"/>
  <c r="E18" i="60"/>
  <c r="E24" i="60"/>
  <c r="E28" i="60"/>
  <c r="E32" i="60"/>
  <c r="F6" i="60"/>
  <c r="E8" i="60"/>
  <c r="F8" i="60"/>
  <c r="D9" i="60"/>
  <c r="F10" i="60"/>
  <c r="D11" i="60"/>
  <c r="F12" i="60"/>
  <c r="D13" i="60"/>
  <c r="F14" i="60"/>
  <c r="D15" i="60"/>
  <c r="F18" i="60"/>
  <c r="D20" i="60"/>
  <c r="F22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8" i="60"/>
  <c r="F9" i="60"/>
  <c r="D10" i="60"/>
  <c r="F11" i="60"/>
  <c r="D12" i="60"/>
  <c r="F13" i="60"/>
  <c r="D14" i="60"/>
  <c r="F15" i="60"/>
  <c r="D18" i="60"/>
  <c r="F20" i="60"/>
  <c r="D22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U11" i="34"/>
  <c r="U13" i="34"/>
  <c r="U10" i="34"/>
  <c r="U12" i="34"/>
  <c r="U14" i="34"/>
  <c r="H59" i="55"/>
  <c r="L14" i="54"/>
  <c r="L16" i="54"/>
  <c r="L17" i="54" s="1"/>
  <c r="D7" i="60"/>
  <c r="F7" i="60"/>
  <c r="D6" i="60"/>
  <c r="H6" i="60" s="1"/>
  <c r="D15" i="57"/>
  <c r="D16" i="57"/>
  <c r="D18" i="57"/>
  <c r="D17" i="57"/>
  <c r="E14" i="58"/>
  <c r="A10" i="34"/>
  <c r="B21" i="14"/>
  <c r="D21" i="14"/>
  <c r="F21" i="14"/>
  <c r="A21" i="14"/>
  <c r="C21" i="14"/>
  <c r="E21" i="14"/>
  <c r="G21" i="14"/>
  <c r="A18" i="14"/>
  <c r="A17" i="14"/>
  <c r="A16" i="14"/>
  <c r="A20" i="14"/>
  <c r="A15" i="14"/>
  <c r="A19" i="14"/>
  <c r="A14" i="14"/>
  <c r="E84" i="14" s="1"/>
  <c r="G2" i="56"/>
  <c r="F15" i="56"/>
  <c r="K12" i="34"/>
  <c r="E17" i="57"/>
  <c r="E18" i="57"/>
  <c r="E15" i="57"/>
  <c r="E16" i="57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B14" i="58"/>
  <c r="I29" i="58" s="1"/>
  <c r="C17" i="57"/>
  <c r="F16" i="57"/>
  <c r="B16" i="57"/>
  <c r="C18" i="57"/>
  <c r="F17" i="57"/>
  <c r="B17" i="57"/>
  <c r="J3" i="57"/>
  <c r="F18" i="57"/>
  <c r="B18" i="57"/>
  <c r="C15" i="57"/>
  <c r="C16" i="57"/>
  <c r="F15" i="57"/>
  <c r="B15" i="57"/>
  <c r="I13" i="61"/>
  <c r="I14" i="61" s="1"/>
  <c r="C13" i="61"/>
  <c r="C14" i="61" s="1"/>
  <c r="F79" i="14" l="1"/>
  <c r="A9" i="56"/>
  <c r="H18" i="57"/>
  <c r="H17" i="57"/>
  <c r="H16" i="57"/>
  <c r="H15" i="57"/>
  <c r="A30" i="47"/>
  <c r="D52" i="47"/>
  <c r="F49" i="47"/>
  <c r="D47" i="47"/>
  <c r="F50" i="47"/>
  <c r="D48" i="47"/>
  <c r="F51" i="47"/>
  <c r="D49" i="47"/>
  <c r="B47" i="47"/>
  <c r="A51" i="47"/>
  <c r="F48" i="47"/>
  <c r="D51" i="47"/>
  <c r="B49" i="47"/>
  <c r="G52" i="47"/>
  <c r="B50" i="47"/>
  <c r="G47" i="47"/>
  <c r="B51" i="47"/>
  <c r="G48" i="47"/>
  <c r="F52" i="47"/>
  <c r="D50" i="47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8" i="60"/>
  <c r="H24" i="60"/>
  <c r="J24" i="60" s="1"/>
  <c r="H18" i="60"/>
  <c r="J18" i="60" s="1"/>
  <c r="H8" i="60"/>
  <c r="J8" i="60" s="1"/>
  <c r="H22" i="60"/>
  <c r="J22" i="60" s="1"/>
  <c r="H14" i="60"/>
  <c r="J14" i="60" s="1"/>
  <c r="H33" i="60"/>
  <c r="J33" i="60" s="1"/>
  <c r="H29" i="60"/>
  <c r="J29" i="60" s="1"/>
  <c r="H25" i="60"/>
  <c r="J25" i="60" s="1"/>
  <c r="H20" i="60"/>
  <c r="J20" i="60" s="1"/>
  <c r="H13" i="60"/>
  <c r="J13" i="60" s="1"/>
  <c r="H9" i="60"/>
  <c r="J9" i="60" s="1"/>
  <c r="H32" i="60"/>
  <c r="J32" i="60" s="1"/>
  <c r="H26" i="60"/>
  <c r="J26" i="60" s="1"/>
  <c r="H34" i="60"/>
  <c r="J34" i="60" s="1"/>
  <c r="H31" i="60"/>
  <c r="J31" i="60" s="1"/>
  <c r="H27" i="60"/>
  <c r="J27" i="60" s="1"/>
  <c r="H23" i="60"/>
  <c r="J23" i="60" s="1"/>
  <c r="H15" i="60"/>
  <c r="J15" i="60" s="1"/>
  <c r="H11" i="60"/>
  <c r="J11" i="60" s="1"/>
  <c r="H30" i="60"/>
  <c r="J30" i="60" s="1"/>
  <c r="H7" i="60"/>
  <c r="H10" i="60"/>
  <c r="J10" i="60" s="1"/>
  <c r="H12" i="60"/>
  <c r="J12" i="60" s="1"/>
  <c r="J28" i="60"/>
  <c r="K324" i="34"/>
  <c r="F38" i="15" s="1" a="1"/>
  <c r="F38" i="15" s="1"/>
  <c r="D30" i="47"/>
  <c r="F30" i="47"/>
  <c r="G30" i="47"/>
  <c r="B30" i="47"/>
  <c r="E30" i="47"/>
  <c r="C30" i="47"/>
  <c r="G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28" i="58"/>
  <c r="F2" i="58"/>
  <c r="B22" i="57"/>
  <c r="A83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J59" i="55"/>
  <c r="B24" i="56"/>
  <c r="F24" i="56"/>
  <c r="M9" i="39"/>
  <c r="G79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D6" i="56"/>
  <c r="F31" i="56" s="1"/>
  <c r="F20" i="56"/>
  <c r="B18" i="56"/>
  <c r="D18" i="56" s="1"/>
  <c r="F18" i="56"/>
  <c r="B20" i="56"/>
  <c r="D20" i="56" s="1"/>
  <c r="G8" i="56"/>
  <c r="J14" i="71"/>
  <c r="I14" i="71"/>
  <c r="H14" i="14"/>
  <c r="F20" i="47"/>
  <c r="J6" i="60"/>
  <c r="B12" i="61"/>
  <c r="D13" i="61"/>
  <c r="D14" i="61" s="1"/>
  <c r="G13" i="61"/>
  <c r="G14" i="61" s="1"/>
  <c r="E13" i="61"/>
  <c r="E14" i="61" s="1"/>
  <c r="J7" i="60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A57" i="47" s="1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I14" i="14"/>
  <c r="G25" i="58"/>
  <c r="A18" i="47"/>
  <c r="C16" i="47"/>
  <c r="A15" i="47"/>
  <c r="G20" i="47"/>
  <c r="H25" i="58"/>
  <c r="I14" i="58"/>
  <c r="I15" i="58" s="1"/>
  <c r="I16" i="58" s="1"/>
  <c r="I17" i="58" s="1"/>
  <c r="I18" i="58" s="1"/>
  <c r="F14" i="58"/>
  <c r="E5" i="58"/>
  <c r="J18" i="57"/>
  <c r="A15" i="57"/>
  <c r="A16" i="57" s="1"/>
  <c r="A17" i="57" s="1"/>
  <c r="A18" i="57" s="1"/>
  <c r="G20" i="57"/>
  <c r="I20" i="57"/>
  <c r="J15" i="57"/>
  <c r="K14" i="57"/>
  <c r="K15" i="57" s="1"/>
  <c r="K16" i="57" s="1"/>
  <c r="K17" i="57" s="1"/>
  <c r="K18" i="57" s="1"/>
  <c r="J16" i="57"/>
  <c r="J17" i="57"/>
  <c r="B13" i="61"/>
  <c r="E58" i="47" l="1"/>
  <c r="G3" i="47"/>
  <c r="E38" i="15" a="1"/>
  <c r="E38" i="15" s="1"/>
  <c r="I20" i="55" a="1"/>
  <c r="I20" i="55" s="1"/>
  <c r="I53" i="55" a="1"/>
  <c r="I53" i="55" s="1"/>
  <c r="I46" i="55" a="1"/>
  <c r="I46" i="55" s="1"/>
  <c r="G56" i="55" a="1"/>
  <c r="G56" i="55" s="1"/>
  <c r="G27" i="55" a="1"/>
  <c r="G27" i="55" s="1"/>
  <c r="I16" i="55" a="1"/>
  <c r="I16" i="55" s="1"/>
  <c r="G30" i="55" a="1"/>
  <c r="G30" i="55" s="1"/>
  <c r="G54" i="55" a="1"/>
  <c r="G54" i="55" s="1"/>
  <c r="E37" i="15" a="1"/>
  <c r="E37" i="15" s="1"/>
  <c r="G55" i="55" a="1"/>
  <c r="G55" i="55" s="1"/>
  <c r="I12" i="55" a="1"/>
  <c r="I12" i="55" s="1"/>
  <c r="G29" i="55" a="1"/>
  <c r="G29" i="55" s="1"/>
  <c r="G57" i="55" a="1"/>
  <c r="G57" i="55" s="1"/>
  <c r="I31" i="55" a="1"/>
  <c r="I31" i="55" s="1"/>
  <c r="I57" i="55" a="1"/>
  <c r="I57" i="55" s="1"/>
  <c r="I47" i="55" a="1"/>
  <c r="I47" i="55" s="1"/>
  <c r="I37" i="55" a="1"/>
  <c r="I37" i="55" s="1"/>
  <c r="I35" i="55" a="1"/>
  <c r="I35" i="55" s="1"/>
  <c r="I17" i="55" a="1"/>
  <c r="I17" i="55" s="1"/>
  <c r="G47" i="55" a="1"/>
  <c r="G47" i="55" s="1"/>
  <c r="I23" i="55" a="1"/>
  <c r="I23" i="55" s="1"/>
  <c r="G36" i="55" a="1"/>
  <c r="G36" i="55" s="1"/>
  <c r="G16" i="55" a="1"/>
  <c r="G16" i="55" s="1"/>
  <c r="G35" i="55" a="1"/>
  <c r="G35" i="55" s="1"/>
  <c r="G31" i="55" a="1"/>
  <c r="G31" i="55" s="1"/>
  <c r="I48" i="55" a="1"/>
  <c r="I48" i="55" s="1"/>
  <c r="G37" i="55" a="1"/>
  <c r="G37" i="55" s="1"/>
  <c r="I26" i="55" a="1"/>
  <c r="I26" i="55" s="1"/>
  <c r="G17" i="55" a="1"/>
  <c r="G17" i="55" s="1"/>
  <c r="G26" i="55" a="1"/>
  <c r="G26" i="55" s="1"/>
  <c r="I22" i="55" a="1"/>
  <c r="I22" i="55" s="1"/>
  <c r="I29" i="55" a="1"/>
  <c r="I29" i="55" s="1"/>
  <c r="I55" i="55" a="1"/>
  <c r="I55" i="55" s="1"/>
  <c r="I51" i="55" a="1"/>
  <c r="I51" i="55" s="1"/>
  <c r="I14" i="55" a="1"/>
  <c r="I14" i="55" s="1"/>
  <c r="G38" i="55" a="1"/>
  <c r="G38" i="55" s="1"/>
  <c r="I42" i="55" a="1"/>
  <c r="I42" i="55" s="1"/>
  <c r="G52" i="55" a="1"/>
  <c r="G52" i="55" s="1"/>
  <c r="G14" i="55" a="1"/>
  <c r="G14" i="55" s="1"/>
  <c r="I52" i="55" a="1"/>
  <c r="I52" i="55" s="1"/>
  <c r="I38" i="55" a="1"/>
  <c r="I38" i="55" s="1"/>
  <c r="G48" i="55" a="1"/>
  <c r="G48" i="55" s="1"/>
  <c r="G51" i="55" a="1"/>
  <c r="G51" i="55" s="1"/>
  <c r="G42" i="55" a="1"/>
  <c r="G42" i="55" s="1"/>
  <c r="G22" i="55" a="1"/>
  <c r="G22" i="55" s="1"/>
  <c r="G13" i="55" a="1"/>
  <c r="G13" i="55" s="1"/>
  <c r="G12" i="55" a="1"/>
  <c r="G12" i="55" s="1"/>
  <c r="I34" i="55" a="1"/>
  <c r="I34" i="55" s="1"/>
  <c r="I49" i="55" a="1"/>
  <c r="I49" i="55" s="1"/>
  <c r="I13" i="55" a="1"/>
  <c r="I13" i="55" s="1"/>
  <c r="G20" i="55" a="1"/>
  <c r="G20" i="55" s="1"/>
  <c r="G53" i="55" a="1"/>
  <c r="G53" i="55" s="1"/>
  <c r="K53" i="55" s="1"/>
  <c r="G41" i="55" a="1"/>
  <c r="G41" i="55" s="1"/>
  <c r="G19" i="55" a="1"/>
  <c r="G19" i="55" s="1"/>
  <c r="I54" i="55" a="1"/>
  <c r="I54" i="55" s="1"/>
  <c r="I56" i="55" a="1"/>
  <c r="I56" i="55" s="1"/>
  <c r="I44" i="55" a="1"/>
  <c r="I44" i="55" s="1"/>
  <c r="G43" i="55" a="1"/>
  <c r="G43" i="55" s="1"/>
  <c r="G45" i="55" a="1"/>
  <c r="G45" i="55" s="1"/>
  <c r="G28" i="55" a="1"/>
  <c r="G28" i="55" s="1"/>
  <c r="G34" i="55" a="1"/>
  <c r="G34" i="55" s="1"/>
  <c r="G40" i="55" a="1"/>
  <c r="G40" i="55" s="1"/>
  <c r="I32" i="55" a="1"/>
  <c r="I32" i="55" s="1"/>
  <c r="I30" i="55" a="1"/>
  <c r="I30" i="55" s="1"/>
  <c r="G39" i="55" a="1"/>
  <c r="G39" i="55" s="1"/>
  <c r="I27" i="55" a="1"/>
  <c r="I27" i="55" s="1"/>
  <c r="I41" i="55" a="1"/>
  <c r="I41" i="55" s="1"/>
  <c r="I45" i="55" a="1"/>
  <c r="I45" i="55" s="1"/>
  <c r="I39" i="55" a="1"/>
  <c r="I39" i="55" s="1"/>
  <c r="G24" i="55" a="1"/>
  <c r="G24" i="55" s="1"/>
  <c r="I50" i="55" a="1"/>
  <c r="I50" i="55" s="1"/>
  <c r="G15" i="55" a="1"/>
  <c r="G15" i="55" s="1"/>
  <c r="I24" i="55" a="1"/>
  <c r="I24" i="55" s="1"/>
  <c r="G25" i="55" a="1"/>
  <c r="G25" i="55" s="1"/>
  <c r="I43" i="55" a="1"/>
  <c r="I43" i="55" s="1"/>
  <c r="I18" i="55" a="1"/>
  <c r="I18" i="55" s="1"/>
  <c r="I21" i="55" a="1"/>
  <c r="I21" i="55" s="1"/>
  <c r="G49" i="55" a="1"/>
  <c r="G49" i="55" s="1"/>
  <c r="G21" i="55" a="1"/>
  <c r="G21" i="55" s="1"/>
  <c r="G50" i="55" a="1"/>
  <c r="G50" i="55" s="1"/>
  <c r="I19" i="55" a="1"/>
  <c r="I19" i="55" s="1"/>
  <c r="I40" i="55" a="1"/>
  <c r="I40" i="55" s="1"/>
  <c r="I28" i="55" a="1"/>
  <c r="I28" i="55" s="1"/>
  <c r="G23" i="55" a="1"/>
  <c r="G23" i="55" s="1"/>
  <c r="G46" i="55" a="1"/>
  <c r="G46" i="55" s="1"/>
  <c r="I25" i="55" a="1"/>
  <c r="I25" i="55" s="1"/>
  <c r="G44" i="55" a="1"/>
  <c r="G44" i="55" s="1"/>
  <c r="G18" i="55" a="1"/>
  <c r="G18" i="55" s="1"/>
  <c r="I33" i="55" a="1"/>
  <c r="I33" i="55" s="1"/>
  <c r="I36" i="55" a="1"/>
  <c r="I36" i="55" s="1"/>
  <c r="G33" i="55" a="1"/>
  <c r="G33" i="55" s="1"/>
  <c r="G32" i="55" a="1"/>
  <c r="G32" i="55" s="1"/>
  <c r="I15" i="55" a="1"/>
  <c r="I15" i="55" s="1"/>
  <c r="F37" i="15" a="1"/>
  <c r="F37" i="15" s="1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52" i="71"/>
  <c r="J52" i="71"/>
  <c r="H80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I15" i="14"/>
  <c r="H36" i="60"/>
  <c r="B14" i="61"/>
  <c r="H15" i="14"/>
  <c r="I13" i="42"/>
  <c r="I80" i="14"/>
  <c r="I25" i="58"/>
  <c r="G53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20" i="57"/>
  <c r="L14" i="57"/>
  <c r="L15" i="57" s="1"/>
  <c r="L16" i="57" s="1"/>
  <c r="L17" i="57" s="1"/>
  <c r="L18" i="57" s="1"/>
  <c r="K27" i="55" l="1"/>
  <c r="K44" i="55"/>
  <c r="K46" i="55"/>
  <c r="K36" i="55"/>
  <c r="K23" i="55"/>
  <c r="K12" i="55"/>
  <c r="K16" i="55"/>
  <c r="K31" i="55"/>
  <c r="K30" i="55"/>
  <c r="K35" i="55"/>
  <c r="K48" i="55"/>
  <c r="K32" i="55"/>
  <c r="K49" i="55"/>
  <c r="K14" i="55"/>
  <c r="K17" i="55"/>
  <c r="K42" i="55"/>
  <c r="K51" i="55"/>
  <c r="K37" i="55"/>
  <c r="K19" i="55"/>
  <c r="K22" i="55"/>
  <c r="K26" i="55"/>
  <c r="K47" i="55"/>
  <c r="K18" i="55"/>
  <c r="K41" i="55"/>
  <c r="K33" i="55"/>
  <c r="K13" i="55"/>
  <c r="K52" i="55"/>
  <c r="K55" i="55"/>
  <c r="K56" i="55"/>
  <c r="K38" i="55"/>
  <c r="K50" i="55"/>
  <c r="K34" i="55"/>
  <c r="K57" i="55"/>
  <c r="K29" i="55"/>
  <c r="K54" i="55"/>
  <c r="K21" i="55"/>
  <c r="K25" i="55"/>
  <c r="K24" i="55"/>
  <c r="K45" i="55"/>
  <c r="K40" i="55"/>
  <c r="K15" i="55"/>
  <c r="K28" i="55"/>
  <c r="K43" i="55"/>
  <c r="K39" i="55"/>
  <c r="K20" i="55"/>
  <c r="I37" i="15"/>
  <c r="A6" i="42"/>
  <c r="A83" i="42"/>
  <c r="I84" i="42"/>
  <c r="H27" i="56"/>
  <c r="I16" i="71"/>
  <c r="J16" i="71"/>
  <c r="I16" i="14"/>
  <c r="G32" i="43"/>
  <c r="H16" i="14"/>
  <c r="G7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E94" i="42"/>
  <c r="H79" i="42"/>
  <c r="A29" i="56"/>
  <c r="J17" i="71" l="1"/>
  <c r="I17" i="71"/>
  <c r="H17" i="14"/>
  <c r="I17" i="14"/>
  <c r="I80" i="42"/>
  <c r="I18" i="71" l="1"/>
  <c r="J18" i="71"/>
  <c r="I18" i="14"/>
  <c r="H18" i="14"/>
  <c r="J19" i="71" l="1"/>
  <c r="I19" i="71"/>
  <c r="H19" i="14"/>
  <c r="I19" i="14"/>
  <c r="I20" i="71" l="1"/>
  <c r="J20" i="71"/>
  <c r="I20" i="14"/>
  <c r="H20" i="14"/>
  <c r="J21" i="71" l="1"/>
  <c r="I21" i="71"/>
  <c r="H21" i="14"/>
  <c r="I21" i="14"/>
  <c r="I22" i="14" l="1"/>
  <c r="H22" i="14"/>
  <c r="J22" i="71"/>
  <c r="I22" i="71"/>
  <c r="I23" i="71" l="1"/>
  <c r="H23" i="14"/>
  <c r="I23" i="14"/>
  <c r="J23" i="71"/>
  <c r="F15" i="47"/>
  <c r="J24" i="71" l="1"/>
  <c r="I24" i="71"/>
  <c r="I24" i="14"/>
  <c r="H24" i="14"/>
  <c r="F53" i="47"/>
  <c r="I54" i="47" s="1"/>
  <c r="H15" i="47"/>
  <c r="I15" i="47"/>
  <c r="J25" i="71" l="1"/>
  <c r="I25" i="71"/>
  <c r="H25" i="14"/>
  <c r="I25" i="14"/>
  <c r="H54" i="47"/>
  <c r="I16" i="47"/>
  <c r="H16" i="47"/>
  <c r="J26" i="71" l="1"/>
  <c r="I26" i="71"/>
  <c r="I26" i="14"/>
  <c r="H26" i="14"/>
  <c r="H17" i="47"/>
  <c r="I17" i="47"/>
  <c r="I27" i="71" l="1"/>
  <c r="J27" i="71"/>
  <c r="H27" i="14"/>
  <c r="I27" i="14"/>
  <c r="I18" i="47"/>
  <c r="H18" i="47"/>
  <c r="I28" i="71" l="1"/>
  <c r="J28" i="71"/>
  <c r="I28" i="14"/>
  <c r="H28" i="14"/>
  <c r="H19" i="47"/>
  <c r="I19" i="47"/>
  <c r="J29" i="71" l="1"/>
  <c r="H29" i="14"/>
  <c r="I29" i="71"/>
  <c r="I30" i="71" s="1"/>
  <c r="I29" i="14"/>
  <c r="I20" i="47"/>
  <c r="H20" i="47"/>
  <c r="J30" i="71" l="1"/>
  <c r="J31" i="71" s="1"/>
  <c r="I30" i="14"/>
  <c r="H21" i="47"/>
  <c r="I21" i="47"/>
  <c r="H30" i="14"/>
  <c r="F3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I31" i="71" l="1"/>
  <c r="I32" i="71" s="1"/>
  <c r="H31" i="14"/>
  <c r="I22" i="47"/>
  <c r="H22" i="47"/>
  <c r="I31" i="14"/>
  <c r="H32" i="43"/>
  <c r="H33" i="43" s="1"/>
  <c r="J32" i="71" l="1"/>
  <c r="J33" i="71" s="1"/>
  <c r="I32" i="14"/>
  <c r="I23" i="47"/>
  <c r="H23" i="47"/>
  <c r="H32" i="14"/>
  <c r="I33" i="71" l="1"/>
  <c r="I34" i="71" s="1"/>
  <c r="J34" i="71"/>
  <c r="J35" i="71" s="1"/>
  <c r="H33" i="14"/>
  <c r="H24" i="47"/>
  <c r="I24" i="47"/>
  <c r="I33" i="14"/>
  <c r="I35" i="71" l="1"/>
  <c r="I36" i="71" s="1"/>
  <c r="I34" i="14"/>
  <c r="I25" i="47"/>
  <c r="H25" i="47"/>
  <c r="H34" i="14"/>
  <c r="J36" i="71" l="1"/>
  <c r="J37" i="71" s="1"/>
  <c r="H35" i="14"/>
  <c r="H26" i="47"/>
  <c r="I26" i="47"/>
  <c r="I35" i="14"/>
  <c r="I37" i="71" l="1"/>
  <c r="I38" i="71" s="1"/>
  <c r="I36" i="14"/>
  <c r="I27" i="47"/>
  <c r="H27" i="47"/>
  <c r="H36" i="14"/>
  <c r="J38" i="71" l="1"/>
  <c r="J39" i="71" s="1"/>
  <c r="H37" i="14"/>
  <c r="H28" i="47"/>
  <c r="I28" i="47"/>
  <c r="I37" i="14"/>
  <c r="I39" i="71" l="1"/>
  <c r="I40" i="71" s="1"/>
  <c r="I38" i="14"/>
  <c r="I29" i="47"/>
  <c r="H29" i="47"/>
  <c r="H38" i="14"/>
  <c r="J40" i="71" l="1"/>
  <c r="J41" i="71" s="1"/>
  <c r="H39" i="14"/>
  <c r="H30" i="47"/>
  <c r="I30" i="47"/>
  <c r="I39" i="14"/>
  <c r="I41" i="71" l="1"/>
  <c r="I42" i="71" s="1"/>
  <c r="I31" i="47"/>
  <c r="H31" i="47"/>
  <c r="I40" i="14"/>
  <c r="H40" i="14"/>
  <c r="J42" i="71" l="1"/>
  <c r="J43" i="71" s="1"/>
  <c r="H32" i="47"/>
  <c r="I32" i="47"/>
  <c r="H41" i="14"/>
  <c r="I41" i="14"/>
  <c r="I43" i="71" l="1"/>
  <c r="I44" i="71" s="1"/>
  <c r="I33" i="47"/>
  <c r="H33" i="47"/>
  <c r="I42" i="14"/>
  <c r="H42" i="14"/>
  <c r="J44" i="71" l="1"/>
  <c r="J45" i="71" s="1"/>
  <c r="H34" i="47"/>
  <c r="I34" i="47"/>
  <c r="H43" i="14"/>
  <c r="I43" i="14"/>
  <c r="I45" i="71" l="1"/>
  <c r="I46" i="71" s="1"/>
  <c r="I35" i="47"/>
  <c r="H35" i="47"/>
  <c r="I44" i="14"/>
  <c r="H44" i="14"/>
  <c r="J46" i="71" l="1"/>
  <c r="J47" i="71" s="1"/>
  <c r="H36" i="47"/>
  <c r="I36" i="47"/>
  <c r="H45" i="14"/>
  <c r="I45" i="14"/>
  <c r="I47" i="71" l="1"/>
  <c r="I48" i="71" s="1"/>
  <c r="I37" i="47"/>
  <c r="H37" i="47"/>
  <c r="I46" i="14"/>
  <c r="H46" i="14"/>
  <c r="J48" i="71" l="1"/>
  <c r="J49" i="71" s="1"/>
  <c r="H38" i="47"/>
  <c r="I38" i="47"/>
  <c r="H47" i="14"/>
  <c r="I47" i="14"/>
  <c r="I49" i="71" l="1"/>
  <c r="I39" i="47"/>
  <c r="H39" i="47"/>
  <c r="I48" i="14"/>
  <c r="H48" i="14"/>
  <c r="H40" i="47" l="1"/>
  <c r="I40" i="47"/>
  <c r="H49" i="14"/>
  <c r="I49" i="14"/>
  <c r="I50" i="14" l="1"/>
  <c r="H50" i="14"/>
  <c r="H51" i="14" s="1"/>
  <c r="I41" i="47"/>
  <c r="H41" i="47"/>
  <c r="J20" i="57"/>
  <c r="I51" i="14" l="1"/>
  <c r="I52" i="14" s="1"/>
  <c r="H42" i="47"/>
  <c r="I42" i="47"/>
  <c r="I24" i="73"/>
  <c r="H24" i="73"/>
  <c r="H10" i="73"/>
  <c r="I10" i="73"/>
  <c r="H20" i="57"/>
  <c r="L20" i="57" s="1"/>
  <c r="H52" i="14" l="1"/>
  <c r="H53" i="14" s="1"/>
  <c r="I43" i="47"/>
  <c r="H43" i="47"/>
  <c r="I272" i="73"/>
  <c r="H272" i="73"/>
  <c r="I53" i="14" l="1"/>
  <c r="I54" i="14" s="1"/>
  <c r="H44" i="47"/>
  <c r="I44" i="47"/>
  <c r="F45" i="15" a="1"/>
  <c r="F45" i="15" s="1"/>
  <c r="D13" i="39"/>
  <c r="F46" i="15" a="1"/>
  <c r="F46" i="15" s="1"/>
  <c r="F48" i="15" a="1"/>
  <c r="F48" i="15" s="1"/>
  <c r="F43" i="15" a="1"/>
  <c r="F43" i="15" s="1"/>
  <c r="E45" i="15" a="1"/>
  <c r="E45" i="15" s="1"/>
  <c r="I45" i="15" s="1"/>
  <c r="F9" i="70" a="1"/>
  <c r="F9" i="70" s="1"/>
  <c r="E46" i="15" a="1"/>
  <c r="E46" i="15" s="1"/>
  <c r="F39" i="15"/>
  <c r="E42" i="15" a="1"/>
  <c r="E42" i="15" s="1"/>
  <c r="E44" i="15" a="1"/>
  <c r="E44" i="15" s="1"/>
  <c r="E43" i="15" a="1"/>
  <c r="E43" i="15" s="1"/>
  <c r="E25" i="15" a="1"/>
  <c r="E25" i="15" s="1"/>
  <c r="E7" i="12" a="1"/>
  <c r="E7" i="12" s="1"/>
  <c r="E21" i="15" a="1"/>
  <c r="E21" i="15" s="1"/>
  <c r="E40" i="15" a="1"/>
  <c r="E40" i="15" s="1"/>
  <c r="F19" i="15" a="1"/>
  <c r="F19" i="15" s="1"/>
  <c r="E24" i="15" a="1"/>
  <c r="E24" i="15" s="1"/>
  <c r="F30" i="15" a="1"/>
  <c r="F30" i="15" s="1"/>
  <c r="E41" i="15" a="1"/>
  <c r="E41" i="15" s="1"/>
  <c r="E47" i="15" a="1"/>
  <c r="E47" i="15" s="1"/>
  <c r="F21" i="15" a="1"/>
  <c r="F21" i="15" s="1"/>
  <c r="E19" i="15" a="1"/>
  <c r="E19" i="15" s="1"/>
  <c r="E28" i="15" a="1"/>
  <c r="E28" i="15" s="1"/>
  <c r="F8" i="70" a="1"/>
  <c r="F8" i="70" s="1"/>
  <c r="E12" i="15" a="1"/>
  <c r="E12" i="15" s="1"/>
  <c r="F14" i="15" a="1"/>
  <c r="F14" i="15" s="1"/>
  <c r="E7" i="70" a="1"/>
  <c r="E7" i="70" s="1"/>
  <c r="F22" i="15" a="1"/>
  <c r="F22" i="15" s="1"/>
  <c r="F14" i="70" a="1"/>
  <c r="F14" i="70" s="1"/>
  <c r="F23" i="15" a="1"/>
  <c r="F23" i="15" s="1"/>
  <c r="F35" i="15" a="1"/>
  <c r="F35" i="15" s="1"/>
  <c r="E39" i="15"/>
  <c r="F32" i="15" a="1"/>
  <c r="F32" i="15" s="1"/>
  <c r="F6" i="12" a="1"/>
  <c r="F6" i="12" s="1"/>
  <c r="E14" i="70" a="1"/>
  <c r="E14" i="70" s="1"/>
  <c r="F10" i="15" a="1"/>
  <c r="F10" i="15" s="1"/>
  <c r="E23" i="15" a="1"/>
  <c r="E23" i="15" s="1"/>
  <c r="E8" i="70" a="1"/>
  <c r="E8" i="70" s="1"/>
  <c r="E14" i="15" a="1"/>
  <c r="E14" i="15" s="1"/>
  <c r="F7" i="70" a="1"/>
  <c r="F7" i="70" s="1"/>
  <c r="F34" i="15" a="1"/>
  <c r="F34" i="15" s="1"/>
  <c r="E20" i="15" a="1"/>
  <c r="E20" i="15" s="1"/>
  <c r="E10" i="15" a="1"/>
  <c r="E10" i="15" s="1"/>
  <c r="F10" i="70" a="1"/>
  <c r="F10" i="70" s="1"/>
  <c r="E22" i="15" a="1"/>
  <c r="E22" i="15" s="1"/>
  <c r="F15" i="15" a="1"/>
  <c r="F15" i="15" s="1"/>
  <c r="E17" i="15" a="1"/>
  <c r="E17" i="15" s="1"/>
  <c r="E30" i="15" a="1"/>
  <c r="E30" i="15" s="1"/>
  <c r="F12" i="15" a="1"/>
  <c r="F12" i="15" s="1"/>
  <c r="F7" i="12" a="1"/>
  <c r="F7" i="12" s="1"/>
  <c r="E32" i="15" a="1"/>
  <c r="E32" i="15" s="1"/>
  <c r="F17" i="15" a="1"/>
  <c r="F17" i="15" s="1"/>
  <c r="E9" i="70" a="1"/>
  <c r="E9" i="70" s="1"/>
  <c r="F24" i="15" a="1"/>
  <c r="F24" i="15" s="1"/>
  <c r="E15" i="15" a="1"/>
  <c r="E15" i="15" s="1"/>
  <c r="F25" i="15" a="1"/>
  <c r="F25" i="15" s="1"/>
  <c r="F20" i="15" a="1"/>
  <c r="F20" i="15" s="1"/>
  <c r="E6" i="12" a="1"/>
  <c r="E6" i="12" s="1"/>
  <c r="E35" i="15" a="1"/>
  <c r="E35" i="15" s="1"/>
  <c r="E48" i="15" a="1"/>
  <c r="E48" i="15" s="1"/>
  <c r="F28" i="15" a="1"/>
  <c r="F28" i="15" s="1"/>
  <c r="E34" i="15" a="1"/>
  <c r="E34" i="15" s="1"/>
  <c r="C14" i="39"/>
  <c r="H54" i="14" l="1"/>
  <c r="H55" i="14" s="1"/>
  <c r="I43" i="15"/>
  <c r="I45" i="47"/>
  <c r="H45" i="47"/>
  <c r="I46" i="15"/>
  <c r="I48" i="15"/>
  <c r="G22" i="15"/>
  <c r="H24" i="15"/>
  <c r="G9" i="70"/>
  <c r="F13" i="70" a="1"/>
  <c r="F13" i="70" s="1"/>
  <c r="F6" i="70" a="1"/>
  <c r="F6" i="70" s="1"/>
  <c r="F11" i="70" a="1"/>
  <c r="F11" i="70" s="1"/>
  <c r="E13" i="70" a="1"/>
  <c r="E13" i="70" s="1"/>
  <c r="E6" i="70" a="1"/>
  <c r="E6" i="70" s="1"/>
  <c r="E12" i="70" a="1"/>
  <c r="E12" i="70" s="1"/>
  <c r="E11" i="70" a="1"/>
  <c r="E11" i="70" s="1"/>
  <c r="F12" i="70" a="1"/>
  <c r="F12" i="70" s="1"/>
  <c r="H7" i="12"/>
  <c r="G8" i="70"/>
  <c r="G14" i="70"/>
  <c r="G19" i="15"/>
  <c r="H34" i="15"/>
  <c r="G7" i="70"/>
  <c r="E36" i="15"/>
  <c r="G35" i="15"/>
  <c r="G15" i="15"/>
  <c r="E16" i="15"/>
  <c r="G32" i="15"/>
  <c r="E33" i="15"/>
  <c r="H15" i="15"/>
  <c r="H16" i="15" s="1"/>
  <c r="F16" i="15"/>
  <c r="G14" i="15"/>
  <c r="F11" i="15"/>
  <c r="H10" i="15"/>
  <c r="H11" i="15" s="1"/>
  <c r="H6" i="12"/>
  <c r="F9" i="12"/>
  <c r="F10" i="12" s="1"/>
  <c r="I38" i="15"/>
  <c r="I39" i="15"/>
  <c r="H22" i="15"/>
  <c r="E13" i="15"/>
  <c r="G12" i="15"/>
  <c r="G13" i="15" s="1"/>
  <c r="G28" i="15"/>
  <c r="E29" i="15"/>
  <c r="F31" i="15"/>
  <c r="H30" i="15"/>
  <c r="H31" i="15" s="1"/>
  <c r="G24" i="15"/>
  <c r="H9" i="70"/>
  <c r="F41" i="15" a="1"/>
  <c r="F41" i="15" s="1"/>
  <c r="I41" i="15" s="1"/>
  <c r="H28" i="15"/>
  <c r="F29" i="15"/>
  <c r="G6" i="12"/>
  <c r="E9" i="12"/>
  <c r="E10" i="12" s="1"/>
  <c r="F13" i="15"/>
  <c r="H12" i="15"/>
  <c r="H13" i="15" s="1"/>
  <c r="F36" i="15"/>
  <c r="H35" i="15"/>
  <c r="H19" i="15"/>
  <c r="G25" i="15"/>
  <c r="G26" i="15" s="1"/>
  <c r="E26" i="15"/>
  <c r="E27" i="15" s="1"/>
  <c r="F42" i="15" a="1"/>
  <c r="F42" i="15" s="1"/>
  <c r="I42" i="15" s="1"/>
  <c r="F18" i="15"/>
  <c r="H17" i="15"/>
  <c r="E31" i="15"/>
  <c r="G30" i="15"/>
  <c r="G31" i="15" s="1"/>
  <c r="E11" i="15"/>
  <c r="G10" i="15"/>
  <c r="G11" i="15" s="1"/>
  <c r="H23" i="15"/>
  <c r="G21" i="15"/>
  <c r="F44" i="15" a="1"/>
  <c r="F44" i="15" s="1"/>
  <c r="I44" i="15" s="1"/>
  <c r="F47" i="15" a="1"/>
  <c r="F47" i="15" s="1"/>
  <c r="I47" i="15" s="1"/>
  <c r="F40" i="15" a="1"/>
  <c r="F40" i="15" s="1"/>
  <c r="I40" i="15" s="1"/>
  <c r="H20" i="15"/>
  <c r="G34" i="15"/>
  <c r="F26" i="15"/>
  <c r="F27" i="15" s="1"/>
  <c r="H25" i="15"/>
  <c r="H26" i="15" s="1"/>
  <c r="G17" i="15"/>
  <c r="E18" i="15"/>
  <c r="G20" i="15"/>
  <c r="H7" i="70"/>
  <c r="G23" i="15"/>
  <c r="H32" i="15"/>
  <c r="F33" i="15"/>
  <c r="H14" i="70"/>
  <c r="H14" i="15"/>
  <c r="H8" i="70"/>
  <c r="H21" i="15"/>
  <c r="G7" i="12"/>
  <c r="E10" i="70" a="1"/>
  <c r="E10" i="70" s="1"/>
  <c r="G10" i="70" s="1"/>
  <c r="I55" i="14" l="1"/>
  <c r="I56" i="14" s="1"/>
  <c r="E49" i="15"/>
  <c r="F49" i="15"/>
  <c r="H46" i="47"/>
  <c r="I46" i="47"/>
  <c r="G6" i="70"/>
  <c r="G11" i="70"/>
  <c r="H33" i="15"/>
  <c r="G13" i="70"/>
  <c r="H12" i="70"/>
  <c r="H29" i="15"/>
  <c r="K59" i="55"/>
  <c r="K60" i="55" s="1"/>
  <c r="H11" i="70"/>
  <c r="H13" i="70"/>
  <c r="G12" i="70"/>
  <c r="H6" i="70"/>
  <c r="G18" i="15"/>
  <c r="G27" i="15"/>
  <c r="I59" i="55"/>
  <c r="I60" i="55" s="1"/>
  <c r="G9" i="12"/>
  <c r="F16" i="70"/>
  <c r="F17" i="70" s="1"/>
  <c r="E16" i="70"/>
  <c r="E17" i="70" s="1"/>
  <c r="H10" i="70"/>
  <c r="H18" i="15"/>
  <c r="G59" i="55"/>
  <c r="G60" i="55" s="1"/>
  <c r="H9" i="12"/>
  <c r="G16" i="15"/>
  <c r="H27" i="15"/>
  <c r="G33" i="15"/>
  <c r="G36" i="15"/>
  <c r="H36" i="15"/>
  <c r="G29" i="15"/>
  <c r="H56" i="14" l="1"/>
  <c r="H57" i="14" s="1"/>
  <c r="H49" i="15"/>
  <c r="G49" i="15"/>
  <c r="I47" i="47"/>
  <c r="H47" i="47"/>
  <c r="F51" i="15"/>
  <c r="G16" i="70"/>
  <c r="H16" i="70"/>
  <c r="I57" i="14" l="1"/>
  <c r="I58" i="14" s="1"/>
  <c r="H48" i="47"/>
  <c r="I48" i="47"/>
  <c r="H51" i="15"/>
  <c r="H58" i="14" l="1"/>
  <c r="H59" i="14" s="1"/>
  <c r="I59" i="14"/>
  <c r="I60" i="14" s="1"/>
  <c r="I49" i="47"/>
  <c r="H49" i="47"/>
  <c r="H60" i="14" l="1"/>
  <c r="H61" i="14" s="1"/>
  <c r="H50" i="47"/>
  <c r="I50" i="47"/>
  <c r="I61" i="14" l="1"/>
  <c r="I62" i="14" s="1"/>
  <c r="I51" i="47"/>
  <c r="H51" i="47"/>
  <c r="H52" i="47" s="1"/>
  <c r="H62" i="14" l="1"/>
  <c r="H63" i="14" s="1"/>
  <c r="I52" i="47"/>
  <c r="I63" i="14" l="1"/>
  <c r="I64" i="14" s="1"/>
  <c r="H64" i="14" l="1"/>
  <c r="H65" i="14" s="1"/>
  <c r="I65" i="14" l="1"/>
  <c r="I66" i="14" s="1"/>
  <c r="H66" i="14" l="1"/>
  <c r="H67" i="14" s="1"/>
  <c r="I67" i="14" l="1"/>
  <c r="I68" i="14" s="1"/>
  <c r="H68" i="14" l="1"/>
  <c r="H69" i="14" s="1"/>
  <c r="I69" i="14" l="1"/>
  <c r="I70" i="14" s="1"/>
  <c r="H70" i="14" l="1"/>
  <c r="H71" i="14" s="1"/>
  <c r="I71" i="14" l="1"/>
  <c r="I72" i="14" s="1"/>
  <c r="H72" i="14" l="1"/>
  <c r="H73" i="14" s="1"/>
  <c r="I73" i="14" l="1"/>
  <c r="I74" i="14" s="1"/>
  <c r="H74" i="14" l="1"/>
  <c r="H75" i="14" s="1"/>
  <c r="I75" i="14" l="1"/>
  <c r="I76" i="14" s="1"/>
  <c r="H76" i="14" l="1"/>
  <c r="H77" i="14" s="1"/>
  <c r="I77" i="14" l="1"/>
</calcChain>
</file>

<file path=xl/sharedStrings.xml><?xml version="1.0" encoding="utf-8"?>
<sst xmlns="http://schemas.openxmlformats.org/spreadsheetml/2006/main" count="3027" uniqueCount="736">
  <si>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</si>
  <si>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</si>
  <si>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</si>
  <si>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</si>
  <si>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</si>
  <si>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</si>
  <si>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</si>
  <si>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</si>
  <si>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</si>
  <si>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</si>
  <si>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</si>
  <si>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</si>
  <si>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</si>
  <si>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</si>
  <si>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</si>
  <si>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</si>
  <si>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</si>
  <si>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</si>
  <si>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</si>
  <si>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</si>
  <si>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</si>
  <si>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</si>
  <si>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</si>
  <si>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</si>
  <si>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</si>
  <si>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</si>
  <si>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</si>
  <si>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</si>
  <si>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</si>
  <si>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</si>
  <si>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</si>
  <si>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</si>
  <si>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</si>
  <si>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</si>
  <si>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</si>
  <si>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</si>
  <si>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</si>
  <si>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</si>
  <si>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</si>
  <si>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</si>
  <si>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</si>
  <si>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</si>
  <si>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</si>
  <si>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</si>
  <si>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</si>
  <si>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</si>
  <si>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</si>
  <si>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</si>
  <si>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</si>
  <si>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</si>
  <si>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</si>
  <si>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</si>
  <si>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</si>
  <si>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</si>
  <si>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</si>
  <si>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</si>
  <si>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</si>
  <si>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</si>
  <si>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</si>
  <si>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</si>
  <si>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</si>
  <si>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</si>
  <si>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</si>
  <si>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</si>
  <si>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</si>
  <si>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</si>
  <si>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</si>
  <si>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</si>
  <si>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</si>
  <si>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</si>
  <si>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</si>
  <si>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</si>
  <si>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</si>
  <si>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</si>
  <si>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</si>
  <si>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</si>
  <si>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</si>
  <si>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</si>
  <si>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</si>
  <si>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</si>
  <si>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</si>
  <si>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</si>
  <si>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</si>
  <si>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</si>
  <si>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</si>
  <si>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</si>
  <si>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</si>
  <si>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</si>
  <si>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</si>
  <si>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</si>
  <si>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</si>
  <si>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</si>
  <si>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</si>
  <si>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</si>
  <si>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</si>
  <si>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</si>
  <si>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</si>
  <si>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</si>
  <si>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</si>
  <si>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</si>
  <si>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</si>
  <si>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</si>
  <si>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</si>
  <si>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</si>
  <si>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</si>
  <si>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</si>
  <si>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</si>
  <si>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</si>
  <si>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</si>
  <si>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</si>
  <si>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</si>
  <si>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</si>
  <si>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</si>
  <si>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</si>
  <si>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</si>
  <si>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</si>
  <si>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</si>
  <si>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</si>
  <si>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</si>
  <si>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</si>
  <si>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</si>
  <si>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</si>
  <si>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</si>
  <si>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</si>
  <si>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</si>
  <si>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</si>
  <si>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</si>
  <si>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</si>
  <si>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</si>
  <si>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</si>
  <si>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</si>
  <si>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</si>
  <si>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</si>
  <si>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</si>
  <si>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</si>
  <si>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</si>
  <si>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</si>
  <si>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</si>
  <si>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</si>
  <si>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</si>
  <si>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</si>
  <si>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</si>
  <si>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</si>
  <si>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</si>
  <si>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</si>
  <si>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</si>
  <si>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</si>
  <si>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</si>
  <si>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</si>
  <si>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</si>
  <si>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</si>
  <si>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</si>
  <si>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</si>
  <si>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</si>
  <si>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</si>
  <si>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</si>
  <si>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</si>
  <si>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</si>
  <si>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</si>
  <si>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</si>
  <si>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</si>
  <si>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</si>
  <si>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</si>
  <si>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</si>
  <si>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</si>
  <si>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</si>
  <si>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</si>
  <si>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</si>
  <si>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</si>
  <si>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</si>
  <si>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</si>
  <si>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</si>
  <si>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</si>
  <si>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</si>
  <si>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</si>
  <si>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</si>
  <si>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</si>
  <si>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</si>
  <si>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</si>
  <si>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</si>
  <si>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</si>
  <si>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</si>
  <si>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</si>
  <si>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</si>
  <si>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</si>
  <si>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</si>
  <si>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</si>
  <si>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</si>
  <si>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</si>
  <si>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</si>
  <si>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Mẫu số S10-DN</t>
  </si>
  <si>
    <t>SỔ CHI TIẾT VẬT LIỆU, DỤNG CỤ (SẢN PHẨM, HÀNG HÓA)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</si>
  <si>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</si>
  <si>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</si>
  <si>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</si>
  <si>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</si>
  <si>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</si>
  <si>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</si>
  <si>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</si>
  <si>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</si>
  <si>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</si>
  <si>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</si>
  <si>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</si>
  <si>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</si>
  <si>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</si>
  <si>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</si>
  <si>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</si>
  <si>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</si>
  <si>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</si>
  <si>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</si>
  <si>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</si>
  <si>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</si>
  <si>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</si>
  <si>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</si>
  <si>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</si>
  <si>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</si>
  <si>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</si>
  <si>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</si>
  <si>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</si>
  <si>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</si>
  <si>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</si>
  <si>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</si>
  <si>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</si>
  <si>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</si>
  <si>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</si>
  <si>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</si>
  <si>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</si>
  <si>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</si>
  <si>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</si>
  <si>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</si>
  <si>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</si>
  <si>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</si>
  <si>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</si>
  <si>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</si>
  <si>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</si>
  <si>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</si>
  <si>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</si>
  <si>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</si>
  <si>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</si>
  <si>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</si>
  <si>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</si>
  <si>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</si>
  <si>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</si>
  <si>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</si>
  <si>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</si>
  <si>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</si>
  <si>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</si>
  <si>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</si>
  <si>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</si>
  <si>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</si>
  <si>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</si>
  <si>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</si>
  <si>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</si>
  <si>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</si>
  <si>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</si>
  <si>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 xml:space="preserve"> Chi phí bán hàng</t>
  </si>
  <si>
    <t>THÁNG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</si>
  <si>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</si>
  <si>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</si>
  <si>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</si>
  <si>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</si>
  <si>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</si>
  <si>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</si>
  <si>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</si>
  <si>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</si>
  <si>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</si>
  <si>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</si>
  <si>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</si>
  <si>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</si>
  <si>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</si>
  <si>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</si>
  <si>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</si>
  <si>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</si>
  <si>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</si>
  <si>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</si>
  <si>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</si>
  <si>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</si>
  <si>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</si>
  <si>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</si>
  <si>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</si>
  <si>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</si>
  <si>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</si>
  <si>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</si>
  <si>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</si>
  <si>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</si>
  <si>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</si>
  <si>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</si>
  <si>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</si>
  <si>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</si>
  <si>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</si>
  <si>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</si>
  <si>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IV</t>
  </si>
  <si>
    <t>TK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</si>
  <si>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</si>
  <si>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</si>
  <si>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</si>
  <si>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</si>
  <si>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</si>
  <si>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</si>
  <si>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</si>
  <si>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</si>
  <si>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</si>
  <si>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</si>
  <si>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</si>
  <si>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</si>
  <si>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</si>
  <si>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</si>
  <si>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</si>
  <si>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</si>
  <si>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</si>
  <si>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</si>
  <si>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</si>
  <si>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</si>
  <si>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</si>
  <si>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</si>
  <si>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</si>
  <si>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</si>
  <si>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</si>
  <si>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</si>
  <si>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</si>
  <si>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</si>
  <si>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</si>
  <si>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</si>
  <si>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</si>
  <si>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</si>
  <si>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</si>
  <si>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</si>
  <si>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</si>
  <si>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</si>
  <si>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</si>
  <si>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</si>
  <si>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</si>
  <si>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</si>
  <si>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</si>
  <si>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</si>
  <si>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</si>
  <si>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</si>
  <si>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</si>
  <si>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</si>
  <si>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</si>
  <si>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</si>
  <si>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</si>
  <si>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</si>
  <si>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</si>
  <si>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</si>
  <si>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</si>
  <si>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</si>
  <si>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</si>
  <si>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</si>
  <si>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</si>
  <si>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</si>
  <si>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</si>
  <si>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</si>
  <si>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</si>
  <si>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</si>
  <si>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</si>
  <si>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</si>
  <si>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</si>
  <si>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</si>
  <si>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</si>
  <si>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</si>
  <si>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</si>
  <si>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</si>
  <si>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</si>
  <si>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</si>
  <si>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</si>
  <si>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</si>
  <si>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</si>
  <si>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</si>
  <si>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</si>
  <si>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</si>
  <si>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</si>
  <si>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</si>
  <si>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</si>
  <si>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</si>
  <si>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</si>
  <si>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</si>
  <si>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</si>
  <si>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</si>
  <si>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</si>
  <si>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</si>
  <si>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</si>
  <si>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</si>
  <si>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</si>
  <si>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</si>
  <si>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</si>
  <si>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</si>
  <si>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</si>
  <si>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</si>
  <si>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</si>
  <si>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</si>
  <si>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</si>
  <si>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</si>
  <si>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</si>
  <si>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</si>
  <si>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</si>
  <si>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</si>
  <si>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</si>
  <si>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</si>
  <si>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</si>
  <si>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</si>
  <si>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</si>
  <si>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</si>
  <si>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</si>
  <si>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</si>
  <si>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</si>
  <si>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</si>
  <si>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</si>
  <si>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</si>
  <si>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</si>
  <si>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</si>
  <si>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</si>
  <si>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</si>
  <si>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</si>
  <si>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</si>
  <si>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</si>
  <si>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</si>
  <si>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</si>
  <si>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</si>
  <si>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</si>
  <si>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</si>
  <si>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</si>
  <si>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</si>
  <si>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</si>
  <si>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</si>
  <si>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</si>
  <si>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</si>
  <si>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</si>
  <si>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</si>
  <si>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</si>
  <si>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</si>
  <si>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</si>
  <si>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</si>
  <si>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</si>
  <si>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</si>
  <si>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</si>
  <si>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</si>
  <si>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</si>
  <si>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</si>
  <si>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</si>
  <si>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</si>
  <si>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</si>
  <si>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</si>
  <si>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</si>
  <si>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</si>
  <si>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</si>
  <si>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</si>
  <si>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</si>
  <si>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</si>
  <si>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</si>
  <si>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</si>
  <si>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</si>
  <si>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</si>
  <si>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</si>
  <si>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</si>
  <si>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</si>
  <si>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</si>
  <si>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</si>
  <si>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</si>
  <si>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</si>
  <si>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</si>
  <si>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</si>
  <si>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</si>
  <si>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</si>
  <si>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</si>
  <si>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</si>
  <si>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</si>
  <si>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</si>
  <si>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</si>
  <si>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</si>
  <si>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</si>
  <si>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</si>
  <si>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</si>
  <si>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</si>
  <si>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</si>
  <si>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</si>
  <si>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</si>
  <si>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</si>
  <si>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</si>
  <si>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</si>
  <si>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</si>
  <si>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</si>
  <si>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</si>
  <si>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</si>
  <si>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</si>
  <si>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</si>
  <si>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</si>
  <si>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</si>
  <si>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</si>
  <si>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</si>
  <si>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</si>
  <si>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</si>
  <si>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</si>
  <si>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</si>
  <si>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</si>
  <si>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</si>
  <si>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</si>
  <si>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</si>
  <si>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</si>
  <si>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</si>
  <si>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</si>
  <si>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</si>
  <si>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</si>
  <si>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</si>
  <si>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</si>
  <si>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</si>
  <si>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</si>
  <si>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</si>
  <si>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</si>
  <si>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</si>
  <si>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</si>
  <si>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</si>
  <si>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</si>
  <si>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</si>
  <si>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</si>
  <si>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</si>
  <si>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</si>
  <si>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</si>
  <si>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</si>
  <si>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</si>
  <si>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</si>
  <si>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</si>
  <si>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</si>
  <si>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</si>
  <si>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</si>
  <si>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</si>
  <si>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</si>
  <si>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</si>
  <si>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</si>
  <si>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</si>
  <si>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</si>
  <si>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</si>
  <si>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</si>
  <si>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</si>
  <si>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</si>
  <si>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</si>
  <si>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</si>
  <si>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</si>
  <si>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</si>
  <si>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</si>
  <si>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</si>
  <si>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</si>
  <si>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</si>
  <si>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</si>
  <si>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</si>
  <si>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</si>
  <si>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</si>
  <si>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</si>
  <si>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</si>
  <si>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</si>
  <si>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</si>
  <si>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</si>
  <si>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</si>
  <si>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</si>
  <si>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</si>
  <si>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</si>
  <si>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</si>
  <si>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</si>
  <si>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</si>
  <si>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</si>
  <si>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</si>
  <si>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</si>
  <si>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</si>
  <si>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</si>
  <si>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</si>
  <si>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</si>
  <si>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</si>
  <si>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</si>
  <si>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</si>
  <si>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</si>
  <si>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</si>
  <si>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</si>
  <si>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</si>
  <si>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</si>
  <si>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</si>
  <si>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</si>
  <si>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</si>
  <si>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</si>
  <si>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</si>
  <si>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</si>
  <si>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</si>
  <si>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</si>
  <si>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</si>
  <si>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</si>
  <si>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</si>
  <si>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</si>
  <si>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</si>
  <si>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</si>
  <si>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</si>
  <si>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</si>
  <si>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</si>
  <si>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</si>
  <si>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</si>
  <si>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</si>
  <si>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</si>
  <si>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</si>
  <si>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</si>
  <si>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</si>
  <si>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</si>
  <si>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</si>
  <si>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</si>
  <si>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</si>
  <si>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</si>
  <si>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</si>
  <si>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</si>
  <si>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</si>
  <si>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</si>
  <si>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</si>
  <si>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</si>
  <si>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</si>
  <si>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</si>
  <si>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</si>
  <si>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</si>
  <si>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</si>
  <si>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</si>
  <si>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</si>
  <si>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</si>
  <si>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</si>
  <si>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</si>
  <si>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</si>
  <si>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</si>
  <si>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</si>
  <si>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</si>
  <si>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</si>
  <si>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</si>
  <si>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</si>
  <si>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</si>
  <si>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</si>
  <si>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</si>
  <si>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</si>
  <si>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</si>
  <si>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</si>
  <si>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</si>
  <si>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</si>
  <si>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</si>
  <si>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</si>
  <si>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</si>
  <si>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</si>
  <si>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</si>
  <si>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</si>
  <si>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</si>
  <si>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</si>
  <si>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</si>
  <si>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</si>
  <si>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</si>
  <si>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</si>
  <si>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</si>
  <si>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</si>
  <si>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</si>
  <si>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</si>
  <si>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</si>
  <si>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</si>
  <si>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</si>
  <si>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</si>
  <si>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</si>
  <si>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</si>
  <si>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</si>
  <si>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</si>
  <si>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</si>
  <si>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</si>
  <si>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</si>
  <si>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</si>
  <si>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</si>
  <si>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</si>
  <si>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</si>
  <si>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</si>
  <si>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</si>
  <si>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</si>
  <si>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</si>
  <si>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</si>
  <si>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</si>
  <si>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</si>
  <si>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</si>
  <si>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</si>
  <si>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</si>
  <si>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</si>
  <si>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</si>
  <si>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</si>
  <si>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</si>
  <si>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</si>
  <si>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</si>
  <si>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</si>
  <si>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</si>
  <si>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</si>
  <si>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</si>
  <si>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</si>
  <si>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</si>
  <si>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</si>
  <si>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</si>
  <si>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</si>
  <si>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</si>
  <si>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</si>
  <si>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</si>
  <si>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</si>
  <si>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</si>
  <si>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</si>
  <si>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</si>
  <si>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</si>
  <si>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</si>
  <si>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</si>
  <si>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</si>
  <si>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</si>
  <si>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</si>
  <si>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</si>
  <si>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</si>
  <si>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</si>
  <si>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</si>
  <si>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</si>
  <si>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</si>
  <si>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</si>
  <si>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</si>
  <si>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</si>
  <si>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</si>
  <si>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</si>
  <si>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</si>
  <si>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</si>
  <si>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</si>
  <si>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</si>
  <si>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</si>
  <si>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</si>
  <si>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</si>
  <si>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</si>
  <si>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</si>
  <si>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</si>
  <si>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</si>
  <si>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</si>
  <si>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</si>
  <si>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</si>
  <si>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</si>
  <si>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</si>
  <si>
    <t>NVL</t>
  </si>
  <si>
    <t>- Sổ này có 06 Trang, đánh số từ trang 01 đến trang 06</t>
  </si>
  <si>
    <t>155</t>
  </si>
  <si>
    <t>Thành Phẩm</t>
  </si>
  <si>
    <t>- Sổ này có  02 trang, đánh số từ trang 01 đến trang 02</t>
  </si>
  <si>
    <t>Tài khoản: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</si>
</sst>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  <font>
      <b/>
      <sz val="10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6"/>
      <color indexed="63"/>
      <name val="Times New Roman"/>
      <family val="1"/>
    </font>
    <font>
      <sz val="11"/>
      <color indexed="1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8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1" fillId="0" borderId="26">
      <alignment horizontal="center"/>
      <protection hidden="1"/>
    </xf>
    <xf numFmtId="0" fontId="92" fillId="0" borderId="16" applyNumberFormat="0"/>
    <xf numFmtId="177" fontId="93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93" fillId="0" borderId="0" applyFont="0" applyFill="0" applyBorder="0" applyAlignment="0" applyProtection="0"/>
    <xf numFmtId="0" fontId="94" fillId="0" borderId="0"/>
    <xf numFmtId="180" fontId="95" fillId="0" borderId="0" applyFont="0" applyFill="0" applyBorder="0" applyAlignment="0" applyProtection="0"/>
    <xf numFmtId="181" fontId="95" fillId="0" borderId="0" applyFont="0" applyFill="0" applyBorder="0" applyAlignment="0" applyProtection="0"/>
    <xf numFmtId="182" fontId="96" fillId="0" borderId="0" applyFont="0" applyFill="0" applyBorder="0" applyAlignment="0" applyProtection="0"/>
    <xf numFmtId="9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92" fillId="0" borderId="16"/>
    <xf numFmtId="0" fontId="92" fillId="0" borderId="16"/>
    <xf numFmtId="0" fontId="102" fillId="34" borderId="0"/>
    <xf numFmtId="9" fontId="103" fillId="0" borderId="0" applyBorder="0" applyAlignment="0" applyProtection="0"/>
    <xf numFmtId="0" fontId="104" fillId="34" borderId="0"/>
    <xf numFmtId="0" fontId="105" fillId="34" borderId="0"/>
    <xf numFmtId="0" fontId="106" fillId="0" borderId="0">
      <alignment wrapText="1"/>
    </xf>
    <xf numFmtId="0" fontId="107" fillId="0" borderId="0"/>
    <xf numFmtId="195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7" fontId="109" fillId="0" borderId="0" applyFont="0" applyFill="0" applyBorder="0" applyAlignment="0" applyProtection="0"/>
    <xf numFmtId="181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1" fontId="109" fillId="0" borderId="0" applyFont="0" applyFill="0" applyBorder="0" applyAlignment="0" applyProtection="0"/>
    <xf numFmtId="180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0" fontId="109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108" fillId="0" borderId="0"/>
    <xf numFmtId="0" fontId="34" fillId="0" borderId="0"/>
    <xf numFmtId="0" fontId="108" fillId="0" borderId="0"/>
    <xf numFmtId="0" fontId="111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12" fillId="0" borderId="0"/>
    <xf numFmtId="204" fontId="113" fillId="0" borderId="54" applyBorder="0"/>
    <xf numFmtId="204" fontId="114" fillId="0" borderId="16">
      <protection locked="0"/>
    </xf>
    <xf numFmtId="205" fontId="37" fillId="0" borderId="0" applyFont="0" applyFill="0" applyBorder="0" applyAlignment="0" applyProtection="0"/>
    <xf numFmtId="206" fontId="115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16" fillId="0" borderId="0">
      <protection locked="0"/>
    </xf>
    <xf numFmtId="210" fontId="116" fillId="0" borderId="0">
      <protection locked="0"/>
    </xf>
    <xf numFmtId="211" fontId="117" fillId="0" borderId="52">
      <protection locked="0"/>
    </xf>
    <xf numFmtId="212" fontId="116" fillId="0" borderId="0">
      <protection locked="0"/>
    </xf>
    <xf numFmtId="213" fontId="116" fillId="0" borderId="0">
      <protection locked="0"/>
    </xf>
    <xf numFmtId="212" fontId="116" fillId="0" borderId="0" applyNumberFormat="0">
      <protection locked="0"/>
    </xf>
    <xf numFmtId="212" fontId="116" fillId="0" borderId="0">
      <protection locked="0"/>
    </xf>
    <xf numFmtId="204" fontId="118" fillId="0" borderId="26"/>
    <xf numFmtId="214" fontId="118" fillId="0" borderId="26"/>
    <xf numFmtId="199" fontId="3" fillId="0" borderId="0" applyFont="0" applyFill="0" applyBorder="0" applyAlignment="0" applyProtection="0"/>
    <xf numFmtId="215" fontId="3" fillId="0" borderId="0"/>
    <xf numFmtId="204" fontId="91" fillId="0" borderId="26">
      <alignment horizontal="center"/>
      <protection hidden="1"/>
    </xf>
    <xf numFmtId="181" fontId="119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0" fillId="0" borderId="26">
      <alignment horizontal="center"/>
      <protection hidden="1"/>
    </xf>
    <xf numFmtId="2" fontId="91" fillId="0" borderId="26">
      <alignment horizontal="center"/>
      <protection hidden="1"/>
    </xf>
    <xf numFmtId="14" fontId="121" fillId="0" borderId="0" applyFill="0" applyBorder="0" applyAlignment="0"/>
    <xf numFmtId="217" fontId="122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23" fillId="34" borderId="0" applyNumberFormat="0" applyBorder="0" applyAlignment="0" applyProtection="0"/>
    <xf numFmtId="0" fontId="124" fillId="0" borderId="0">
      <alignment horizontal="left"/>
    </xf>
    <xf numFmtId="0" fontId="42" fillId="0" borderId="0" applyProtection="0"/>
    <xf numFmtId="0" fontId="25" fillId="0" borderId="0" applyProtection="0"/>
    <xf numFmtId="49" fontId="125" fillId="0" borderId="2">
      <alignment vertical="center"/>
    </xf>
    <xf numFmtId="194" fontId="37" fillId="0" borderId="0" applyFont="0" applyFill="0" applyBorder="0" applyAlignment="0" applyProtection="0"/>
    <xf numFmtId="0" fontId="126" fillId="0" borderId="0"/>
    <xf numFmtId="10" fontId="123" fillId="35" borderId="2" applyNumberFormat="0" applyBorder="0" applyAlignment="0" applyProtection="0"/>
    <xf numFmtId="2" fontId="68" fillId="0" borderId="24" applyBorder="0"/>
    <xf numFmtId="0" fontId="127" fillId="0" borderId="0"/>
    <xf numFmtId="2" fontId="128" fillId="0" borderId="17" applyBorder="0"/>
    <xf numFmtId="2" fontId="129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23" fillId="0" borderId="54" applyFont="0"/>
    <xf numFmtId="3" fontId="3" fillId="0" borderId="31"/>
    <xf numFmtId="38" fontId="130" fillId="0" borderId="0" applyFont="0" applyFill="0" applyBorder="0" applyAlignment="0" applyProtection="0"/>
    <xf numFmtId="40" fontId="130" fillId="0" borderId="0" applyFont="0" applyFill="0" applyBorder="0" applyAlignment="0" applyProtection="0"/>
    <xf numFmtId="0" fontId="131" fillId="0" borderId="16"/>
    <xf numFmtId="0" fontId="132" fillId="0" borderId="55"/>
    <xf numFmtId="221" fontId="130" fillId="0" borderId="0" applyFont="0" applyFill="0" applyBorder="0" applyAlignment="0" applyProtection="0"/>
    <xf numFmtId="222" fontId="130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33" fillId="0" borderId="0" applyNumberFormat="0" applyFont="0" applyFill="0" applyAlignment="0"/>
    <xf numFmtId="0" fontId="118" fillId="0" borderId="0">
      <alignment horizontal="justify" vertical="top"/>
    </xf>
    <xf numFmtId="0" fontId="34" fillId="0" borderId="0"/>
    <xf numFmtId="37" fontId="134" fillId="0" borderId="0"/>
    <xf numFmtId="0" fontId="135" fillId="0" borderId="0"/>
    <xf numFmtId="225" fontId="136" fillId="0" borderId="0"/>
    <xf numFmtId="0" fontId="127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0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32" fillId="0" borderId="0"/>
    <xf numFmtId="227" fontId="137" fillId="0" borderId="24">
      <alignment horizontal="right" vertical="center"/>
    </xf>
    <xf numFmtId="228" fontId="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9" fontId="3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04" fontId="118" fillId="0" borderId="26">
      <protection hidden="1"/>
    </xf>
    <xf numFmtId="49" fontId="121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37" fillId="0" borderId="24">
      <alignment horizontal="center"/>
    </xf>
    <xf numFmtId="0" fontId="127" fillId="0" borderId="57"/>
    <xf numFmtId="49" fontId="138" fillId="0" borderId="0">
      <alignment horizontal="justify" vertical="center" wrapText="1"/>
    </xf>
    <xf numFmtId="40" fontId="36" fillId="0" borderId="0"/>
    <xf numFmtId="0" fontId="139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37" fillId="0" borderId="0"/>
    <xf numFmtId="234" fontId="137" fillId="0" borderId="2"/>
    <xf numFmtId="0" fontId="140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>
      <alignment horizontal="left" wrapText="1"/>
    </xf>
    <xf numFmtId="236" fontId="143" fillId="0" borderId="0" applyFont="0" applyFill="0" applyBorder="0" applyAlignment="0" applyProtection="0"/>
    <xf numFmtId="237" fontId="143" fillId="0" borderId="0" applyFont="0" applyFill="0" applyBorder="0" applyAlignment="0" applyProtection="0"/>
    <xf numFmtId="0" fontId="143" fillId="0" borderId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61" fillId="0" borderId="0">
      <alignment vertical="center"/>
    </xf>
    <xf numFmtId="9" fontId="145" fillId="0" borderId="0" applyFont="0" applyFill="0" applyBorder="0" applyAlignment="0" applyProtection="0"/>
    <xf numFmtId="238" fontId="146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133" fillId="0" borderId="0"/>
    <xf numFmtId="182" fontId="147" fillId="0" borderId="0" applyFont="0" applyFill="0" applyBorder="0" applyAlignment="0" applyProtection="0"/>
    <xf numFmtId="186" fontId="147" fillId="0" borderId="0" applyFont="0" applyFill="0" applyBorder="0" applyAlignment="0" applyProtection="0"/>
    <xf numFmtId="180" fontId="148" fillId="0" borderId="0" applyFont="0" applyFill="0" applyBorder="0" applyAlignment="0" applyProtection="0"/>
    <xf numFmtId="181" fontId="148" fillId="0" borderId="0" applyFont="0" applyFill="0" applyBorder="0" applyAlignment="0" applyProtection="0"/>
    <xf numFmtId="0" fontId="148" fillId="0" borderId="0"/>
    <xf numFmtId="240" fontId="147" fillId="0" borderId="0" applyFont="0" applyFill="0" applyBorder="0" applyAlignment="0" applyProtection="0"/>
    <xf numFmtId="6" fontId="149" fillId="0" borderId="0" applyFont="0" applyFill="0" applyBorder="0" applyAlignment="0" applyProtection="0"/>
    <xf numFmtId="241" fontId="147" fillId="0" borderId="0" applyFont="0" applyFill="0" applyBorder="0" applyAlignment="0" applyProtection="0"/>
    <xf numFmtId="237" fontId="148" fillId="0" borderId="0" applyFont="0" applyFill="0" applyBorder="0" applyAlignment="0" applyProtection="0"/>
    <xf numFmtId="236" fontId="148" fillId="0" borderId="0" applyFont="0" applyFill="0" applyBorder="0" applyAlignment="0" applyProtection="0"/>
  </cellStyleXfs>
  <cellXfs count="103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8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59" fillId="28" borderId="0" xfId="84" applyFont="1" applyFill="1" applyAlignment="1">
      <alignment vertical="center" wrapText="1"/>
    </xf>
    <xf numFmtId="164" fontId="62" fillId="25" borderId="31" xfId="74" applyNumberFormat="1" applyFont="1" applyFill="1" applyBorder="1" applyAlignment="1">
      <alignment vertical="center"/>
    </xf>
    <xf numFmtId="0" fontId="34" fillId="0" borderId="0" xfId="84" quotePrefix="1" applyFont="1" applyAlignment="1">
      <alignment horizontal="left"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3" fontId="33" fillId="0" borderId="0" xfId="7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64" fillId="0" borderId="0" xfId="0" applyFont="1" applyAlignment="1">
      <alignment horizontal="center"/>
    </xf>
    <xf numFmtId="164" fontId="64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164" fontId="34" fillId="0" borderId="0" xfId="74" quotePrefix="1" applyNumberFormat="1" applyFont="1" applyAlignment="1">
      <alignment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0" fontId="33" fillId="0" borderId="0" xfId="84" applyFont="1" applyAlignment="1">
      <alignment horizontal="right" vertical="center"/>
    </xf>
    <xf numFmtId="0" fontId="66" fillId="0" borderId="0" xfId="84" applyFont="1" applyAlignment="1">
      <alignment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applyFont="1" applyAlignment="1"/>
    <xf numFmtId="0" fontId="59" fillId="28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8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33" fillId="0" borderId="0" xfId="94" applyFont="1" applyAlignment="1" applyProtection="1"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63" fillId="0" borderId="0" xfId="77" applyFont="1" applyAlignment="1" applyProtection="1">
      <alignment horizontal="left" vertical="center"/>
      <protection hidden="1"/>
    </xf>
    <xf numFmtId="0" fontId="63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59" fillId="28" borderId="0" xfId="92" applyFont="1" applyFill="1" applyAlignment="1">
      <alignment vertical="top"/>
    </xf>
    <xf numFmtId="0" fontId="59" fillId="28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0" fontId="36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6" fillId="28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8" borderId="0" xfId="0" applyFont="1" applyFill="1" applyBorder="1" applyAlignment="1" applyProtection="1">
      <alignment horizontal="center"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8" borderId="38" xfId="0" applyFont="1" applyFill="1" applyBorder="1" applyAlignment="1" applyProtection="1">
      <alignment horizont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wrapText="1"/>
      <protection hidden="1"/>
    </xf>
    <xf numFmtId="0" fontId="33" fillId="28" borderId="36" xfId="0" applyFont="1" applyFill="1" applyBorder="1" applyAlignment="1" applyProtection="1">
      <alignment horizontal="center" wrapText="1"/>
      <protection hidden="1"/>
    </xf>
    <xf numFmtId="0" fontId="33" fillId="28" borderId="36" xfId="0" applyNumberFormat="1" applyFont="1" applyFill="1" applyBorder="1" applyAlignment="1" applyProtection="1">
      <alignment horizont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wrapText="1"/>
      <protection hidden="1"/>
    </xf>
    <xf numFmtId="0" fontId="33" fillId="28" borderId="0" xfId="0" applyFont="1" applyFill="1" applyBorder="1" applyAlignment="1" applyProtection="1">
      <alignment horizontal="center" wrapText="1"/>
      <protection hidden="1"/>
    </xf>
    <xf numFmtId="0" fontId="36" fillId="28" borderId="2" xfId="0" applyFont="1" applyFill="1" applyBorder="1" applyAlignment="1" applyProtection="1">
      <alignment horizontal="right" wrapText="1"/>
      <protection hidden="1"/>
    </xf>
    <xf numFmtId="14" fontId="36" fillId="28" borderId="2" xfId="0" applyNumberFormat="1" applyFont="1" applyFill="1" applyBorder="1" applyAlignment="1" applyProtection="1">
      <alignment horizontal="right" wrapText="1"/>
      <protection hidden="1"/>
    </xf>
    <xf numFmtId="0" fontId="36" fillId="28" borderId="2" xfId="0" applyFont="1" applyFill="1" applyBorder="1" applyAlignment="1" applyProtection="1">
      <alignment horizontal="center" wrapText="1"/>
      <protection hidden="1"/>
    </xf>
    <xf numFmtId="0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wrapText="1"/>
      <protection hidden="1"/>
    </xf>
    <xf numFmtId="164" fontId="36" fillId="28" borderId="2" xfId="29" applyNumberFormat="1" applyFont="1" applyFill="1" applyBorder="1" applyAlignment="1" applyProtection="1">
      <alignment horizontal="center" wrapText="1"/>
      <protection hidden="1"/>
    </xf>
    <xf numFmtId="0" fontId="36" fillId="28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28" borderId="21" xfId="29" applyNumberFormat="1" applyFont="1" applyFill="1" applyBorder="1" applyAlignment="1" applyProtection="1">
      <alignment horizontal="center" wrapText="1"/>
      <protection hidden="1"/>
    </xf>
    <xf numFmtId="164" fontId="33" fillId="28" borderId="16" xfId="29" applyNumberFormat="1" applyFont="1" applyFill="1" applyBorder="1" applyAlignment="1" applyProtection="1">
      <alignment wrapText="1"/>
      <protection hidden="1"/>
    </xf>
    <xf numFmtId="0" fontId="33" fillId="28" borderId="21" xfId="0" applyFont="1" applyFill="1" applyBorder="1" applyAlignment="1" applyProtection="1">
      <alignment wrapText="1"/>
      <protection hidden="1"/>
    </xf>
    <xf numFmtId="0" fontId="33" fillId="28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8" borderId="39" xfId="0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horizontal="center" wrapText="1"/>
      <protection hidden="1"/>
    </xf>
    <xf numFmtId="164" fontId="33" fillId="28" borderId="39" xfId="29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wrapText="1"/>
      <protection hidden="1"/>
    </xf>
    <xf numFmtId="0" fontId="36" fillId="28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top" wrapText="1"/>
      <protection hidden="1"/>
    </xf>
    <xf numFmtId="14" fontId="36" fillId="28" borderId="0" xfId="0" applyNumberFormat="1" applyFont="1" applyFill="1" applyAlignment="1" applyProtection="1">
      <alignment vertical="top" wrapText="1"/>
      <protection hidden="1"/>
    </xf>
    <xf numFmtId="0" fontId="51" fillId="28" borderId="0" xfId="0" applyFont="1" applyFill="1" applyAlignment="1" applyProtection="1">
      <alignment horizontal="center" vertical="top" wrapText="1"/>
      <protection hidden="1"/>
    </xf>
    <xf numFmtId="0" fontId="33" fillId="28" borderId="0" xfId="0" applyFont="1" applyFill="1" applyAlignment="1" applyProtection="1">
      <alignment horizontal="center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8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6" borderId="2" xfId="84" applyFont="1" applyFill="1" applyBorder="1" applyAlignment="1" applyProtection="1">
      <alignment vertical="center"/>
      <protection locked="0" hidden="1"/>
    </xf>
    <xf numFmtId="164" fontId="34" fillId="0" borderId="0" xfId="29" applyNumberFormat="1" applyFont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6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6" borderId="31" xfId="74" applyFont="1" applyFill="1" applyBorder="1" applyAlignment="1" applyProtection="1">
      <alignment vertical="center"/>
      <protection locked="0" hidden="1"/>
    </xf>
    <xf numFmtId="0" fontId="36" fillId="27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0" fontId="33" fillId="0" borderId="0" xfId="94" applyFont="1" applyAlignment="1" applyProtection="1">
      <alignment horizontal="center"/>
      <protection hidden="1"/>
    </xf>
    <xf numFmtId="0" fontId="63" fillId="0" borderId="0" xfId="90" applyFont="1" applyAlignment="1">
      <alignment horizontal="center" vertical="center"/>
    </xf>
    <xf numFmtId="41" fontId="36" fillId="28" borderId="0" xfId="92" applyNumberFormat="1" applyFont="1" applyFill="1" applyAlignment="1">
      <alignment vertical="center"/>
    </xf>
    <xf numFmtId="41" fontId="36" fillId="28" borderId="0" xfId="92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7" fillId="0" borderId="0" xfId="29" applyNumberFormat="1" applyFont="1" applyAlignment="1">
      <alignment vertical="center"/>
    </xf>
    <xf numFmtId="41" fontId="67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8" borderId="0" xfId="0" applyFont="1" applyFill="1" applyAlignment="1" applyProtection="1">
      <alignment vertical="top" wrapText="1"/>
      <protection hidden="1"/>
    </xf>
    <xf numFmtId="0" fontId="36" fillId="28" borderId="0" xfId="0" applyFont="1" applyFill="1" applyAlignment="1" applyProtection="1">
      <alignment horizontal="center" vertical="top"/>
      <protection hidden="1"/>
    </xf>
    <xf numFmtId="0" fontId="33" fillId="28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41" fontId="33" fillId="28" borderId="0" xfId="92" applyNumberFormat="1" applyFont="1" applyFill="1" applyAlignment="1">
      <alignment vertical="center"/>
    </xf>
    <xf numFmtId="164" fontId="70" fillId="0" borderId="0" xfId="74" applyNumberFormat="1" applyFont="1" applyBorder="1" applyAlignment="1" applyProtection="1">
      <alignment vertical="center"/>
      <protection hidden="1"/>
    </xf>
    <xf numFmtId="164" fontId="71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66" fillId="0" borderId="0" xfId="74" applyNumberFormat="1" applyFont="1" applyAlignment="1">
      <alignment vertical="center"/>
    </xf>
    <xf numFmtId="164" fontId="22" fillId="0" borderId="0" xfId="71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protection hidden="1"/>
    </xf>
    <xf numFmtId="0" fontId="33" fillId="28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29" borderId="31" xfId="77" applyFont="1" applyFill="1" applyBorder="1" applyAlignment="1" applyProtection="1">
      <alignment vertical="center"/>
      <protection locked="0" hidden="1"/>
    </xf>
    <xf numFmtId="0" fontId="35" fillId="30" borderId="31" xfId="77" applyNumberFormat="1" applyFont="1" applyFill="1" applyBorder="1" applyAlignment="1" applyProtection="1">
      <alignment vertical="center"/>
      <protection locked="0" hidden="1"/>
    </xf>
    <xf numFmtId="0" fontId="73" fillId="0" borderId="0" xfId="74" applyFont="1" applyFill="1" applyBorder="1" applyAlignment="1" applyProtection="1">
      <alignment horizontal="left" vertical="center"/>
      <protection hidden="1"/>
    </xf>
    <xf numFmtId="0" fontId="74" fillId="0" borderId="0" xfId="77" applyFont="1" applyAlignment="1" applyProtection="1">
      <alignment vertical="center"/>
      <protection hidden="1"/>
    </xf>
    <xf numFmtId="0" fontId="73" fillId="0" borderId="0" xfId="77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vertical="center"/>
      <protection hidden="1"/>
    </xf>
    <xf numFmtId="164" fontId="75" fillId="0" borderId="0" xfId="74" applyNumberFormat="1" applyFont="1" applyBorder="1" applyAlignment="1" applyProtection="1">
      <alignment vertical="center"/>
      <protection hidden="1"/>
    </xf>
    <xf numFmtId="0" fontId="73" fillId="0" borderId="0" xfId="77" applyFont="1" applyAlignment="1" applyProtection="1">
      <alignment vertical="center"/>
      <protection hidden="1"/>
    </xf>
    <xf numFmtId="0" fontId="74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1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76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72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77" fillId="0" borderId="0" xfId="0" applyFont="1"/>
    <xf numFmtId="0" fontId="79" fillId="0" borderId="22" xfId="0" applyFont="1" applyBorder="1" applyAlignment="1">
      <alignment vertical="center"/>
    </xf>
    <xf numFmtId="164" fontId="69" fillId="0" borderId="0" xfId="29" applyNumberFormat="1" applyFont="1"/>
    <xf numFmtId="0" fontId="69" fillId="0" borderId="0" xfId="0" applyFont="1"/>
    <xf numFmtId="164" fontId="36" fillId="32" borderId="2" xfId="29" applyNumberFormat="1" applyFont="1" applyFill="1" applyBorder="1" applyAlignment="1">
      <alignment horizontal="center" vertical="center" wrapText="1"/>
    </xf>
    <xf numFmtId="0" fontId="34" fillId="30" borderId="17" xfId="0" applyFont="1" applyFill="1" applyBorder="1" applyAlignment="1">
      <alignment horizontal="center" vertical="center" wrapText="1"/>
    </xf>
    <xf numFmtId="0" fontId="80" fillId="0" borderId="16" xfId="0" applyFont="1" applyBorder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 wrapText="1"/>
    </xf>
    <xf numFmtId="164" fontId="80" fillId="33" borderId="16" xfId="29" applyNumberFormat="1" applyFont="1" applyFill="1" applyBorder="1" applyAlignment="1">
      <alignment horizontal="center" vertical="center" wrapText="1"/>
    </xf>
    <xf numFmtId="164" fontId="80" fillId="0" borderId="16" xfId="29" applyNumberFormat="1" applyFont="1" applyBorder="1" applyAlignment="1">
      <alignment horizontal="center" vertical="center" wrapText="1"/>
    </xf>
    <xf numFmtId="164" fontId="81" fillId="0" borderId="0" xfId="29" applyNumberFormat="1" applyFont="1"/>
    <xf numFmtId="164" fontId="80" fillId="0" borderId="0" xfId="29" applyNumberFormat="1" applyFont="1"/>
    <xf numFmtId="0" fontId="80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82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83" fillId="0" borderId="0" xfId="0" applyFont="1" applyBorder="1" applyAlignment="1">
      <alignment vertical="center"/>
    </xf>
    <xf numFmtId="0" fontId="83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84" fillId="0" borderId="0" xfId="0" applyFont="1" applyBorder="1" applyAlignment="1">
      <alignment vertical="center"/>
    </xf>
    <xf numFmtId="0" fontId="85" fillId="0" borderId="0" xfId="0" applyNumberFormat="1" applyFont="1" applyBorder="1" applyAlignment="1">
      <alignment horizontal="center" vertical="center" wrapText="1"/>
    </xf>
    <xf numFmtId="43" fontId="86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87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84" fillId="32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84" fillId="32" borderId="23" xfId="29" applyNumberFormat="1" applyFont="1" applyFill="1" applyBorder="1" applyAlignment="1">
      <alignment horizontal="center" vertical="center" textRotation="90"/>
    </xf>
    <xf numFmtId="0" fontId="83" fillId="32" borderId="17" xfId="0" applyFont="1" applyFill="1" applyBorder="1" applyAlignment="1">
      <alignment horizontal="center" vertical="center"/>
    </xf>
    <xf numFmtId="43" fontId="83" fillId="32" borderId="17" xfId="29" applyFont="1" applyFill="1" applyBorder="1" applyAlignment="1">
      <alignment horizontal="center" vertical="center"/>
    </xf>
    <xf numFmtId="0" fontId="35" fillId="30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84" fillId="0" borderId="12" xfId="97" applyFont="1" applyFill="1" applyBorder="1" applyAlignment="1">
      <alignment horizontal="center" vertical="center"/>
    </xf>
    <xf numFmtId="171" fontId="85" fillId="0" borderId="12" xfId="91" applyNumberFormat="1" applyFont="1" applyFill="1" applyBorder="1" applyAlignment="1">
      <alignment horizontal="center" vertical="center"/>
    </xf>
    <xf numFmtId="0" fontId="84" fillId="0" borderId="19" xfId="97" applyFont="1" applyFill="1" applyBorder="1" applyAlignment="1">
      <alignment horizontal="center" vertical="center"/>
    </xf>
    <xf numFmtId="171" fontId="85" fillId="0" borderId="19" xfId="91" applyNumberFormat="1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left" vertical="center"/>
    </xf>
    <xf numFmtId="0" fontId="84" fillId="0" borderId="0" xfId="0" applyFont="1" applyAlignment="1">
      <alignment horizontal="center"/>
    </xf>
    <xf numFmtId="0" fontId="84" fillId="0" borderId="0" xfId="0" applyFont="1" applyFill="1" applyAlignment="1">
      <alignment vertical="center"/>
    </xf>
    <xf numFmtId="0" fontId="84" fillId="0" borderId="0" xfId="0" applyFont="1" applyFill="1" applyAlignment="1">
      <alignment horizontal="center" vertical="center"/>
    </xf>
    <xf numFmtId="171" fontId="84" fillId="0" borderId="0" xfId="29" applyNumberFormat="1" applyFont="1" applyFill="1" applyAlignment="1">
      <alignment horizontal="center" vertical="center"/>
    </xf>
    <xf numFmtId="171" fontId="83" fillId="0" borderId="0" xfId="29" applyNumberFormat="1" applyFont="1" applyFill="1" applyBorder="1" applyAlignment="1">
      <alignment horizontal="center" vertical="center"/>
    </xf>
    <xf numFmtId="171" fontId="84" fillId="0" borderId="0" xfId="29" applyNumberFormat="1" applyFont="1" applyFill="1" applyAlignment="1">
      <alignment horizontal="center"/>
    </xf>
    <xf numFmtId="43" fontId="84" fillId="0" borderId="0" xfId="29" applyFont="1" applyFill="1" applyAlignment="1">
      <alignment vertical="center"/>
    </xf>
    <xf numFmtId="43" fontId="83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84" fillId="0" borderId="0" xfId="0" applyFont="1" applyFill="1" applyBorder="1" applyAlignment="1">
      <alignment horizontal="center" vertical="center"/>
    </xf>
    <xf numFmtId="171" fontId="84" fillId="0" borderId="0" xfId="29" applyNumberFormat="1" applyFont="1" applyFill="1" applyBorder="1" applyAlignment="1">
      <alignment horizontal="center" vertical="center"/>
    </xf>
    <xf numFmtId="43" fontId="84" fillId="0" borderId="0" xfId="29" applyFont="1" applyFill="1" applyAlignment="1">
      <alignment horizontal="center" vertical="center"/>
    </xf>
    <xf numFmtId="0" fontId="84" fillId="0" borderId="0" xfId="0" applyFont="1"/>
    <xf numFmtId="0" fontId="83" fillId="0" borderId="0" xfId="0" applyFont="1" applyFill="1" applyBorder="1" applyAlignment="1">
      <alignment horizontal="center" vertical="center"/>
    </xf>
    <xf numFmtId="0" fontId="83" fillId="0" borderId="0" xfId="0" applyFont="1" applyFill="1" applyAlignment="1">
      <alignment horizontal="center" vertical="center"/>
    </xf>
    <xf numFmtId="0" fontId="83" fillId="0" borderId="0" xfId="0" applyFont="1" applyFill="1" applyAlignment="1">
      <alignment vertical="center"/>
    </xf>
    <xf numFmtId="171" fontId="83" fillId="0" borderId="0" xfId="29" applyNumberFormat="1" applyFont="1" applyFill="1" applyAlignment="1">
      <alignment horizontal="center" vertical="center"/>
    </xf>
    <xf numFmtId="43" fontId="83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89" fillId="0" borderId="0" xfId="0" applyFont="1" applyFill="1" applyBorder="1" applyAlignment="1">
      <alignment horizontal="center" vertical="center"/>
    </xf>
    <xf numFmtId="0" fontId="84" fillId="32" borderId="2" xfId="0" applyFont="1" applyFill="1" applyBorder="1" applyAlignment="1">
      <alignment vertical="center" wrapText="1"/>
    </xf>
    <xf numFmtId="0" fontId="65" fillId="0" borderId="0" xfId="0" applyFont="1" applyFill="1" applyBorder="1" applyAlignment="1">
      <alignment horizontal="center" vertical="center"/>
    </xf>
    <xf numFmtId="164" fontId="84" fillId="0" borderId="0" xfId="29" applyNumberFormat="1" applyFont="1" applyFill="1" applyAlignment="1">
      <alignment vertical="center"/>
    </xf>
    <xf numFmtId="164" fontId="89" fillId="0" borderId="0" xfId="29" applyNumberFormat="1" applyFont="1" applyFill="1" applyBorder="1" applyAlignment="1">
      <alignment horizontal="center" vertical="center"/>
    </xf>
    <xf numFmtId="43" fontId="89" fillId="0" borderId="0" xfId="29" applyFont="1" applyFill="1" applyBorder="1" applyAlignment="1">
      <alignment horizontal="center" vertical="center"/>
    </xf>
    <xf numFmtId="171" fontId="83" fillId="32" borderId="2" xfId="29" applyNumberFormat="1" applyFont="1" applyFill="1" applyBorder="1" applyAlignment="1">
      <alignment vertical="center"/>
    </xf>
    <xf numFmtId="171" fontId="83" fillId="32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0" fillId="0" borderId="0" xfId="0" applyNumberFormat="1" applyFont="1" applyFill="1" applyBorder="1" applyAlignment="1">
      <alignment horizontal="center" vertical="center"/>
    </xf>
    <xf numFmtId="0" fontId="90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17" xfId="91" applyNumberFormat="1" applyFont="1" applyFill="1" applyBorder="1" applyAlignment="1">
      <alignment horizontal="center" vertical="center" wrapText="1"/>
    </xf>
    <xf numFmtId="0" fontId="85" fillId="32" borderId="2" xfId="0" applyFont="1" applyFill="1" applyBorder="1" applyAlignment="1">
      <alignment horizontal="center" vertical="center"/>
    </xf>
    <xf numFmtId="164" fontId="85" fillId="0" borderId="0" xfId="29" applyNumberFormat="1" applyFont="1" applyFill="1" applyAlignment="1">
      <alignment horizontal="center" vertical="center" wrapText="1"/>
    </xf>
    <xf numFmtId="164" fontId="85" fillId="0" borderId="0" xfId="29" applyNumberFormat="1" applyFont="1" applyFill="1" applyAlignment="1">
      <alignment vertical="center"/>
    </xf>
    <xf numFmtId="0" fontId="85" fillId="0" borderId="0" xfId="0" applyFont="1" applyFill="1" applyAlignment="1">
      <alignment vertical="center"/>
    </xf>
    <xf numFmtId="0" fontId="85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85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2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2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84" fillId="0" borderId="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horizontal="center" vertical="center" wrapText="1"/>
    </xf>
    <xf numFmtId="164" fontId="84" fillId="0" borderId="30" xfId="29" applyNumberFormat="1" applyFont="1" applyFill="1" applyBorder="1" applyAlignment="1">
      <alignment vertical="center" wrapText="1"/>
    </xf>
    <xf numFmtId="43" fontId="84" fillId="0" borderId="0" xfId="29" applyFont="1" applyFill="1" applyAlignment="1">
      <alignment vertical="center" wrapText="1"/>
    </xf>
    <xf numFmtId="164" fontId="84" fillId="0" borderId="30" xfId="0" applyNumberFormat="1" applyFont="1" applyFill="1" applyBorder="1" applyAlignment="1">
      <alignment vertical="center" wrapText="1"/>
    </xf>
    <xf numFmtId="164" fontId="84" fillId="0" borderId="0" xfId="29" applyNumberFormat="1" applyFont="1" applyFill="1" applyAlignment="1">
      <alignment vertical="center" wrapText="1"/>
    </xf>
    <xf numFmtId="0" fontId="84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84" fillId="0" borderId="0" xfId="0" applyFont="1" applyFill="1" applyAlignment="1">
      <alignment horizontal="center" vertical="center" wrapText="1"/>
    </xf>
    <xf numFmtId="164" fontId="84" fillId="0" borderId="0" xfId="29" applyNumberFormat="1" applyFont="1" applyFill="1" applyBorder="1" applyAlignment="1">
      <alignment horizontal="center" vertical="center"/>
    </xf>
    <xf numFmtId="0" fontId="84" fillId="0" borderId="0" xfId="0" applyFont="1" applyFill="1" applyBorder="1" applyAlignment="1">
      <alignment vertical="center"/>
    </xf>
    <xf numFmtId="164" fontId="84" fillId="0" borderId="0" xfId="29" applyNumberFormat="1" applyFont="1" applyFill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/>
    </xf>
    <xf numFmtId="0" fontId="150" fillId="0" borderId="0" xfId="74" applyNumberFormat="1" applyFont="1" applyFill="1" applyBorder="1" applyAlignment="1" applyProtection="1">
      <alignment vertical="center"/>
      <protection hidden="1"/>
    </xf>
    <xf numFmtId="0" fontId="33" fillId="0" borderId="2" xfId="73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3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4" applyFont="1" applyBorder="1" applyAlignment="1">
      <alignment horizontal="center"/>
    </xf>
    <xf numFmtId="0" fontId="33" fillId="0" borderId="0" xfId="94" applyFont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49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3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6" fillId="0" borderId="0" xfId="29" applyNumberFormat="1" applyFont="1" applyAlignment="1">
      <alignment vertical="center"/>
    </xf>
    <xf numFmtId="0" fontId="46" fillId="0" borderId="0" xfId="53" applyFont="1" applyAlignment="1">
      <alignment vertical="center"/>
    </xf>
    <xf numFmtId="164" fontId="46" fillId="0" borderId="0" xfId="53" applyNumberFormat="1" applyFont="1" applyAlignment="1">
      <alignment vertical="center"/>
    </xf>
    <xf numFmtId="0" fontId="36" fillId="0" borderId="0" xfId="54" applyFont="1" applyAlignment="1">
      <alignment horizontal="left"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8" fillId="0" borderId="0" xfId="0" applyFont="1"/>
    <xf numFmtId="0" fontId="36" fillId="0" borderId="0" xfId="82" applyFont="1" applyAlignment="1">
      <alignment vertical="center"/>
    </xf>
    <xf numFmtId="0" fontId="36" fillId="0" borderId="0" xfId="82" applyFont="1" applyBorder="1" applyAlignment="1">
      <alignment vertical="center"/>
    </xf>
    <xf numFmtId="0" fontId="36" fillId="0" borderId="0" xfId="82" applyFont="1" applyBorder="1" applyAlignment="1">
      <alignment horizontal="center" vertical="center"/>
    </xf>
    <xf numFmtId="0" fontId="22" fillId="0" borderId="0" xfId="82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1" applyNumberFormat="1" applyFont="1" applyBorder="1" applyAlignment="1">
      <alignment horizontal="center" vertical="center"/>
    </xf>
    <xf numFmtId="0" fontId="33" fillId="0" borderId="0" xfId="84" quotePrefix="1" applyFont="1" applyAlignment="1">
      <alignment horizontal="left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>
      <alignment vertical="center"/>
    </xf>
    <xf numFmtId="164" fontId="36" fillId="0" borderId="50" xfId="74" applyNumberFormat="1" applyFont="1" applyBorder="1" applyAlignment="1" applyProtection="1">
      <alignment vertical="center"/>
      <protection hidden="1"/>
    </xf>
    <xf numFmtId="164" fontId="36" fillId="0" borderId="51" xfId="74" applyNumberFormat="1" applyFont="1" applyBorder="1" applyAlignment="1" applyProtection="1">
      <alignment vertical="center"/>
      <protection hidden="1"/>
    </xf>
    <xf numFmtId="0" fontId="33" fillId="0" borderId="19" xfId="84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4" applyFont="1" applyFill="1" applyBorder="1" applyAlignment="1">
      <alignment horizontal="center" vertical="center" wrapText="1"/>
    </xf>
    <xf numFmtId="14" fontId="33" fillId="0" borderId="36" xfId="84" applyNumberFormat="1" applyFont="1" applyFill="1" applyBorder="1" applyAlignment="1">
      <alignment horizontal="center" vertical="center" wrapText="1"/>
    </xf>
    <xf numFmtId="0" fontId="33" fillId="0" borderId="36" xfId="84" applyFont="1" applyFill="1" applyBorder="1" applyAlignment="1">
      <alignment horizontal="center" vertical="center" wrapText="1"/>
    </xf>
    <xf numFmtId="43" fontId="60" fillId="28" borderId="36" xfId="29" applyFont="1" applyFill="1" applyBorder="1" applyAlignment="1">
      <alignment horizontal="center" vertical="center" wrapText="1"/>
    </xf>
    <xf numFmtId="0" fontId="36" fillId="25" borderId="31" xfId="84" applyFont="1" applyFill="1" applyBorder="1" applyAlignment="1">
      <alignment horizontal="center" vertical="center"/>
    </xf>
    <xf numFmtId="14" fontId="59" fillId="28" borderId="2" xfId="84" applyNumberFormat="1" applyFont="1" applyFill="1" applyBorder="1" applyAlignment="1">
      <alignment horizontal="center" vertical="center" wrapText="1"/>
    </xf>
    <xf numFmtId="0" fontId="59" fillId="28" borderId="2" xfId="84" applyFont="1" applyFill="1" applyBorder="1" applyAlignment="1">
      <alignment horizontal="center" vertical="center" wrapText="1"/>
    </xf>
    <xf numFmtId="14" fontId="59" fillId="28" borderId="2" xfId="84" applyNumberFormat="1" applyFont="1" applyFill="1" applyBorder="1" applyAlignment="1">
      <alignment vertical="center" wrapText="1"/>
    </xf>
    <xf numFmtId="0" fontId="59" fillId="28" borderId="2" xfId="84" applyFont="1" applyFill="1" applyBorder="1" applyAlignment="1">
      <alignment vertical="center" wrapText="1"/>
    </xf>
    <xf numFmtId="164" fontId="59" fillId="28" borderId="2" xfId="29" applyNumberFormat="1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4" fontId="33" fillId="0" borderId="16" xfId="84" applyNumberFormat="1" applyFont="1" applyFill="1" applyBorder="1" applyAlignment="1">
      <alignment horizontal="center" vertical="center" wrapText="1"/>
    </xf>
    <xf numFmtId="14" fontId="33" fillId="0" borderId="16" xfId="84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4" applyNumberFormat="1" applyFont="1" applyFill="1" applyAlignment="1">
      <alignment vertical="center"/>
    </xf>
    <xf numFmtId="14" fontId="60" fillId="28" borderId="2" xfId="84" applyNumberFormat="1" applyFont="1" applyFill="1" applyBorder="1" applyAlignment="1">
      <alignment vertical="center" wrapText="1"/>
    </xf>
    <xf numFmtId="0" fontId="60" fillId="28" borderId="2" xfId="84" applyFont="1" applyFill="1" applyBorder="1" applyAlignment="1">
      <alignment horizontal="center" vertical="center" wrapText="1"/>
    </xf>
    <xf numFmtId="0" fontId="60" fillId="28" borderId="2" xfId="84" applyFont="1" applyFill="1" applyBorder="1" applyAlignment="1">
      <alignment vertical="center" wrapText="1"/>
    </xf>
    <xf numFmtId="43" fontId="60" fillId="28" borderId="2" xfId="29" applyFont="1" applyFill="1" applyBorder="1" applyAlignment="1">
      <alignment vertical="center" wrapText="1"/>
    </xf>
    <xf numFmtId="164" fontId="59" fillId="28" borderId="2" xfId="84" applyNumberFormat="1" applyFont="1" applyFill="1" applyBorder="1" applyAlignment="1">
      <alignment vertical="center" wrapText="1"/>
    </xf>
    <xf numFmtId="0" fontId="60" fillId="0" borderId="0" xfId="84" applyFont="1" applyBorder="1" applyAlignment="1">
      <alignment horizontal="center" vertical="center"/>
    </xf>
    <xf numFmtId="164" fontId="33" fillId="0" borderId="0" xfId="71" applyNumberFormat="1" applyFont="1" applyAlignment="1">
      <alignment vertical="center"/>
    </xf>
    <xf numFmtId="0" fontId="151" fillId="28" borderId="0" xfId="84" applyFont="1" applyFill="1" applyAlignment="1">
      <alignment horizontal="center" vertical="center" wrapText="1"/>
    </xf>
    <xf numFmtId="0" fontId="59" fillId="28" borderId="0" xfId="84" applyFont="1" applyFill="1" applyAlignment="1">
      <alignment horizontal="center" vertical="center"/>
    </xf>
    <xf numFmtId="164" fontId="59" fillId="28" borderId="0" xfId="71" applyNumberFormat="1" applyFont="1" applyFill="1" applyAlignment="1">
      <alignment horizontal="center" vertical="center"/>
    </xf>
    <xf numFmtId="43" fontId="36" fillId="0" borderId="0" xfId="71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1" applyFont="1" applyAlignment="1">
      <alignment vertical="center"/>
    </xf>
    <xf numFmtId="0" fontId="36" fillId="0" borderId="0" xfId="84" applyFont="1" applyAlignment="1">
      <alignment vertical="center"/>
    </xf>
    <xf numFmtId="0" fontId="60" fillId="28" borderId="0" xfId="84" applyFont="1" applyFill="1" applyAlignment="1">
      <alignment horizontal="center" vertical="center"/>
    </xf>
    <xf numFmtId="164" fontId="60" fillId="28" borderId="0" xfId="71" applyNumberFormat="1" applyFont="1" applyFill="1" applyAlignment="1">
      <alignment horizontal="center" vertical="center"/>
    </xf>
    <xf numFmtId="0" fontId="60" fillId="28" borderId="0" xfId="84" applyFont="1" applyFill="1" applyAlignment="1">
      <alignment vertical="center" wrapText="1"/>
    </xf>
    <xf numFmtId="3" fontId="33" fillId="0" borderId="16" xfId="46" applyFont="1" applyBorder="1" applyAlignment="1">
      <alignment vertical="center"/>
    </xf>
    <xf numFmtId="164" fontId="82" fillId="0" borderId="16" xfId="29" applyNumberFormat="1" applyFont="1" applyBorder="1" applyAlignment="1">
      <alignment vertical="center"/>
    </xf>
    <xf numFmtId="164" fontId="82" fillId="0" borderId="21" xfId="29" applyNumberFormat="1" applyFont="1" applyBorder="1" applyAlignment="1">
      <alignment horizontal="center" vertical="center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4" applyFont="1" applyBorder="1" applyAlignment="1">
      <alignment horizontal="center" vertical="center"/>
    </xf>
    <xf numFmtId="164" fontId="33" fillId="0" borderId="21" xfId="87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vertical="center"/>
    </xf>
    <xf numFmtId="0" fontId="33" fillId="0" borderId="16" xfId="0" applyFont="1" applyBorder="1" applyAlignment="1">
      <alignment vertical="center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87" applyNumberFormat="1" applyFont="1" applyFill="1" applyBorder="1" applyAlignment="1">
      <alignment horizontal="left" vertical="center"/>
    </xf>
    <xf numFmtId="164" fontId="33" fillId="0" borderId="16" xfId="73" applyNumberFormat="1" applyFont="1" applyFill="1" applyBorder="1" applyAlignment="1">
      <alignment horizontal="left"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0" xfId="94" quotePrefix="1" applyFont="1" applyAlignment="1">
      <alignment horizontal="center"/>
    </xf>
    <xf numFmtId="0" fontId="33" fillId="0" borderId="16" xfId="93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8" fillId="0" borderId="0" xfId="0" applyFont="1" applyAlignment="1">
      <alignment horizontal="center"/>
    </xf>
    <xf numFmtId="0" fontId="36" fillId="0" borderId="0" xfId="0" applyFont="1" applyAlignment="1" applyProtection="1">
      <alignment wrapText="1"/>
      <protection hidden="1"/>
    </xf>
    <xf numFmtId="0" fontId="22" fillId="0" borderId="0" xfId="0" applyNumberFormat="1" applyFont="1" applyAlignment="1" applyProtection="1">
      <alignment horizontal="center" wrapText="1"/>
      <protection hidden="1"/>
    </xf>
    <xf numFmtId="0" fontId="33" fillId="0" borderId="0" xfId="95" applyFont="1" applyAlignment="1">
      <alignment vertical="center"/>
    </xf>
    <xf numFmtId="0" fontId="33" fillId="0" borderId="0" xfId="95" applyFont="1"/>
    <xf numFmtId="0" fontId="33" fillId="0" borderId="0" xfId="95" applyFont="1" applyBorder="1" applyAlignment="1">
      <alignment horizontal="left" vertical="center"/>
    </xf>
    <xf numFmtId="0" fontId="33" fillId="0" borderId="0" xfId="95" applyFont="1" applyAlignment="1">
      <alignment horizontal="center" vertical="center"/>
    </xf>
    <xf numFmtId="43" fontId="33" fillId="0" borderId="0" xfId="29" applyNumberFormat="1" applyFont="1" applyAlignment="1">
      <alignment horizontal="center" vertical="center"/>
    </xf>
    <xf numFmtId="171" fontId="33" fillId="0" borderId="0" xfId="29" applyNumberFormat="1" applyFont="1" applyAlignment="1">
      <alignment vertical="center"/>
    </xf>
    <xf numFmtId="0" fontId="36" fillId="0" borderId="0" xfId="95" applyFont="1" applyAlignment="1">
      <alignment vertical="center"/>
    </xf>
    <xf numFmtId="164" fontId="33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6" fillId="0" borderId="0" xfId="29" applyNumberFormat="1" applyFont="1" applyBorder="1" applyAlignment="1"/>
    <xf numFmtId="164" fontId="33" fillId="0" borderId="22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/>
    </xf>
    <xf numFmtId="43" fontId="33" fillId="0" borderId="22" xfId="29" applyFont="1" applyBorder="1" applyAlignment="1">
      <alignment horizontal="center" vertical="center"/>
    </xf>
    <xf numFmtId="0" fontId="33" fillId="0" borderId="0" xfId="95" applyFont="1" applyBorder="1" applyAlignment="1">
      <alignment vertical="center"/>
    </xf>
    <xf numFmtId="171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5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164" fontId="36" fillId="0" borderId="2" xfId="29" applyNumberFormat="1" applyFont="1" applyFill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43" fontId="36" fillId="0" borderId="2" xfId="29" applyNumberFormat="1" applyFont="1" applyBorder="1" applyAlignment="1">
      <alignment horizontal="center" vertical="center" wrapText="1"/>
    </xf>
    <xf numFmtId="171" fontId="36" fillId="0" borderId="2" xfId="29" applyNumberFormat="1" applyFont="1" applyBorder="1" applyAlignment="1">
      <alignment horizontal="center" vertical="center" wrapText="1"/>
    </xf>
    <xf numFmtId="0" fontId="36" fillId="0" borderId="0" xfId="95" applyFont="1" applyAlignment="1">
      <alignment horizontal="center" vertical="center" wrapText="1"/>
    </xf>
    <xf numFmtId="0" fontId="33" fillId="0" borderId="21" xfId="94" applyFont="1" applyBorder="1" applyAlignment="1">
      <alignment horizontal="center"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0" fontId="33" fillId="0" borderId="16" xfId="90" applyFont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vertical="center"/>
    </xf>
    <xf numFmtId="164" fontId="33" fillId="0" borderId="39" xfId="29" applyNumberFormat="1" applyFont="1" applyBorder="1" applyAlignment="1">
      <alignment horizontal="left" vertical="center"/>
    </xf>
    <xf numFmtId="43" fontId="33" fillId="0" borderId="39" xfId="29" applyNumberFormat="1" applyFont="1" applyBorder="1" applyAlignment="1">
      <alignment horizontal="center" vertical="center"/>
    </xf>
    <xf numFmtId="171" fontId="33" fillId="0" borderId="39" xfId="29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0" fontId="153" fillId="0" borderId="0" xfId="95" applyFont="1" applyAlignment="1">
      <alignment vertical="center"/>
    </xf>
    <xf numFmtId="0" fontId="36" fillId="0" borderId="2" xfId="95" applyFont="1" applyBorder="1" applyAlignment="1">
      <alignment vertical="center"/>
    </xf>
    <xf numFmtId="0" fontId="36" fillId="0" borderId="2" xfId="95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6" fillId="0" borderId="2" xfId="29" applyNumberFormat="1" applyFont="1" applyBorder="1"/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43" fontId="33" fillId="0" borderId="5" xfId="29" applyNumberFormat="1" applyFont="1" applyBorder="1" applyAlignment="1">
      <alignment vertical="center"/>
    </xf>
    <xf numFmtId="171" fontId="33" fillId="0" borderId="2" xfId="29" applyNumberFormat="1" applyFont="1" applyBorder="1" applyAlignment="1">
      <alignment vertical="center"/>
    </xf>
    <xf numFmtId="0" fontId="36" fillId="0" borderId="0" xfId="95" applyFont="1" applyBorder="1" applyAlignment="1">
      <alignment vertical="center"/>
    </xf>
    <xf numFmtId="0" fontId="36" fillId="0" borderId="0" xfId="95" applyFont="1" applyBorder="1" applyAlignment="1">
      <alignment horizontal="center" vertical="center"/>
    </xf>
    <xf numFmtId="164" fontId="36" fillId="0" borderId="0" xfId="29" applyNumberFormat="1" applyFont="1" applyBorder="1"/>
    <xf numFmtId="0" fontId="33" fillId="0" borderId="0" xfId="90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43" fontId="33" fillId="0" borderId="0" xfId="29" applyNumberFormat="1" applyFont="1" applyBorder="1" applyAlignment="1">
      <alignment horizontal="center" vertical="center"/>
    </xf>
    <xf numFmtId="171" fontId="33" fillId="0" borderId="0" xfId="29" applyNumberFormat="1" applyFont="1" applyBorder="1" applyAlignment="1">
      <alignment horizontal="center" vertical="center"/>
    </xf>
    <xf numFmtId="3" fontId="33" fillId="0" borderId="0" xfId="95" applyNumberFormat="1" applyFont="1" applyBorder="1" applyAlignment="1">
      <alignment vertical="center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33" fillId="0" borderId="0" xfId="82" applyFont="1" applyAlignment="1">
      <alignment horizontal="center" vertical="center" wrapText="1"/>
    </xf>
    <xf numFmtId="0" fontId="36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66" fillId="0" borderId="0" xfId="74" applyNumberFormat="1" applyFont="1" applyAlignment="1">
      <alignment horizontal="center" vertical="center"/>
    </xf>
    <xf numFmtId="0" fontId="33" fillId="0" borderId="22" xfId="82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8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8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3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60" fillId="28" borderId="36" xfId="84" applyFont="1" applyFill="1" applyBorder="1" applyAlignment="1">
      <alignment horizontal="center" vertical="center" wrapText="1"/>
    </xf>
    <xf numFmtId="0" fontId="60" fillId="28" borderId="45" xfId="84" applyFont="1" applyFill="1" applyBorder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14" fontId="60" fillId="28" borderId="17" xfId="84" applyNumberFormat="1" applyFont="1" applyFill="1" applyBorder="1" applyAlignment="1">
      <alignment horizontal="center" vertical="center" wrapText="1"/>
    </xf>
    <xf numFmtId="14" fontId="60" fillId="28" borderId="18" xfId="84" applyNumberFormat="1" applyFont="1" applyFill="1" applyBorder="1" applyAlignment="1">
      <alignment horizontal="center" vertical="center" wrapText="1"/>
    </xf>
    <xf numFmtId="0" fontId="33" fillId="0" borderId="49" xfId="84" applyFont="1" applyFill="1" applyBorder="1" applyAlignment="1">
      <alignment horizontal="center" vertical="center" wrapText="1"/>
    </xf>
    <xf numFmtId="0" fontId="33" fillId="0" borderId="47" xfId="84" applyFont="1" applyFill="1" applyBorder="1" applyAlignment="1">
      <alignment horizontal="center" vertical="center" wrapText="1"/>
    </xf>
    <xf numFmtId="0" fontId="33" fillId="0" borderId="37" xfId="84" applyFont="1" applyFill="1" applyBorder="1" applyAlignment="1">
      <alignment horizontal="center" vertical="center" wrapText="1"/>
    </xf>
    <xf numFmtId="0" fontId="33" fillId="0" borderId="48" xfId="84" applyFont="1" applyFill="1" applyBorder="1" applyAlignment="1">
      <alignment horizontal="center" vertical="center" wrapText="1"/>
    </xf>
    <xf numFmtId="0" fontId="33" fillId="0" borderId="46" xfId="84" applyFont="1" applyFill="1" applyBorder="1" applyAlignment="1">
      <alignment horizontal="center" vertical="center" wrapText="1"/>
    </xf>
    <xf numFmtId="0" fontId="33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152" fillId="0" borderId="0" xfId="84" applyFont="1" applyAlignment="1">
      <alignment horizontal="center" vertical="center" wrapText="1"/>
    </xf>
    <xf numFmtId="0" fontId="33" fillId="0" borderId="0" xfId="94" applyFont="1" applyAlignment="1" applyProtection="1">
      <alignment horizontal="center"/>
      <protection hidden="1"/>
    </xf>
    <xf numFmtId="0" fontId="22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0" applyFont="1" applyAlignment="1">
      <alignment horizontal="center"/>
    </xf>
    <xf numFmtId="0" fontId="22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" xfId="90" applyFont="1" applyBorder="1" applyAlignment="1">
      <alignment horizontal="center" vertical="center" wrapText="1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2" xfId="90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 wrapText="1"/>
    </xf>
    <xf numFmtId="0" fontId="74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22" fillId="0" borderId="0" xfId="94" applyFont="1" applyAlignment="1">
      <alignment horizontal="center" vertical="center"/>
    </xf>
    <xf numFmtId="0" fontId="33" fillId="0" borderId="0" xfId="94" applyFont="1" applyAlignment="1">
      <alignment horizontal="center"/>
    </xf>
    <xf numFmtId="0" fontId="33" fillId="0" borderId="0" xfId="94" applyFont="1" applyAlignment="1">
      <alignment horizontal="left"/>
    </xf>
    <xf numFmtId="0" fontId="60" fillId="28" borderId="0" xfId="92" applyFont="1" applyFill="1" applyAlignment="1">
      <alignment horizontal="left" vertical="top" wrapText="1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8" borderId="0" xfId="29" applyNumberFormat="1" applyFont="1" applyFill="1" applyAlignment="1" applyProtection="1">
      <alignment horizontal="center" vertical="top" wrapText="1"/>
      <protection hidden="1"/>
    </xf>
    <xf numFmtId="41" fontId="36" fillId="28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top" wrapText="1"/>
      <protection hidden="1"/>
    </xf>
    <xf numFmtId="164" fontId="33" fillId="0" borderId="39" xfId="29" applyNumberFormat="1" applyFont="1" applyBorder="1" applyAlignment="1">
      <alignment horizontal="center" vertical="center"/>
    </xf>
    <xf numFmtId="164" fontId="33" fillId="0" borderId="21" xfId="29" applyNumberFormat="1" applyFont="1" applyBorder="1" applyAlignment="1">
      <alignment horizontal="center" vertical="center"/>
    </xf>
    <xf numFmtId="0" fontId="33" fillId="0" borderId="39" xfId="94" applyFont="1" applyBorder="1" applyAlignment="1">
      <alignment horizontal="center" vertical="center"/>
    </xf>
    <xf numFmtId="0" fontId="33" fillId="0" borderId="21" xfId="94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21" xfId="0" applyFont="1" applyBorder="1" applyAlignment="1">
      <alignment horizontal="left" vertical="center"/>
    </xf>
    <xf numFmtId="164" fontId="33" fillId="0" borderId="23" xfId="29" applyNumberFormat="1" applyFont="1" applyBorder="1" applyAlignment="1">
      <alignment horizontal="center" vertical="center"/>
    </xf>
    <xf numFmtId="0" fontId="33" fillId="0" borderId="23" xfId="94" applyFont="1" applyBorder="1" applyAlignment="1">
      <alignment horizontal="center" vertical="center"/>
    </xf>
    <xf numFmtId="0" fontId="33" fillId="0" borderId="23" xfId="0" applyFont="1" applyBorder="1" applyAlignment="1">
      <alignment horizontal="left" vertic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7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32" borderId="28" xfId="29" applyNumberFormat="1" applyFont="1" applyFill="1" applyBorder="1" applyAlignment="1">
      <alignment horizontal="center" vertical="center" wrapText="1"/>
    </xf>
    <xf numFmtId="164" fontId="36" fillId="32" borderId="29" xfId="29" applyNumberFormat="1" applyFont="1" applyFill="1" applyBorder="1" applyAlignment="1">
      <alignment horizontal="center" vertical="center" wrapText="1"/>
    </xf>
    <xf numFmtId="164" fontId="36" fillId="32" borderId="32" xfId="29" applyNumberFormat="1" applyFont="1" applyFill="1" applyBorder="1" applyAlignment="1">
      <alignment horizontal="center" vertical="center" wrapText="1"/>
    </xf>
    <xf numFmtId="164" fontId="36" fillId="32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78" fillId="0" borderId="0" xfId="0" applyFont="1" applyBorder="1" applyAlignment="1">
      <alignment horizontal="center" vertical="top"/>
    </xf>
    <xf numFmtId="0" fontId="36" fillId="32" borderId="2" xfId="0" applyFont="1" applyFill="1" applyBorder="1" applyAlignment="1">
      <alignment horizontal="center" vertical="center" wrapText="1"/>
    </xf>
    <xf numFmtId="164" fontId="36" fillId="32" borderId="2" xfId="29" applyNumberFormat="1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84" fillId="0" borderId="17" xfId="29" applyFont="1" applyBorder="1" applyAlignment="1">
      <alignment horizontal="center" vertical="center"/>
    </xf>
    <xf numFmtId="43" fontId="84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0" fontId="84" fillId="0" borderId="17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0" borderId="17" xfId="97" applyNumberFormat="1" applyFont="1" applyFill="1" applyBorder="1" applyAlignment="1">
      <alignment horizontal="left" vertical="center"/>
    </xf>
    <xf numFmtId="0" fontId="84" fillId="0" borderId="18" xfId="97" applyNumberFormat="1" applyFont="1" applyFill="1" applyBorder="1" applyAlignment="1">
      <alignment horizontal="left" vertical="center"/>
    </xf>
    <xf numFmtId="0" fontId="84" fillId="0" borderId="17" xfId="97" applyNumberFormat="1" applyFont="1" applyFill="1" applyBorder="1" applyAlignment="1">
      <alignment horizontal="center" vertical="center" wrapText="1"/>
    </xf>
    <xf numFmtId="0" fontId="84" fillId="0" borderId="18" xfId="97" applyNumberFormat="1" applyFont="1" applyFill="1" applyBorder="1" applyAlignment="1">
      <alignment horizontal="center" vertical="center" wrapText="1"/>
    </xf>
    <xf numFmtId="173" fontId="85" fillId="28" borderId="17" xfId="0" applyNumberFormat="1" applyFont="1" applyFill="1" applyBorder="1" applyAlignment="1">
      <alignment horizontal="center" vertical="center"/>
    </xf>
    <xf numFmtId="0" fontId="85" fillId="28" borderId="18" xfId="0" applyFont="1" applyFill="1" applyBorder="1" applyAlignment="1">
      <alignment horizontal="center" vertical="center"/>
    </xf>
    <xf numFmtId="174" fontId="85" fillId="28" borderId="17" xfId="29" applyNumberFormat="1" applyFont="1" applyFill="1" applyBorder="1" applyAlignment="1">
      <alignment horizontal="center" vertical="center"/>
    </xf>
    <xf numFmtId="174" fontId="85" fillId="28" borderId="18" xfId="29" applyNumberFormat="1" applyFont="1" applyFill="1" applyBorder="1" applyAlignment="1">
      <alignment horizontal="center" vertical="center"/>
    </xf>
    <xf numFmtId="174" fontId="84" fillId="0" borderId="17" xfId="29" applyNumberFormat="1" applyFont="1" applyBorder="1" applyAlignment="1">
      <alignment horizontal="center" vertical="center"/>
    </xf>
    <xf numFmtId="174" fontId="84" fillId="0" borderId="18" xfId="29" applyNumberFormat="1" applyFont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43" fontId="61" fillId="0" borderId="24" xfId="29" applyFont="1" applyBorder="1" applyAlignment="1">
      <alignment horizontal="center" vertical="center" wrapText="1"/>
    </xf>
    <xf numFmtId="43" fontId="61" fillId="0" borderId="5" xfId="29" applyFont="1" applyBorder="1" applyAlignment="1">
      <alignment horizontal="center" vertical="center" wrapText="1"/>
    </xf>
    <xf numFmtId="43" fontId="61" fillId="0" borderId="20" xfId="29" applyFont="1" applyBorder="1" applyAlignment="1">
      <alignment horizontal="center" vertical="center" wrapText="1"/>
    </xf>
    <xf numFmtId="0" fontId="40" fillId="32" borderId="17" xfId="0" applyFont="1" applyFill="1" applyBorder="1" applyAlignment="1">
      <alignment horizontal="center" vertical="center"/>
    </xf>
    <xf numFmtId="0" fontId="40" fillId="32" borderId="23" xfId="0" applyFont="1" applyFill="1" applyBorder="1" applyAlignment="1">
      <alignment horizontal="center" vertical="center"/>
    </xf>
    <xf numFmtId="0" fontId="40" fillId="32" borderId="17" xfId="0" applyFont="1" applyFill="1" applyBorder="1" applyAlignment="1">
      <alignment horizontal="center" vertical="center" wrapText="1"/>
    </xf>
    <xf numFmtId="0" fontId="40" fillId="32" borderId="28" xfId="0" applyFont="1" applyFill="1" applyBorder="1" applyAlignment="1">
      <alignment horizontal="center" vertical="center"/>
    </xf>
    <xf numFmtId="0" fontId="40" fillId="32" borderId="30" xfId="0" applyFont="1" applyFill="1" applyBorder="1" applyAlignment="1">
      <alignment horizontal="center" vertical="center"/>
    </xf>
    <xf numFmtId="0" fontId="40" fillId="32" borderId="29" xfId="0" applyFont="1" applyFill="1" applyBorder="1" applyAlignment="1">
      <alignment horizontal="center" vertical="center"/>
    </xf>
    <xf numFmtId="43" fontId="40" fillId="32" borderId="17" xfId="29" applyFont="1" applyFill="1" applyBorder="1" applyAlignment="1">
      <alignment horizontal="center" vertical="center" wrapText="1"/>
    </xf>
    <xf numFmtId="43" fontId="40" fillId="32" borderId="23" xfId="29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 wrapText="1"/>
    </xf>
    <xf numFmtId="43" fontId="36" fillId="32" borderId="17" xfId="29" applyFont="1" applyFill="1" applyBorder="1" applyAlignment="1">
      <alignment horizontal="center" vertical="center" wrapText="1"/>
    </xf>
    <xf numFmtId="43" fontId="36" fillId="32" borderId="23" xfId="29" applyFont="1" applyFill="1" applyBorder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 wrapText="1"/>
    </xf>
    <xf numFmtId="0" fontId="36" fillId="32" borderId="23" xfId="0" applyFont="1" applyFill="1" applyBorder="1" applyAlignment="1">
      <alignment horizontal="center" vertical="center" wrapText="1"/>
    </xf>
    <xf numFmtId="0" fontId="36" fillId="32" borderId="28" xfId="0" applyFont="1" applyFill="1" applyBorder="1" applyAlignment="1">
      <alignment horizontal="center" vertical="center" wrapText="1"/>
    </xf>
    <xf numFmtId="0" fontId="36" fillId="32" borderId="52" xfId="0" applyFont="1" applyFill="1" applyBorder="1" applyAlignment="1">
      <alignment horizontal="center" vertical="center" wrapText="1"/>
    </xf>
    <xf numFmtId="0" fontId="89" fillId="0" borderId="0" xfId="0" applyFont="1" applyFill="1" applyBorder="1" applyAlignment="1">
      <alignment horizontal="center" vertical="center"/>
    </xf>
    <xf numFmtId="0" fontId="89" fillId="0" borderId="53" xfId="0" applyFont="1" applyFill="1" applyBorder="1" applyAlignment="1">
      <alignment horizontal="center" vertical="center"/>
    </xf>
    <xf numFmtId="43" fontId="38" fillId="30" borderId="24" xfId="29" applyFont="1" applyFill="1" applyBorder="1" applyAlignment="1">
      <alignment horizontal="center" vertical="center" wrapText="1"/>
    </xf>
    <xf numFmtId="43" fontId="38" fillId="30" borderId="5" xfId="29" applyFont="1" applyFill="1" applyBorder="1" applyAlignment="1">
      <alignment horizontal="center" vertical="center" wrapText="1"/>
    </xf>
    <xf numFmtId="43" fontId="38" fillId="30" borderId="20" xfId="29" applyFont="1" applyFill="1" applyBorder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/>
    </xf>
    <xf numFmtId="0" fontId="36" fillId="32" borderId="23" xfId="0" applyFont="1" applyFill="1" applyBorder="1" applyAlignment="1">
      <alignment horizontal="center" vertical="center"/>
    </xf>
    <xf numFmtId="0" fontId="36" fillId="32" borderId="24" xfId="0" applyFont="1" applyFill="1" applyBorder="1" applyAlignment="1">
      <alignment horizontal="center" vertical="center" wrapText="1"/>
    </xf>
    <xf numFmtId="0" fontId="36" fillId="32" borderId="5" xfId="0" applyFont="1" applyFill="1" applyBorder="1" applyAlignment="1">
      <alignment horizontal="center" vertical="center" wrapText="1"/>
    </xf>
    <xf numFmtId="0" fontId="36" fillId="32" borderId="20" xfId="0" applyFont="1" applyFill="1" applyBorder="1" applyAlignment="1">
      <alignment horizontal="center" vertical="center" wrapText="1"/>
    </xf>
    <xf numFmtId="0" fontId="36" fillId="32" borderId="18" xfId="0" applyFont="1" applyFill="1" applyBorder="1" applyAlignment="1">
      <alignment horizontal="center" vertical="center" wrapText="1"/>
    </xf>
    <xf numFmtId="0" fontId="36" fillId="0" borderId="0" xfId="70" applyFont="1" applyAlignment="1">
      <alignment vertical="center"/>
    </xf>
    <xf numFmtId="0" fontId="33" fillId="0" borderId="0" xfId="70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1" applyNumberFormat="1" applyFont="1" applyAlignment="1">
      <alignment horizontal="centerContinuous" vertical="center"/>
    </xf>
    <xf numFmtId="164" fontId="36" fillId="0" borderId="0" xfId="71" applyNumberFormat="1" applyFont="1" applyAlignment="1">
      <alignment horizontal="center" vertical="center"/>
    </xf>
    <xf numFmtId="0" fontId="36" fillId="21" borderId="17" xfId="72" applyFont="1" applyBorder="1" applyAlignment="1">
      <alignment horizontal="center" vertical="center" wrapText="1"/>
    </xf>
    <xf numFmtId="164" fontId="36" fillId="21" borderId="24" xfId="71" applyNumberFormat="1" applyFont="1" applyFill="1" applyBorder="1" applyAlignment="1">
      <alignment horizontal="center" vertical="center" wrapText="1"/>
    </xf>
    <xf numFmtId="164" fontId="36" fillId="21" borderId="20" xfId="71" applyNumberFormat="1" applyFont="1" applyFill="1" applyBorder="1" applyAlignment="1">
      <alignment horizontal="center" vertical="center" wrapText="1"/>
    </xf>
    <xf numFmtId="0" fontId="36" fillId="21" borderId="18" xfId="72" applyFont="1" applyBorder="1" applyAlignment="1">
      <alignment horizontal="center" vertical="center" wrapText="1"/>
    </xf>
    <xf numFmtId="164" fontId="36" fillId="21" borderId="2" xfId="71" applyNumberFormat="1" applyFont="1" applyFill="1" applyBorder="1" applyAlignment="1">
      <alignment horizontal="centerContinuous" vertical="center" wrapText="1"/>
    </xf>
    <xf numFmtId="164" fontId="51" fillId="0" borderId="23" xfId="71" quotePrefix="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vertical="center"/>
    </xf>
    <xf numFmtId="164" fontId="51" fillId="0" borderId="25" xfId="71" applyNumberFormat="1" applyFont="1" applyBorder="1" applyAlignment="1">
      <alignment vertical="center"/>
    </xf>
    <xf numFmtId="164" fontId="36" fillId="0" borderId="10" xfId="71" applyNumberFormat="1" applyFont="1" applyBorder="1" applyAlignment="1">
      <alignment horizontal="left" vertical="center"/>
    </xf>
    <xf numFmtId="164" fontId="36" fillId="0" borderId="10" xfId="71" applyNumberFormat="1" applyFont="1" applyBorder="1" applyAlignment="1">
      <alignment vertical="center"/>
    </xf>
    <xf numFmtId="164" fontId="33" fillId="0" borderId="0" xfId="71" applyNumberFormat="1" applyFont="1" applyFill="1" applyAlignment="1">
      <alignment vertical="center"/>
    </xf>
    <xf numFmtId="164" fontId="36" fillId="0" borderId="26" xfId="71" applyNumberFormat="1" applyFont="1" applyBorder="1" applyAlignment="1">
      <alignment vertical="center"/>
    </xf>
    <xf numFmtId="164" fontId="36" fillId="0" borderId="10" xfId="71" quotePrefix="1" applyNumberFormat="1" applyFont="1" applyBorder="1" applyAlignment="1">
      <alignment horizontal="left" vertical="center"/>
    </xf>
    <xf numFmtId="164" fontId="33" fillId="0" borderId="26" xfId="71" quotePrefix="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vertical="center"/>
    </xf>
    <xf numFmtId="164" fontId="36" fillId="0" borderId="27" xfId="71" applyNumberFormat="1" applyFont="1" applyBorder="1" applyAlignment="1">
      <alignment vertical="center"/>
    </xf>
    <xf numFmtId="164" fontId="36" fillId="0" borderId="24" xfId="71" applyNumberFormat="1" applyFont="1" applyBorder="1" applyAlignment="1">
      <alignment horizontal="center" vertical="center"/>
    </xf>
    <xf numFmtId="164" fontId="36" fillId="0" borderId="20" xfId="71" applyNumberFormat="1" applyFont="1" applyBorder="1" applyAlignment="1">
      <alignment horizontal="center" vertical="center"/>
    </xf>
    <xf numFmtId="164" fontId="36" fillId="0" borderId="2" xfId="71" applyNumberFormat="1" applyFont="1" applyBorder="1" applyAlignment="1">
      <alignment vertical="center"/>
    </xf>
    <xf numFmtId="3" fontId="33" fillId="0" borderId="0" xfId="70" applyNumberFormat="1" applyFont="1" applyAlignment="1">
      <alignment vertical="center"/>
    </xf>
    <xf numFmtId="164" fontId="33" fillId="0" borderId="0" xfId="70" applyNumberFormat="1" applyFont="1" applyAlignment="1">
      <alignment vertical="center"/>
    </xf>
    <xf numFmtId="0" fontId="33" fillId="0" borderId="0" xfId="70" applyFont="1" applyBorder="1" applyAlignment="1">
      <alignment vertical="center"/>
    </xf>
    <xf numFmtId="49" fontId="33" fillId="0" borderId="0" xfId="52" applyNumberFormat="1" applyFont="1" applyAlignment="1">
      <alignment horizontal="left" vertical="center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abSelected="1" topLeftCell="A7" zoomScale="90" zoomScaleNormal="90" workbookViewId="0">
      <pane ySplit="3" topLeftCell="A10" activePane="bottomLeft" state="frozen"/>
      <selection activeCell="A7" sqref="A7"/>
      <selection pane="bottomLeft" activeCell="B38" sqref="B38"/>
    </sheetView>
  </sheetViews>
  <sheetFormatPr defaultColWidth="8" defaultRowHeight="15"/>
  <cols>
    <col min="1" max="1" width="5.7109375" style="1008" customWidth="1"/>
    <col min="2" max="2" width="36.7109375" style="1008" customWidth="1"/>
    <col min="3" max="4" width="8" style="689" customWidth="1"/>
    <col min="5" max="6" width="16" style="1008" customWidth="1"/>
    <col min="7" max="8" width="15.42578125" style="1008" customWidth="1"/>
    <col min="9" max="9" width="2.42578125" style="1008" customWidth="1"/>
    <col min="10" max="10" width="11" style="1008" customWidth="1"/>
    <col min="11" max="11" width="2.85546875" style="1008" customWidth="1"/>
    <col min="12" max="12" width="11.85546875" style="1008" customWidth="1"/>
    <col min="13" max="16384" width="8" style="1008"/>
  </cols>
  <sheetData>
    <row r="1" spans="1:16">
      <c r="A1" s="1007"/>
      <c r="B1" s="1007"/>
    </row>
    <row r="2" spans="1:16">
      <c r="A2" s="1007" t="str">
        <f>TH!A1</f>
        <v>Đơn vị: CÔNG TY TNHH MỘT THÀNH VIÊN KHỞI NGUYÊN AN</v>
      </c>
      <c r="B2" s="1007"/>
    </row>
    <row r="3" spans="1:16">
      <c r="A3" s="1008" t="str">
        <f>TH!A2</f>
        <v>Địa chỉ: Thửa đất số 144, tờ bản đồ số 12TĐH.1, tổ 1, khu phố Đông Tác, Phường Tân Đông Hiệp, Thị Xã Dĩ An, Tỉnh Bình Dương, Việt Nam</v>
      </c>
      <c r="B3" s="1007"/>
    </row>
    <row r="5" spans="1:16" ht="36" customHeight="1">
      <c r="A5" s="1009"/>
      <c r="B5" s="1009"/>
      <c r="C5" s="1010"/>
      <c r="D5" s="315" t="s">
        <v>274</v>
      </c>
      <c r="E5" s="1009"/>
      <c r="F5" s="1009"/>
      <c r="G5" s="1009"/>
      <c r="H5" s="1009"/>
    </row>
    <row r="6" spans="1:16">
      <c r="A6" s="1009"/>
      <c r="B6" s="1009"/>
      <c r="C6" s="1010"/>
      <c r="D6" s="1011" t="s">
        <v>308</v>
      </c>
      <c r="E6" s="1009"/>
      <c r="F6" s="1009"/>
      <c r="G6" s="1009"/>
      <c r="H6" s="1009"/>
    </row>
    <row r="7" spans="1:16" ht="6.75" customHeight="1"/>
    <row r="8" spans="1:16" ht="21.75" customHeight="1">
      <c r="A8" s="1012" t="s">
        <v>292</v>
      </c>
      <c r="B8" s="1012" t="s">
        <v>272</v>
      </c>
      <c r="C8" s="1013" t="s">
        <v>36</v>
      </c>
      <c r="D8" s="1014"/>
      <c r="E8" s="1013" t="s">
        <v>37</v>
      </c>
      <c r="F8" s="1014"/>
      <c r="G8" s="1013" t="s">
        <v>273</v>
      </c>
      <c r="H8" s="1014"/>
    </row>
    <row r="9" spans="1:16" ht="21.75" customHeight="1">
      <c r="A9" s="1015"/>
      <c r="B9" s="1015"/>
      <c r="C9" s="1016" t="s">
        <v>41</v>
      </c>
      <c r="D9" s="1016" t="s">
        <v>42</v>
      </c>
      <c r="E9" s="1016" t="s">
        <v>41</v>
      </c>
      <c r="F9" s="1016" t="s">
        <v>42</v>
      </c>
      <c r="G9" s="1016" t="s">
        <v>41</v>
      </c>
      <c r="H9" s="1016" t="s">
        <v>42</v>
      </c>
    </row>
    <row r="10" spans="1:16" s="689" customFormat="1" ht="17.25" customHeight="1">
      <c r="A10" s="1017" t="s">
        <v>46</v>
      </c>
      <c r="B10" s="1018" t="s">
        <v>47</v>
      </c>
      <c r="C10" s="1019"/>
      <c r="D10" s="1019"/>
      <c r="E10" s="1019">
        <f t="array" ref="E10">SUM(IF(A10=KHN,TH))</f>
        <v>2726555545</v>
      </c>
      <c r="F10" s="1019">
        <f t="array" ref="F10">SUM(IF(A10=KHC,TH))</f>
        <v>314765419</v>
      </c>
      <c r="G10" s="1020">
        <f>MAX(C10+E10-D10-F10,0)</f>
        <v>2411790126</v>
      </c>
      <c r="H10" s="1020">
        <f>MAX(D10+F10-E10-C10,0)</f>
        <v>0</v>
      </c>
      <c r="J10" s="1008"/>
      <c r="K10" s="1008"/>
      <c r="L10" s="1008"/>
      <c r="M10" s="1008"/>
      <c r="N10" s="1008"/>
      <c r="O10" s="1008"/>
      <c r="P10" s="1008"/>
    </row>
    <row r="11" spans="1:16" s="689" customFormat="1" ht="17.25" customHeight="1">
      <c r="A11" s="1021" t="s">
        <v>16</v>
      </c>
      <c r="B11" s="1021" t="s">
        <v>48</v>
      </c>
      <c r="C11" s="1022">
        <f t="shared" ref="C11:H11" si="0">C10</f>
        <v>0</v>
      </c>
      <c r="D11" s="1022">
        <f t="shared" si="0"/>
        <v>0</v>
      </c>
      <c r="E11" s="1022">
        <f t="shared" si="0"/>
        <v>2726555545</v>
      </c>
      <c r="F11" s="1022">
        <f t="shared" si="0"/>
        <v>314765419</v>
      </c>
      <c r="G11" s="1022">
        <f t="shared" si="0"/>
        <v>2411790126</v>
      </c>
      <c r="H11" s="1022">
        <f t="shared" si="0"/>
        <v>0</v>
      </c>
      <c r="J11" s="1008"/>
      <c r="K11" s="1008"/>
      <c r="L11" s="1008"/>
      <c r="M11" s="1008"/>
      <c r="N11" s="1008"/>
      <c r="O11" s="1008"/>
      <c r="P11" s="1008"/>
    </row>
    <row r="12" spans="1:16" s="689" customFormat="1" ht="17.25" customHeight="1">
      <c r="A12" s="1018" t="s">
        <v>24</v>
      </c>
      <c r="B12" s="1018" t="s">
        <v>49</v>
      </c>
      <c r="C12" s="1019"/>
      <c r="D12" s="1019">
        <v>0</v>
      </c>
      <c r="E12" s="1019">
        <f t="array" ref="E12">SUM(IF(A12=KHN,TH))</f>
        <v>95086769</v>
      </c>
      <c r="F12" s="1019">
        <f t="array" ref="F12">SUM(IF(A12=KHC,TH))</f>
        <v>93977000</v>
      </c>
      <c r="G12" s="1020">
        <f>MAX(C12+E12-D12-F12,0)</f>
        <v>1109769</v>
      </c>
      <c r="H12" s="1020">
        <f>MAX(D12+F12-E12-C12,0)</f>
        <v>0</v>
      </c>
      <c r="K12" s="1023"/>
      <c r="L12" s="1023"/>
      <c r="M12" s="1023"/>
    </row>
    <row r="13" spans="1:16" s="689" customFormat="1" ht="17.25" customHeight="1">
      <c r="A13" s="1021" t="s">
        <v>50</v>
      </c>
      <c r="B13" s="1021" t="s">
        <v>51</v>
      </c>
      <c r="C13" s="1022">
        <f t="shared" ref="C13:H13" si="1">C12</f>
        <v>0</v>
      </c>
      <c r="D13" s="1022">
        <f t="shared" si="1"/>
        <v>0</v>
      </c>
      <c r="E13" s="1022">
        <f t="shared" si="1"/>
        <v>95086769</v>
      </c>
      <c r="F13" s="1022">
        <f t="shared" si="1"/>
        <v>93977000</v>
      </c>
      <c r="G13" s="1022">
        <f t="shared" si="1"/>
        <v>1109769</v>
      </c>
      <c r="H13" s="1022">
        <f t="shared" si="1"/>
        <v>0</v>
      </c>
    </row>
    <row r="14" spans="1:16" s="689" customFormat="1" ht="17.25" customHeight="1">
      <c r="A14" s="1021" t="s">
        <v>241</v>
      </c>
      <c r="B14" s="1021" t="s">
        <v>249</v>
      </c>
      <c r="C14" s="1022"/>
      <c r="D14" s="1022"/>
      <c r="E14" s="1024">
        <f t="array" ref="E14">SUM(IF(A14=KHN,TH))</f>
        <v>270040053</v>
      </c>
      <c r="F14" s="1024">
        <f t="array" ref="F14">SUM(IF(A14=KHC,TH))</f>
        <v>226687953</v>
      </c>
      <c r="G14" s="1022">
        <f>MAX(C14+E14-D14-F14,0)</f>
        <v>43352100</v>
      </c>
      <c r="H14" s="1022">
        <f>MAX(D14+F14-E14-C14,0)</f>
        <v>0</v>
      </c>
    </row>
    <row r="15" spans="1:16" s="689" customFormat="1" ht="17.25" customHeight="1">
      <c r="A15" s="1018" t="s">
        <v>9</v>
      </c>
      <c r="B15" s="1018" t="s">
        <v>52</v>
      </c>
      <c r="C15" s="1019"/>
      <c r="D15" s="1019"/>
      <c r="E15" s="1019">
        <f t="array" ref="E15">SUM(IF(A15=KHN,TH))</f>
        <v>24549095</v>
      </c>
      <c r="F15" s="1019">
        <f t="array" ref="F15">SUM(IF(A15=KHC,TH))</f>
        <v>24549095</v>
      </c>
      <c r="G15" s="1020">
        <f>MAX(C15+E15-D15-F15,0)</f>
        <v>0</v>
      </c>
      <c r="H15" s="1020">
        <f>MAX(D15+F15-E15-C15,0)</f>
        <v>0</v>
      </c>
    </row>
    <row r="16" spans="1:16" s="689" customFormat="1" ht="17.25" customHeight="1">
      <c r="A16" s="1021" t="s">
        <v>53</v>
      </c>
      <c r="B16" s="1021" t="s">
        <v>54</v>
      </c>
      <c r="C16" s="1022">
        <f t="shared" ref="C16:H16" si="2">C15</f>
        <v>0</v>
      </c>
      <c r="D16" s="1022">
        <f t="shared" si="2"/>
        <v>0</v>
      </c>
      <c r="E16" s="1022">
        <f t="shared" si="2"/>
        <v>24549095</v>
      </c>
      <c r="F16" s="1022">
        <f t="shared" si="2"/>
        <v>24549095</v>
      </c>
      <c r="G16" s="1022">
        <f t="shared" si="2"/>
        <v>0</v>
      </c>
      <c r="H16" s="1022">
        <f t="shared" si="2"/>
        <v>0</v>
      </c>
    </row>
    <row r="17" spans="1:8" s="689" customFormat="1" ht="17.25" customHeight="1">
      <c r="A17" s="1018" t="s">
        <v>55</v>
      </c>
      <c r="B17" s="1018" t="s">
        <v>56</v>
      </c>
      <c r="C17" s="1019"/>
      <c r="D17" s="1019"/>
      <c r="E17" s="1019">
        <f t="array" ref="E17">SUM(IF(A17=KHN,TH))</f>
        <v>0</v>
      </c>
      <c r="F17" s="1019">
        <f t="array" ref="F17">SUM(IF(A17=KHC,TH))</f>
        <v>0</v>
      </c>
      <c r="G17" s="1020">
        <f t="shared" ref="G17:G25" si="3">MAX(C17+E17-D17-F17,0)</f>
        <v>0</v>
      </c>
      <c r="H17" s="1020">
        <f t="shared" ref="H17:H25" si="4">MAX(D17+F17-E17-C17,0)</f>
        <v>0</v>
      </c>
    </row>
    <row r="18" spans="1:8" s="689" customFormat="1" ht="17.25" customHeight="1">
      <c r="A18" s="1021" t="s">
        <v>57</v>
      </c>
      <c r="B18" s="1021" t="s">
        <v>58</v>
      </c>
      <c r="C18" s="1022">
        <f>C17</f>
        <v>0</v>
      </c>
      <c r="D18" s="1022">
        <f>D17</f>
        <v>0</v>
      </c>
      <c r="E18" s="1022">
        <f>E17</f>
        <v>0</v>
      </c>
      <c r="F18" s="1022">
        <f>F17</f>
        <v>0</v>
      </c>
      <c r="G18" s="1022">
        <f t="shared" si="3"/>
        <v>0</v>
      </c>
      <c r="H18" s="1022">
        <f t="shared" si="4"/>
        <v>0</v>
      </c>
    </row>
    <row r="19" spans="1:8" s="689" customFormat="1" ht="17.25" customHeight="1">
      <c r="A19" s="1021" t="s">
        <v>154</v>
      </c>
      <c r="B19" s="1021" t="s">
        <v>155</v>
      </c>
      <c r="C19" s="1022"/>
      <c r="D19" s="1022">
        <v>0</v>
      </c>
      <c r="E19" s="1024">
        <f t="array" ref="E19">SUM(IF(A19=KHN,TH))</f>
        <v>215979406</v>
      </c>
      <c r="F19" s="1024">
        <f t="array" ref="F19">SUM(IF(A19=KHC,TH))</f>
        <v>215979406</v>
      </c>
      <c r="G19" s="1022">
        <f t="shared" si="3"/>
        <v>0</v>
      </c>
      <c r="H19" s="1022">
        <f t="shared" si="4"/>
        <v>0</v>
      </c>
    </row>
    <row r="20" spans="1:8" s="689" customFormat="1" ht="17.25" customHeight="1">
      <c r="A20" s="1025" t="s">
        <v>306</v>
      </c>
      <c r="B20" s="1021" t="s">
        <v>307</v>
      </c>
      <c r="C20" s="1022"/>
      <c r="D20" s="1022"/>
      <c r="E20" s="1024">
        <f t="array" ref="E20">SUM(IF(A20=KHN,TH))</f>
        <v>408736108</v>
      </c>
      <c r="F20" s="1024">
        <f t="array" ref="F20">SUM(IF(A20=KHC,TH))</f>
        <v>399868312</v>
      </c>
      <c r="G20" s="1022">
        <f t="shared" si="3"/>
        <v>8867796</v>
      </c>
      <c r="H20" s="1022">
        <f t="shared" si="4"/>
        <v>0</v>
      </c>
    </row>
    <row r="21" spans="1:8" s="689" customFormat="1" ht="17.25" customHeight="1">
      <c r="A21" s="1021" t="s">
        <v>8</v>
      </c>
      <c r="B21" s="1021" t="s">
        <v>59</v>
      </c>
      <c r="C21" s="1022"/>
      <c r="D21" s="1022"/>
      <c r="E21" s="1024">
        <f t="array" ref="E21">SUM(IF(A21=KHN,TH))</f>
        <v>212032372</v>
      </c>
      <c r="F21" s="1024">
        <f t="array" ref="F21">SUM(IF(A21=KHC,TH))</f>
        <v>212032372</v>
      </c>
      <c r="G21" s="1022">
        <f t="shared" si="3"/>
        <v>0</v>
      </c>
      <c r="H21" s="1022">
        <f t="shared" si="4"/>
        <v>0</v>
      </c>
    </row>
    <row r="22" spans="1:8" s="689" customFormat="1" ht="17.25" customHeight="1">
      <c r="A22" s="1026" t="s">
        <v>282</v>
      </c>
      <c r="B22" s="1018" t="s">
        <v>281</v>
      </c>
      <c r="C22" s="1019"/>
      <c r="D22" s="1019"/>
      <c r="E22" s="1019">
        <f t="array" ref="E22">SUM(IF(A22=KHN,TH))</f>
        <v>24549095</v>
      </c>
      <c r="F22" s="1019">
        <f t="array" ref="F22">SUM(IF(A22=KHC,TH))</f>
        <v>24549095</v>
      </c>
      <c r="G22" s="1019">
        <f t="shared" ref="G22" si="5">MAX(C22+E22-D22-F22,0)</f>
        <v>0</v>
      </c>
      <c r="H22" s="1019">
        <f t="shared" ref="H22" si="6">MAX(D22+F22-E22-C22,0)</f>
        <v>0</v>
      </c>
    </row>
    <row r="23" spans="1:8" s="689" customFormat="1" ht="17.25" customHeight="1">
      <c r="A23" s="1018" t="s">
        <v>60</v>
      </c>
      <c r="B23" s="1018" t="s">
        <v>61</v>
      </c>
      <c r="C23" s="1019"/>
      <c r="D23" s="1019"/>
      <c r="E23" s="1019">
        <f t="array" ref="E23">SUM(IF(A23=KHN,TH))</f>
        <v>0</v>
      </c>
      <c r="F23" s="1019">
        <f t="array" ref="F23">SUM(IF(A23=KHC,TH))</f>
        <v>0</v>
      </c>
      <c r="G23" s="1019">
        <f t="shared" si="3"/>
        <v>0</v>
      </c>
      <c r="H23" s="1019">
        <f t="shared" si="4"/>
        <v>0</v>
      </c>
    </row>
    <row r="24" spans="1:8" s="689" customFormat="1" ht="17.25" customHeight="1">
      <c r="A24" s="1018" t="s">
        <v>247</v>
      </c>
      <c r="B24" s="1018" t="s">
        <v>248</v>
      </c>
      <c r="C24" s="1019"/>
      <c r="D24" s="1019"/>
      <c r="E24" s="1019">
        <f t="array" ref="E24">SUM(IF(A24=KHN,TH))</f>
        <v>0</v>
      </c>
      <c r="F24" s="1019">
        <f t="array" ref="F24">SUM(IF(A24=KHC,TH))</f>
        <v>0</v>
      </c>
      <c r="G24" s="1019">
        <f t="shared" si="3"/>
        <v>0</v>
      </c>
      <c r="H24" s="1019">
        <f t="shared" si="4"/>
        <v>0</v>
      </c>
    </row>
    <row r="25" spans="1:8" s="689" customFormat="1" ht="17.25" customHeight="1">
      <c r="A25" s="1026" t="s">
        <v>62</v>
      </c>
      <c r="B25" s="1027" t="s">
        <v>63</v>
      </c>
      <c r="C25" s="1028"/>
      <c r="D25" s="1028"/>
      <c r="E25" s="1028">
        <f t="array" ref="E25">SUM(IF(A25=KHN,TH))</f>
        <v>750000</v>
      </c>
      <c r="F25" s="1028">
        <f t="array" ref="F25">SUM(IF(A25=KHC,TH))</f>
        <v>750000</v>
      </c>
      <c r="G25" s="1028">
        <f t="shared" si="3"/>
        <v>0</v>
      </c>
      <c r="H25" s="1028">
        <f t="shared" si="4"/>
        <v>0</v>
      </c>
    </row>
    <row r="26" spans="1:8" s="689" customFormat="1" ht="17.25" customHeight="1">
      <c r="A26" s="1018" t="s">
        <v>18</v>
      </c>
      <c r="B26" s="1018" t="s">
        <v>64</v>
      </c>
      <c r="C26" s="1019">
        <f>C25</f>
        <v>0</v>
      </c>
      <c r="D26" s="1019">
        <f t="shared" ref="D26:H26" si="7">D25</f>
        <v>0</v>
      </c>
      <c r="E26" s="1019">
        <f t="shared" si="7"/>
        <v>750000</v>
      </c>
      <c r="F26" s="1019">
        <f t="shared" si="7"/>
        <v>750000</v>
      </c>
      <c r="G26" s="1019">
        <f t="shared" si="7"/>
        <v>0</v>
      </c>
      <c r="H26" s="1019">
        <f t="shared" si="7"/>
        <v>0</v>
      </c>
    </row>
    <row r="27" spans="1:8" s="689" customFormat="1" ht="17.25" customHeight="1">
      <c r="A27" s="1021" t="s">
        <v>65</v>
      </c>
      <c r="B27" s="1021" t="s">
        <v>66</v>
      </c>
      <c r="C27" s="1022">
        <f>C23+C26+C24+C22</f>
        <v>0</v>
      </c>
      <c r="D27" s="1022">
        <f t="shared" ref="D27:H27" si="8">D23+D26+D24+D22</f>
        <v>0</v>
      </c>
      <c r="E27" s="1022">
        <f t="shared" si="8"/>
        <v>25299095</v>
      </c>
      <c r="F27" s="1022">
        <f t="shared" si="8"/>
        <v>25299095</v>
      </c>
      <c r="G27" s="1022">
        <f t="shared" si="8"/>
        <v>0</v>
      </c>
      <c r="H27" s="1022">
        <f t="shared" si="8"/>
        <v>0</v>
      </c>
    </row>
    <row r="28" spans="1:8" s="689" customFormat="1" ht="17.25" customHeight="1">
      <c r="A28" s="1018" t="s">
        <v>243</v>
      </c>
      <c r="B28" s="1018" t="s">
        <v>244</v>
      </c>
      <c r="C28" s="1019">
        <v>0</v>
      </c>
      <c r="D28" s="1019">
        <v>0</v>
      </c>
      <c r="E28" s="1019">
        <f t="array" ref="E28">SUM(IF(A28=KHN,TH))</f>
        <v>58140000</v>
      </c>
      <c r="F28" s="1019">
        <f t="array" ref="F28">SUM(IF(A28=KHC,TH))</f>
        <v>58140000</v>
      </c>
      <c r="G28" s="1019">
        <f t="shared" ref="G28:G30" si="9">MAX(C28+E28-D28-F28,0)</f>
        <v>0</v>
      </c>
      <c r="H28" s="1019">
        <f t="shared" ref="H28:H30" si="10">MAX(D28+F28-E28-C28,0)</f>
        <v>0</v>
      </c>
    </row>
    <row r="29" spans="1:8" s="689" customFormat="1" ht="17.25" customHeight="1">
      <c r="A29" s="1021" t="s">
        <v>245</v>
      </c>
      <c r="B29" s="1021" t="s">
        <v>246</v>
      </c>
      <c r="C29" s="1022">
        <f>C28</f>
        <v>0</v>
      </c>
      <c r="D29" s="1022">
        <f>D28</f>
        <v>0</v>
      </c>
      <c r="E29" s="1022">
        <f>E28</f>
        <v>58140000</v>
      </c>
      <c r="F29" s="1022">
        <f>F28</f>
        <v>58140000</v>
      </c>
      <c r="G29" s="1022">
        <f t="shared" si="9"/>
        <v>0</v>
      </c>
      <c r="H29" s="1022">
        <f t="shared" si="10"/>
        <v>0</v>
      </c>
    </row>
    <row r="30" spans="1:8" s="689" customFormat="1" ht="17.25" customHeight="1">
      <c r="A30" s="1018" t="s">
        <v>17</v>
      </c>
      <c r="B30" s="1018" t="s">
        <v>67</v>
      </c>
      <c r="C30" s="1019"/>
      <c r="D30" s="1019"/>
      <c r="E30" s="1019">
        <f t="array" ref="E30">SUM(IF(A30=KHN,TH))</f>
        <v>871742</v>
      </c>
      <c r="F30" s="1019">
        <f t="array" ref="F30">SUM(IF(A30=KHC,TH))</f>
        <v>1908988</v>
      </c>
      <c r="G30" s="1019">
        <f t="shared" si="9"/>
        <v>0</v>
      </c>
      <c r="H30" s="1019">
        <f t="shared" si="10"/>
        <v>1037246</v>
      </c>
    </row>
    <row r="31" spans="1:8" s="689" customFormat="1" ht="17.25" customHeight="1">
      <c r="A31" s="1021" t="s">
        <v>68</v>
      </c>
      <c r="B31" s="1021" t="s">
        <v>69</v>
      </c>
      <c r="C31" s="1022">
        <f t="shared" ref="C31:H31" si="11">SUM(C30:C30)</f>
        <v>0</v>
      </c>
      <c r="D31" s="1022">
        <f t="shared" si="11"/>
        <v>0</v>
      </c>
      <c r="E31" s="1022">
        <f t="shared" si="11"/>
        <v>871742</v>
      </c>
      <c r="F31" s="1022">
        <f t="shared" si="11"/>
        <v>1908988</v>
      </c>
      <c r="G31" s="1022">
        <f t="shared" si="11"/>
        <v>0</v>
      </c>
      <c r="H31" s="1022">
        <f t="shared" si="11"/>
        <v>1037246</v>
      </c>
    </row>
    <row r="32" spans="1:8" s="689" customFormat="1" ht="17.25" customHeight="1">
      <c r="A32" s="1018" t="s">
        <v>25</v>
      </c>
      <c r="B32" s="1018" t="s">
        <v>70</v>
      </c>
      <c r="C32" s="1019"/>
      <c r="D32" s="1019"/>
      <c r="E32" s="1019">
        <f t="array" ref="E32">SUM(IF(A32=KHN,TH))</f>
        <v>0</v>
      </c>
      <c r="F32" s="1019">
        <f t="array" ref="F32">SUM(IF(A32=KHC,TH))</f>
        <v>2500000000</v>
      </c>
      <c r="G32" s="1020">
        <f>MAX(C32+E32-D32-F32,0)</f>
        <v>0</v>
      </c>
      <c r="H32" s="1020">
        <f>MAX(D32+F32-E32-C32,0)</f>
        <v>2500000000</v>
      </c>
    </row>
    <row r="33" spans="1:10" s="689" customFormat="1" ht="17.25" customHeight="1">
      <c r="A33" s="1021" t="s">
        <v>71</v>
      </c>
      <c r="B33" s="1021" t="s">
        <v>72</v>
      </c>
      <c r="C33" s="1022">
        <v>0</v>
      </c>
      <c r="D33" s="1022">
        <f>D32</f>
        <v>0</v>
      </c>
      <c r="E33" s="1022">
        <f>E32</f>
        <v>0</v>
      </c>
      <c r="F33" s="1022">
        <f>F32</f>
        <v>2500000000</v>
      </c>
      <c r="G33" s="1022">
        <f>MAX(C33+E33-D33-F33,0)</f>
        <v>0</v>
      </c>
      <c r="H33" s="1022">
        <f>MAX(D33+F33-E33-C33,0)</f>
        <v>2500000000</v>
      </c>
    </row>
    <row r="34" spans="1:10" s="689" customFormat="1" ht="17.25" customHeight="1">
      <c r="A34" s="1017" t="s">
        <v>73</v>
      </c>
      <c r="B34" s="1018" t="s">
        <v>74</v>
      </c>
      <c r="C34" s="1019"/>
      <c r="D34" s="1019"/>
      <c r="E34" s="1019">
        <f t="array" ref="E34">SUM(IF(A34=KHN,TH))</f>
        <v>0</v>
      </c>
      <c r="F34" s="1019">
        <f t="array" ref="F34">SUM(IF(A34=KHC,TH))</f>
        <v>0</v>
      </c>
      <c r="G34" s="1020">
        <f>MAX(C34+E34-D34-F34,0)</f>
        <v>0</v>
      </c>
      <c r="H34" s="1020">
        <f>MAX(D34+F34-E34-C34,0)</f>
        <v>0</v>
      </c>
    </row>
    <row r="35" spans="1:10" s="689" customFormat="1" ht="17.25" customHeight="1">
      <c r="A35" s="1018" t="s">
        <v>75</v>
      </c>
      <c r="B35" s="1018" t="s">
        <v>76</v>
      </c>
      <c r="C35" s="1019"/>
      <c r="D35" s="1019"/>
      <c r="E35" s="1019">
        <f t="array" ref="E35">SUM(IF(A35=TH!$L$10:$L$322,TH!$K$10:$K$322))</f>
        <v>35917455</v>
      </c>
      <c r="F35" s="1019">
        <f t="array" ref="F35">SUM(IF(A35=TH!$M$10:$M$322,TH!$K$10:$K$322))</f>
        <v>0</v>
      </c>
      <c r="G35" s="1019">
        <f>MAX(C35+E35-D35-F35,0)</f>
        <v>35917455</v>
      </c>
      <c r="H35" s="1019">
        <f>MAX(D35+F35-E35-C35,0)</f>
        <v>0</v>
      </c>
      <c r="J35" s="358"/>
    </row>
    <row r="36" spans="1:10" s="689" customFormat="1" ht="17.25" customHeight="1">
      <c r="A36" s="1021" t="s">
        <v>77</v>
      </c>
      <c r="B36" s="1021" t="s">
        <v>78</v>
      </c>
      <c r="C36" s="1022">
        <f t="shared" ref="C36:H36" si="12">C35+C34</f>
        <v>0</v>
      </c>
      <c r="D36" s="1022">
        <f t="shared" si="12"/>
        <v>0</v>
      </c>
      <c r="E36" s="1022">
        <f t="shared" si="12"/>
        <v>35917455</v>
      </c>
      <c r="F36" s="1022">
        <f t="shared" si="12"/>
        <v>0</v>
      </c>
      <c r="G36" s="1022">
        <f t="shared" si="12"/>
        <v>35917455</v>
      </c>
      <c r="H36" s="1022">
        <f t="shared" si="12"/>
        <v>0</v>
      </c>
    </row>
    <row r="37" spans="1:10" s="689" customFormat="1" ht="17.25" customHeight="1">
      <c r="A37" s="1017" t="s">
        <v>300</v>
      </c>
      <c r="B37" s="1018" t="s">
        <v>301</v>
      </c>
      <c r="C37" s="1020"/>
      <c r="D37" s="1020"/>
      <c r="E37" s="1020">
        <f t="array" ref="E37">SUM(IF(A37=KHN,TH))</f>
        <v>0</v>
      </c>
      <c r="F37" s="1020">
        <f t="array" ref="F37">SUM(IF(A37=KHC,TH))</f>
        <v>0</v>
      </c>
      <c r="G37" s="1020"/>
      <c r="H37" s="1020"/>
      <c r="I37" s="689">
        <f>E37-F37</f>
        <v>0</v>
      </c>
    </row>
    <row r="38" spans="1:10" s="689" customFormat="1" ht="17.25" customHeight="1">
      <c r="A38" s="1017" t="s">
        <v>158</v>
      </c>
      <c r="B38" s="1018" t="s">
        <v>302</v>
      </c>
      <c r="C38" s="1019"/>
      <c r="D38" s="1019"/>
      <c r="E38" s="1019">
        <f t="array" ref="E38">SUM(IF(A38=KHN,TH))</f>
        <v>245490958</v>
      </c>
      <c r="F38" s="1019">
        <f t="array" ref="F38">SUM(IF(A38=KHC,TH))</f>
        <v>245490958</v>
      </c>
      <c r="G38" s="1019"/>
      <c r="H38" s="1019"/>
      <c r="I38" s="689">
        <f>E38-F38</f>
        <v>0</v>
      </c>
    </row>
    <row r="39" spans="1:10" s="689" customFormat="1" ht="17.25" customHeight="1">
      <c r="A39" s="1021" t="s">
        <v>159</v>
      </c>
      <c r="B39" s="1021" t="s">
        <v>160</v>
      </c>
      <c r="C39" s="1022">
        <f>C37+C38</f>
        <v>0</v>
      </c>
      <c r="D39" s="1022">
        <f t="shared" ref="D39:H39" si="13">D37+D38</f>
        <v>0</v>
      </c>
      <c r="E39" s="1022">
        <f t="shared" si="13"/>
        <v>245490958</v>
      </c>
      <c r="F39" s="1022">
        <f t="shared" si="13"/>
        <v>245490958</v>
      </c>
      <c r="G39" s="1022">
        <f t="shared" si="13"/>
        <v>0</v>
      </c>
      <c r="H39" s="1022">
        <f t="shared" si="13"/>
        <v>0</v>
      </c>
      <c r="I39" s="689">
        <f>E39-F39</f>
        <v>0</v>
      </c>
    </row>
    <row r="40" spans="1:10" s="689" customFormat="1" ht="17.25" customHeight="1">
      <c r="A40" s="1021" t="s">
        <v>39</v>
      </c>
      <c r="B40" s="1021" t="s">
        <v>79</v>
      </c>
      <c r="C40" s="1022"/>
      <c r="D40" s="1022"/>
      <c r="E40" s="1024">
        <f t="array" ref="E40">SUM(IF(A40=KHN,TH))</f>
        <v>54361</v>
      </c>
      <c r="F40" s="1024">
        <f t="array" ref="F40">SUM(IF(A40=KHC,TH))</f>
        <v>54361</v>
      </c>
      <c r="G40" s="1022"/>
      <c r="H40" s="1022"/>
      <c r="I40" s="689">
        <f t="shared" ref="I40:I48" si="14">E40-F40</f>
        <v>0</v>
      </c>
    </row>
    <row r="41" spans="1:10" s="689" customFormat="1" ht="17.25" customHeight="1">
      <c r="A41" s="1021" t="s">
        <v>156</v>
      </c>
      <c r="B41" s="1021" t="s">
        <v>157</v>
      </c>
      <c r="C41" s="1022"/>
      <c r="D41" s="1022"/>
      <c r="E41" s="1024">
        <f t="array" ref="E41">SUM(IF(A41=KHN,TH))</f>
        <v>215979406</v>
      </c>
      <c r="F41" s="1024">
        <f t="array" ref="F41">SUM(IF(A41=KHC,TH))</f>
        <v>215979406</v>
      </c>
      <c r="G41" s="1022"/>
      <c r="H41" s="1022"/>
      <c r="I41" s="689">
        <f t="shared" si="14"/>
        <v>0</v>
      </c>
    </row>
    <row r="42" spans="1:10" s="689" customFormat="1" ht="17.25" customHeight="1">
      <c r="A42" s="1021" t="s">
        <v>80</v>
      </c>
      <c r="B42" s="1021" t="s">
        <v>81</v>
      </c>
      <c r="C42" s="1022"/>
      <c r="D42" s="1022"/>
      <c r="E42" s="1024">
        <f t="array" ref="E42">SUM(IF(A42=KHN,TH))</f>
        <v>0</v>
      </c>
      <c r="F42" s="1024">
        <f t="array" ref="F42">SUM(IF(A42=KHC,TH))</f>
        <v>0</v>
      </c>
      <c r="G42" s="1022"/>
      <c r="H42" s="1022"/>
      <c r="I42" s="689">
        <f t="shared" si="14"/>
        <v>0</v>
      </c>
    </row>
    <row r="43" spans="1:10" s="689" customFormat="1" ht="17.25" customHeight="1">
      <c r="A43" s="1025" t="s">
        <v>242</v>
      </c>
      <c r="B43" s="1021" t="s">
        <v>255</v>
      </c>
      <c r="C43" s="1022"/>
      <c r="D43" s="1022"/>
      <c r="E43" s="1024">
        <f t="array" ref="E43">SUM(IF(A43=KHN,TH))</f>
        <v>0</v>
      </c>
      <c r="F43" s="1024">
        <f t="array" ref="F43">SUM(IF(A43=KHC,TH))</f>
        <v>0</v>
      </c>
      <c r="G43" s="1022"/>
      <c r="H43" s="1022"/>
      <c r="I43" s="689">
        <f>E43-F43</f>
        <v>0</v>
      </c>
    </row>
    <row r="44" spans="1:10" s="689" customFormat="1" ht="17.25" customHeight="1">
      <c r="A44" s="1021" t="s">
        <v>82</v>
      </c>
      <c r="B44" s="1021" t="s">
        <v>83</v>
      </c>
      <c r="C44" s="1022"/>
      <c r="D44" s="1022"/>
      <c r="E44" s="1024">
        <f t="array" ref="E44">SUM(IF(A44=KHN,TH))</f>
        <v>65483368</v>
      </c>
      <c r="F44" s="1024">
        <f t="array" ref="F44">SUM(IF(A44=KHC,TH))</f>
        <v>65483368</v>
      </c>
      <c r="G44" s="1022"/>
      <c r="H44" s="1022"/>
      <c r="I44" s="689">
        <f t="shared" si="14"/>
        <v>0</v>
      </c>
    </row>
    <row r="45" spans="1:10" s="689" customFormat="1" ht="17.25" customHeight="1">
      <c r="A45" s="1025" t="s">
        <v>84</v>
      </c>
      <c r="B45" s="1021" t="s">
        <v>85</v>
      </c>
      <c r="C45" s="1022"/>
      <c r="D45" s="1022"/>
      <c r="E45" s="1024">
        <f t="array" ref="E45">SUM(IF(A45=KHN,TH))</f>
        <v>0</v>
      </c>
      <c r="F45" s="1024">
        <f t="array" ref="F45">SUM(IF(A45=KHC,TH))</f>
        <v>0</v>
      </c>
      <c r="G45" s="1022"/>
      <c r="H45" s="1022"/>
      <c r="I45" s="689">
        <f t="shared" si="14"/>
        <v>0</v>
      </c>
    </row>
    <row r="46" spans="1:10" s="689" customFormat="1" ht="17.25" customHeight="1">
      <c r="A46" s="1021" t="s">
        <v>86</v>
      </c>
      <c r="B46" s="1021" t="s">
        <v>87</v>
      </c>
      <c r="C46" s="1022"/>
      <c r="D46" s="1022"/>
      <c r="E46" s="1024">
        <f t="array" ref="E46">SUM(IF(A46=KHN,TH))</f>
        <v>0</v>
      </c>
      <c r="F46" s="1024">
        <f t="array" ref="F46">SUM(IF(A46=KHC,TH))</f>
        <v>0</v>
      </c>
      <c r="G46" s="1022"/>
      <c r="H46" s="1022"/>
      <c r="I46" s="689">
        <f t="shared" si="14"/>
        <v>0</v>
      </c>
    </row>
    <row r="47" spans="1:10" s="689" customFormat="1" ht="17.25" customHeight="1">
      <c r="A47" s="1025" t="s">
        <v>88</v>
      </c>
      <c r="B47" s="1021" t="s">
        <v>89</v>
      </c>
      <c r="C47" s="1022"/>
      <c r="D47" s="1022"/>
      <c r="E47" s="1024">
        <f t="array" ref="E47">SUM(IF(A47=KHN,TH))</f>
        <v>0</v>
      </c>
      <c r="F47" s="1024">
        <f t="array" ref="F47">SUM(IF(A47=KHC,TH))</f>
        <v>0</v>
      </c>
      <c r="G47" s="1022"/>
      <c r="H47" s="1022"/>
      <c r="I47" s="689">
        <f t="shared" si="14"/>
        <v>0</v>
      </c>
    </row>
    <row r="48" spans="1:10" s="689" customFormat="1" ht="17.25" customHeight="1">
      <c r="A48" s="1021" t="s">
        <v>90</v>
      </c>
      <c r="B48" s="1021" t="s">
        <v>91</v>
      </c>
      <c r="C48" s="1022"/>
      <c r="D48" s="1022"/>
      <c r="E48" s="1029">
        <f t="array" ref="E48">SUM(IF(A48=KHN,TH))</f>
        <v>281462774</v>
      </c>
      <c r="F48" s="1029">
        <f t="array" ref="F48">SUM(IF(A48=TH!$M$10:$M$322,TH!$K$10:$K$322))</f>
        <v>281462774</v>
      </c>
      <c r="G48" s="1022"/>
      <c r="H48" s="1022"/>
      <c r="I48" s="689">
        <f t="shared" si="14"/>
        <v>0</v>
      </c>
    </row>
    <row r="49" spans="1:8" s="689" customFormat="1" ht="17.25" customHeight="1">
      <c r="A49" s="1030" t="s">
        <v>38</v>
      </c>
      <c r="B49" s="1031"/>
      <c r="C49" s="1032">
        <f>C11+C13+C14+C16+C18+C19+C20+C21+C27+C29+C31+C33+C36+C39+C40+C41+C42+C43+C44+C45+C46+C47+C48</f>
        <v>0</v>
      </c>
      <c r="D49" s="1032">
        <f t="shared" ref="D49:H49" si="15">D11+D13+D14+D16+D18+D19+D20+D21+D27+D29+D31+D33+D36+D39+D40+D41+D42+D43+D44+D45+D46+D47+D48</f>
        <v>0</v>
      </c>
      <c r="E49" s="1032">
        <f t="shared" si="15"/>
        <v>4881678507</v>
      </c>
      <c r="F49" s="1032">
        <f t="shared" si="15"/>
        <v>4881678507</v>
      </c>
      <c r="G49" s="1032">
        <f t="shared" si="15"/>
        <v>2501037246</v>
      </c>
      <c r="H49" s="1032">
        <f t="shared" si="15"/>
        <v>2501037246</v>
      </c>
    </row>
    <row r="50" spans="1:8">
      <c r="E50" s="1033"/>
      <c r="F50" s="1034"/>
    </row>
    <row r="51" spans="1:8">
      <c r="E51" s="1034"/>
      <c r="F51" s="1034">
        <f>E49-F49</f>
        <v>0</v>
      </c>
      <c r="H51" s="1034">
        <f>G49-H49</f>
        <v>0</v>
      </c>
    </row>
    <row r="52" spans="1:8">
      <c r="E52" s="1035"/>
      <c r="F52" s="1035"/>
    </row>
    <row r="53" spans="1:8">
      <c r="E53" s="1035"/>
      <c r="F53" s="1035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6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324"/>
  <sheetViews>
    <sheetView topLeftCell="B7" zoomScaleNormal="100" workbookViewId="0">
      <pane ySplit="3" topLeftCell="A10" activePane="bottomLeft" state="frozen"/>
      <selection activeCell="A7" sqref="A7"/>
      <selection pane="bottomLeft" activeCell="N7" sqref="N1:Y1048576"/>
    </sheetView>
  </sheetViews>
  <sheetFormatPr defaultRowHeight="12.75"/>
  <cols>
    <col min="1" max="1" width="4.5703125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  <col min="27" max="27" width="3.5703125" customWidth="1"/>
  </cols>
  <sheetData>
    <row r="1" spans="1:29" s="123" customFormat="1" ht="15">
      <c r="A1" s="1" t="s">
        <v>294</v>
      </c>
      <c r="B1" s="8"/>
      <c r="C1" s="8"/>
      <c r="D1" s="9"/>
      <c r="E1" s="9"/>
      <c r="F1" s="10"/>
      <c r="G1" s="393"/>
      <c r="H1" s="24"/>
      <c r="I1" s="24"/>
      <c r="J1" s="24"/>
      <c r="K1" s="1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9" s="123" customFormat="1" ht="15">
      <c r="A2" s="1" t="s">
        <v>293</v>
      </c>
      <c r="B2" s="8"/>
      <c r="C2" s="8"/>
      <c r="D2" s="9"/>
      <c r="E2" s="9"/>
      <c r="F2" s="9"/>
      <c r="G2" s="393"/>
      <c r="H2" s="25"/>
      <c r="I2" s="25"/>
      <c r="J2" s="25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9" s="123" customFormat="1">
      <c r="A3" s="118"/>
      <c r="B3" s="9"/>
      <c r="C3" s="9"/>
      <c r="D3" s="9"/>
      <c r="E3" s="9"/>
      <c r="F3" s="9"/>
      <c r="G3" s="393"/>
      <c r="H3" s="25"/>
      <c r="I3" s="25"/>
      <c r="J3" s="25"/>
      <c r="K3" s="15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9" s="123" customFormat="1" ht="22.5">
      <c r="A4" s="118"/>
      <c r="B4" s="16"/>
      <c r="C4" s="799" t="s">
        <v>92</v>
      </c>
      <c r="D4" s="799"/>
      <c r="E4" s="799"/>
      <c r="F4" s="799"/>
      <c r="G4" s="799"/>
      <c r="H4" s="799"/>
      <c r="I4" s="799"/>
      <c r="J4" s="799"/>
      <c r="K4" s="799"/>
      <c r="L4" s="799"/>
      <c r="M4" s="799"/>
    </row>
    <row r="5" spans="1:29" s="123" customFormat="1" ht="14.25">
      <c r="A5" s="118"/>
      <c r="B5" s="16"/>
      <c r="C5" s="800"/>
      <c r="D5" s="800"/>
      <c r="E5" s="800"/>
      <c r="F5" s="800"/>
      <c r="G5" s="800"/>
      <c r="H5" s="800"/>
      <c r="I5" s="800"/>
      <c r="J5" s="800"/>
      <c r="K5" s="800"/>
      <c r="L5" s="800"/>
      <c r="M5" s="800"/>
    </row>
    <row r="6" spans="1:29" s="123" customFormat="1">
      <c r="A6" s="118"/>
      <c r="B6" s="16"/>
      <c r="C6" s="16"/>
      <c r="D6" s="16"/>
      <c r="E6" s="16"/>
      <c r="F6" s="16"/>
      <c r="G6" s="16"/>
      <c r="H6" s="17"/>
      <c r="I6" s="17"/>
      <c r="J6" s="17"/>
      <c r="K6" s="1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9" s="123" customFormat="1" ht="24.75" customHeight="1">
      <c r="A7" s="782" t="s">
        <v>112</v>
      </c>
      <c r="B7" s="784" t="s">
        <v>97</v>
      </c>
      <c r="C7" s="801" t="s">
        <v>20</v>
      </c>
      <c r="D7" s="803" t="s">
        <v>1</v>
      </c>
      <c r="E7" s="804"/>
      <c r="F7" s="801" t="s">
        <v>0</v>
      </c>
      <c r="G7" s="784" t="s">
        <v>111</v>
      </c>
      <c r="H7" s="786" t="s">
        <v>43</v>
      </c>
      <c r="I7" s="796" t="s">
        <v>240</v>
      </c>
      <c r="J7" s="797"/>
      <c r="K7" s="801" t="s">
        <v>151</v>
      </c>
      <c r="L7" s="805" t="s">
        <v>93</v>
      </c>
      <c r="M7" s="806"/>
      <c r="N7" s="794" t="s">
        <v>289</v>
      </c>
      <c r="O7" s="788" t="s">
        <v>46</v>
      </c>
      <c r="P7" s="789"/>
      <c r="Q7" s="790"/>
      <c r="R7" s="788" t="s">
        <v>50</v>
      </c>
      <c r="S7" s="789"/>
      <c r="T7" s="790"/>
      <c r="U7" s="798" t="s">
        <v>153</v>
      </c>
      <c r="V7" s="798"/>
      <c r="W7" s="798"/>
      <c r="X7" s="807" t="str">
        <f>CTTK!$E$7</f>
        <v>911</v>
      </c>
      <c r="Y7" s="798" t="s">
        <v>271</v>
      </c>
      <c r="Z7" s="364"/>
    </row>
    <row r="8" spans="1:29" s="123" customFormat="1" ht="24.75" customHeight="1">
      <c r="A8" s="783"/>
      <c r="B8" s="785"/>
      <c r="C8" s="802"/>
      <c r="D8" s="391" t="s">
        <v>15</v>
      </c>
      <c r="E8" s="390" t="s">
        <v>32</v>
      </c>
      <c r="F8" s="802"/>
      <c r="G8" s="785"/>
      <c r="H8" s="787"/>
      <c r="I8" s="389" t="s">
        <v>183</v>
      </c>
      <c r="J8" s="389" t="s">
        <v>184</v>
      </c>
      <c r="K8" s="802"/>
      <c r="L8" s="392" t="s">
        <v>22</v>
      </c>
      <c r="M8" s="392" t="s">
        <v>23</v>
      </c>
      <c r="N8" s="795"/>
      <c r="O8" s="791"/>
      <c r="P8" s="792"/>
      <c r="Q8" s="793"/>
      <c r="R8" s="791"/>
      <c r="S8" s="792"/>
      <c r="T8" s="793"/>
      <c r="U8" s="798"/>
      <c r="V8" s="798"/>
      <c r="W8" s="798"/>
      <c r="X8" s="795"/>
      <c r="Y8" s="798"/>
      <c r="Z8" s="364"/>
    </row>
    <row r="9" spans="1:29" s="123" customFormat="1">
      <c r="A9" s="119">
        <v>1</v>
      </c>
      <c r="B9" s="120">
        <v>2</v>
      </c>
      <c r="C9" s="119">
        <v>3</v>
      </c>
      <c r="D9" s="120">
        <v>4</v>
      </c>
      <c r="E9" s="119">
        <v>5</v>
      </c>
      <c r="F9" s="120">
        <v>6</v>
      </c>
      <c r="G9" s="119">
        <v>7</v>
      </c>
      <c r="H9" s="120">
        <v>8</v>
      </c>
      <c r="I9" s="119">
        <v>9</v>
      </c>
      <c r="J9" s="120">
        <v>10</v>
      </c>
      <c r="K9" s="119">
        <v>11</v>
      </c>
      <c r="L9" s="120">
        <v>12</v>
      </c>
      <c r="M9" s="119">
        <v>13</v>
      </c>
      <c r="N9" s="120">
        <v>16</v>
      </c>
      <c r="O9" s="121">
        <v>17</v>
      </c>
      <c r="P9" s="120">
        <v>18</v>
      </c>
      <c r="Q9" s="121">
        <v>19</v>
      </c>
      <c r="R9" s="120">
        <v>20</v>
      </c>
      <c r="S9" s="120"/>
      <c r="T9" s="120"/>
      <c r="U9" s="120">
        <v>19</v>
      </c>
      <c r="V9" s="120">
        <v>20</v>
      </c>
      <c r="W9" s="120"/>
      <c r="X9" s="120"/>
      <c r="Y9" s="120">
        <v>21</v>
      </c>
      <c r="Z9" s="365"/>
    </row>
    <row r="10" spans="1:29" s="349" customFormat="1" ht="15.75" customHeight="1">
      <c r="A10" s="388" t="str">
        <f>IF(B10&lt;&gt;"",IF(AND(B10&gt;=_TM1,B10&lt;=_TM2,OR(TH!L10="1111",TH!M10="1111")),TH!D10,""),"")</f>
        <v/>
      </c>
      <c r="B10" s="348">
        <f t="shared" ref="B10:B15" si="0">IF(C10&lt;&gt;"",MONTH(C10),"")</f>
        <v>12</v>
      </c>
      <c r="C10" s="18">
        <f t="shared" ref="C10:C15" si="1">E10</f>
        <v>41274</v>
      </c>
      <c r="D10" s="18" t="s">
        <v>94</v>
      </c>
      <c r="E10" s="18">
        <v>41274</v>
      </c>
      <c r="F10" s="19" t="s">
        <v>253</v>
      </c>
      <c r="G10" s="394"/>
      <c r="H10" s="20"/>
      <c r="I10" s="131"/>
      <c r="J10" s="131"/>
      <c r="K10" s="21">
        <f>SUMIF(KHC,L10,TH)</f>
        <v>24549095</v>
      </c>
      <c r="L10" s="23" t="s">
        <v>282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>x</v>
      </c>
      <c r="Z10" s="366"/>
    </row>
    <row r="11" spans="1:29" s="349" customFormat="1" ht="15.75" customHeight="1">
      <c r="A11" s="388" t="str">
        <f>IF(B11&lt;&gt;"",IF(AND(B11&gt;=_TM1,B11&lt;=_TM2,OR(TH!L11="1111",TH!M11="1111")),TH!D11,""),"")</f>
        <v/>
      </c>
      <c r="B11" s="348">
        <f t="shared" si="0"/>
        <v>12</v>
      </c>
      <c r="C11" s="18">
        <f t="shared" si="1"/>
        <v>41274</v>
      </c>
      <c r="D11" s="18" t="s">
        <v>94</v>
      </c>
      <c r="E11" s="18">
        <v>41274</v>
      </c>
      <c r="F11" s="19" t="s">
        <v>254</v>
      </c>
      <c r="G11" s="394"/>
      <c r="H11" s="20"/>
      <c r="I11" s="131"/>
      <c r="J11" s="131"/>
      <c r="K11" s="21">
        <f>SUMIF(KHN,M11,TH)</f>
        <v>215979406</v>
      </c>
      <c r="L11" s="23" t="s">
        <v>90</v>
      </c>
      <c r="M11" s="22" t="s">
        <v>156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>x</v>
      </c>
      <c r="Y11" s="22" t="str">
        <f>IF(AND(B11&lt;=NKC!$N$8,B11&gt;=NKC!$M$8),"x","")</f>
        <v>x</v>
      </c>
      <c r="Z11" s="366"/>
    </row>
    <row r="12" spans="1:29" s="349" customFormat="1" ht="15.75" customHeight="1">
      <c r="A12" s="388" t="str">
        <f>IF(B12&lt;&gt;"",IF(AND(B12&gt;=_TM1,B12&lt;=_TM2,OR(TH!L12="1111",TH!M12="1111")),TH!D12,""),"")</f>
        <v/>
      </c>
      <c r="B12" s="348">
        <f t="shared" si="0"/>
        <v>12</v>
      </c>
      <c r="C12" s="18">
        <f t="shared" si="1"/>
        <v>41274</v>
      </c>
      <c r="D12" s="18" t="s">
        <v>94</v>
      </c>
      <c r="E12" s="18">
        <v>41274</v>
      </c>
      <c r="F12" s="19" t="s">
        <v>95</v>
      </c>
      <c r="G12" s="394"/>
      <c r="H12" s="20"/>
      <c r="I12" s="131"/>
      <c r="J12" s="131"/>
      <c r="K12" s="21">
        <f>SUMIF(KHN,M12,TH)</f>
        <v>65483368</v>
      </c>
      <c r="L12" s="22" t="s">
        <v>90</v>
      </c>
      <c r="M12" s="22" t="s">
        <v>82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>x</v>
      </c>
      <c r="Y12" s="22" t="str">
        <f>IF(AND(B12&lt;=NKC!$N$8,B12&gt;=NKC!$M$8),"x","")</f>
        <v>x</v>
      </c>
      <c r="Z12" s="366"/>
    </row>
    <row r="13" spans="1:29" s="349" customFormat="1" ht="15.75" customHeight="1">
      <c r="A13" s="388" t="str">
        <f>IF(B13&lt;&gt;"",IF(AND(B13&gt;=_TM1,B13&lt;=_TM2,OR(TH!L13="1111",TH!M13="1111")),TH!D13,""),"")</f>
        <v/>
      </c>
      <c r="B13" s="348">
        <f t="shared" si="0"/>
        <v>12</v>
      </c>
      <c r="C13" s="18">
        <f t="shared" si="1"/>
        <v>41274</v>
      </c>
      <c r="D13" s="18" t="s">
        <v>94</v>
      </c>
      <c r="E13" s="18">
        <v>41274</v>
      </c>
      <c r="F13" s="19" t="s">
        <v>96</v>
      </c>
      <c r="G13" s="394"/>
      <c r="H13" s="20"/>
      <c r="I13" s="131"/>
      <c r="J13" s="131"/>
      <c r="K13" s="21">
        <f>SUMIF(KHC,L13,TH)</f>
        <v>54361</v>
      </c>
      <c r="L13" s="23" t="s">
        <v>39</v>
      </c>
      <c r="M13" s="22" t="s">
        <v>90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>x</v>
      </c>
      <c r="Z13" s="366"/>
    </row>
    <row r="14" spans="1:29" s="349" customFormat="1" ht="15.75" customHeight="1">
      <c r="A14" s="388" t="str">
        <f>IF(B14&lt;&gt;"",IF(AND(B14&gt;=_TM1,B14&lt;=_TM2,OR(TH!L14="1111",TH!M14="1111")),TH!D14,""),"")</f>
        <v/>
      </c>
      <c r="B14" s="348">
        <f t="shared" si="0"/>
        <v>12</v>
      </c>
      <c r="C14" s="18">
        <f t="shared" si="1"/>
        <v>41274</v>
      </c>
      <c r="D14" s="18" t="s">
        <v>94</v>
      </c>
      <c r="E14" s="18">
        <v>41274</v>
      </c>
      <c r="F14" s="19" t="s">
        <v>303</v>
      </c>
      <c r="G14" s="394"/>
      <c r="H14" s="20"/>
      <c r="I14" s="131"/>
      <c r="J14" s="131"/>
      <c r="K14" s="21">
        <f>SUMIF(KHC,L14,TH)</f>
        <v>245490958</v>
      </c>
      <c r="L14" s="22" t="s">
        <v>158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>x</v>
      </c>
      <c r="Y14" s="22" t="str">
        <f>IF(AND(B14&lt;=NKC!$N$8,B14&gt;=NKC!$M$8),"x","")</f>
        <v>x</v>
      </c>
      <c r="Z14" s="366"/>
    </row>
    <row r="15" spans="1:29" s="349" customFormat="1" ht="15.75" customHeight="1">
      <c r="A15" s="388" t="str">
        <f>IF(B15&lt;&gt;"",IF(AND(B15&gt;=_TM1,B15&lt;=_TM2,OR(TH!L15="1111",TH!M15="1111")),TH!D15,""),"")</f>
        <v/>
      </c>
      <c r="B15" s="348">
        <f t="shared" si="0"/>
        <v>12</v>
      </c>
      <c r="C15" s="18">
        <f t="shared" si="1"/>
        <v>41274</v>
      </c>
      <c r="D15" s="18" t="s">
        <v>94</v>
      </c>
      <c r="E15" s="18">
        <v>41274</v>
      </c>
      <c r="F15" s="19" t="s">
        <v>729</v>
      </c>
      <c r="G15" s="394"/>
      <c r="H15" s="20"/>
      <c r="I15" s="131"/>
      <c r="J15" s="131"/>
      <c r="K15" s="21">
        <v>35917455</v>
      </c>
      <c r="L15" s="23" t="s">
        <v>75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>x</v>
      </c>
      <c r="Y15" s="22" t="str">
        <f>IF(AND(B15&lt;=NKC!$N$8,B15&gt;=NKC!$M$8),"x","")</f>
        <v>x</v>
      </c>
      <c r="Z15" s="366"/>
    </row>
    <row r="16" spans="1:29" s="303" customFormat="1" ht="15.75" customHeight="1">
      <c r="A16" s="388" t="str">
        <f>IF(B16&lt;&gt;"",IF(AND(B16&gt;=_TM1,B16&lt;=_TM2,OR(TH!L16="1111",TH!M16="1111")),TH!D16,""),"")</f>
        <v/>
      </c>
      <c r="B16" s="13">
        <f t="shared" ref="B16:B79" si="2">IF(C16&lt;&gt;"",MONTH(C16),"")</f>
        <v>8</v>
      </c>
      <c r="C16" s="112">
        <f t="shared" ref="C16:C79" si="3">E16</f>
        <v>41122</v>
      </c>
      <c r="D16" s="112" t="s">
        <v>276</v>
      </c>
      <c r="E16" s="107">
        <v>41122</v>
      </c>
      <c r="F16" s="110" t="s">
        <v>362</v>
      </c>
      <c r="G16" s="395"/>
      <c r="H16" s="5" t="s">
        <v>556</v>
      </c>
      <c r="I16" s="132"/>
      <c r="J16" s="132"/>
      <c r="K16" s="14">
        <v>2500000000</v>
      </c>
      <c r="L16" s="115" t="s">
        <v>46</v>
      </c>
      <c r="M16" s="115" t="s">
        <v>25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>x</v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387"/>
      <c r="AB16" s="123"/>
      <c r="AC16" s="123"/>
    </row>
    <row r="17" spans="1:29" s="303" customFormat="1" ht="15.75" customHeight="1">
      <c r="A17" s="388" t="str">
        <f>IF(B17&lt;&gt;"",IF(AND(B17&gt;=_TM1,B17&lt;=_TM2,OR(TH!L17="1111",TH!M17="1111")),TH!D17,""),"")</f>
        <v/>
      </c>
      <c r="B17" s="13">
        <f t="shared" si="2"/>
        <v>8</v>
      </c>
      <c r="C17" s="112">
        <f t="shared" si="3"/>
        <v>41131</v>
      </c>
      <c r="D17" s="107" t="s">
        <v>412</v>
      </c>
      <c r="E17" s="107">
        <v>41131</v>
      </c>
      <c r="F17" s="110" t="s">
        <v>399</v>
      </c>
      <c r="G17" s="395" t="s">
        <v>305</v>
      </c>
      <c r="H17" s="114" t="s">
        <v>714</v>
      </c>
      <c r="I17" s="132"/>
      <c r="J17" s="132"/>
      <c r="K17" s="14">
        <v>1000000</v>
      </c>
      <c r="L17" s="115" t="s">
        <v>24</v>
      </c>
      <c r="M17" s="115" t="s">
        <v>46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/>
      </c>
      <c r="Q17" s="22" t="str">
        <f>IF(AND($M17=$O$7,$B17&lt;'111'!$N$11),"x","")</f>
        <v>x</v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>x</v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/>
      </c>
      <c r="Z17" s="387"/>
      <c r="AB17" s="123"/>
    </row>
    <row r="18" spans="1:29" s="303" customFormat="1" ht="15.75" customHeight="1">
      <c r="A18" s="388" t="str">
        <f>IF(B18&lt;&gt;"",IF(AND(B18&gt;=_TM1,B18&lt;=_TM2,OR(TH!L18="1111",TH!M18="1111")),TH!D18,""),"")</f>
        <v/>
      </c>
      <c r="B18" s="13">
        <f t="shared" si="2"/>
        <v>8</v>
      </c>
      <c r="C18" s="112">
        <f t="shared" si="3"/>
        <v>41136</v>
      </c>
      <c r="D18" s="107" t="s">
        <v>413</v>
      </c>
      <c r="E18" s="107">
        <v>41136</v>
      </c>
      <c r="F18" s="113" t="s">
        <v>331</v>
      </c>
      <c r="G18" s="395" t="s">
        <v>330</v>
      </c>
      <c r="H18" s="5" t="s">
        <v>329</v>
      </c>
      <c r="I18" s="132">
        <v>100</v>
      </c>
      <c r="J18" s="132">
        <v>25800</v>
      </c>
      <c r="K18" s="14">
        <f>ROUND(I18*J18,0)</f>
        <v>2580000</v>
      </c>
      <c r="L18" s="115" t="s">
        <v>154</v>
      </c>
      <c r="M18" s="115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/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/>
      </c>
      <c r="Z18" s="387"/>
      <c r="AB18" s="123"/>
      <c r="AC18" s="123"/>
    </row>
    <row r="19" spans="1:29" s="303" customFormat="1" ht="15.75" customHeight="1">
      <c r="A19" s="388" t="str">
        <f>IF(B19&lt;&gt;"",IF(AND(B19&gt;=_TM1,B19&lt;=_TM2,OR(TH!L19="1111",TH!M19="1111")),TH!D19,""),"")</f>
        <v/>
      </c>
      <c r="B19" s="13">
        <f t="shared" si="2"/>
        <v>8</v>
      </c>
      <c r="C19" s="112">
        <f t="shared" si="3"/>
        <v>41136</v>
      </c>
      <c r="D19" s="107" t="s">
        <v>413</v>
      </c>
      <c r="E19" s="107">
        <v>41136</v>
      </c>
      <c r="F19" s="113" t="s">
        <v>332</v>
      </c>
      <c r="G19" s="395" t="s">
        <v>330</v>
      </c>
      <c r="H19" s="5" t="s">
        <v>329</v>
      </c>
      <c r="I19" s="132"/>
      <c r="J19" s="132"/>
      <c r="K19" s="306">
        <v>258000</v>
      </c>
      <c r="L19" s="115" t="s">
        <v>9</v>
      </c>
      <c r="M19" s="115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/>
      </c>
      <c r="Y19" s="22" t="str">
        <f>IF(AND(B19&lt;=NKC!$N$8,B19&gt;=NKC!$M$8),"x","")</f>
        <v/>
      </c>
      <c r="Z19" s="387">
        <v>9</v>
      </c>
      <c r="AB19" s="123"/>
      <c r="AC19" s="123"/>
    </row>
    <row r="20" spans="1:29" s="303" customFormat="1" ht="15.75" customHeight="1">
      <c r="A20" s="388" t="str">
        <f>IF(B20&lt;&gt;"",IF(AND(B20&gt;=_TM1,B20&lt;=_TM2,OR(TH!L20="1111",TH!M20="1111")),TH!D20,""),"")</f>
        <v/>
      </c>
      <c r="B20" s="13">
        <f t="shared" si="2"/>
        <v>8</v>
      </c>
      <c r="C20" s="112">
        <f t="shared" si="3"/>
        <v>41142</v>
      </c>
      <c r="D20" s="107" t="s">
        <v>414</v>
      </c>
      <c r="E20" s="107">
        <v>41142</v>
      </c>
      <c r="F20" s="113" t="s">
        <v>314</v>
      </c>
      <c r="G20" s="395" t="s">
        <v>316</v>
      </c>
      <c r="H20" s="114" t="s">
        <v>313</v>
      </c>
      <c r="I20" s="132"/>
      <c r="J20" s="132"/>
      <c r="K20" s="306">
        <v>3400000</v>
      </c>
      <c r="L20" s="115" t="s">
        <v>82</v>
      </c>
      <c r="M20" s="115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/>
      </c>
      <c r="Z20" s="387"/>
      <c r="AB20" s="123"/>
      <c r="AC20" s="123"/>
    </row>
    <row r="21" spans="1:29" s="303" customFormat="1" ht="15.75" customHeight="1">
      <c r="A21" s="388" t="str">
        <f>IF(B21&lt;&gt;"",IF(AND(B21&gt;=_TM1,B21&lt;=_TM2,OR(TH!L21="1111",TH!M21="1111")),TH!D21,""),"")</f>
        <v/>
      </c>
      <c r="B21" s="13">
        <f t="shared" si="2"/>
        <v>8</v>
      </c>
      <c r="C21" s="112">
        <f t="shared" si="3"/>
        <v>41142</v>
      </c>
      <c r="D21" s="107" t="s">
        <v>414</v>
      </c>
      <c r="E21" s="107">
        <v>41142</v>
      </c>
      <c r="F21" s="113" t="s">
        <v>315</v>
      </c>
      <c r="G21" s="395" t="s">
        <v>316</v>
      </c>
      <c r="H21" s="114" t="s">
        <v>313</v>
      </c>
      <c r="I21" s="132"/>
      <c r="J21" s="132"/>
      <c r="K21" s="14">
        <v>340000</v>
      </c>
      <c r="L21" s="115" t="s">
        <v>9</v>
      </c>
      <c r="M21" s="115" t="s">
        <v>46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>x</v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/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/>
      </c>
      <c r="Y21" s="22" t="str">
        <f>IF(AND(B21&lt;=NKC!$N$8,B21&gt;=NKC!$M$8),"x","")</f>
        <v/>
      </c>
      <c r="Z21" s="387">
        <v>9</v>
      </c>
      <c r="AB21" s="123"/>
      <c r="AC21" s="123"/>
    </row>
    <row r="22" spans="1:29" s="303" customFormat="1" ht="15.75" customHeight="1">
      <c r="A22" s="388" t="str">
        <f>IF(B22&lt;&gt;"",IF(AND(B22&gt;=_TM1,B22&lt;=_TM2,OR(TH!L22="1111",TH!M22="1111")),TH!D22,""),"")</f>
        <v/>
      </c>
      <c r="B22" s="13">
        <f t="shared" si="2"/>
        <v>8</v>
      </c>
      <c r="C22" s="112">
        <f t="shared" si="3"/>
        <v>41146</v>
      </c>
      <c r="D22" s="107" t="s">
        <v>410</v>
      </c>
      <c r="E22" s="107">
        <v>41146</v>
      </c>
      <c r="F22" s="110" t="s">
        <v>400</v>
      </c>
      <c r="G22" s="395" t="s">
        <v>305</v>
      </c>
      <c r="H22" s="114"/>
      <c r="I22" s="132"/>
      <c r="J22" s="132"/>
      <c r="K22" s="306">
        <v>11000</v>
      </c>
      <c r="L22" s="307" t="s">
        <v>82</v>
      </c>
      <c r="M22" s="307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/>
      </c>
      <c r="Z22" s="387"/>
      <c r="AB22" s="123"/>
    </row>
    <row r="23" spans="1:29" s="303" customFormat="1" ht="15.75" customHeight="1">
      <c r="A23" s="388" t="str">
        <f>IF(B23&lt;&gt;"",IF(AND(B23&gt;=_TM1,B23&lt;=_TM2,OR(TH!L23="1111",TH!M23="1111")),TH!D23,""),"")</f>
        <v/>
      </c>
      <c r="B23" s="13">
        <f t="shared" si="2"/>
        <v>9</v>
      </c>
      <c r="C23" s="112">
        <f t="shared" si="3"/>
        <v>41153</v>
      </c>
      <c r="D23" s="112" t="s">
        <v>423</v>
      </c>
      <c r="E23" s="107">
        <v>41153</v>
      </c>
      <c r="F23" s="110" t="s">
        <v>320</v>
      </c>
      <c r="G23" s="395" t="s">
        <v>318</v>
      </c>
      <c r="H23" s="5" t="s">
        <v>317</v>
      </c>
      <c r="I23" s="132">
        <v>600</v>
      </c>
      <c r="J23" s="132">
        <v>11048</v>
      </c>
      <c r="K23" s="14">
        <f>ROUND(I23*J23,0)</f>
        <v>6628800</v>
      </c>
      <c r="L23" s="115" t="s">
        <v>306</v>
      </c>
      <c r="M23" s="115" t="s">
        <v>8</v>
      </c>
      <c r="N23" s="22" t="str">
        <f>IF(AND('331-CT'!$E$7=TH!H23,OR(L23="331",M23="331")),"331",IF(AND(OR(L23="131",M23="131"),H23='131-CT'!$E$7),"131",""))</f>
        <v>331</v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/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/>
      </c>
      <c r="Z23" s="387"/>
      <c r="AB23" s="123"/>
      <c r="AC23" s="123"/>
    </row>
    <row r="24" spans="1:29" s="303" customFormat="1" ht="15.75" customHeight="1">
      <c r="A24" s="388" t="str">
        <f>IF(B24&lt;&gt;"",IF(AND(B24&gt;=_TM1,B24&lt;=_TM2,OR(TH!L24="1111",TH!M24="1111")),TH!D24,""),"")</f>
        <v/>
      </c>
      <c r="B24" s="13">
        <f t="shared" si="2"/>
        <v>9</v>
      </c>
      <c r="C24" s="112">
        <f t="shared" si="3"/>
        <v>41153</v>
      </c>
      <c r="D24" s="112" t="s">
        <v>423</v>
      </c>
      <c r="E24" s="107">
        <v>41153</v>
      </c>
      <c r="F24" s="110" t="s">
        <v>321</v>
      </c>
      <c r="G24" s="395" t="s">
        <v>318</v>
      </c>
      <c r="H24" s="5" t="s">
        <v>317</v>
      </c>
      <c r="I24" s="132">
        <v>600</v>
      </c>
      <c r="J24" s="132">
        <v>10844</v>
      </c>
      <c r="K24" s="14">
        <f>ROUND(I24*J24,0)</f>
        <v>6506400</v>
      </c>
      <c r="L24" s="115" t="s">
        <v>306</v>
      </c>
      <c r="M24" s="115" t="s">
        <v>8</v>
      </c>
      <c r="N24" s="22" t="str">
        <f>IF(AND('331-CT'!$E$7=TH!H24,OR(L24="331",M24="331")),"331",IF(AND(OR(L24="131",M24="131"),H24='131-CT'!$E$7),"131",""))</f>
        <v>331</v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/>
      </c>
      <c r="Y24" s="22" t="str">
        <f>IF(AND(B24&lt;=NKC!$N$8,B24&gt;=NKC!$M$8),"x","")</f>
        <v/>
      </c>
      <c r="Z24" s="387"/>
      <c r="AB24" s="123"/>
      <c r="AC24" s="123"/>
    </row>
    <row r="25" spans="1:29" s="303" customFormat="1" ht="15.75" customHeight="1">
      <c r="A25" s="388" t="str">
        <f>IF(B25&lt;&gt;"",IF(AND(B25&gt;=_TM1,B25&lt;=_TM2,OR(TH!L25="1111",TH!M25="1111")),TH!D25,""),"")</f>
        <v/>
      </c>
      <c r="B25" s="13">
        <f t="shared" si="2"/>
        <v>9</v>
      </c>
      <c r="C25" s="112">
        <f t="shared" si="3"/>
        <v>41153</v>
      </c>
      <c r="D25" s="112" t="s">
        <v>423</v>
      </c>
      <c r="E25" s="107">
        <v>41153</v>
      </c>
      <c r="F25" s="110" t="s">
        <v>319</v>
      </c>
      <c r="G25" s="395" t="s">
        <v>318</v>
      </c>
      <c r="H25" s="5" t="s">
        <v>317</v>
      </c>
      <c r="I25" s="132"/>
      <c r="J25" s="132"/>
      <c r="K25" s="14">
        <v>1313520</v>
      </c>
      <c r="L25" s="115" t="s">
        <v>9</v>
      </c>
      <c r="M25" s="115" t="s">
        <v>8</v>
      </c>
      <c r="N25" s="22" t="str">
        <f>IF(AND('331-CT'!$E$7=TH!H25,OR(L25="331",M25="331")),"331",IF(AND(OR(L25="131",M25="131"),H25='131-CT'!$E$7),"131",""))</f>
        <v>331</v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/>
      </c>
      <c r="Z25" s="387">
        <v>9</v>
      </c>
      <c r="AB25" s="123"/>
      <c r="AC25" s="123"/>
    </row>
    <row r="26" spans="1:29" s="303" customFormat="1" ht="15.75" customHeight="1">
      <c r="A26" s="388" t="str">
        <f>IF(B26&lt;&gt;"",IF(AND(B26&gt;=_TM1,B26&lt;=_TM2,OR(TH!L26="1111",TH!M26="1111")),TH!D26,""),"")</f>
        <v/>
      </c>
      <c r="B26" s="13">
        <f t="shared" si="2"/>
        <v>9</v>
      </c>
      <c r="C26" s="112">
        <f t="shared" si="3"/>
        <v>41153</v>
      </c>
      <c r="D26" s="107" t="s">
        <v>415</v>
      </c>
      <c r="E26" s="107">
        <v>41153</v>
      </c>
      <c r="F26" s="110" t="s">
        <v>411</v>
      </c>
      <c r="G26" s="395" t="s">
        <v>318</v>
      </c>
      <c r="H26" s="5" t="s">
        <v>317</v>
      </c>
      <c r="I26" s="132"/>
      <c r="J26" s="132"/>
      <c r="K26" s="14">
        <v>14448720</v>
      </c>
      <c r="L26" s="115" t="s">
        <v>8</v>
      </c>
      <c r="M26" s="115" t="s">
        <v>46</v>
      </c>
      <c r="N26" s="22" t="str">
        <f>IF(AND('331-CT'!$E$7=TH!H26,OR(L26="331",M26="331")),"331",IF(AND(OR(L26="131",M26="131"),H26='131-CT'!$E$7),"131",""))</f>
        <v>331</v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>x</v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/>
      </c>
      <c r="Z26" s="387"/>
      <c r="AB26" s="123"/>
      <c r="AC26" s="123"/>
    </row>
    <row r="27" spans="1:29" s="303" customFormat="1" ht="15.75" customHeight="1">
      <c r="A27" s="388" t="str">
        <f>IF(B27&lt;&gt;"",IF(AND(B27&gt;=_TM1,B27&lt;=_TM2,OR(TH!L27="1111",TH!M27="1111")),TH!D27,""),"")</f>
        <v/>
      </c>
      <c r="B27" s="13">
        <f t="shared" si="2"/>
        <v>9</v>
      </c>
      <c r="C27" s="112">
        <f t="shared" si="3"/>
        <v>41155</v>
      </c>
      <c r="D27" s="112" t="s">
        <v>425</v>
      </c>
      <c r="E27" s="107">
        <v>41155</v>
      </c>
      <c r="F27" s="110" t="s">
        <v>322</v>
      </c>
      <c r="G27" s="395" t="s">
        <v>324</v>
      </c>
      <c r="H27" s="5" t="s">
        <v>317</v>
      </c>
      <c r="I27" s="132">
        <v>500</v>
      </c>
      <c r="J27" s="132">
        <v>10286</v>
      </c>
      <c r="K27" s="14">
        <f>ROUND(I27*J27,0)</f>
        <v>5143000</v>
      </c>
      <c r="L27" s="115" t="s">
        <v>306</v>
      </c>
      <c r="M27" s="115" t="s">
        <v>8</v>
      </c>
      <c r="N27" s="22" t="str">
        <f>IF(AND('331-CT'!$E$7=TH!H27,OR(L27="331",M27="331")),"331",IF(AND(OR(L27="131",M27="131"),H27='131-CT'!$E$7),"131",""))</f>
        <v>331</v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/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/>
      </c>
      <c r="Y27" s="22" t="str">
        <f>IF(AND(B27&lt;=NKC!$N$8,B27&gt;=NKC!$M$8),"x","")</f>
        <v/>
      </c>
      <c r="Z27" s="387"/>
      <c r="AB27" s="123"/>
      <c r="AC27" s="123"/>
    </row>
    <row r="28" spans="1:29" s="303" customFormat="1" ht="15.75" customHeight="1">
      <c r="A28" s="388" t="str">
        <f>IF(B28&lt;&gt;"",IF(AND(B28&gt;=_TM1,B28&lt;=_TM2,OR(TH!L28="1111",TH!M28="1111")),TH!D28,""),"")</f>
        <v/>
      </c>
      <c r="B28" s="13">
        <f t="shared" si="2"/>
        <v>9</v>
      </c>
      <c r="C28" s="112">
        <f t="shared" si="3"/>
        <v>41155</v>
      </c>
      <c r="D28" s="112" t="s">
        <v>425</v>
      </c>
      <c r="E28" s="107">
        <v>41155</v>
      </c>
      <c r="F28" s="110" t="s">
        <v>323</v>
      </c>
      <c r="G28" s="395" t="s">
        <v>324</v>
      </c>
      <c r="H28" s="5" t="s">
        <v>317</v>
      </c>
      <c r="I28" s="132">
        <v>500</v>
      </c>
      <c r="J28" s="132">
        <v>11622</v>
      </c>
      <c r="K28" s="14">
        <f>ROUND(I28*J28,0)</f>
        <v>5811000</v>
      </c>
      <c r="L28" s="115" t="s">
        <v>306</v>
      </c>
      <c r="M28" s="115" t="s">
        <v>8</v>
      </c>
      <c r="N28" s="22" t="str">
        <f>IF(AND('331-CT'!$E$7=TH!H28,OR(L28="331",M28="331")),"331",IF(AND(OR(L28="131",M28="131"),H28='131-CT'!$E$7),"131",""))</f>
        <v>331</v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/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/>
      </c>
      <c r="Z28" s="387"/>
      <c r="AB28" s="123"/>
      <c r="AC28" s="123"/>
    </row>
    <row r="29" spans="1:29" s="303" customFormat="1" ht="15.75" customHeight="1">
      <c r="A29" s="388" t="str">
        <f>IF(B29&lt;&gt;"",IF(AND(B29&gt;=_TM1,B29&lt;=_TM2,OR(TH!L29="1111",TH!M29="1111")),TH!D29,""),"")</f>
        <v/>
      </c>
      <c r="B29" s="13">
        <f t="shared" si="2"/>
        <v>9</v>
      </c>
      <c r="C29" s="112">
        <f t="shared" si="3"/>
        <v>41155</v>
      </c>
      <c r="D29" s="112" t="s">
        <v>425</v>
      </c>
      <c r="E29" s="107">
        <v>41155</v>
      </c>
      <c r="F29" s="110" t="s">
        <v>319</v>
      </c>
      <c r="G29" s="395" t="s">
        <v>324</v>
      </c>
      <c r="H29" s="5" t="s">
        <v>317</v>
      </c>
      <c r="I29" s="132"/>
      <c r="J29" s="132"/>
      <c r="K29" s="14">
        <v>1095400</v>
      </c>
      <c r="L29" s="115" t="s">
        <v>9</v>
      </c>
      <c r="M29" s="115" t="s">
        <v>8</v>
      </c>
      <c r="N29" s="22" t="str">
        <f>IF(AND('331-CT'!$E$7=TH!H29,OR(L29="331",M29="331")),"331",IF(AND(OR(L29="131",M29="131"),H29='131-CT'!$E$7),"131",""))</f>
        <v>331</v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/>
      </c>
      <c r="Z29" s="387">
        <v>9</v>
      </c>
      <c r="AB29" s="123"/>
      <c r="AC29" s="123"/>
    </row>
    <row r="30" spans="1:29" s="303" customFormat="1" ht="15.75" customHeight="1">
      <c r="A30" s="388" t="str">
        <f>IF(B30&lt;&gt;"",IF(AND(B30&gt;=_TM1,B30&lt;=_TM2,OR(TH!L30="1111",TH!M30="1111")),TH!D30,""),"")</f>
        <v/>
      </c>
      <c r="B30" s="13">
        <f t="shared" si="2"/>
        <v>9</v>
      </c>
      <c r="C30" s="112">
        <f t="shared" si="3"/>
        <v>41155</v>
      </c>
      <c r="D30" s="107" t="s">
        <v>416</v>
      </c>
      <c r="E30" s="107">
        <v>41155</v>
      </c>
      <c r="F30" s="110" t="s">
        <v>411</v>
      </c>
      <c r="G30" s="395" t="s">
        <v>324</v>
      </c>
      <c r="H30" s="5" t="s">
        <v>317</v>
      </c>
      <c r="I30" s="132"/>
      <c r="J30" s="132"/>
      <c r="K30" s="14">
        <v>12049400</v>
      </c>
      <c r="L30" s="115" t="s">
        <v>8</v>
      </c>
      <c r="M30" s="115" t="s">
        <v>46</v>
      </c>
      <c r="N30" s="22" t="str">
        <f>IF(AND('331-CT'!$E$7=TH!H30,OR(L30="331",M30="331")),"331",IF(AND(OR(L30="131",M30="131"),H30='131-CT'!$E$7),"131",""))</f>
        <v>331</v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>x</v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/>
      </c>
      <c r="Z30" s="387"/>
      <c r="AB30" s="123"/>
      <c r="AC30" s="123"/>
    </row>
    <row r="31" spans="1:29" s="303" customFormat="1" ht="15.75" customHeight="1">
      <c r="A31" s="388" t="str">
        <f>IF(B31&lt;&gt;"",IF(AND(B31&gt;=_TM1,B31&lt;=_TM2,OR(TH!L31="1111",TH!M31="1111")),TH!D31,""),"")</f>
        <v/>
      </c>
      <c r="B31" s="13">
        <f t="shared" si="2"/>
        <v>9</v>
      </c>
      <c r="C31" s="112">
        <f t="shared" si="3"/>
        <v>41156</v>
      </c>
      <c r="D31" s="112" t="s">
        <v>426</v>
      </c>
      <c r="E31" s="107">
        <v>41156</v>
      </c>
      <c r="F31" s="110" t="s">
        <v>326</v>
      </c>
      <c r="G31" s="395" t="s">
        <v>325</v>
      </c>
      <c r="H31" s="5" t="s">
        <v>317</v>
      </c>
      <c r="I31" s="132">
        <v>550</v>
      </c>
      <c r="J31" s="132">
        <v>10298</v>
      </c>
      <c r="K31" s="14">
        <f>ROUND(I31*J31,0)</f>
        <v>5663900</v>
      </c>
      <c r="L31" s="115" t="s">
        <v>306</v>
      </c>
      <c r="M31" s="115" t="s">
        <v>8</v>
      </c>
      <c r="N31" s="22" t="str">
        <f>IF(AND('331-CT'!$E$7=TH!H31,OR(L31="331",M31="331")),"331",IF(AND(OR(L31="131",M31="131"),H31='131-CT'!$E$7),"131",""))</f>
        <v>331</v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/>
      </c>
      <c r="Z31" s="387"/>
      <c r="AB31" s="123"/>
      <c r="AC31" s="123"/>
    </row>
    <row r="32" spans="1:29" s="303" customFormat="1" ht="15.75" customHeight="1">
      <c r="A32" s="388" t="str">
        <f>IF(B32&lt;&gt;"",IF(AND(B32&gt;=_TM1,B32&lt;=_TM2,OR(TH!L32="1111",TH!M32="1111")),TH!D32,""),"")</f>
        <v/>
      </c>
      <c r="B32" s="13">
        <f t="shared" si="2"/>
        <v>9</v>
      </c>
      <c r="C32" s="112">
        <f t="shared" si="3"/>
        <v>41156</v>
      </c>
      <c r="D32" s="112" t="s">
        <v>426</v>
      </c>
      <c r="E32" s="107">
        <v>41156</v>
      </c>
      <c r="F32" s="110" t="s">
        <v>327</v>
      </c>
      <c r="G32" s="395" t="s">
        <v>325</v>
      </c>
      <c r="H32" s="5" t="s">
        <v>317</v>
      </c>
      <c r="I32" s="132">
        <v>660</v>
      </c>
      <c r="J32" s="132">
        <v>12946</v>
      </c>
      <c r="K32" s="14">
        <f>ROUND(I32*J32,0)</f>
        <v>8544360</v>
      </c>
      <c r="L32" s="115" t="s">
        <v>306</v>
      </c>
      <c r="M32" s="115" t="s">
        <v>8</v>
      </c>
      <c r="N32" s="22" t="str">
        <f>IF(AND('331-CT'!$E$7=TH!H32,OR(L32="331",M32="331")),"331",IF(AND(OR(L32="131",M32="131"),H32='131-CT'!$E$7),"131",""))</f>
        <v>331</v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/>
      </c>
      <c r="Z32" s="387"/>
      <c r="AB32" s="123"/>
      <c r="AC32" s="123"/>
    </row>
    <row r="33" spans="1:29" s="303" customFormat="1" ht="15.75" customHeight="1">
      <c r="A33" s="388" t="str">
        <f>IF(B33&lt;&gt;"",IF(AND(B33&gt;=_TM1,B33&lt;=_TM2,OR(TH!L33="1111",TH!M33="1111")),TH!D33,""),"")</f>
        <v/>
      </c>
      <c r="B33" s="13">
        <f t="shared" si="2"/>
        <v>9</v>
      </c>
      <c r="C33" s="112">
        <f t="shared" si="3"/>
        <v>41156</v>
      </c>
      <c r="D33" s="112" t="s">
        <v>426</v>
      </c>
      <c r="E33" s="107">
        <v>41156</v>
      </c>
      <c r="F33" s="110" t="s">
        <v>319</v>
      </c>
      <c r="G33" s="395" t="s">
        <v>325</v>
      </c>
      <c r="H33" s="5" t="s">
        <v>317</v>
      </c>
      <c r="I33" s="132"/>
      <c r="J33" s="132"/>
      <c r="K33" s="14">
        <v>1420826</v>
      </c>
      <c r="L33" s="115" t="s">
        <v>9</v>
      </c>
      <c r="M33" s="115" t="s">
        <v>8</v>
      </c>
      <c r="N33" s="22" t="str">
        <f>IF(AND('331-CT'!$E$7=TH!H33,OR(L33="331",M33="331")),"331",IF(AND(OR(L33="131",M33="131"),H33='131-CT'!$E$7),"131",""))</f>
        <v>331</v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/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/>
      </c>
      <c r="Z33" s="387">
        <v>9</v>
      </c>
      <c r="AB33" s="123"/>
      <c r="AC33" s="123"/>
    </row>
    <row r="34" spans="1:29" s="303" customFormat="1" ht="15.75" customHeight="1">
      <c r="A34" s="388" t="str">
        <f>IF(B34&lt;&gt;"",IF(AND(B34&gt;=_TM1,B34&lt;=_TM2,OR(TH!L34="1111",TH!M34="1111")),TH!D34,""),"")</f>
        <v/>
      </c>
      <c r="B34" s="13">
        <f t="shared" si="2"/>
        <v>9</v>
      </c>
      <c r="C34" s="112">
        <f t="shared" si="3"/>
        <v>41156</v>
      </c>
      <c r="D34" s="107" t="s">
        <v>417</v>
      </c>
      <c r="E34" s="107">
        <v>41156</v>
      </c>
      <c r="F34" s="110" t="s">
        <v>411</v>
      </c>
      <c r="G34" s="395" t="s">
        <v>325</v>
      </c>
      <c r="H34" s="5" t="s">
        <v>317</v>
      </c>
      <c r="I34" s="132"/>
      <c r="J34" s="132"/>
      <c r="K34" s="14">
        <v>15629086</v>
      </c>
      <c r="L34" s="115" t="s">
        <v>8</v>
      </c>
      <c r="M34" s="115" t="s">
        <v>46</v>
      </c>
      <c r="N34" s="22" t="str">
        <f>IF(AND('331-CT'!$E$7=TH!H34,OR(L34="331",M34="331")),"331",IF(AND(OR(L34="131",M34="131"),H34='131-CT'!$E$7),"131",""))</f>
        <v>331</v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>x</v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/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/>
      </c>
      <c r="Y34" s="22" t="str">
        <f>IF(AND(B34&lt;=NKC!$N$8,B34&gt;=NKC!$M$8),"x","")</f>
        <v/>
      </c>
      <c r="Z34" s="387"/>
      <c r="AB34" s="123"/>
      <c r="AC34" s="123"/>
    </row>
    <row r="35" spans="1:29" s="303" customFormat="1" ht="15.75" customHeight="1">
      <c r="A35" s="388" t="str">
        <f>IF(B35&lt;&gt;"",IF(AND(B35&gt;=_TM1,B35&lt;=_TM2,OR(TH!L35="1111",TH!M35="1111")),TH!D35,""),"")</f>
        <v/>
      </c>
      <c r="B35" s="13">
        <f t="shared" si="2"/>
        <v>9</v>
      </c>
      <c r="C35" s="112">
        <f t="shared" si="3"/>
        <v>41160</v>
      </c>
      <c r="D35" s="112" t="s">
        <v>427</v>
      </c>
      <c r="E35" s="107">
        <v>41160</v>
      </c>
      <c r="F35" s="110" t="s">
        <v>327</v>
      </c>
      <c r="G35" s="395" t="s">
        <v>328</v>
      </c>
      <c r="H35" s="5" t="s">
        <v>317</v>
      </c>
      <c r="I35" s="132">
        <v>600</v>
      </c>
      <c r="J35" s="132">
        <v>8556</v>
      </c>
      <c r="K35" s="14">
        <f>ROUND(I35*J35,0)</f>
        <v>5133600</v>
      </c>
      <c r="L35" s="115" t="s">
        <v>306</v>
      </c>
      <c r="M35" s="115" t="s">
        <v>8</v>
      </c>
      <c r="N35" s="22" t="str">
        <f>IF(AND('331-CT'!$E$7=TH!H35,OR(L35="331",M35="331")),"331",IF(AND(OR(L35="131",M35="131"),H35='131-CT'!$E$7),"131",""))</f>
        <v>331</v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/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/>
      </c>
      <c r="Z35" s="387"/>
      <c r="AB35" s="123"/>
      <c r="AC35" s="123"/>
    </row>
    <row r="36" spans="1:29" s="303" customFormat="1" ht="15.75" customHeight="1">
      <c r="A36" s="388" t="str">
        <f>IF(B36&lt;&gt;"",IF(AND(B36&gt;=_TM1,B36&lt;=_TM2,OR(TH!L36="1111",TH!M36="1111")),TH!D36,""),"")</f>
        <v/>
      </c>
      <c r="B36" s="13">
        <f t="shared" si="2"/>
        <v>9</v>
      </c>
      <c r="C36" s="112">
        <f t="shared" si="3"/>
        <v>41160</v>
      </c>
      <c r="D36" s="112" t="s">
        <v>427</v>
      </c>
      <c r="E36" s="107">
        <v>41160</v>
      </c>
      <c r="F36" s="110" t="s">
        <v>319</v>
      </c>
      <c r="G36" s="395" t="s">
        <v>328</v>
      </c>
      <c r="H36" s="5" t="s">
        <v>317</v>
      </c>
      <c r="I36" s="132"/>
      <c r="J36" s="132"/>
      <c r="K36" s="14">
        <v>513360</v>
      </c>
      <c r="L36" s="115" t="s">
        <v>9</v>
      </c>
      <c r="M36" s="115" t="s">
        <v>8</v>
      </c>
      <c r="N36" s="22" t="str">
        <f>IF(AND('331-CT'!$E$7=TH!H36,OR(L36="331",M36="331")),"331",IF(AND(OR(L36="131",M36="131"),H36='131-CT'!$E$7),"131",""))</f>
        <v>331</v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/>
      </c>
      <c r="Z36" s="387">
        <v>9</v>
      </c>
      <c r="AB36" s="123"/>
      <c r="AC36" s="123"/>
    </row>
    <row r="37" spans="1:29" s="303" customFormat="1" ht="15.75" customHeight="1">
      <c r="A37" s="388" t="str">
        <f>IF(B37&lt;&gt;"",IF(AND(B37&gt;=_TM1,B37&lt;=_TM2,OR(TH!L37="1111",TH!M37="1111")),TH!D37,""),"")</f>
        <v/>
      </c>
      <c r="B37" s="13">
        <f t="shared" si="2"/>
        <v>9</v>
      </c>
      <c r="C37" s="112">
        <f t="shared" si="3"/>
        <v>41160</v>
      </c>
      <c r="D37" s="107" t="s">
        <v>418</v>
      </c>
      <c r="E37" s="107">
        <v>41160</v>
      </c>
      <c r="F37" s="110" t="s">
        <v>411</v>
      </c>
      <c r="G37" s="395" t="s">
        <v>328</v>
      </c>
      <c r="H37" s="5" t="s">
        <v>317</v>
      </c>
      <c r="I37" s="132"/>
      <c r="J37" s="132"/>
      <c r="K37" s="14">
        <v>5646960</v>
      </c>
      <c r="L37" s="115" t="s">
        <v>8</v>
      </c>
      <c r="M37" s="115" t="s">
        <v>46</v>
      </c>
      <c r="N37" s="22" t="str">
        <f>IF(AND('331-CT'!$E$7=TH!H37,OR(L37="331",M37="331")),"331",IF(AND(OR(L37="131",M37="131"),H37='131-CT'!$E$7),"131",""))</f>
        <v>331</v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>x</v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/>
      </c>
      <c r="Z37" s="387"/>
      <c r="AB37" s="123"/>
      <c r="AC37" s="123"/>
    </row>
    <row r="38" spans="1:29" s="123" customFormat="1" ht="15.75" customHeight="1">
      <c r="A38" s="388" t="str">
        <f>IF(B38&lt;&gt;"",IF(AND(B38&gt;=_TM1,B38&lt;=_TM2,OR(TH!L38="1111",TH!M38="1111")),TH!D38,""),"")</f>
        <v/>
      </c>
      <c r="B38" s="13">
        <f t="shared" si="2"/>
        <v>9</v>
      </c>
      <c r="C38" s="112">
        <f t="shared" si="3"/>
        <v>41167</v>
      </c>
      <c r="D38" s="107" t="s">
        <v>518</v>
      </c>
      <c r="E38" s="107">
        <v>41167</v>
      </c>
      <c r="F38" s="110" t="s">
        <v>459</v>
      </c>
      <c r="G38" s="395" t="s">
        <v>460</v>
      </c>
      <c r="H38" s="114" t="s">
        <v>461</v>
      </c>
      <c r="I38" s="132">
        <v>1200</v>
      </c>
      <c r="J38" s="132">
        <v>6780</v>
      </c>
      <c r="K38" s="306">
        <f>ROUND(I38*J38,0)</f>
        <v>8136000</v>
      </c>
      <c r="L38" s="307" t="s">
        <v>241</v>
      </c>
      <c r="M38" s="307" t="s">
        <v>158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/>
      </c>
      <c r="Z38" s="387"/>
      <c r="AA38" s="303"/>
      <c r="AB38" s="303"/>
      <c r="AC38" s="303"/>
    </row>
    <row r="39" spans="1:29" s="123" customFormat="1" ht="15.75" customHeight="1">
      <c r="A39" s="388" t="str">
        <f>IF(B39&lt;&gt;"",IF(AND(B39&gt;=_TM1,B39&lt;=_TM2,OR(TH!L39="1111",TH!M39="1111")),TH!D39,""),"")</f>
        <v/>
      </c>
      <c r="B39" s="13">
        <f t="shared" si="2"/>
        <v>9</v>
      </c>
      <c r="C39" s="112">
        <f t="shared" si="3"/>
        <v>41167</v>
      </c>
      <c r="D39" s="107" t="s">
        <v>518</v>
      </c>
      <c r="E39" s="107">
        <v>41167</v>
      </c>
      <c r="F39" s="110" t="s">
        <v>462</v>
      </c>
      <c r="G39" s="395" t="s">
        <v>460</v>
      </c>
      <c r="H39" s="114" t="s">
        <v>461</v>
      </c>
      <c r="I39" s="132">
        <v>11700</v>
      </c>
      <c r="J39" s="132">
        <v>900</v>
      </c>
      <c r="K39" s="306">
        <f>ROUND(I39*J39,0)</f>
        <v>10530000</v>
      </c>
      <c r="L39" s="307" t="s">
        <v>241</v>
      </c>
      <c r="M39" s="307" t="s">
        <v>158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/>
      </c>
      <c r="Z39" s="387"/>
      <c r="AA39" s="303"/>
      <c r="AB39" s="303"/>
      <c r="AC39" s="303"/>
    </row>
    <row r="40" spans="1:29" s="123" customFormat="1" ht="15.75" customHeight="1">
      <c r="A40" s="388" t="str">
        <f>IF(B40&lt;&gt;"",IF(AND(B40&gt;=_TM1,B40&lt;=_TM2,OR(TH!L40="1111",TH!M40="1111")),TH!D40,""),"")</f>
        <v/>
      </c>
      <c r="B40" s="13">
        <f t="shared" si="2"/>
        <v>9</v>
      </c>
      <c r="C40" s="112">
        <f t="shared" si="3"/>
        <v>41167</v>
      </c>
      <c r="D40" s="107" t="s">
        <v>518</v>
      </c>
      <c r="E40" s="107">
        <v>41167</v>
      </c>
      <c r="F40" s="110" t="s">
        <v>463</v>
      </c>
      <c r="G40" s="395" t="s">
        <v>460</v>
      </c>
      <c r="H40" s="114" t="s">
        <v>461</v>
      </c>
      <c r="I40" s="132"/>
      <c r="J40" s="132"/>
      <c r="K40" s="306">
        <v>1866600</v>
      </c>
      <c r="L40" s="307" t="s">
        <v>241</v>
      </c>
      <c r="M40" s="307" t="s">
        <v>282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/>
      </c>
      <c r="Z40" s="387"/>
      <c r="AA40" s="303"/>
      <c r="AB40" s="303"/>
      <c r="AC40" s="303"/>
    </row>
    <row r="41" spans="1:29" s="123" customFormat="1" ht="15.75" customHeight="1">
      <c r="A41" s="388" t="str">
        <f>IF(B41&lt;&gt;"",IF(AND(B41&gt;=_TM1,B41&lt;=_TM2,OR(TH!L41="1111",TH!M41="1111")),TH!D41,""),"")</f>
        <v/>
      </c>
      <c r="B41" s="13">
        <f t="shared" si="2"/>
        <v>9</v>
      </c>
      <c r="C41" s="112">
        <f t="shared" si="3"/>
        <v>41167</v>
      </c>
      <c r="D41" s="107" t="s">
        <v>519</v>
      </c>
      <c r="E41" s="107">
        <v>41167</v>
      </c>
      <c r="F41" s="110" t="s">
        <v>464</v>
      </c>
      <c r="G41" s="395" t="s">
        <v>465</v>
      </c>
      <c r="H41" s="114" t="s">
        <v>402</v>
      </c>
      <c r="I41" s="132">
        <v>1147</v>
      </c>
      <c r="J41" s="132">
        <v>6360</v>
      </c>
      <c r="K41" s="306">
        <f>ROUND(I41*J41,0)</f>
        <v>7294920</v>
      </c>
      <c r="L41" s="307" t="s">
        <v>241</v>
      </c>
      <c r="M41" s="307" t="s">
        <v>158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/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/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/>
      </c>
      <c r="Z41" s="387"/>
      <c r="AA41" s="303"/>
    </row>
    <row r="42" spans="1:29" s="123" customFormat="1" ht="15.75" customHeight="1">
      <c r="A42" s="388" t="str">
        <f>IF(B42&lt;&gt;"",IF(AND(B42&gt;=_TM1,B42&lt;=_TM2,OR(TH!L42="1111",TH!M42="1111")),TH!D42,""),"")</f>
        <v/>
      </c>
      <c r="B42" s="13">
        <f t="shared" si="2"/>
        <v>9</v>
      </c>
      <c r="C42" s="112">
        <f t="shared" si="3"/>
        <v>41167</v>
      </c>
      <c r="D42" s="107" t="s">
        <v>519</v>
      </c>
      <c r="E42" s="107">
        <v>41167</v>
      </c>
      <c r="F42" s="110" t="s">
        <v>463</v>
      </c>
      <c r="G42" s="395" t="s">
        <v>465</v>
      </c>
      <c r="H42" s="114" t="s">
        <v>402</v>
      </c>
      <c r="I42" s="132"/>
      <c r="J42" s="132"/>
      <c r="K42" s="306">
        <v>729492</v>
      </c>
      <c r="L42" s="307" t="s">
        <v>241</v>
      </c>
      <c r="M42" s="307" t="s">
        <v>282</v>
      </c>
      <c r="N42" s="22" t="str">
        <f>IF(AND('331-CT'!$E$7=TH!H42,OR(L42="331",M42="331")),"331",IF(AND(OR(L42="131",M42="131"),H42='131-CT'!$E$7),"131",""))</f>
        <v/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/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/>
      </c>
      <c r="Z42" s="387"/>
      <c r="AA42" s="303"/>
    </row>
    <row r="43" spans="1:29" s="123" customFormat="1" ht="15.75" customHeight="1">
      <c r="A43" s="388" t="str">
        <f>IF(B43&lt;&gt;"",IF(AND(B43&gt;=_TM1,B43&lt;=_TM2,OR(TH!L43="1111",TH!M43="1111")),TH!D43,""),"")</f>
        <v/>
      </c>
      <c r="B43" s="13">
        <f t="shared" si="2"/>
        <v>9</v>
      </c>
      <c r="C43" s="112">
        <f t="shared" si="3"/>
        <v>41167</v>
      </c>
      <c r="D43" s="107" t="s">
        <v>520</v>
      </c>
      <c r="E43" s="107">
        <v>41167</v>
      </c>
      <c r="F43" s="110" t="s">
        <v>466</v>
      </c>
      <c r="G43" s="396" t="s">
        <v>467</v>
      </c>
      <c r="H43" s="114" t="s">
        <v>406</v>
      </c>
      <c r="I43" s="132">
        <v>1094</v>
      </c>
      <c r="J43" s="132">
        <v>6342</v>
      </c>
      <c r="K43" s="306">
        <f>ROUND(I43*J43,0)</f>
        <v>6938148</v>
      </c>
      <c r="L43" s="307" t="s">
        <v>241</v>
      </c>
      <c r="M43" s="307" t="s">
        <v>158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/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/>
      </c>
      <c r="Y43" s="22" t="str">
        <f>IF(AND(B43&lt;=NKC!$N$8,B43&gt;=NKC!$M$8),"x","")</f>
        <v/>
      </c>
      <c r="Z43" s="387"/>
      <c r="AA43" s="303"/>
      <c r="AB43" s="303"/>
      <c r="AC43" s="303"/>
    </row>
    <row r="44" spans="1:29" s="123" customFormat="1" ht="15.75" customHeight="1">
      <c r="A44" s="388" t="str">
        <f>IF(B44&lt;&gt;"",IF(AND(B44&gt;=_TM1,B44&lt;=_TM2,OR(TH!L44="1111",TH!M44="1111")),TH!D44,""),"")</f>
        <v/>
      </c>
      <c r="B44" s="13">
        <f t="shared" si="2"/>
        <v>9</v>
      </c>
      <c r="C44" s="112">
        <f t="shared" si="3"/>
        <v>41167</v>
      </c>
      <c r="D44" s="107" t="s">
        <v>520</v>
      </c>
      <c r="E44" s="107">
        <v>41167</v>
      </c>
      <c r="F44" s="110" t="s">
        <v>468</v>
      </c>
      <c r="G44" s="396" t="s">
        <v>467</v>
      </c>
      <c r="H44" s="114" t="s">
        <v>406</v>
      </c>
      <c r="I44" s="132">
        <v>1010</v>
      </c>
      <c r="J44" s="132">
        <v>6200</v>
      </c>
      <c r="K44" s="306">
        <f>ROUND(I44*J44,0)</f>
        <v>6262000</v>
      </c>
      <c r="L44" s="307" t="s">
        <v>241</v>
      </c>
      <c r="M44" s="307" t="s">
        <v>158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/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/>
      </c>
      <c r="Z44" s="387"/>
      <c r="AA44" s="303"/>
      <c r="AB44" s="303"/>
      <c r="AC44" s="303"/>
    </row>
    <row r="45" spans="1:29" s="123" customFormat="1" ht="15.75" customHeight="1">
      <c r="A45" s="388" t="str">
        <f>IF(B45&lt;&gt;"",IF(AND(B45&gt;=_TM1,B45&lt;=_TM2,OR(TH!L45="1111",TH!M45="1111")),TH!D45,""),"")</f>
        <v/>
      </c>
      <c r="B45" s="13">
        <f t="shared" si="2"/>
        <v>9</v>
      </c>
      <c r="C45" s="112">
        <f t="shared" si="3"/>
        <v>41167</v>
      </c>
      <c r="D45" s="107" t="s">
        <v>520</v>
      </c>
      <c r="E45" s="107">
        <v>41167</v>
      </c>
      <c r="F45" s="110" t="s">
        <v>469</v>
      </c>
      <c r="G45" s="396" t="s">
        <v>467</v>
      </c>
      <c r="H45" s="114" t="s">
        <v>406</v>
      </c>
      <c r="I45" s="132">
        <v>1050</v>
      </c>
      <c r="J45" s="132">
        <v>7110</v>
      </c>
      <c r="K45" s="306">
        <f>ROUND(I45*J45,0)</f>
        <v>7465500</v>
      </c>
      <c r="L45" s="307" t="s">
        <v>241</v>
      </c>
      <c r="M45" s="307" t="s">
        <v>158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/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/>
      </c>
      <c r="Y45" s="22" t="str">
        <f>IF(AND(B45&lt;=NKC!$N$8,B45&gt;=NKC!$M$8),"x","")</f>
        <v/>
      </c>
      <c r="Z45" s="387"/>
      <c r="AA45" s="303"/>
      <c r="AB45" s="303"/>
      <c r="AC45" s="303"/>
    </row>
    <row r="46" spans="1:29" s="123" customFormat="1" ht="15.75" customHeight="1">
      <c r="A46" s="388" t="str">
        <f>IF(B46&lt;&gt;"",IF(AND(B46&gt;=_TM1,B46&lt;=_TM2,OR(TH!L46="1111",TH!M46="1111")),TH!D46,""),"")</f>
        <v/>
      </c>
      <c r="B46" s="13">
        <f t="shared" si="2"/>
        <v>9</v>
      </c>
      <c r="C46" s="112">
        <f t="shared" si="3"/>
        <v>41167</v>
      </c>
      <c r="D46" s="107" t="s">
        <v>520</v>
      </c>
      <c r="E46" s="107">
        <v>41167</v>
      </c>
      <c r="F46" s="110" t="s">
        <v>463</v>
      </c>
      <c r="G46" s="396" t="s">
        <v>467</v>
      </c>
      <c r="H46" s="114" t="s">
        <v>406</v>
      </c>
      <c r="I46" s="132"/>
      <c r="J46" s="132"/>
      <c r="K46" s="306">
        <v>2066564</v>
      </c>
      <c r="L46" s="307" t="s">
        <v>241</v>
      </c>
      <c r="M46" s="307" t="s">
        <v>282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/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/>
      </c>
      <c r="Z46" s="387"/>
      <c r="AA46" s="303"/>
      <c r="AB46" s="303"/>
      <c r="AC46" s="303"/>
    </row>
    <row r="47" spans="1:29" s="123" customFormat="1" ht="15.75" customHeight="1">
      <c r="A47" s="388" t="str">
        <f>IF(B47&lt;&gt;"",IF(AND(B47&gt;=_TM1,B47&lt;=_TM2,OR(TH!L47="1111",TH!M47="1111")),TH!D47,""),"")</f>
        <v/>
      </c>
      <c r="B47" s="13">
        <f t="shared" si="2"/>
        <v>9</v>
      </c>
      <c r="C47" s="112">
        <f t="shared" si="3"/>
        <v>41169</v>
      </c>
      <c r="D47" s="107" t="s">
        <v>398</v>
      </c>
      <c r="E47" s="107">
        <v>41169</v>
      </c>
      <c r="F47" s="110" t="s">
        <v>401</v>
      </c>
      <c r="G47" s="395" t="s">
        <v>305</v>
      </c>
      <c r="H47" s="114" t="s">
        <v>461</v>
      </c>
      <c r="I47" s="132"/>
      <c r="J47" s="132"/>
      <c r="K47" s="306">
        <v>20532600</v>
      </c>
      <c r="L47" s="307" t="s">
        <v>24</v>
      </c>
      <c r="M47" s="307" t="s">
        <v>241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>x</v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/>
      </c>
      <c r="Z47" s="387"/>
      <c r="AA47" s="303"/>
      <c r="AB47" s="303"/>
      <c r="AC47" s="303"/>
    </row>
    <row r="48" spans="1:29" s="123" customFormat="1" ht="15.75" customHeight="1">
      <c r="A48" s="388" t="str">
        <f>IF(B48&lt;&gt;"",IF(AND(B48&gt;=_TM1,B48&lt;=_TM2,OR(TH!L48="1111",TH!M48="1111")),TH!D48,""),"")</f>
        <v/>
      </c>
      <c r="B48" s="13">
        <f t="shared" si="2"/>
        <v>9</v>
      </c>
      <c r="C48" s="112">
        <f t="shared" si="3"/>
        <v>41169</v>
      </c>
      <c r="D48" s="107" t="s">
        <v>521</v>
      </c>
      <c r="E48" s="107">
        <v>41169</v>
      </c>
      <c r="F48" s="110" t="s">
        <v>470</v>
      </c>
      <c r="G48" s="396" t="s">
        <v>471</v>
      </c>
      <c r="H48" s="114" t="s">
        <v>406</v>
      </c>
      <c r="I48" s="132">
        <v>1200</v>
      </c>
      <c r="J48" s="132">
        <v>5150</v>
      </c>
      <c r="K48" s="306">
        <f>ROUND(I48*J48,0)</f>
        <v>6180000</v>
      </c>
      <c r="L48" s="307" t="s">
        <v>241</v>
      </c>
      <c r="M48" s="307" t="s">
        <v>158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/>
      </c>
      <c r="Z48" s="387"/>
      <c r="AA48" s="303"/>
    </row>
    <row r="49" spans="1:29" s="123" customFormat="1" ht="15.75" customHeight="1">
      <c r="A49" s="388" t="str">
        <f>IF(B49&lt;&gt;"",IF(AND(B49&gt;=_TM1,B49&lt;=_TM2,OR(TH!L49="1111",TH!M49="1111")),TH!D49,""),"")</f>
        <v/>
      </c>
      <c r="B49" s="13">
        <f t="shared" si="2"/>
        <v>9</v>
      </c>
      <c r="C49" s="112">
        <f t="shared" si="3"/>
        <v>41169</v>
      </c>
      <c r="D49" s="107" t="s">
        <v>521</v>
      </c>
      <c r="E49" s="107">
        <v>41169</v>
      </c>
      <c r="F49" s="110" t="s">
        <v>463</v>
      </c>
      <c r="G49" s="396" t="s">
        <v>471</v>
      </c>
      <c r="H49" s="114" t="s">
        <v>406</v>
      </c>
      <c r="I49" s="132"/>
      <c r="J49" s="132"/>
      <c r="K49" s="306">
        <v>618000</v>
      </c>
      <c r="L49" s="307" t="s">
        <v>241</v>
      </c>
      <c r="M49" s="307" t="s">
        <v>282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/>
      </c>
      <c r="Z49" s="387"/>
      <c r="AA49" s="303"/>
    </row>
    <row r="50" spans="1:29" s="123" customFormat="1" ht="15.75" customHeight="1">
      <c r="A50" s="388" t="str">
        <f>IF(B50&lt;&gt;"",IF(AND(B50&gt;=_TM1,B50&lt;=_TM2,OR(TH!L50="1111",TH!M50="1111")),TH!D50,""),"")</f>
        <v/>
      </c>
      <c r="B50" s="13">
        <f t="shared" si="2"/>
        <v>9</v>
      </c>
      <c r="C50" s="112">
        <f t="shared" si="3"/>
        <v>41169</v>
      </c>
      <c r="D50" s="107" t="s">
        <v>277</v>
      </c>
      <c r="E50" s="107">
        <v>41169</v>
      </c>
      <c r="F50" s="110" t="s">
        <v>401</v>
      </c>
      <c r="G50" s="396" t="s">
        <v>471</v>
      </c>
      <c r="H50" s="114" t="s">
        <v>406</v>
      </c>
      <c r="I50" s="132"/>
      <c r="J50" s="132"/>
      <c r="K50" s="306">
        <v>6798000</v>
      </c>
      <c r="L50" s="307" t="s">
        <v>46</v>
      </c>
      <c r="M50" s="307" t="s">
        <v>241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>x</v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/>
      </c>
      <c r="Z50" s="387"/>
      <c r="AA50" s="303"/>
    </row>
    <row r="51" spans="1:29" s="123" customFormat="1" ht="15.75" customHeight="1">
      <c r="A51" s="388" t="str">
        <f>IF(B51&lt;&gt;"",IF(AND(B51&gt;=_TM1,B51&lt;=_TM2,OR(TH!L51="1111",TH!M51="1111")),TH!D51,""),"")</f>
        <v/>
      </c>
      <c r="B51" s="13">
        <f t="shared" si="2"/>
        <v>9</v>
      </c>
      <c r="C51" s="112">
        <f t="shared" si="3"/>
        <v>41171</v>
      </c>
      <c r="D51" s="107" t="s">
        <v>419</v>
      </c>
      <c r="E51" s="107">
        <v>41171</v>
      </c>
      <c r="F51" s="113" t="s">
        <v>310</v>
      </c>
      <c r="G51" s="395" t="s">
        <v>312</v>
      </c>
      <c r="H51" s="122" t="s">
        <v>309</v>
      </c>
      <c r="I51" s="132"/>
      <c r="J51" s="132"/>
      <c r="K51" s="14">
        <f>97273+136364</f>
        <v>233637</v>
      </c>
      <c r="L51" s="115" t="s">
        <v>82</v>
      </c>
      <c r="M51" s="115" t="s">
        <v>46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>x</v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/>
      </c>
      <c r="Z51" s="387"/>
      <c r="AA51" s="303"/>
    </row>
    <row r="52" spans="1:29" s="123" customFormat="1" ht="15.75" customHeight="1">
      <c r="A52" s="388" t="str">
        <f>IF(B52&lt;&gt;"",IF(AND(B52&gt;=_TM1,B52&lt;=_TM2,OR(TH!L52="1111",TH!M52="1111")),TH!D52,""),"")</f>
        <v/>
      </c>
      <c r="B52" s="13">
        <f t="shared" si="2"/>
        <v>9</v>
      </c>
      <c r="C52" s="112">
        <f t="shared" si="3"/>
        <v>41171</v>
      </c>
      <c r="D52" s="107" t="s">
        <v>419</v>
      </c>
      <c r="E52" s="107">
        <v>41171</v>
      </c>
      <c r="F52" s="113" t="s">
        <v>311</v>
      </c>
      <c r="G52" s="395" t="s">
        <v>312</v>
      </c>
      <c r="H52" s="122" t="s">
        <v>309</v>
      </c>
      <c r="I52" s="132"/>
      <c r="J52" s="132"/>
      <c r="K52" s="14">
        <f>9727+13636</f>
        <v>23363</v>
      </c>
      <c r="L52" s="115" t="s">
        <v>9</v>
      </c>
      <c r="M52" s="115" t="s">
        <v>46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>x</v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/>
      </c>
      <c r="Z52" s="387">
        <v>9</v>
      </c>
      <c r="AA52" s="303"/>
    </row>
    <row r="53" spans="1:29" s="123" customFormat="1" ht="15.75" customHeight="1">
      <c r="A53" s="388" t="str">
        <f>IF(B53&lt;&gt;"",IF(AND(B53&gt;=_TM1,B53&lt;=_TM2,OR(TH!L53="1111",TH!M53="1111")),TH!D53,""),"")</f>
        <v/>
      </c>
      <c r="B53" s="13">
        <f t="shared" si="2"/>
        <v>9</v>
      </c>
      <c r="C53" s="112">
        <f t="shared" si="3"/>
        <v>41172</v>
      </c>
      <c r="D53" s="112" t="s">
        <v>428</v>
      </c>
      <c r="E53" s="107">
        <v>41172</v>
      </c>
      <c r="F53" s="110" t="s">
        <v>334</v>
      </c>
      <c r="G53" s="395" t="s">
        <v>333</v>
      </c>
      <c r="H53" s="5" t="s">
        <v>317</v>
      </c>
      <c r="I53" s="132">
        <v>500</v>
      </c>
      <c r="J53" s="132">
        <v>10286</v>
      </c>
      <c r="K53" s="14">
        <f>ROUND(I53*J53,0)</f>
        <v>5143000</v>
      </c>
      <c r="L53" s="115" t="s">
        <v>306</v>
      </c>
      <c r="M53" s="115" t="s">
        <v>8</v>
      </c>
      <c r="N53" s="22" t="str">
        <f>IF(AND('331-CT'!$E$7=TH!H53,OR(L53="331",M53="331")),"331",IF(AND(OR(L53="131",M53="131"),H53='131-CT'!$E$7),"131",""))</f>
        <v>331</v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/>
      </c>
      <c r="Z53" s="387"/>
      <c r="AA53" s="303"/>
    </row>
    <row r="54" spans="1:29" s="123" customFormat="1" ht="15.75" customHeight="1">
      <c r="A54" s="388" t="str">
        <f>IF(B54&lt;&gt;"",IF(AND(B54&gt;=_TM1,B54&lt;=_TM2,OR(TH!L54="1111",TH!M54="1111")),TH!D54,""),"")</f>
        <v/>
      </c>
      <c r="B54" s="13">
        <f t="shared" si="2"/>
        <v>9</v>
      </c>
      <c r="C54" s="112">
        <f t="shared" si="3"/>
        <v>41172</v>
      </c>
      <c r="D54" s="112" t="s">
        <v>428</v>
      </c>
      <c r="E54" s="107">
        <v>41172</v>
      </c>
      <c r="F54" s="110" t="s">
        <v>319</v>
      </c>
      <c r="G54" s="395" t="s">
        <v>333</v>
      </c>
      <c r="H54" s="5" t="s">
        <v>317</v>
      </c>
      <c r="I54" s="132"/>
      <c r="J54" s="132"/>
      <c r="K54" s="14">
        <v>514300</v>
      </c>
      <c r="L54" s="115" t="s">
        <v>9</v>
      </c>
      <c r="M54" s="115" t="s">
        <v>8</v>
      </c>
      <c r="N54" s="22" t="str">
        <f>IF(AND('331-CT'!$E$7=TH!H54,OR(L54="331",M54="331")),"331",IF(AND(OR(L54="131",M54="131"),H54='131-CT'!$E$7),"131",""))</f>
        <v>331</v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/>
      </c>
      <c r="Z54" s="387">
        <v>9</v>
      </c>
      <c r="AA54" s="303"/>
    </row>
    <row r="55" spans="1:29" s="123" customFormat="1" ht="15.75" customHeight="1">
      <c r="A55" s="388" t="str">
        <f>IF(B55&lt;&gt;"",IF(AND(B55&gt;=_TM1,B55&lt;=_TM2,OR(TH!L55="1111",TH!M55="1111")),TH!D55,""),"")</f>
        <v/>
      </c>
      <c r="B55" s="13">
        <f t="shared" si="2"/>
        <v>9</v>
      </c>
      <c r="C55" s="112">
        <f t="shared" si="3"/>
        <v>41172</v>
      </c>
      <c r="D55" s="107" t="s">
        <v>420</v>
      </c>
      <c r="E55" s="107">
        <v>41172</v>
      </c>
      <c r="F55" s="110" t="s">
        <v>411</v>
      </c>
      <c r="G55" s="395" t="s">
        <v>333</v>
      </c>
      <c r="H55" s="5" t="s">
        <v>317</v>
      </c>
      <c r="I55" s="132"/>
      <c r="J55" s="132"/>
      <c r="K55" s="14">
        <v>5657300</v>
      </c>
      <c r="L55" s="115" t="s">
        <v>8</v>
      </c>
      <c r="M55" s="115" t="s">
        <v>46</v>
      </c>
      <c r="N55" s="22" t="str">
        <f>IF(AND('331-CT'!$E$7=TH!H55,OR(L55="331",M55="331")),"331",IF(AND(OR(L55="131",M55="131"),H55='131-CT'!$E$7),"131",""))</f>
        <v>331</v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>x</v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/>
      </c>
      <c r="Z55" s="387"/>
      <c r="AA55" s="303"/>
    </row>
    <row r="56" spans="1:29" s="123" customFormat="1" ht="15.75" customHeight="1">
      <c r="A56" s="388" t="str">
        <f>IF(B56&lt;&gt;"",IF(AND(B56&gt;=_TM1,B56&lt;=_TM2,OR(TH!L56="1111",TH!M56="1111")),TH!D56,""),"")</f>
        <v/>
      </c>
      <c r="B56" s="13">
        <f t="shared" si="2"/>
        <v>9</v>
      </c>
      <c r="C56" s="112">
        <f t="shared" si="3"/>
        <v>41177</v>
      </c>
      <c r="D56" s="107" t="s">
        <v>398</v>
      </c>
      <c r="E56" s="107">
        <v>41177</v>
      </c>
      <c r="F56" s="110" t="s">
        <v>405</v>
      </c>
      <c r="G56" s="395" t="s">
        <v>305</v>
      </c>
      <c r="H56" s="114"/>
      <c r="I56" s="132"/>
      <c r="J56" s="132"/>
      <c r="K56" s="306">
        <v>9576</v>
      </c>
      <c r="L56" s="307" t="s">
        <v>24</v>
      </c>
      <c r="M56" s="307" t="s">
        <v>39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/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>x</v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/>
      </c>
      <c r="Z56" s="387"/>
      <c r="AA56" s="303"/>
      <c r="AB56" s="303"/>
      <c r="AC56" s="303"/>
    </row>
    <row r="57" spans="1:29" s="123" customFormat="1" ht="15.75" customHeight="1">
      <c r="A57" s="388" t="str">
        <f>IF(B57&lt;&gt;"",IF(AND(B57&gt;=_TM1,B57&lt;=_TM2,OR(TH!L57="1111",TH!M57="1111")),TH!D57,""),"")</f>
        <v/>
      </c>
      <c r="B57" s="13">
        <f t="shared" si="2"/>
        <v>9</v>
      </c>
      <c r="C57" s="112">
        <f t="shared" si="3"/>
        <v>41177</v>
      </c>
      <c r="D57" s="107" t="s">
        <v>410</v>
      </c>
      <c r="E57" s="107">
        <v>41177</v>
      </c>
      <c r="F57" s="110" t="s">
        <v>400</v>
      </c>
      <c r="G57" s="395" t="s">
        <v>305</v>
      </c>
      <c r="H57" s="114"/>
      <c r="I57" s="132"/>
      <c r="J57" s="132"/>
      <c r="K57" s="306">
        <v>11000</v>
      </c>
      <c r="L57" s="307" t="s">
        <v>82</v>
      </c>
      <c r="M57" s="307" t="s">
        <v>24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/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>x</v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/>
      </c>
      <c r="Z57" s="387"/>
      <c r="AA57" s="303"/>
      <c r="AC57" s="303"/>
    </row>
    <row r="58" spans="1:29" s="123" customFormat="1" ht="15.75" customHeight="1">
      <c r="A58" s="388" t="str">
        <f>IF(B58&lt;&gt;"",IF(AND(B58&gt;=_TM1,B58&lt;=_TM2,OR(TH!L58="1111",TH!M58="1111")),TH!D58,""),"")</f>
        <v/>
      </c>
      <c r="B58" s="13">
        <f t="shared" si="2"/>
        <v>9</v>
      </c>
      <c r="C58" s="112">
        <f t="shared" si="3"/>
        <v>41178</v>
      </c>
      <c r="D58" s="107" t="s">
        <v>522</v>
      </c>
      <c r="E58" s="107">
        <v>41178</v>
      </c>
      <c r="F58" s="110" t="s">
        <v>472</v>
      </c>
      <c r="G58" s="396" t="s">
        <v>473</v>
      </c>
      <c r="H58" s="114" t="s">
        <v>406</v>
      </c>
      <c r="I58" s="132">
        <v>1020</v>
      </c>
      <c r="J58" s="132">
        <v>6200</v>
      </c>
      <c r="K58" s="306">
        <f>ROUND(I58*J58,0)</f>
        <v>6324000</v>
      </c>
      <c r="L58" s="307" t="s">
        <v>241</v>
      </c>
      <c r="M58" s="307" t="s">
        <v>158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/>
      </c>
      <c r="Z58" s="387"/>
      <c r="AA58" s="303"/>
    </row>
    <row r="59" spans="1:29" s="123" customFormat="1" ht="15.75" customHeight="1">
      <c r="A59" s="388" t="str">
        <f>IF(B59&lt;&gt;"",IF(AND(B59&gt;=_TM1,B59&lt;=_TM2,OR(TH!L59="1111",TH!M59="1111")),TH!D59,""),"")</f>
        <v/>
      </c>
      <c r="B59" s="13">
        <f t="shared" si="2"/>
        <v>9</v>
      </c>
      <c r="C59" s="112">
        <f t="shared" si="3"/>
        <v>41178</v>
      </c>
      <c r="D59" s="107" t="s">
        <v>522</v>
      </c>
      <c r="E59" s="107">
        <v>41178</v>
      </c>
      <c r="F59" s="110" t="s">
        <v>463</v>
      </c>
      <c r="G59" s="396" t="s">
        <v>473</v>
      </c>
      <c r="H59" s="114" t="s">
        <v>406</v>
      </c>
      <c r="I59" s="132"/>
      <c r="J59" s="132"/>
      <c r="K59" s="306">
        <v>632400</v>
      </c>
      <c r="L59" s="307" t="s">
        <v>241</v>
      </c>
      <c r="M59" s="307" t="s">
        <v>282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/>
      </c>
      <c r="Z59" s="387"/>
    </row>
    <row r="60" spans="1:29" s="123" customFormat="1" ht="15.75" customHeight="1">
      <c r="A60" s="388" t="str">
        <f>IF(B60&lt;&gt;"",IF(AND(B60&gt;=_TM1,B60&lt;=_TM2,OR(TH!L60="1111",TH!M60="1111")),TH!D60,""),"")</f>
        <v/>
      </c>
      <c r="B60" s="13">
        <f t="shared" si="2"/>
        <v>9</v>
      </c>
      <c r="C60" s="112">
        <f t="shared" si="3"/>
        <v>41182</v>
      </c>
      <c r="D60" s="112" t="s">
        <v>257</v>
      </c>
      <c r="E60" s="112">
        <v>41182</v>
      </c>
      <c r="F60" s="113" t="s">
        <v>515</v>
      </c>
      <c r="G60" s="396"/>
      <c r="H60" s="114" t="s">
        <v>338</v>
      </c>
      <c r="I60" s="132"/>
      <c r="J60" s="132"/>
      <c r="K60" s="306">
        <v>434287</v>
      </c>
      <c r="L60" s="307" t="s">
        <v>9</v>
      </c>
      <c r="M60" s="307" t="s">
        <v>17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/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/>
      </c>
      <c r="Z60" s="387"/>
      <c r="AA60" s="303"/>
      <c r="AB60" s="303"/>
      <c r="AC60" s="303"/>
    </row>
    <row r="61" spans="1:29" s="123" customFormat="1" ht="15.75" customHeight="1">
      <c r="A61" s="388" t="str">
        <f>IF(B61&lt;&gt;"",IF(AND(B61&gt;=_TM1,B61&lt;=_TM2,OR(TH!L61="1111",TH!M61="1111")),TH!D61,""),"")</f>
        <v/>
      </c>
      <c r="B61" s="13">
        <f t="shared" si="2"/>
        <v>9</v>
      </c>
      <c r="C61" s="112">
        <f t="shared" si="3"/>
        <v>41182</v>
      </c>
      <c r="D61" s="112" t="s">
        <v>257</v>
      </c>
      <c r="E61" s="112">
        <v>41182</v>
      </c>
      <c r="F61" s="113" t="s">
        <v>723</v>
      </c>
      <c r="G61" s="396"/>
      <c r="H61" s="114"/>
      <c r="I61" s="132"/>
      <c r="J61" s="132"/>
      <c r="K61" s="306">
        <v>8100000</v>
      </c>
      <c r="L61" s="307" t="s">
        <v>82</v>
      </c>
      <c r="M61" s="307" t="s">
        <v>243</v>
      </c>
      <c r="N61" s="22" t="str">
        <f>IF(AND('331-CT'!$E$7=TH!H61,OR(L61="331",M61="331")),"331",IF(AND(OR(L61="131",M61="131"),H61='131-CT'!$E$7),"131",""))</f>
        <v/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/>
      </c>
      <c r="Z61" s="387"/>
      <c r="AA61" s="303"/>
    </row>
    <row r="62" spans="1:29" s="123" customFormat="1" ht="15.75" customHeight="1">
      <c r="A62" s="388" t="str">
        <f>IF(B62&lt;&gt;"",IF(AND(B62&gt;=_TM1,B62&lt;=_TM2,OR(TH!L62="1111",TH!M62="1111")),TH!D62,""),"")</f>
        <v/>
      </c>
      <c r="B62" s="13">
        <f t="shared" si="2"/>
        <v>9</v>
      </c>
      <c r="C62" s="112">
        <f t="shared" si="3"/>
        <v>41182</v>
      </c>
      <c r="D62" s="112" t="s">
        <v>257</v>
      </c>
      <c r="E62" s="112">
        <v>41182</v>
      </c>
      <c r="F62" s="113" t="s">
        <v>722</v>
      </c>
      <c r="G62" s="396"/>
      <c r="H62" s="114"/>
      <c r="I62" s="132"/>
      <c r="J62" s="132"/>
      <c r="K62" s="306">
        <v>5685000</v>
      </c>
      <c r="L62" s="307" t="s">
        <v>154</v>
      </c>
      <c r="M62" s="307" t="s">
        <v>243</v>
      </c>
      <c r="N62" s="22" t="str">
        <f>IF(AND('331-CT'!$E$7=TH!H62,OR(L62="331",M62="331")),"331",IF(AND(OR(L62="131",M62="131"),H62='131-CT'!$E$7),"131",""))</f>
        <v/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/>
      </c>
      <c r="Z62" s="387"/>
      <c r="AA62" s="303"/>
    </row>
    <row r="63" spans="1:29" s="123" customFormat="1" ht="15.75" customHeight="1">
      <c r="A63" s="388" t="str">
        <f>IF(B63&lt;&gt;"",IF(AND(B63&gt;=_TM1,B63&lt;=_TM2,OR(TH!L63="1111",TH!M63="1111")),TH!D63,""),"")</f>
        <v/>
      </c>
      <c r="B63" s="13">
        <f t="shared" si="2"/>
        <v>9</v>
      </c>
      <c r="C63" s="112">
        <f t="shared" si="3"/>
        <v>41182</v>
      </c>
      <c r="D63" s="107" t="s">
        <v>421</v>
      </c>
      <c r="E63" s="112">
        <v>41182</v>
      </c>
      <c r="F63" s="113" t="s">
        <v>724</v>
      </c>
      <c r="G63" s="396"/>
      <c r="H63" s="114" t="s">
        <v>714</v>
      </c>
      <c r="I63" s="132"/>
      <c r="J63" s="132"/>
      <c r="K63" s="306">
        <f>K61+K62</f>
        <v>13785000</v>
      </c>
      <c r="L63" s="307" t="s">
        <v>243</v>
      </c>
      <c r="M63" s="307" t="s">
        <v>46</v>
      </c>
      <c r="N63" s="22" t="str">
        <f>IF(AND('331-CT'!$E$7=TH!H63,OR(L63="331",M63="331")),"331",IF(AND(OR(L63="131",M63="131"),H63='131-CT'!$E$7),"131",""))</f>
        <v/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>x</v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/>
      </c>
      <c r="Z63" s="387"/>
      <c r="AA63" s="303"/>
    </row>
    <row r="64" spans="1:29" s="123" customFormat="1" ht="15.75" customHeight="1">
      <c r="A64" s="388" t="str">
        <f>IF(B64&lt;&gt;"",IF(AND(B64&gt;=_TM1,B64&lt;=_TM2,OR(TH!L64="1111",TH!M64="1111")),TH!D64,""),"")</f>
        <v/>
      </c>
      <c r="B64" s="13">
        <f t="shared" si="2"/>
        <v>10</v>
      </c>
      <c r="C64" s="112">
        <f t="shared" si="3"/>
        <v>41183</v>
      </c>
      <c r="D64" s="107" t="s">
        <v>398</v>
      </c>
      <c r="E64" s="107">
        <v>41183</v>
      </c>
      <c r="F64" s="110" t="s">
        <v>401</v>
      </c>
      <c r="G64" s="395" t="s">
        <v>305</v>
      </c>
      <c r="H64" s="114" t="s">
        <v>402</v>
      </c>
      <c r="I64" s="132"/>
      <c r="J64" s="132"/>
      <c r="K64" s="306">
        <v>8024412</v>
      </c>
      <c r="L64" s="307" t="s">
        <v>24</v>
      </c>
      <c r="M64" s="307" t="s">
        <v>241</v>
      </c>
      <c r="N64" s="22" t="str">
        <f>IF(AND('331-CT'!$E$7=TH!H64,OR(L64="331",M64="331")),"331",IF(AND(OR(L64="131",M64="131"),H64='131-CT'!$E$7),"131",""))</f>
        <v/>
      </c>
      <c r="O64" s="22" t="str">
        <f>IF(AND($B64&gt;='111'!$N$11,$B64&lt;='111'!$O$11,OR($L64=$O$7,$M64=$O$7)),"x","")</f>
        <v/>
      </c>
      <c r="P64" s="22" t="str">
        <f>IF(AND($L64=$O$7,$B64&lt;'111'!$N$11),"x","")</f>
        <v/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>x</v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387"/>
      <c r="AA64" s="303"/>
      <c r="AC64" s="303"/>
    </row>
    <row r="65" spans="1:29" s="123" customFormat="1" ht="15.75" customHeight="1">
      <c r="A65" s="388" t="str">
        <f>IF(B65&lt;&gt;"",IF(AND(B65&gt;=_TM1,B65&lt;=_TM2,OR(TH!L65="1111",TH!M65="1111")),TH!D65,""),"")</f>
        <v>T01</v>
      </c>
      <c r="B65" s="13">
        <f t="shared" si="2"/>
        <v>10</v>
      </c>
      <c r="C65" s="112">
        <f t="shared" si="3"/>
        <v>41187</v>
      </c>
      <c r="D65" s="107" t="s">
        <v>276</v>
      </c>
      <c r="E65" s="107">
        <v>41187</v>
      </c>
      <c r="F65" s="110" t="s">
        <v>403</v>
      </c>
      <c r="G65" s="395" t="s">
        <v>305</v>
      </c>
      <c r="H65" s="114" t="s">
        <v>408</v>
      </c>
      <c r="I65" s="132"/>
      <c r="J65" s="132"/>
      <c r="K65" s="306">
        <v>28000000</v>
      </c>
      <c r="L65" s="307" t="s">
        <v>46</v>
      </c>
      <c r="M65" s="307" t="s">
        <v>24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>x</v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>x</v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387"/>
      <c r="AA65" s="303"/>
      <c r="AB65" s="303"/>
      <c r="AC65" s="303"/>
    </row>
    <row r="66" spans="1:29" s="123" customFormat="1" ht="15.75" customHeight="1">
      <c r="A66" s="388" t="str">
        <f>IF(B66&lt;&gt;"",IF(AND(B66&gt;=_TM1,B66&lt;=_TM2,OR(TH!L66="1111",TH!M66="1111")),TH!D66,""),"")</f>
        <v/>
      </c>
      <c r="B66" s="13">
        <f t="shared" si="2"/>
        <v>10</v>
      </c>
      <c r="C66" s="112">
        <f t="shared" si="3"/>
        <v>41187</v>
      </c>
      <c r="D66" s="107" t="s">
        <v>410</v>
      </c>
      <c r="E66" s="107">
        <v>41187</v>
      </c>
      <c r="F66" s="110" t="s">
        <v>404</v>
      </c>
      <c r="G66" s="395" t="s">
        <v>305</v>
      </c>
      <c r="H66" s="114"/>
      <c r="I66" s="132"/>
      <c r="J66" s="132"/>
      <c r="K66" s="306">
        <v>20000</v>
      </c>
      <c r="L66" s="307" t="s">
        <v>82</v>
      </c>
      <c r="M66" s="307" t="s">
        <v>24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>x</v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387"/>
      <c r="AA66" s="303"/>
      <c r="AB66" s="303"/>
      <c r="AC66" s="303"/>
    </row>
    <row r="67" spans="1:29" s="123" customFormat="1" ht="15.75" customHeight="1">
      <c r="A67" s="388" t="str">
        <f>IF(B67&lt;&gt;"",IF(AND(B67&gt;=_TM1,B67&lt;=_TM2,OR(TH!L67="1111",TH!M67="1111")),TH!D67,""),"")</f>
        <v/>
      </c>
      <c r="B67" s="13">
        <f t="shared" si="2"/>
        <v>10</v>
      </c>
      <c r="C67" s="112">
        <f t="shared" si="3"/>
        <v>41187</v>
      </c>
      <c r="D67" s="107" t="s">
        <v>410</v>
      </c>
      <c r="E67" s="107">
        <v>41187</v>
      </c>
      <c r="F67" s="110" t="s">
        <v>555</v>
      </c>
      <c r="G67" s="395" t="s">
        <v>305</v>
      </c>
      <c r="H67" s="114"/>
      <c r="I67" s="132"/>
      <c r="J67" s="132"/>
      <c r="K67" s="306">
        <v>2000</v>
      </c>
      <c r="L67" s="307" t="s">
        <v>9</v>
      </c>
      <c r="M67" s="307" t="s">
        <v>24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>x</v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387">
        <v>10</v>
      </c>
      <c r="AA67" s="303"/>
      <c r="AB67" s="303"/>
      <c r="AC67" s="303"/>
    </row>
    <row r="68" spans="1:29" s="123" customFormat="1" ht="15.75" customHeight="1">
      <c r="A68" s="388" t="str">
        <f>IF(B68&lt;&gt;"",IF(AND(B68&gt;=_TM1,B68&lt;=_TM2,OR(TH!L68="1111",TH!M68="1111")),TH!D68,""),"")</f>
        <v/>
      </c>
      <c r="B68" s="13">
        <f t="shared" si="2"/>
        <v>10</v>
      </c>
      <c r="C68" s="112">
        <f t="shared" si="3"/>
        <v>41193</v>
      </c>
      <c r="D68" s="107" t="s">
        <v>518</v>
      </c>
      <c r="E68" s="112">
        <v>41193</v>
      </c>
      <c r="F68" s="110" t="s">
        <v>474</v>
      </c>
      <c r="G68" s="396" t="s">
        <v>366</v>
      </c>
      <c r="H68" s="114" t="s">
        <v>407</v>
      </c>
      <c r="I68" s="132">
        <v>1300</v>
      </c>
      <c r="J68" s="132">
        <v>5800</v>
      </c>
      <c r="K68" s="306">
        <f>ROUND(I68*J68,0)</f>
        <v>7540000</v>
      </c>
      <c r="L68" s="307" t="s">
        <v>241</v>
      </c>
      <c r="M68" s="307" t="s">
        <v>158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387"/>
      <c r="AA68" s="303"/>
    </row>
    <row r="69" spans="1:29" s="123" customFormat="1" ht="15.75" customHeight="1">
      <c r="A69" s="388" t="str">
        <f>IF(B69&lt;&gt;"",IF(AND(B69&gt;=_TM1,B69&lt;=_TM2,OR(TH!L69="1111",TH!M69="1111")),TH!D69,""),"")</f>
        <v/>
      </c>
      <c r="B69" s="13">
        <f t="shared" si="2"/>
        <v>10</v>
      </c>
      <c r="C69" s="112">
        <f t="shared" si="3"/>
        <v>41193</v>
      </c>
      <c r="D69" s="107" t="s">
        <v>518</v>
      </c>
      <c r="E69" s="112">
        <v>41193</v>
      </c>
      <c r="F69" s="110" t="s">
        <v>463</v>
      </c>
      <c r="G69" s="396" t="s">
        <v>366</v>
      </c>
      <c r="H69" s="114" t="s">
        <v>407</v>
      </c>
      <c r="I69" s="132"/>
      <c r="J69" s="132"/>
      <c r="K69" s="306">
        <v>754000</v>
      </c>
      <c r="L69" s="307" t="s">
        <v>241</v>
      </c>
      <c r="M69" s="307" t="s">
        <v>282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387"/>
      <c r="AA69" s="303"/>
    </row>
    <row r="70" spans="1:29" s="123" customFormat="1" ht="15.75" customHeight="1">
      <c r="A70" s="388" t="str">
        <f>IF(B70&lt;&gt;"",IF(AND(B70&gt;=_TM1,B70&lt;=_TM2,OR(TH!L70="1111",TH!M70="1111")),TH!D70,""),"")</f>
        <v/>
      </c>
      <c r="B70" s="13">
        <f t="shared" si="2"/>
        <v>10</v>
      </c>
      <c r="C70" s="112">
        <f t="shared" si="3"/>
        <v>41195</v>
      </c>
      <c r="D70" s="112" t="s">
        <v>423</v>
      </c>
      <c r="E70" s="107">
        <v>41195</v>
      </c>
      <c r="F70" s="110" t="s">
        <v>353</v>
      </c>
      <c r="G70" s="395" t="s">
        <v>354</v>
      </c>
      <c r="H70" s="5" t="s">
        <v>317</v>
      </c>
      <c r="I70" s="132">
        <v>500</v>
      </c>
      <c r="J70" s="132">
        <v>12750</v>
      </c>
      <c r="K70" s="14">
        <f>ROUND(I70*J70,0)</f>
        <v>6375000</v>
      </c>
      <c r="L70" s="115" t="s">
        <v>306</v>
      </c>
      <c r="M70" s="115" t="s">
        <v>8</v>
      </c>
      <c r="N70" s="22" t="str">
        <f>IF(AND('331-CT'!$E$7=TH!H70,OR(L70="331",M70="331")),"331",IF(AND(OR(L70="131",M70="131"),H70='131-CT'!$E$7),"131",""))</f>
        <v>331</v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>x</v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387"/>
      <c r="AA70" s="303"/>
    </row>
    <row r="71" spans="1:29" s="123" customFormat="1" ht="15.75" customHeight="1">
      <c r="A71" s="388" t="str">
        <f>IF(B71&lt;&gt;"",IF(AND(B71&gt;=_TM1,B71&lt;=_TM2,OR(TH!L71="1111",TH!M71="1111")),TH!D71,""),"")</f>
        <v/>
      </c>
      <c r="B71" s="13">
        <f t="shared" si="2"/>
        <v>10</v>
      </c>
      <c r="C71" s="112">
        <f t="shared" si="3"/>
        <v>41195</v>
      </c>
      <c r="D71" s="112" t="s">
        <v>423</v>
      </c>
      <c r="E71" s="107">
        <v>41195</v>
      </c>
      <c r="F71" s="110" t="s">
        <v>319</v>
      </c>
      <c r="G71" s="395" t="s">
        <v>354</v>
      </c>
      <c r="H71" s="5" t="s">
        <v>317</v>
      </c>
      <c r="I71" s="132"/>
      <c r="J71" s="132"/>
      <c r="K71" s="14">
        <v>637500</v>
      </c>
      <c r="L71" s="115" t="s">
        <v>9</v>
      </c>
      <c r="M71" s="115" t="s">
        <v>8</v>
      </c>
      <c r="N71" s="22" t="str">
        <f>IF(AND('331-CT'!$E$7=TH!H71,OR(L71="331",M71="331")),"331",IF(AND(OR(L71="131",M71="131"),H71='131-CT'!$E$7),"131",""))</f>
        <v>331</v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387">
        <v>10</v>
      </c>
      <c r="AA71" s="303"/>
    </row>
    <row r="72" spans="1:29" s="123" customFormat="1" ht="15.75" customHeight="1">
      <c r="A72" s="388" t="str">
        <f>IF(B72&lt;&gt;"",IF(AND(B72&gt;=_TM1,B72&lt;=_TM2,OR(TH!L72="1111",TH!M72="1111")),TH!D72,""),"")</f>
        <v>C01</v>
      </c>
      <c r="B72" s="13">
        <f t="shared" si="2"/>
        <v>10</v>
      </c>
      <c r="C72" s="112">
        <f t="shared" si="3"/>
        <v>41195</v>
      </c>
      <c r="D72" s="112" t="s">
        <v>412</v>
      </c>
      <c r="E72" s="107">
        <v>41195</v>
      </c>
      <c r="F72" s="110" t="s">
        <v>411</v>
      </c>
      <c r="G72" s="395" t="s">
        <v>354</v>
      </c>
      <c r="H72" s="5" t="s">
        <v>317</v>
      </c>
      <c r="I72" s="132"/>
      <c r="J72" s="132"/>
      <c r="K72" s="14">
        <v>7012500</v>
      </c>
      <c r="L72" s="115" t="s">
        <v>8</v>
      </c>
      <c r="M72" s="115" t="s">
        <v>46</v>
      </c>
      <c r="N72" s="22" t="str">
        <f>IF(AND('331-CT'!$E$7=TH!H72,OR(L72="331",M72="331")),"331",IF(AND(OR(L72="131",M72="131"),H72='131-CT'!$E$7),"131",""))</f>
        <v>331</v>
      </c>
      <c r="O72" s="22" t="str">
        <f>IF(AND($B72&gt;='111'!$N$11,$B72&lt;='111'!$O$11,OR($L72=$O$7,$M72=$O$7)),"x","")</f>
        <v>x</v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387"/>
      <c r="AA72" s="303"/>
    </row>
    <row r="73" spans="1:29" s="123" customFormat="1" ht="15.75" customHeight="1">
      <c r="A73" s="388" t="str">
        <f>IF(B73&lt;&gt;"",IF(AND(B73&gt;=_TM1,B73&lt;=_TM2,OR(TH!L73="1111",TH!M73="1111")),TH!D73,""),"")</f>
        <v/>
      </c>
      <c r="B73" s="13">
        <f t="shared" si="2"/>
        <v>10</v>
      </c>
      <c r="C73" s="112">
        <f t="shared" si="3"/>
        <v>41198</v>
      </c>
      <c r="D73" s="107" t="s">
        <v>398</v>
      </c>
      <c r="E73" s="107">
        <v>41198</v>
      </c>
      <c r="F73" s="110" t="s">
        <v>401</v>
      </c>
      <c r="G73" s="395" t="s">
        <v>305</v>
      </c>
      <c r="H73" s="114" t="s">
        <v>406</v>
      </c>
      <c r="I73" s="132"/>
      <c r="J73" s="132"/>
      <c r="K73" s="306">
        <v>22732212</v>
      </c>
      <c r="L73" s="307" t="s">
        <v>24</v>
      </c>
      <c r="M73" s="307" t="s">
        <v>241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>x</v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387"/>
      <c r="AA73" s="303"/>
      <c r="AB73" s="303"/>
      <c r="AC73" s="303"/>
    </row>
    <row r="74" spans="1:29" s="123" customFormat="1" ht="15.75" customHeight="1">
      <c r="A74" s="388" t="str">
        <f>IF(B74&lt;&gt;"",IF(AND(B74&gt;=_TM1,B74&lt;=_TM2,OR(TH!L74="1111",TH!M74="1111")),TH!D74,""),"")</f>
        <v/>
      </c>
      <c r="B74" s="13">
        <f t="shared" si="2"/>
        <v>10</v>
      </c>
      <c r="C74" s="112">
        <f t="shared" si="3"/>
        <v>41198</v>
      </c>
      <c r="D74" s="107" t="s">
        <v>519</v>
      </c>
      <c r="E74" s="112">
        <v>41198</v>
      </c>
      <c r="F74" s="110" t="s">
        <v>475</v>
      </c>
      <c r="G74" s="396" t="s">
        <v>476</v>
      </c>
      <c r="H74" s="114" t="s">
        <v>477</v>
      </c>
      <c r="I74" s="132">
        <v>1000</v>
      </c>
      <c r="J74" s="132">
        <v>7660</v>
      </c>
      <c r="K74" s="306">
        <f>ROUND(I74*J74,0)</f>
        <v>7660000</v>
      </c>
      <c r="L74" s="307" t="s">
        <v>241</v>
      </c>
      <c r="M74" s="307" t="s">
        <v>158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387"/>
    </row>
    <row r="75" spans="1:29" s="123" customFormat="1" ht="15.75" customHeight="1">
      <c r="A75" s="388" t="str">
        <f>IF(B75&lt;&gt;"",IF(AND(B75&gt;=_TM1,B75&lt;=_TM2,OR(TH!L75="1111",TH!M75="1111")),TH!D75,""),"")</f>
        <v/>
      </c>
      <c r="B75" s="13">
        <f t="shared" si="2"/>
        <v>10</v>
      </c>
      <c r="C75" s="112">
        <f t="shared" si="3"/>
        <v>41198</v>
      </c>
      <c r="D75" s="107" t="s">
        <v>519</v>
      </c>
      <c r="E75" s="112">
        <v>41198</v>
      </c>
      <c r="F75" s="110" t="s">
        <v>463</v>
      </c>
      <c r="G75" s="396" t="s">
        <v>476</v>
      </c>
      <c r="H75" s="114" t="s">
        <v>477</v>
      </c>
      <c r="I75" s="132"/>
      <c r="J75" s="132"/>
      <c r="K75" s="306">
        <v>766000</v>
      </c>
      <c r="L75" s="307" t="s">
        <v>241</v>
      </c>
      <c r="M75" s="307" t="s">
        <v>282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387"/>
      <c r="AA75" s="303"/>
    </row>
    <row r="76" spans="1:29" s="123" customFormat="1" ht="15.75" customHeight="1">
      <c r="A76" s="388" t="str">
        <f>IF(B76&lt;&gt;"",IF(AND(B76&gt;=_TM1,B76&lt;=_TM2,OR(TH!L76="1111",TH!M76="1111")),TH!D76,""),"")</f>
        <v>C02</v>
      </c>
      <c r="B76" s="13">
        <f t="shared" si="2"/>
        <v>10</v>
      </c>
      <c r="C76" s="112">
        <f t="shared" si="3"/>
        <v>41199</v>
      </c>
      <c r="D76" s="112" t="s">
        <v>413</v>
      </c>
      <c r="E76" s="107">
        <v>41199</v>
      </c>
      <c r="F76" s="110" t="s">
        <v>335</v>
      </c>
      <c r="G76" s="395" t="s">
        <v>337</v>
      </c>
      <c r="H76" s="5" t="s">
        <v>338</v>
      </c>
      <c r="I76" s="132"/>
      <c r="J76" s="132"/>
      <c r="K76" s="14">
        <v>366032</v>
      </c>
      <c r="L76" s="115" t="s">
        <v>17</v>
      </c>
      <c r="M76" s="115" t="s">
        <v>46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>x</v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387"/>
      <c r="AA76" s="303"/>
    </row>
    <row r="77" spans="1:29" s="123" customFormat="1" ht="15.75" customHeight="1">
      <c r="A77" s="388" t="str">
        <f>IF(B77&lt;&gt;"",IF(AND(B77&gt;=_TM1,B77&lt;=_TM2,OR(TH!L77="1111",TH!M77="1111")),TH!D77,""),"")</f>
        <v>C02</v>
      </c>
      <c r="B77" s="13">
        <f t="shared" si="2"/>
        <v>10</v>
      </c>
      <c r="C77" s="112">
        <f t="shared" si="3"/>
        <v>41199</v>
      </c>
      <c r="D77" s="112" t="s">
        <v>413</v>
      </c>
      <c r="E77" s="107">
        <v>41199</v>
      </c>
      <c r="F77" s="110" t="s">
        <v>336</v>
      </c>
      <c r="G77" s="395" t="s">
        <v>337</v>
      </c>
      <c r="H77" s="5" t="s">
        <v>338</v>
      </c>
      <c r="I77" s="132"/>
      <c r="J77" s="132"/>
      <c r="K77" s="14">
        <v>750000</v>
      </c>
      <c r="L77" s="115" t="s">
        <v>62</v>
      </c>
      <c r="M77" s="115" t="s">
        <v>46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>x</v>
      </c>
      <c r="P77" s="22" t="str">
        <f>IF(AND($L77=$O$7,$B77&lt;'111'!$N$11),"x","")</f>
        <v/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387"/>
      <c r="AA77" s="303"/>
    </row>
    <row r="78" spans="1:29" s="123" customFormat="1" ht="15.75" customHeight="1">
      <c r="A78" s="388" t="str">
        <f>IF(B78&lt;&gt;"",IF(AND(B78&gt;=_TM1,B78&lt;=_TM2,OR(TH!L78="1111",TH!M78="1111")),TH!D78,""),"")</f>
        <v/>
      </c>
      <c r="B78" s="13">
        <f t="shared" si="2"/>
        <v>10</v>
      </c>
      <c r="C78" s="112">
        <f t="shared" si="3"/>
        <v>41199</v>
      </c>
      <c r="D78" s="112" t="s">
        <v>257</v>
      </c>
      <c r="E78" s="107">
        <v>41199</v>
      </c>
      <c r="F78" s="110" t="s">
        <v>339</v>
      </c>
      <c r="G78" s="395"/>
      <c r="H78" s="5" t="s">
        <v>338</v>
      </c>
      <c r="I78" s="132"/>
      <c r="J78" s="132"/>
      <c r="K78" s="14">
        <v>750000</v>
      </c>
      <c r="L78" s="115" t="s">
        <v>82</v>
      </c>
      <c r="M78" s="115" t="s">
        <v>62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387"/>
      <c r="AA78" s="303"/>
    </row>
    <row r="79" spans="1:29" s="123" customFormat="1" ht="15.75" customHeight="1">
      <c r="A79" s="388" t="str">
        <f>IF(B79&lt;&gt;"",IF(AND(B79&gt;=_TM1,B79&lt;=_TM2,OR(TH!L79="1111",TH!M79="1111")),TH!D79,""),"")</f>
        <v>C03</v>
      </c>
      <c r="B79" s="13">
        <f t="shared" si="2"/>
        <v>10</v>
      </c>
      <c r="C79" s="112">
        <f t="shared" si="3"/>
        <v>41201</v>
      </c>
      <c r="D79" s="112" t="s">
        <v>414</v>
      </c>
      <c r="E79" s="107">
        <v>41201</v>
      </c>
      <c r="F79" s="113" t="s">
        <v>344</v>
      </c>
      <c r="G79" s="395" t="s">
        <v>345</v>
      </c>
      <c r="H79" s="5" t="s">
        <v>343</v>
      </c>
      <c r="I79" s="132"/>
      <c r="J79" s="132"/>
      <c r="K79" s="14">
        <v>272000</v>
      </c>
      <c r="L79" s="115" t="s">
        <v>82</v>
      </c>
      <c r="M79" s="115" t="s">
        <v>46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>x</v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387"/>
      <c r="AA79" s="303"/>
    </row>
    <row r="80" spans="1:29" s="123" customFormat="1" ht="15.75" customHeight="1">
      <c r="A80" s="388" t="str">
        <f>IF(B80&lt;&gt;"",IF(AND(B80&gt;=_TM1,B80&lt;=_TM2,OR(TH!L80="1111",TH!M80="1111")),TH!D80,""),"")</f>
        <v/>
      </c>
      <c r="B80" s="13">
        <f t="shared" ref="B80:B143" si="4">IF(C80&lt;&gt;"",MONTH(C80),"")</f>
        <v>10</v>
      </c>
      <c r="C80" s="112">
        <f t="shared" ref="C80:C143" si="5">E80</f>
        <v>41201</v>
      </c>
      <c r="D80" s="112" t="s">
        <v>425</v>
      </c>
      <c r="E80" s="107">
        <v>41201</v>
      </c>
      <c r="F80" s="110" t="s">
        <v>323</v>
      </c>
      <c r="G80" s="395" t="s">
        <v>355</v>
      </c>
      <c r="H80" s="5" t="s">
        <v>317</v>
      </c>
      <c r="I80" s="132">
        <v>500</v>
      </c>
      <c r="J80" s="132">
        <v>11622</v>
      </c>
      <c r="K80" s="14">
        <f>ROUND(I80*J80,0)</f>
        <v>5811000</v>
      </c>
      <c r="L80" s="115" t="s">
        <v>306</v>
      </c>
      <c r="M80" s="115" t="s">
        <v>8</v>
      </c>
      <c r="N80" s="22" t="str">
        <f>IF(AND('331-CT'!$E$7=TH!H80,OR(L80="331",M80="331")),"331",IF(AND(OR(L80="131",M80="131"),H80='131-CT'!$E$7),"131",""))</f>
        <v>331</v>
      </c>
      <c r="O80" s="22" t="str">
        <f>IF(AND($B80&gt;='111'!$N$11,$B80&lt;='111'!$O$11,OR($L80=$O$7,$M80=$O$7)),"x","")</f>
        <v/>
      </c>
      <c r="P80" s="22" t="str">
        <f>IF(AND($L80=$O$7,$B80&lt;'111'!$N$11),"x","")</f>
        <v/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387"/>
      <c r="AA80" s="303"/>
    </row>
    <row r="81" spans="1:29" s="123" customFormat="1" ht="15.75" customHeight="1">
      <c r="A81" s="388" t="str">
        <f>IF(B81&lt;&gt;"",IF(AND(B81&gt;=_TM1,B81&lt;=_TM2,OR(TH!L81="1111",TH!M81="1111")),TH!D81,""),"")</f>
        <v/>
      </c>
      <c r="B81" s="13">
        <f t="shared" si="4"/>
        <v>10</v>
      </c>
      <c r="C81" s="112">
        <f t="shared" si="5"/>
        <v>41201</v>
      </c>
      <c r="D81" s="112" t="s">
        <v>425</v>
      </c>
      <c r="E81" s="107">
        <v>41201</v>
      </c>
      <c r="F81" s="110" t="s">
        <v>356</v>
      </c>
      <c r="G81" s="395" t="s">
        <v>355</v>
      </c>
      <c r="H81" s="5" t="s">
        <v>317</v>
      </c>
      <c r="I81" s="132">
        <v>500</v>
      </c>
      <c r="J81" s="132">
        <v>8556</v>
      </c>
      <c r="K81" s="14">
        <f>ROUND(I81*J81,0)</f>
        <v>4278000</v>
      </c>
      <c r="L81" s="115" t="s">
        <v>306</v>
      </c>
      <c r="M81" s="115" t="s">
        <v>8</v>
      </c>
      <c r="N81" s="22" t="str">
        <f>IF(AND('331-CT'!$E$7=TH!H81,OR(L81="331",M81="331")),"331",IF(AND(OR(L81="131",M81="131"),H81='131-CT'!$E$7),"131",""))</f>
        <v>331</v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387"/>
      <c r="AA81" s="303"/>
    </row>
    <row r="82" spans="1:29" s="123" customFormat="1" ht="15.75" customHeight="1">
      <c r="A82" s="388" t="str">
        <f>IF(B82&lt;&gt;"",IF(AND(B82&gt;=_TM1,B82&lt;=_TM2,OR(TH!L82="1111",TH!M82="1111")),TH!D82,""),"")</f>
        <v/>
      </c>
      <c r="B82" s="13">
        <f t="shared" si="4"/>
        <v>10</v>
      </c>
      <c r="C82" s="112">
        <f t="shared" si="5"/>
        <v>41201</v>
      </c>
      <c r="D82" s="112" t="s">
        <v>425</v>
      </c>
      <c r="E82" s="107">
        <v>41201</v>
      </c>
      <c r="F82" s="110" t="s">
        <v>319</v>
      </c>
      <c r="G82" s="395" t="s">
        <v>355</v>
      </c>
      <c r="H82" s="5" t="s">
        <v>317</v>
      </c>
      <c r="I82" s="132"/>
      <c r="J82" s="132"/>
      <c r="K82" s="14">
        <v>1008900</v>
      </c>
      <c r="L82" s="115" t="s">
        <v>9</v>
      </c>
      <c r="M82" s="115" t="s">
        <v>8</v>
      </c>
      <c r="N82" s="22" t="str">
        <f>IF(AND('331-CT'!$E$7=TH!H82,OR(L82="331",M82="331")),"331",IF(AND(OR(L82="131",M82="131"),H82='131-CT'!$E$7),"131",""))</f>
        <v>331</v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387">
        <v>10</v>
      </c>
      <c r="AA82" s="303"/>
    </row>
    <row r="83" spans="1:29" s="123" customFormat="1" ht="15.75" customHeight="1">
      <c r="A83" s="388" t="str">
        <f>IF(B83&lt;&gt;"",IF(AND(B83&gt;=_TM1,B83&lt;=_TM2,OR(TH!L83="1111",TH!M83="1111")),TH!D83,""),"")</f>
        <v>C04</v>
      </c>
      <c r="B83" s="13">
        <f t="shared" si="4"/>
        <v>10</v>
      </c>
      <c r="C83" s="112">
        <f t="shared" si="5"/>
        <v>41201</v>
      </c>
      <c r="D83" s="112" t="s">
        <v>415</v>
      </c>
      <c r="E83" s="107">
        <v>41201</v>
      </c>
      <c r="F83" s="110" t="s">
        <v>411</v>
      </c>
      <c r="G83" s="395" t="s">
        <v>355</v>
      </c>
      <c r="H83" s="5" t="s">
        <v>317</v>
      </c>
      <c r="I83" s="132"/>
      <c r="J83" s="132"/>
      <c r="K83" s="14">
        <v>11097900</v>
      </c>
      <c r="L83" s="115" t="s">
        <v>8</v>
      </c>
      <c r="M83" s="115" t="s">
        <v>46</v>
      </c>
      <c r="N83" s="22" t="str">
        <f>IF(AND('331-CT'!$E$7=TH!H83,OR(L83="331",M83="331")),"331",IF(AND(OR(L83="131",M83="131"),H83='131-CT'!$E$7),"131",""))</f>
        <v>331</v>
      </c>
      <c r="O83" s="22" t="str">
        <f>IF(AND($B83&gt;='111'!$N$11,$B83&lt;='111'!$O$11,OR($L83=$O$7,$M83=$O$7)),"x","")</f>
        <v>x</v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387"/>
      <c r="AA83" s="303"/>
    </row>
    <row r="84" spans="1:29" s="123" customFormat="1" ht="15.75" customHeight="1">
      <c r="A84" s="388" t="str">
        <f>IF(B84&lt;&gt;"",IF(AND(B84&gt;=_TM1,B84&lt;=_TM2,OR(TH!L84="1111",TH!M84="1111")),TH!D84,""),"")</f>
        <v>C05</v>
      </c>
      <c r="B84" s="13">
        <f t="shared" si="4"/>
        <v>10</v>
      </c>
      <c r="C84" s="112">
        <f t="shared" si="5"/>
        <v>41202</v>
      </c>
      <c r="D84" s="112" t="s">
        <v>416</v>
      </c>
      <c r="E84" s="107">
        <v>41202</v>
      </c>
      <c r="F84" s="113" t="s">
        <v>310</v>
      </c>
      <c r="G84" s="395" t="s">
        <v>357</v>
      </c>
      <c r="H84" s="122" t="s">
        <v>309</v>
      </c>
      <c r="I84" s="132"/>
      <c r="J84" s="132"/>
      <c r="K84" s="14">
        <f>187273+62727</f>
        <v>250000</v>
      </c>
      <c r="L84" s="115" t="s">
        <v>82</v>
      </c>
      <c r="M84" s="115" t="s">
        <v>46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>x</v>
      </c>
      <c r="P84" s="22" t="str">
        <f>IF(AND($L84=$O$7,$B84&lt;'111'!$N$11),"x","")</f>
        <v/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387"/>
      <c r="AA84" s="303"/>
    </row>
    <row r="85" spans="1:29" s="123" customFormat="1" ht="15.75" customHeight="1">
      <c r="A85" s="388" t="str">
        <f>IF(B85&lt;&gt;"",IF(AND(B85&gt;=_TM1,B85&lt;=_TM2,OR(TH!L85="1111",TH!M85="1111")),TH!D85,""),"")</f>
        <v>C05</v>
      </c>
      <c r="B85" s="13">
        <f t="shared" si="4"/>
        <v>10</v>
      </c>
      <c r="C85" s="112">
        <f t="shared" si="5"/>
        <v>41202</v>
      </c>
      <c r="D85" s="112" t="s">
        <v>416</v>
      </c>
      <c r="E85" s="107">
        <v>41202</v>
      </c>
      <c r="F85" s="113" t="s">
        <v>311</v>
      </c>
      <c r="G85" s="395" t="s">
        <v>357</v>
      </c>
      <c r="H85" s="122" t="s">
        <v>309</v>
      </c>
      <c r="I85" s="132"/>
      <c r="J85" s="132"/>
      <c r="K85" s="14">
        <f>18727+6273</f>
        <v>25000</v>
      </c>
      <c r="L85" s="115" t="s">
        <v>9</v>
      </c>
      <c r="M85" s="115" t="s">
        <v>46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>x</v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387">
        <v>10</v>
      </c>
      <c r="AA85" s="303"/>
    </row>
    <row r="86" spans="1:29" s="123" customFormat="1" ht="15.75" customHeight="1">
      <c r="A86" s="388" t="str">
        <f>IF(B86&lt;&gt;"",IF(AND(B86&gt;=_TM1,B86&lt;=_TM2,OR(TH!L86="1111",TH!M86="1111")),TH!D86,""),"")</f>
        <v/>
      </c>
      <c r="B86" s="13">
        <f t="shared" si="4"/>
        <v>10</v>
      </c>
      <c r="C86" s="112">
        <f t="shared" si="5"/>
        <v>41205</v>
      </c>
      <c r="D86" s="107" t="s">
        <v>520</v>
      </c>
      <c r="E86" s="112">
        <v>41205</v>
      </c>
      <c r="F86" s="110" t="s">
        <v>470</v>
      </c>
      <c r="G86" s="396" t="s">
        <v>478</v>
      </c>
      <c r="H86" s="114" t="s">
        <v>406</v>
      </c>
      <c r="I86" s="132">
        <v>993</v>
      </c>
      <c r="J86" s="132">
        <v>5150</v>
      </c>
      <c r="K86" s="306">
        <f>ROUND(I86*J86,0)</f>
        <v>5113950</v>
      </c>
      <c r="L86" s="307" t="s">
        <v>241</v>
      </c>
      <c r="M86" s="307" t="s">
        <v>158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387"/>
      <c r="AA86" s="303"/>
    </row>
    <row r="87" spans="1:29" s="123" customFormat="1" ht="15.75" customHeight="1">
      <c r="A87" s="388" t="str">
        <f>IF(B87&lt;&gt;"",IF(AND(B87&gt;=_TM1,B87&lt;=_TM2,OR(TH!L87="1111",TH!M87="1111")),TH!D87,""),"")</f>
        <v/>
      </c>
      <c r="B87" s="13">
        <f t="shared" si="4"/>
        <v>10</v>
      </c>
      <c r="C87" s="112">
        <f t="shared" si="5"/>
        <v>41205</v>
      </c>
      <c r="D87" s="107" t="s">
        <v>520</v>
      </c>
      <c r="E87" s="112">
        <v>41205</v>
      </c>
      <c r="F87" s="110" t="s">
        <v>469</v>
      </c>
      <c r="G87" s="396" t="s">
        <v>478</v>
      </c>
      <c r="H87" s="114" t="s">
        <v>406</v>
      </c>
      <c r="I87" s="132">
        <v>1015</v>
      </c>
      <c r="J87" s="132">
        <v>7110</v>
      </c>
      <c r="K87" s="306">
        <f>ROUND(I87*J87,0)</f>
        <v>7216650</v>
      </c>
      <c r="L87" s="307" t="s">
        <v>241</v>
      </c>
      <c r="M87" s="307" t="s">
        <v>158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387"/>
      <c r="AA87" s="303"/>
    </row>
    <row r="88" spans="1:29" s="123" customFormat="1" ht="15.75" customHeight="1">
      <c r="A88" s="388" t="str">
        <f>IF(B88&lt;&gt;"",IF(AND(B88&gt;=_TM1,B88&lt;=_TM2,OR(TH!L88="1111",TH!M88="1111")),TH!D88,""),"")</f>
        <v/>
      </c>
      <c r="B88" s="13">
        <f t="shared" si="4"/>
        <v>10</v>
      </c>
      <c r="C88" s="112">
        <f t="shared" si="5"/>
        <v>41205</v>
      </c>
      <c r="D88" s="107" t="s">
        <v>520</v>
      </c>
      <c r="E88" s="112">
        <v>41205</v>
      </c>
      <c r="F88" s="110" t="s">
        <v>463</v>
      </c>
      <c r="G88" s="396" t="s">
        <v>478</v>
      </c>
      <c r="H88" s="114" t="s">
        <v>406</v>
      </c>
      <c r="I88" s="132"/>
      <c r="J88" s="132"/>
      <c r="K88" s="306">
        <v>1233060</v>
      </c>
      <c r="L88" s="307" t="s">
        <v>241</v>
      </c>
      <c r="M88" s="307" t="s">
        <v>282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387"/>
      <c r="AA88" s="303"/>
    </row>
    <row r="89" spans="1:29" s="123" customFormat="1" ht="15.75" customHeight="1">
      <c r="A89" s="388" t="str">
        <f>IF(B89&lt;&gt;"",IF(AND(B89&gt;=_TM1,B89&lt;=_TM2,OR(TH!L89="1111",TH!M89="1111")),TH!D89,""),"")</f>
        <v>T02</v>
      </c>
      <c r="B89" s="13">
        <f t="shared" si="4"/>
        <v>10</v>
      </c>
      <c r="C89" s="112">
        <f t="shared" si="5"/>
        <v>41205</v>
      </c>
      <c r="D89" s="107" t="s">
        <v>277</v>
      </c>
      <c r="E89" s="112">
        <v>41205</v>
      </c>
      <c r="F89" s="113" t="s">
        <v>401</v>
      </c>
      <c r="G89" s="396" t="s">
        <v>478</v>
      </c>
      <c r="H89" s="114" t="s">
        <v>406</v>
      </c>
      <c r="I89" s="132"/>
      <c r="J89" s="132"/>
      <c r="K89" s="306">
        <v>13563660</v>
      </c>
      <c r="L89" s="307" t="s">
        <v>46</v>
      </c>
      <c r="M89" s="307" t="s">
        <v>241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>x</v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387"/>
      <c r="AA89" s="303"/>
    </row>
    <row r="90" spans="1:29" s="123" customFormat="1" ht="15.75" customHeight="1">
      <c r="A90" s="388" t="str">
        <f>IF(B90&lt;&gt;"",IF(AND(B90&gt;=_TM1,B90&lt;=_TM2,OR(TH!L90="1111",TH!M90="1111")),TH!D90,""),"")</f>
        <v/>
      </c>
      <c r="B90" s="13">
        <f t="shared" si="4"/>
        <v>10</v>
      </c>
      <c r="C90" s="112">
        <f t="shared" si="5"/>
        <v>41206</v>
      </c>
      <c r="D90" s="107" t="s">
        <v>398</v>
      </c>
      <c r="E90" s="107">
        <v>41206</v>
      </c>
      <c r="F90" s="110" t="s">
        <v>401</v>
      </c>
      <c r="G90" s="395" t="s">
        <v>305</v>
      </c>
      <c r="H90" s="114" t="s">
        <v>407</v>
      </c>
      <c r="I90" s="132"/>
      <c r="J90" s="132"/>
      <c r="K90" s="306">
        <v>8294000</v>
      </c>
      <c r="L90" s="307" t="s">
        <v>24</v>
      </c>
      <c r="M90" s="307" t="s">
        <v>241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>x</v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387"/>
      <c r="AA90" s="303"/>
      <c r="AB90" s="303"/>
      <c r="AC90" s="303"/>
    </row>
    <row r="91" spans="1:29" s="123" customFormat="1" ht="15.75" customHeight="1">
      <c r="A91" s="388" t="str">
        <f>IF(B91&lt;&gt;"",IF(AND(B91&gt;=_TM1,B91&lt;=_TM2,OR(TH!L91="1111",TH!M91="1111")),TH!D91,""),"")</f>
        <v/>
      </c>
      <c r="B91" s="13">
        <f t="shared" si="4"/>
        <v>10</v>
      </c>
      <c r="C91" s="112">
        <f t="shared" si="5"/>
        <v>41207</v>
      </c>
      <c r="D91" s="107" t="s">
        <v>410</v>
      </c>
      <c r="E91" s="107">
        <v>41207</v>
      </c>
      <c r="F91" s="110" t="s">
        <v>400</v>
      </c>
      <c r="G91" s="395" t="s">
        <v>305</v>
      </c>
      <c r="H91" s="114"/>
      <c r="I91" s="132"/>
      <c r="J91" s="132"/>
      <c r="K91" s="306">
        <v>11000</v>
      </c>
      <c r="L91" s="307" t="s">
        <v>82</v>
      </c>
      <c r="M91" s="307" t="s">
        <v>24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>x</v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387"/>
      <c r="AA91" s="303"/>
    </row>
    <row r="92" spans="1:29" s="123" customFormat="1" ht="15.75" customHeight="1">
      <c r="A92" s="388" t="str">
        <f>IF(B92&lt;&gt;"",IF(AND(B92&gt;=_TM1,B92&lt;=_TM2,OR(TH!L92="1111",TH!M92="1111")),TH!D92,""),"")</f>
        <v/>
      </c>
      <c r="B92" s="13">
        <f t="shared" si="4"/>
        <v>10</v>
      </c>
      <c r="C92" s="112">
        <f t="shared" si="5"/>
        <v>41207</v>
      </c>
      <c r="D92" s="107" t="s">
        <v>398</v>
      </c>
      <c r="E92" s="107">
        <v>41207</v>
      </c>
      <c r="F92" s="110" t="s">
        <v>405</v>
      </c>
      <c r="G92" s="395" t="s">
        <v>305</v>
      </c>
      <c r="H92" s="114"/>
      <c r="I92" s="132"/>
      <c r="J92" s="132"/>
      <c r="K92" s="306">
        <v>22296</v>
      </c>
      <c r="L92" s="307" t="s">
        <v>24</v>
      </c>
      <c r="M92" s="307" t="s">
        <v>39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>x</v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387"/>
      <c r="AA92" s="303"/>
    </row>
    <row r="93" spans="1:29" s="123" customFormat="1" ht="15.75" customHeight="1">
      <c r="A93" s="388" t="str">
        <f>IF(B93&lt;&gt;"",IF(AND(B93&gt;=_TM1,B93&lt;=_TM2,OR(TH!L93="1111",TH!M93="1111")),TH!D93,""),"")</f>
        <v/>
      </c>
      <c r="B93" s="13">
        <f t="shared" si="4"/>
        <v>10</v>
      </c>
      <c r="C93" s="112">
        <f t="shared" si="5"/>
        <v>41207</v>
      </c>
      <c r="D93" s="112" t="s">
        <v>426</v>
      </c>
      <c r="E93" s="107">
        <v>41207</v>
      </c>
      <c r="F93" s="110" t="s">
        <v>349</v>
      </c>
      <c r="G93" s="395" t="s">
        <v>348</v>
      </c>
      <c r="H93" s="5" t="s">
        <v>317</v>
      </c>
      <c r="I93" s="132">
        <v>500</v>
      </c>
      <c r="J93" s="132">
        <v>10286</v>
      </c>
      <c r="K93" s="14">
        <f>ROUND(I93*J93,0)</f>
        <v>5143000</v>
      </c>
      <c r="L93" s="115" t="s">
        <v>306</v>
      </c>
      <c r="M93" s="115" t="s">
        <v>8</v>
      </c>
      <c r="N93" s="22" t="str">
        <f>IF(AND('331-CT'!$E$7=TH!H93,OR(L93="331",M93="331")),"331",IF(AND(OR(L93="131",M93="131"),H93='131-CT'!$E$7),"131",""))</f>
        <v>331</v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387"/>
      <c r="AA93" s="303"/>
    </row>
    <row r="94" spans="1:29" s="123" customFormat="1" ht="15.75" customHeight="1">
      <c r="A94" s="388" t="str">
        <f>IF(B94&lt;&gt;"",IF(AND(B94&gt;=_TM1,B94&lt;=_TM2,OR(TH!L94="1111",TH!M94="1111")),TH!D94,""),"")</f>
        <v/>
      </c>
      <c r="B94" s="13">
        <f t="shared" si="4"/>
        <v>10</v>
      </c>
      <c r="C94" s="112">
        <f t="shared" si="5"/>
        <v>41207</v>
      </c>
      <c r="D94" s="112" t="s">
        <v>426</v>
      </c>
      <c r="E94" s="107">
        <v>41207</v>
      </c>
      <c r="F94" s="110" t="s">
        <v>350</v>
      </c>
      <c r="G94" s="395" t="s">
        <v>348</v>
      </c>
      <c r="H94" s="5" t="s">
        <v>317</v>
      </c>
      <c r="I94" s="132">
        <v>500</v>
      </c>
      <c r="J94" s="132">
        <v>13020</v>
      </c>
      <c r="K94" s="14">
        <f>ROUND(I94*J94,0)</f>
        <v>6510000</v>
      </c>
      <c r="L94" s="115" t="s">
        <v>306</v>
      </c>
      <c r="M94" s="115" t="s">
        <v>8</v>
      </c>
      <c r="N94" s="22" t="str">
        <f>IF(AND('331-CT'!$E$7=TH!H94,OR(L94="331",M94="331")),"331",IF(AND(OR(L94="131",M94="131"),H94='131-CT'!$E$7),"131",""))</f>
        <v>331</v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387"/>
      <c r="AA94" s="303"/>
    </row>
    <row r="95" spans="1:29" s="123" customFormat="1" ht="15.75" customHeight="1">
      <c r="A95" s="388" t="str">
        <f>IF(B95&lt;&gt;"",IF(AND(B95&gt;=_TM1,B95&lt;=_TM2,OR(TH!L95="1111",TH!M95="1111")),TH!D95,""),"")</f>
        <v/>
      </c>
      <c r="B95" s="13">
        <f t="shared" si="4"/>
        <v>10</v>
      </c>
      <c r="C95" s="112">
        <f t="shared" si="5"/>
        <v>41207</v>
      </c>
      <c r="D95" s="112" t="s">
        <v>426</v>
      </c>
      <c r="E95" s="107">
        <v>41207</v>
      </c>
      <c r="F95" s="110" t="s">
        <v>319</v>
      </c>
      <c r="G95" s="395" t="s">
        <v>348</v>
      </c>
      <c r="H95" s="5" t="s">
        <v>317</v>
      </c>
      <c r="I95" s="132"/>
      <c r="J95" s="132"/>
      <c r="K95" s="14">
        <v>1165300</v>
      </c>
      <c r="L95" s="115" t="s">
        <v>9</v>
      </c>
      <c r="M95" s="115" t="s">
        <v>8</v>
      </c>
      <c r="N95" s="22" t="str">
        <f>IF(AND('331-CT'!$E$7=TH!H95,OR(L95="331",M95="331")),"331",IF(AND(OR(L95="131",M95="131"),H95='131-CT'!$E$7),"131",""))</f>
        <v>331</v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387">
        <v>10</v>
      </c>
      <c r="AA95" s="303"/>
    </row>
    <row r="96" spans="1:29" s="123" customFormat="1" ht="15.75" customHeight="1">
      <c r="A96" s="388" t="str">
        <f>IF(B96&lt;&gt;"",IF(AND(B96&gt;=_TM1,B96&lt;=_TM2,OR(TH!L96="1111",TH!M96="1111")),TH!D96,""),"")</f>
        <v>C06</v>
      </c>
      <c r="B96" s="13">
        <f t="shared" si="4"/>
        <v>10</v>
      </c>
      <c r="C96" s="112">
        <f t="shared" si="5"/>
        <v>41207</v>
      </c>
      <c r="D96" s="112" t="s">
        <v>417</v>
      </c>
      <c r="E96" s="107">
        <v>41207</v>
      </c>
      <c r="F96" s="110" t="s">
        <v>411</v>
      </c>
      <c r="G96" s="395" t="s">
        <v>348</v>
      </c>
      <c r="H96" s="5" t="s">
        <v>317</v>
      </c>
      <c r="I96" s="132"/>
      <c r="J96" s="132"/>
      <c r="K96" s="14">
        <v>12818300</v>
      </c>
      <c r="L96" s="115" t="s">
        <v>8</v>
      </c>
      <c r="M96" s="115" t="s">
        <v>46</v>
      </c>
      <c r="N96" s="22" t="str">
        <f>IF(AND('331-CT'!$E$7=TH!H96,OR(L96="331",M96="331")),"331",IF(AND(OR(L96="131",M96="131"),H96='131-CT'!$E$7),"131",""))</f>
        <v>331</v>
      </c>
      <c r="O96" s="22" t="str">
        <f>IF(AND($B96&gt;='111'!$N$11,$B96&lt;='111'!$O$11,OR($L96=$O$7,$M96=$O$7)),"x","")</f>
        <v>x</v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387"/>
      <c r="AA96" s="303"/>
    </row>
    <row r="97" spans="1:29" s="123" customFormat="1" ht="15.75" customHeight="1">
      <c r="A97" s="388" t="str">
        <f>IF(B97&lt;&gt;"",IF(AND(B97&gt;=_TM1,B97&lt;=_TM2,OR(TH!L97="1111",TH!M97="1111")),TH!D97,""),"")</f>
        <v/>
      </c>
      <c r="B97" s="13">
        <f t="shared" si="4"/>
        <v>10</v>
      </c>
      <c r="C97" s="112">
        <f t="shared" si="5"/>
        <v>41207</v>
      </c>
      <c r="D97" s="107" t="s">
        <v>521</v>
      </c>
      <c r="E97" s="112">
        <v>41207</v>
      </c>
      <c r="F97" s="110" t="s">
        <v>472</v>
      </c>
      <c r="G97" s="396" t="s">
        <v>479</v>
      </c>
      <c r="H97" s="114" t="s">
        <v>406</v>
      </c>
      <c r="I97" s="132">
        <v>1010</v>
      </c>
      <c r="J97" s="132">
        <v>6200</v>
      </c>
      <c r="K97" s="306">
        <f>ROUND(I97*J97,0)</f>
        <v>6262000</v>
      </c>
      <c r="L97" s="307" t="s">
        <v>241</v>
      </c>
      <c r="M97" s="307" t="s">
        <v>158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387"/>
    </row>
    <row r="98" spans="1:29" s="123" customFormat="1" ht="15.75" customHeight="1">
      <c r="A98" s="388" t="str">
        <f>IF(B98&lt;&gt;"",IF(AND(B98&gt;=_TM1,B98&lt;=_TM2,OR(TH!L98="1111",TH!M98="1111")),TH!D98,""),"")</f>
        <v/>
      </c>
      <c r="B98" s="13">
        <f t="shared" si="4"/>
        <v>10</v>
      </c>
      <c r="C98" s="112">
        <f t="shared" si="5"/>
        <v>41207</v>
      </c>
      <c r="D98" s="107" t="s">
        <v>521</v>
      </c>
      <c r="E98" s="112">
        <v>41207</v>
      </c>
      <c r="F98" s="113" t="s">
        <v>463</v>
      </c>
      <c r="G98" s="396" t="s">
        <v>479</v>
      </c>
      <c r="H98" s="114" t="s">
        <v>406</v>
      </c>
      <c r="I98" s="132"/>
      <c r="J98" s="132"/>
      <c r="K98" s="306">
        <v>626200</v>
      </c>
      <c r="L98" s="307" t="s">
        <v>241</v>
      </c>
      <c r="M98" s="307" t="s">
        <v>282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387"/>
      <c r="AA98" s="303"/>
    </row>
    <row r="99" spans="1:29" s="123" customFormat="1" ht="15.75" customHeight="1">
      <c r="A99" s="388" t="str">
        <f>IF(B99&lt;&gt;"",IF(AND(B99&gt;=_TM1,B99&lt;=_TM2,OR(TH!L99="1111",TH!M99="1111")),TH!D99,""),"")</f>
        <v>T03</v>
      </c>
      <c r="B99" s="13">
        <f t="shared" si="4"/>
        <v>10</v>
      </c>
      <c r="C99" s="112">
        <f t="shared" si="5"/>
        <v>41207</v>
      </c>
      <c r="D99" s="107" t="s">
        <v>278</v>
      </c>
      <c r="E99" s="112">
        <v>41207</v>
      </c>
      <c r="F99" s="113" t="s">
        <v>401</v>
      </c>
      <c r="G99" s="396" t="s">
        <v>479</v>
      </c>
      <c r="H99" s="114" t="s">
        <v>406</v>
      </c>
      <c r="I99" s="132"/>
      <c r="J99" s="132"/>
      <c r="K99" s="306">
        <v>6888200</v>
      </c>
      <c r="L99" s="307" t="s">
        <v>46</v>
      </c>
      <c r="M99" s="307" t="s">
        <v>241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>x</v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387"/>
      <c r="AA99" s="303"/>
    </row>
    <row r="100" spans="1:29" s="123" customFormat="1" ht="15.75" customHeight="1">
      <c r="A100" s="388" t="str">
        <f>IF(B100&lt;&gt;"",IF(AND(B100&gt;=_TM1,B100&lt;=_TM2,OR(TH!L100="1111",TH!M100="1111")),TH!D100,""),"")</f>
        <v/>
      </c>
      <c r="B100" s="13">
        <f t="shared" si="4"/>
        <v>10</v>
      </c>
      <c r="C100" s="112">
        <f t="shared" si="5"/>
        <v>41208</v>
      </c>
      <c r="D100" s="112" t="s">
        <v>427</v>
      </c>
      <c r="E100" s="107">
        <v>41208</v>
      </c>
      <c r="F100" s="110" t="s">
        <v>352</v>
      </c>
      <c r="G100" s="395" t="s">
        <v>351</v>
      </c>
      <c r="H100" s="5" t="s">
        <v>317</v>
      </c>
      <c r="I100" s="132">
        <v>505</v>
      </c>
      <c r="J100" s="132">
        <v>12124</v>
      </c>
      <c r="K100" s="14">
        <f>ROUND(I100*J100,0)</f>
        <v>6122620</v>
      </c>
      <c r="L100" s="115" t="s">
        <v>306</v>
      </c>
      <c r="M100" s="115" t="s">
        <v>8</v>
      </c>
      <c r="N100" s="22" t="str">
        <f>IF(AND('331-CT'!$E$7=TH!H100,OR(L100="331",M100="331")),"331",IF(AND(OR(L100="131",M100="131"),H100='131-CT'!$E$7),"131",""))</f>
        <v>331</v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387"/>
      <c r="AA100" s="303"/>
    </row>
    <row r="101" spans="1:29" s="123" customFormat="1" ht="15.75" customHeight="1">
      <c r="A101" s="388" t="str">
        <f>IF(B101&lt;&gt;"",IF(AND(B101&gt;=_TM1,B101&lt;=_TM2,OR(TH!L101="1111",TH!M101="1111")),TH!D101,""),"")</f>
        <v/>
      </c>
      <c r="B101" s="13">
        <f t="shared" si="4"/>
        <v>10</v>
      </c>
      <c r="C101" s="112">
        <f t="shared" si="5"/>
        <v>41208</v>
      </c>
      <c r="D101" s="112" t="s">
        <v>427</v>
      </c>
      <c r="E101" s="107">
        <v>41208</v>
      </c>
      <c r="F101" s="110" t="s">
        <v>319</v>
      </c>
      <c r="G101" s="395" t="s">
        <v>351</v>
      </c>
      <c r="H101" s="5" t="s">
        <v>317</v>
      </c>
      <c r="I101" s="132"/>
      <c r="J101" s="132"/>
      <c r="K101" s="14">
        <v>612262</v>
      </c>
      <c r="L101" s="115" t="s">
        <v>9</v>
      </c>
      <c r="M101" s="115" t="s">
        <v>8</v>
      </c>
      <c r="N101" s="22" t="str">
        <f>IF(AND('331-CT'!$E$7=TH!H101,OR(L101="331",M101="331")),"331",IF(AND(OR(L101="131",M101="131"),H101='131-CT'!$E$7),"131",""))</f>
        <v>331</v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387">
        <v>10</v>
      </c>
      <c r="AA101" s="303"/>
    </row>
    <row r="102" spans="1:29" s="123" customFormat="1" ht="15.75" customHeight="1">
      <c r="A102" s="388" t="str">
        <f>IF(B102&lt;&gt;"",IF(AND(B102&gt;=_TM1,B102&lt;=_TM2,OR(TH!L102="1111",TH!M102="1111")),TH!D102,""),"")</f>
        <v>C07</v>
      </c>
      <c r="B102" s="13">
        <f t="shared" si="4"/>
        <v>10</v>
      </c>
      <c r="C102" s="112">
        <f t="shared" si="5"/>
        <v>41208</v>
      </c>
      <c r="D102" s="112" t="s">
        <v>418</v>
      </c>
      <c r="E102" s="107">
        <v>41208</v>
      </c>
      <c r="F102" s="110" t="s">
        <v>411</v>
      </c>
      <c r="G102" s="395" t="s">
        <v>351</v>
      </c>
      <c r="H102" s="5" t="s">
        <v>317</v>
      </c>
      <c r="I102" s="132"/>
      <c r="J102" s="132"/>
      <c r="K102" s="14">
        <v>6734882</v>
      </c>
      <c r="L102" s="115" t="s">
        <v>8</v>
      </c>
      <c r="M102" s="115" t="s">
        <v>46</v>
      </c>
      <c r="N102" s="22" t="str">
        <f>IF(AND('331-CT'!$E$7=TH!H102,OR(L102="331",M102="331")),"331",IF(AND(OR(L102="131",M102="131"),H102='131-CT'!$E$7),"131",""))</f>
        <v>331</v>
      </c>
      <c r="O102" s="22" t="str">
        <f>IF(AND($B102&gt;='111'!$N$11,$B102&lt;='111'!$O$11,OR($L102=$O$7,$M102=$O$7)),"x","")</f>
        <v>x</v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387"/>
      <c r="AA102" s="303"/>
    </row>
    <row r="103" spans="1:29" s="123" customFormat="1" ht="15.75" customHeight="1">
      <c r="A103" s="388" t="str">
        <f>IF(B103&lt;&gt;"",IF(AND(B103&gt;=_TM1,B103&lt;=_TM2,OR(TH!L103="1111",TH!M103="1111")),TH!D103,""),"")</f>
        <v/>
      </c>
      <c r="B103" s="13">
        <f t="shared" si="4"/>
        <v>10</v>
      </c>
      <c r="C103" s="112">
        <f t="shared" si="5"/>
        <v>41209</v>
      </c>
      <c r="D103" s="112" t="s">
        <v>428</v>
      </c>
      <c r="E103" s="107">
        <v>41209</v>
      </c>
      <c r="F103" s="110" t="s">
        <v>342</v>
      </c>
      <c r="G103" s="395" t="s">
        <v>341</v>
      </c>
      <c r="H103" s="5" t="s">
        <v>340</v>
      </c>
      <c r="I103" s="132">
        <v>1000</v>
      </c>
      <c r="J103" s="132">
        <v>12319</v>
      </c>
      <c r="K103" s="14">
        <f>ROUND(I103*J103,0)</f>
        <v>12319000</v>
      </c>
      <c r="L103" s="115" t="s">
        <v>306</v>
      </c>
      <c r="M103" s="115" t="s">
        <v>8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/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387"/>
      <c r="AA103" s="303"/>
    </row>
    <row r="104" spans="1:29" s="123" customFormat="1" ht="15.75" customHeight="1">
      <c r="A104" s="388" t="str">
        <f>IF(B104&lt;&gt;"",IF(AND(B104&gt;=_TM1,B104&lt;=_TM2,OR(TH!L104="1111",TH!M104="1111")),TH!D104,""),"")</f>
        <v/>
      </c>
      <c r="B104" s="13">
        <f t="shared" si="4"/>
        <v>10</v>
      </c>
      <c r="C104" s="112">
        <f t="shared" si="5"/>
        <v>41209</v>
      </c>
      <c r="D104" s="112" t="s">
        <v>428</v>
      </c>
      <c r="E104" s="107">
        <v>41209</v>
      </c>
      <c r="F104" s="110" t="s">
        <v>304</v>
      </c>
      <c r="G104" s="395" t="s">
        <v>341</v>
      </c>
      <c r="H104" s="5" t="s">
        <v>340</v>
      </c>
      <c r="I104" s="132"/>
      <c r="J104" s="132"/>
      <c r="K104" s="14">
        <v>1231900</v>
      </c>
      <c r="L104" s="115" t="s">
        <v>9</v>
      </c>
      <c r="M104" s="115" t="s">
        <v>8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/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387">
        <v>10</v>
      </c>
      <c r="AA104" s="303"/>
    </row>
    <row r="105" spans="1:29" s="123" customFormat="1" ht="15.75" customHeight="1">
      <c r="A105" s="388" t="str">
        <f>IF(B105&lt;&gt;"",IF(AND(B105&gt;=_TM1,B105&lt;=_TM2,OR(TH!L105="1111",TH!M105="1111")),TH!D105,""),"")</f>
        <v>C08</v>
      </c>
      <c r="B105" s="13">
        <f t="shared" si="4"/>
        <v>10</v>
      </c>
      <c r="C105" s="112">
        <f t="shared" si="5"/>
        <v>41209</v>
      </c>
      <c r="D105" s="112" t="s">
        <v>419</v>
      </c>
      <c r="E105" s="107">
        <v>41209</v>
      </c>
      <c r="F105" s="110" t="s">
        <v>411</v>
      </c>
      <c r="G105" s="395" t="s">
        <v>341</v>
      </c>
      <c r="H105" s="5" t="s">
        <v>340</v>
      </c>
      <c r="I105" s="132"/>
      <c r="J105" s="132"/>
      <c r="K105" s="14">
        <v>13550900</v>
      </c>
      <c r="L105" s="115" t="s">
        <v>8</v>
      </c>
      <c r="M105" s="115" t="s">
        <v>46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>x</v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/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/>
      </c>
      <c r="Y105" s="22" t="str">
        <f>IF(AND(B105&lt;=NKC!$N$8,B105&gt;=NKC!$M$8),"x","")</f>
        <v>x</v>
      </c>
      <c r="Z105" s="387"/>
      <c r="AA105" s="303"/>
    </row>
    <row r="106" spans="1:29" s="123" customFormat="1" ht="15.75" customHeight="1">
      <c r="A106" s="388" t="str">
        <f>IF(B106&lt;&gt;"",IF(AND(B106&gt;=_TM1,B106&lt;=_TM2,OR(TH!L106="1111",TH!M106="1111")),TH!D106,""),"")</f>
        <v>C09</v>
      </c>
      <c r="B106" s="13">
        <f t="shared" si="4"/>
        <v>10</v>
      </c>
      <c r="C106" s="112">
        <f t="shared" si="5"/>
        <v>41211</v>
      </c>
      <c r="D106" s="112" t="s">
        <v>420</v>
      </c>
      <c r="E106" s="107">
        <v>41211</v>
      </c>
      <c r="F106" s="113" t="s">
        <v>286</v>
      </c>
      <c r="G106" s="395" t="s">
        <v>346</v>
      </c>
      <c r="H106" s="5" t="s">
        <v>347</v>
      </c>
      <c r="I106" s="132"/>
      <c r="J106" s="132"/>
      <c r="K106" s="14">
        <v>1400000</v>
      </c>
      <c r="L106" s="115" t="s">
        <v>154</v>
      </c>
      <c r="M106" s="115" t="s">
        <v>46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>x</v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/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387"/>
      <c r="AA106" s="303"/>
    </row>
    <row r="107" spans="1:29" s="123" customFormat="1" ht="15.75" customHeight="1">
      <c r="A107" s="388" t="str">
        <f>IF(B107&lt;&gt;"",IF(AND(B107&gt;=_TM1,B107&lt;=_TM2,OR(TH!L107="1111",TH!M107="1111")),TH!D107,""),"")</f>
        <v/>
      </c>
      <c r="B107" s="13">
        <f t="shared" si="4"/>
        <v>10</v>
      </c>
      <c r="C107" s="112">
        <f t="shared" si="5"/>
        <v>41211</v>
      </c>
      <c r="D107" s="107" t="s">
        <v>522</v>
      </c>
      <c r="E107" s="112">
        <v>41211</v>
      </c>
      <c r="F107" s="113" t="s">
        <v>480</v>
      </c>
      <c r="G107" s="396" t="s">
        <v>481</v>
      </c>
      <c r="H107" s="114" t="s">
        <v>477</v>
      </c>
      <c r="I107" s="132">
        <v>500</v>
      </c>
      <c r="J107" s="132">
        <v>15500</v>
      </c>
      <c r="K107" s="306">
        <f>ROUND(I107*J107,0)</f>
        <v>7750000</v>
      </c>
      <c r="L107" s="307" t="s">
        <v>241</v>
      </c>
      <c r="M107" s="307" t="s">
        <v>158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/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/>
      </c>
      <c r="Y107" s="22" t="str">
        <f>IF(AND(B107&lt;=NKC!$N$8,B107&gt;=NKC!$M$8),"x","")</f>
        <v>x</v>
      </c>
      <c r="Z107" s="387"/>
      <c r="AA107" s="303"/>
      <c r="AB107" s="303"/>
      <c r="AC107" s="303"/>
    </row>
    <row r="108" spans="1:29" s="123" customFormat="1" ht="15.75" customHeight="1">
      <c r="A108" s="388" t="str">
        <f>IF(B108&lt;&gt;"",IF(AND(B108&gt;=_TM1,B108&lt;=_TM2,OR(TH!L108="1111",TH!M108="1111")),TH!D108,""),"")</f>
        <v/>
      </c>
      <c r="B108" s="13">
        <f t="shared" si="4"/>
        <v>10</v>
      </c>
      <c r="C108" s="112">
        <f t="shared" si="5"/>
        <v>41211</v>
      </c>
      <c r="D108" s="107" t="s">
        <v>522</v>
      </c>
      <c r="E108" s="112">
        <v>41211</v>
      </c>
      <c r="F108" s="113" t="s">
        <v>463</v>
      </c>
      <c r="G108" s="396" t="s">
        <v>481</v>
      </c>
      <c r="H108" s="114" t="s">
        <v>477</v>
      </c>
      <c r="I108" s="132"/>
      <c r="J108" s="132"/>
      <c r="K108" s="306">
        <v>775000</v>
      </c>
      <c r="L108" s="307" t="s">
        <v>241</v>
      </c>
      <c r="M108" s="307" t="s">
        <v>282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/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387"/>
      <c r="AA108" s="303"/>
      <c r="AB108" s="303"/>
      <c r="AC108" s="303"/>
    </row>
    <row r="109" spans="1:29" s="123" customFormat="1" ht="15.75" customHeight="1">
      <c r="A109" s="388" t="str">
        <f>IF(B109&lt;&gt;"",IF(AND(B109&gt;=_TM1,B109&lt;=_TM2,OR(TH!L109="1111",TH!M109="1111")),TH!D109,""),"")</f>
        <v/>
      </c>
      <c r="B109" s="13">
        <f t="shared" si="4"/>
        <v>10</v>
      </c>
      <c r="C109" s="112">
        <f t="shared" si="5"/>
        <v>41213</v>
      </c>
      <c r="D109" s="107" t="s">
        <v>523</v>
      </c>
      <c r="E109" s="112">
        <v>41213</v>
      </c>
      <c r="F109" s="113" t="s">
        <v>482</v>
      </c>
      <c r="G109" s="396" t="s">
        <v>483</v>
      </c>
      <c r="H109" s="114" t="s">
        <v>406</v>
      </c>
      <c r="I109" s="132">
        <v>1000</v>
      </c>
      <c r="J109" s="132">
        <v>7880</v>
      </c>
      <c r="K109" s="306">
        <f>ROUND(I109*J109,0)</f>
        <v>7880000</v>
      </c>
      <c r="L109" s="307" t="s">
        <v>241</v>
      </c>
      <c r="M109" s="307" t="s">
        <v>158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387"/>
      <c r="AA109" s="303"/>
      <c r="AB109" s="303"/>
      <c r="AC109" s="303"/>
    </row>
    <row r="110" spans="1:29" s="123" customFormat="1" ht="15.75" customHeight="1">
      <c r="A110" s="388" t="str">
        <f>IF(B110&lt;&gt;"",IF(AND(B110&gt;=_TM1,B110&lt;=_TM2,OR(TH!L110="1111",TH!M110="1111")),TH!D110,""),"")</f>
        <v/>
      </c>
      <c r="B110" s="13">
        <f t="shared" si="4"/>
        <v>10</v>
      </c>
      <c r="C110" s="112">
        <f t="shared" si="5"/>
        <v>41213</v>
      </c>
      <c r="D110" s="107" t="s">
        <v>523</v>
      </c>
      <c r="E110" s="112">
        <v>41213</v>
      </c>
      <c r="F110" s="113" t="s">
        <v>472</v>
      </c>
      <c r="G110" s="396" t="s">
        <v>483</v>
      </c>
      <c r="H110" s="114" t="s">
        <v>406</v>
      </c>
      <c r="I110" s="132">
        <v>400</v>
      </c>
      <c r="J110" s="132">
        <v>6400</v>
      </c>
      <c r="K110" s="306">
        <f>ROUND(I110*J110,0)</f>
        <v>2560000</v>
      </c>
      <c r="L110" s="307" t="s">
        <v>241</v>
      </c>
      <c r="M110" s="307" t="s">
        <v>158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387"/>
      <c r="AA110" s="303"/>
    </row>
    <row r="111" spans="1:29" s="123" customFormat="1" ht="15.75" customHeight="1">
      <c r="A111" s="388" t="str">
        <f>IF(B111&lt;&gt;"",IF(AND(B111&gt;=_TM1,B111&lt;=_TM2,OR(TH!L111="1111",TH!M111="1111")),TH!D111,""),"")</f>
        <v/>
      </c>
      <c r="B111" s="13">
        <f t="shared" si="4"/>
        <v>10</v>
      </c>
      <c r="C111" s="112">
        <f t="shared" si="5"/>
        <v>41213</v>
      </c>
      <c r="D111" s="107" t="s">
        <v>523</v>
      </c>
      <c r="E111" s="112">
        <v>41213</v>
      </c>
      <c r="F111" s="113" t="s">
        <v>463</v>
      </c>
      <c r="G111" s="396" t="s">
        <v>483</v>
      </c>
      <c r="H111" s="114" t="s">
        <v>406</v>
      </c>
      <c r="I111" s="132"/>
      <c r="J111" s="132"/>
      <c r="K111" s="306">
        <v>1044000</v>
      </c>
      <c r="L111" s="307" t="s">
        <v>241</v>
      </c>
      <c r="M111" s="307" t="s">
        <v>282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/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387"/>
      <c r="AA111" s="303"/>
      <c r="AB111" s="303"/>
      <c r="AC111" s="303"/>
    </row>
    <row r="112" spans="1:29" s="123" customFormat="1" ht="15.75" customHeight="1">
      <c r="A112" s="388" t="str">
        <f>IF(B112&lt;&gt;"",IF(AND(B112&gt;=_TM1,B112&lt;=_TM2,OR(TH!L112="1111",TH!M112="1111")),TH!D112,""),"")</f>
        <v>T04</v>
      </c>
      <c r="B112" s="13">
        <f t="shared" si="4"/>
        <v>10</v>
      </c>
      <c r="C112" s="112">
        <f t="shared" si="5"/>
        <v>41213</v>
      </c>
      <c r="D112" s="107" t="s">
        <v>446</v>
      </c>
      <c r="E112" s="112">
        <v>41213</v>
      </c>
      <c r="F112" s="113" t="s">
        <v>401</v>
      </c>
      <c r="G112" s="396" t="s">
        <v>483</v>
      </c>
      <c r="H112" s="114" t="s">
        <v>406</v>
      </c>
      <c r="I112" s="132"/>
      <c r="J112" s="132"/>
      <c r="K112" s="306">
        <v>11484000</v>
      </c>
      <c r="L112" s="307" t="s">
        <v>46</v>
      </c>
      <c r="M112" s="307" t="s">
        <v>241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>x</v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387"/>
      <c r="AA112" s="303"/>
      <c r="AB112" s="303"/>
      <c r="AC112" s="303"/>
    </row>
    <row r="113" spans="1:29" s="123" customFormat="1" ht="15.75" customHeight="1">
      <c r="A113" s="388" t="str">
        <f>IF(B113&lt;&gt;"",IF(AND(B113&gt;=_TM1,B113&lt;=_TM2,OR(TH!L113="1111",TH!M113="1111")),TH!D113,""),"")</f>
        <v/>
      </c>
      <c r="B113" s="13">
        <f t="shared" si="4"/>
        <v>10</v>
      </c>
      <c r="C113" s="112">
        <f t="shared" si="5"/>
        <v>41213</v>
      </c>
      <c r="D113" s="112" t="s">
        <v>257</v>
      </c>
      <c r="E113" s="112">
        <v>41213</v>
      </c>
      <c r="F113" s="113" t="s">
        <v>515</v>
      </c>
      <c r="G113" s="396"/>
      <c r="H113" s="114" t="s">
        <v>338</v>
      </c>
      <c r="I113" s="132"/>
      <c r="J113" s="132"/>
      <c r="K113" s="306">
        <v>515398</v>
      </c>
      <c r="L113" s="307" t="s">
        <v>9</v>
      </c>
      <c r="M113" s="307" t="s">
        <v>17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387"/>
      <c r="AA113" s="303"/>
    </row>
    <row r="114" spans="1:29" s="123" customFormat="1" ht="15.75" customHeight="1">
      <c r="A114" s="388" t="str">
        <f>IF(B114&lt;&gt;"",IF(AND(B114&gt;=_TM1,B114&lt;=_TM2,OR(TH!L114="1111",TH!M114="1111")),TH!D114,""),"")</f>
        <v/>
      </c>
      <c r="B114" s="13">
        <f t="shared" si="4"/>
        <v>10</v>
      </c>
      <c r="C114" s="112">
        <f t="shared" si="5"/>
        <v>41213</v>
      </c>
      <c r="D114" s="112" t="s">
        <v>257</v>
      </c>
      <c r="E114" s="112">
        <v>41213</v>
      </c>
      <c r="F114" s="113" t="s">
        <v>723</v>
      </c>
      <c r="G114" s="396"/>
      <c r="H114" s="114"/>
      <c r="I114" s="132"/>
      <c r="J114" s="132"/>
      <c r="K114" s="306">
        <v>8100000</v>
      </c>
      <c r="L114" s="307" t="s">
        <v>82</v>
      </c>
      <c r="M114" s="307" t="s">
        <v>243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387"/>
      <c r="AA114" s="303"/>
    </row>
    <row r="115" spans="1:29" s="123" customFormat="1" ht="15.75" customHeight="1">
      <c r="A115" s="388" t="str">
        <f>IF(B115&lt;&gt;"",IF(AND(B115&gt;=_TM1,B115&lt;=_TM2,OR(TH!L115="1111",TH!M115="1111")),TH!D115,""),"")</f>
        <v/>
      </c>
      <c r="B115" s="13">
        <f t="shared" si="4"/>
        <v>10</v>
      </c>
      <c r="C115" s="112">
        <f t="shared" si="5"/>
        <v>41213</v>
      </c>
      <c r="D115" s="112" t="s">
        <v>257</v>
      </c>
      <c r="E115" s="112">
        <v>41213</v>
      </c>
      <c r="F115" s="113" t="s">
        <v>722</v>
      </c>
      <c r="G115" s="396"/>
      <c r="H115" s="114"/>
      <c r="I115" s="132"/>
      <c r="J115" s="132"/>
      <c r="K115" s="306">
        <v>5685000</v>
      </c>
      <c r="L115" s="307" t="s">
        <v>154</v>
      </c>
      <c r="M115" s="307" t="s">
        <v>243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387"/>
      <c r="AA115" s="303"/>
    </row>
    <row r="116" spans="1:29" s="123" customFormat="1" ht="15.75" customHeight="1">
      <c r="A116" s="388" t="str">
        <f>IF(B116&lt;&gt;"",IF(AND(B116&gt;=_TM1,B116&lt;=_TM2,OR(TH!L116="1111",TH!M116="1111")),TH!D116,""),"")</f>
        <v>C10</v>
      </c>
      <c r="B116" s="13">
        <f t="shared" si="4"/>
        <v>10</v>
      </c>
      <c r="C116" s="112">
        <f t="shared" si="5"/>
        <v>41213</v>
      </c>
      <c r="D116" s="112" t="s">
        <v>421</v>
      </c>
      <c r="E116" s="112">
        <v>41213</v>
      </c>
      <c r="F116" s="113" t="s">
        <v>725</v>
      </c>
      <c r="G116" s="396"/>
      <c r="H116" s="114" t="s">
        <v>714</v>
      </c>
      <c r="I116" s="132"/>
      <c r="J116" s="132"/>
      <c r="K116" s="306">
        <f>K114+K115</f>
        <v>13785000</v>
      </c>
      <c r="L116" s="307" t="s">
        <v>243</v>
      </c>
      <c r="M116" s="307" t="s">
        <v>46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>x</v>
      </c>
      <c r="P116" s="22" t="str">
        <f>IF(AND($L116=$O$7,$B116&lt;'111'!$N$11),"x","")</f>
        <v/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/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387"/>
      <c r="AA116" s="303"/>
    </row>
    <row r="117" spans="1:29" s="123" customFormat="1" ht="15.75" customHeight="1">
      <c r="A117" s="388" t="str">
        <f>IF(B117&lt;&gt;"",IF(AND(B117&gt;=_TM1,B117&lt;=_TM2,OR(TH!L117="1111",TH!M117="1111")),TH!D117,""),"")</f>
        <v>T05</v>
      </c>
      <c r="B117" s="13">
        <f t="shared" si="4"/>
        <v>11</v>
      </c>
      <c r="C117" s="112">
        <f t="shared" si="5"/>
        <v>41214</v>
      </c>
      <c r="D117" s="107" t="s">
        <v>452</v>
      </c>
      <c r="E117" s="107">
        <v>41214</v>
      </c>
      <c r="F117" s="110" t="s">
        <v>403</v>
      </c>
      <c r="G117" s="395" t="s">
        <v>305</v>
      </c>
      <c r="H117" s="114" t="s">
        <v>408</v>
      </c>
      <c r="I117" s="132"/>
      <c r="J117" s="132"/>
      <c r="K117" s="306">
        <v>31000000</v>
      </c>
      <c r="L117" s="307" t="s">
        <v>46</v>
      </c>
      <c r="M117" s="307" t="s">
        <v>24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>x</v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>x</v>
      </c>
      <c r="S117" s="22" t="str">
        <f>IF(ISERROR(FIND('112'!$M$9,G117,1)),"",IF((AND(LEFT(G117,2)=LEFT('112'!$M$9,2),B117&lt;'112'!$N$8,$L117='112'!$I$6)),"x",""))</f>
        <v/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387"/>
      <c r="AA117" s="303"/>
      <c r="AB117" s="303"/>
      <c r="AC117" s="303"/>
    </row>
    <row r="118" spans="1:29" s="123" customFormat="1" ht="15.75" customHeight="1">
      <c r="A118" s="388" t="str">
        <f>IF(B118&lt;&gt;"",IF(AND(B118&gt;=_TM1,B118&lt;=_TM2,OR(TH!L118="1111",TH!M118="1111")),TH!D118,""),"")</f>
        <v/>
      </c>
      <c r="B118" s="13">
        <f t="shared" si="4"/>
        <v>11</v>
      </c>
      <c r="C118" s="112">
        <f t="shared" si="5"/>
        <v>41214</v>
      </c>
      <c r="D118" s="107" t="s">
        <v>524</v>
      </c>
      <c r="E118" s="112">
        <v>41214</v>
      </c>
      <c r="F118" s="113" t="s">
        <v>484</v>
      </c>
      <c r="G118" s="396" t="s">
        <v>485</v>
      </c>
      <c r="H118" s="114" t="s">
        <v>461</v>
      </c>
      <c r="I118" s="132">
        <v>550</v>
      </c>
      <c r="J118" s="132">
        <v>6125</v>
      </c>
      <c r="K118" s="306">
        <f>ROUND(I118*J118,0)</f>
        <v>3368750</v>
      </c>
      <c r="L118" s="307" t="s">
        <v>241</v>
      </c>
      <c r="M118" s="307" t="s">
        <v>158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387"/>
      <c r="AA118" s="303"/>
      <c r="AB118" s="303"/>
      <c r="AC118" s="303"/>
    </row>
    <row r="119" spans="1:29" s="123" customFormat="1" ht="15.75" customHeight="1">
      <c r="A119" s="388" t="str">
        <f>IF(B119&lt;&gt;"",IF(AND(B119&gt;=_TM1,B119&lt;=_TM2,OR(TH!L119="1111",TH!M119="1111")),TH!D119,""),"")</f>
        <v/>
      </c>
      <c r="B119" s="13">
        <f t="shared" si="4"/>
        <v>11</v>
      </c>
      <c r="C119" s="112">
        <f t="shared" si="5"/>
        <v>41214</v>
      </c>
      <c r="D119" s="107" t="s">
        <v>524</v>
      </c>
      <c r="E119" s="112">
        <v>41214</v>
      </c>
      <c r="F119" s="113" t="s">
        <v>459</v>
      </c>
      <c r="G119" s="396" t="s">
        <v>485</v>
      </c>
      <c r="H119" s="114" t="s">
        <v>461</v>
      </c>
      <c r="I119" s="132">
        <v>1050</v>
      </c>
      <c r="J119" s="132">
        <v>6760</v>
      </c>
      <c r="K119" s="306">
        <f>ROUND(I119*J119,0)</f>
        <v>7098000</v>
      </c>
      <c r="L119" s="307" t="s">
        <v>241</v>
      </c>
      <c r="M119" s="307" t="s">
        <v>158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387"/>
      <c r="AA119" s="303"/>
      <c r="AB119" s="303"/>
      <c r="AC119" s="303"/>
    </row>
    <row r="120" spans="1:29" s="123" customFormat="1" ht="15.75" customHeight="1">
      <c r="A120" s="388" t="str">
        <f>IF(B120&lt;&gt;"",IF(AND(B120&gt;=_TM1,B120&lt;=_TM2,OR(TH!L120="1111",TH!M120="1111")),TH!D120,""),"")</f>
        <v/>
      </c>
      <c r="B120" s="13">
        <f t="shared" si="4"/>
        <v>11</v>
      </c>
      <c r="C120" s="112">
        <f t="shared" si="5"/>
        <v>41214</v>
      </c>
      <c r="D120" s="107" t="s">
        <v>524</v>
      </c>
      <c r="E120" s="112">
        <v>41214</v>
      </c>
      <c r="F120" s="113" t="s">
        <v>463</v>
      </c>
      <c r="G120" s="396" t="s">
        <v>485</v>
      </c>
      <c r="H120" s="114" t="s">
        <v>461</v>
      </c>
      <c r="I120" s="132"/>
      <c r="J120" s="132"/>
      <c r="K120" s="306">
        <v>1046675</v>
      </c>
      <c r="L120" s="307" t="s">
        <v>241</v>
      </c>
      <c r="M120" s="307" t="s">
        <v>282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387"/>
      <c r="AA120" s="303"/>
      <c r="AB120" s="303"/>
      <c r="AC120" s="303"/>
    </row>
    <row r="121" spans="1:29" s="303" customFormat="1" ht="15.75" customHeight="1">
      <c r="A121" s="388" t="str">
        <f>IF(B121&lt;&gt;"",IF(AND(B121&gt;=_TM1,B121&lt;=_TM2,OR(TH!L121="1111",TH!M121="1111")),TH!D121,""),"")</f>
        <v>T06</v>
      </c>
      <c r="B121" s="13">
        <f t="shared" si="4"/>
        <v>11</v>
      </c>
      <c r="C121" s="112">
        <f t="shared" si="5"/>
        <v>41214</v>
      </c>
      <c r="D121" s="107" t="s">
        <v>538</v>
      </c>
      <c r="E121" s="112">
        <v>41214</v>
      </c>
      <c r="F121" s="113" t="s">
        <v>401</v>
      </c>
      <c r="G121" s="396" t="s">
        <v>485</v>
      </c>
      <c r="H121" s="114" t="s">
        <v>461</v>
      </c>
      <c r="I121" s="132"/>
      <c r="J121" s="132"/>
      <c r="K121" s="306">
        <v>11513425</v>
      </c>
      <c r="L121" s="307" t="s">
        <v>46</v>
      </c>
      <c r="M121" s="307" t="s">
        <v>241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>x</v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387"/>
    </row>
    <row r="122" spans="1:29" s="303" customFormat="1" ht="15.75" customHeight="1">
      <c r="A122" s="388" t="str">
        <f>IF(B122&lt;&gt;"",IF(AND(B122&gt;=_TM1,B122&lt;=_TM2,OR(TH!L122="1111",TH!M122="1111")),TH!D122,""),"")</f>
        <v/>
      </c>
      <c r="B122" s="13">
        <f t="shared" si="4"/>
        <v>11</v>
      </c>
      <c r="C122" s="112">
        <f t="shared" si="5"/>
        <v>41215</v>
      </c>
      <c r="D122" s="112" t="s">
        <v>429</v>
      </c>
      <c r="E122" s="107">
        <v>41215</v>
      </c>
      <c r="F122" s="110" t="s">
        <v>353</v>
      </c>
      <c r="G122" s="395" t="s">
        <v>372</v>
      </c>
      <c r="H122" s="5" t="s">
        <v>317</v>
      </c>
      <c r="I122" s="132">
        <v>1000</v>
      </c>
      <c r="J122" s="132">
        <v>12750</v>
      </c>
      <c r="K122" s="14">
        <f>ROUND(I122*J122,0)</f>
        <v>12750000</v>
      </c>
      <c r="L122" s="115" t="s">
        <v>306</v>
      </c>
      <c r="M122" s="115" t="s">
        <v>8</v>
      </c>
      <c r="N122" s="22" t="str">
        <f>IF(AND('331-CT'!$E$7=TH!H122,OR(L122="331",M122="331")),"331",IF(AND(OR(L122="131",M122="131"),H122='131-CT'!$E$7),"131",""))</f>
        <v>331</v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387"/>
      <c r="AA122" s="123"/>
      <c r="AB122" s="123"/>
      <c r="AC122" s="123"/>
    </row>
    <row r="123" spans="1:29" s="303" customFormat="1" ht="15.75" customHeight="1">
      <c r="A123" s="388" t="str">
        <f>IF(B123&lt;&gt;"",IF(AND(B123&gt;=_TM1,B123&lt;=_TM2,OR(TH!L123="1111",TH!M123="1111")),TH!D123,""),"")</f>
        <v/>
      </c>
      <c r="B123" s="13">
        <f t="shared" si="4"/>
        <v>11</v>
      </c>
      <c r="C123" s="112">
        <f t="shared" si="5"/>
        <v>41215</v>
      </c>
      <c r="D123" s="112" t="s">
        <v>429</v>
      </c>
      <c r="E123" s="107">
        <v>41215</v>
      </c>
      <c r="F123" s="110" t="s">
        <v>319</v>
      </c>
      <c r="G123" s="395" t="s">
        <v>372</v>
      </c>
      <c r="H123" s="5" t="s">
        <v>317</v>
      </c>
      <c r="I123" s="132"/>
      <c r="J123" s="132"/>
      <c r="K123" s="14">
        <v>1275000</v>
      </c>
      <c r="L123" s="115" t="s">
        <v>9</v>
      </c>
      <c r="M123" s="115" t="s">
        <v>8</v>
      </c>
      <c r="N123" s="22" t="str">
        <f>IF(AND('331-CT'!$E$7=TH!H123,OR(L123="331",M123="331")),"331",IF(AND(OR(L123="131",M123="131"),H123='131-CT'!$E$7),"131",""))</f>
        <v>331</v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387"/>
      <c r="AA123" s="123"/>
      <c r="AB123" s="123"/>
      <c r="AC123" s="123"/>
    </row>
    <row r="124" spans="1:29" s="123" customFormat="1" ht="15.75" customHeight="1">
      <c r="A124" s="388" t="str">
        <f>IF(B124&lt;&gt;"",IF(AND(B124&gt;=_TM1,B124&lt;=_TM2,OR(TH!L124="1111",TH!M124="1111")),TH!D124,""),"")</f>
        <v>C11</v>
      </c>
      <c r="B124" s="13">
        <f t="shared" si="4"/>
        <v>11</v>
      </c>
      <c r="C124" s="112">
        <f t="shared" si="5"/>
        <v>41215</v>
      </c>
      <c r="D124" s="112" t="s">
        <v>422</v>
      </c>
      <c r="E124" s="107">
        <v>41215</v>
      </c>
      <c r="F124" s="110" t="s">
        <v>411</v>
      </c>
      <c r="G124" s="395" t="s">
        <v>372</v>
      </c>
      <c r="H124" s="5" t="s">
        <v>317</v>
      </c>
      <c r="I124" s="132"/>
      <c r="J124" s="132"/>
      <c r="K124" s="14">
        <v>14025000</v>
      </c>
      <c r="L124" s="115" t="s">
        <v>8</v>
      </c>
      <c r="M124" s="115" t="s">
        <v>46</v>
      </c>
      <c r="N124" s="22" t="str">
        <f>IF(AND('331-CT'!$E$7=TH!H124,OR(L124="331",M124="331")),"331",IF(AND(OR(L124="131",M124="131"),H124='131-CT'!$E$7),"131",""))</f>
        <v>331</v>
      </c>
      <c r="O124" s="22" t="str">
        <f>IF(AND($B124&gt;='111'!$N$11,$B124&lt;='111'!$O$11,OR($L124=$O$7,$M124=$O$7)),"x","")</f>
        <v>x</v>
      </c>
      <c r="P124" s="22" t="str">
        <f>IF(AND($L124=$O$7,$B124&lt;'111'!$N$11),"x","")</f>
        <v/>
      </c>
      <c r="Q124" s="22" t="str">
        <f>IF(AND($M124=$O$7,$B124&lt;'111'!$N$11),"x","")</f>
        <v/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387"/>
      <c r="AA124" s="303"/>
    </row>
    <row r="125" spans="1:29" s="123" customFormat="1" ht="15.75" customHeight="1">
      <c r="A125" s="388" t="str">
        <f>IF(B125&lt;&gt;"",IF(AND(B125&gt;=_TM1,B125&lt;=_TM2,OR(TH!L125="1111",TH!M125="1111")),TH!D125,""),"")</f>
        <v/>
      </c>
      <c r="B125" s="13">
        <f t="shared" si="4"/>
        <v>11</v>
      </c>
      <c r="C125" s="112">
        <f t="shared" si="5"/>
        <v>41215</v>
      </c>
      <c r="D125" s="112" t="s">
        <v>430</v>
      </c>
      <c r="E125" s="107">
        <v>41215</v>
      </c>
      <c r="F125" s="110" t="s">
        <v>326</v>
      </c>
      <c r="G125" s="395" t="s">
        <v>373</v>
      </c>
      <c r="H125" s="5" t="s">
        <v>317</v>
      </c>
      <c r="I125" s="132">
        <v>500</v>
      </c>
      <c r="J125" s="132">
        <v>10298</v>
      </c>
      <c r="K125" s="14">
        <f>ROUND(I125*J125,0)</f>
        <v>5149000</v>
      </c>
      <c r="L125" s="115" t="s">
        <v>306</v>
      </c>
      <c r="M125" s="115" t="s">
        <v>8</v>
      </c>
      <c r="N125" s="22" t="str">
        <f>IF(AND('331-CT'!$E$7=TH!H125,OR(L125="331",M125="331")),"331",IF(AND(OR(L125="131",M125="131"),H125='131-CT'!$E$7),"131",""))</f>
        <v>331</v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/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387"/>
    </row>
    <row r="126" spans="1:29" s="303" customFormat="1" ht="15.75" customHeight="1">
      <c r="A126" s="388" t="str">
        <f>IF(B126&lt;&gt;"",IF(AND(B126&gt;=_TM1,B126&lt;=_TM2,OR(TH!L126="1111",TH!M126="1111")),TH!D126,""),"")</f>
        <v/>
      </c>
      <c r="B126" s="13">
        <f t="shared" si="4"/>
        <v>11</v>
      </c>
      <c r="C126" s="112">
        <f t="shared" si="5"/>
        <v>41215</v>
      </c>
      <c r="D126" s="112" t="s">
        <v>430</v>
      </c>
      <c r="E126" s="107">
        <v>41215</v>
      </c>
      <c r="F126" s="110" t="s">
        <v>319</v>
      </c>
      <c r="G126" s="395" t="s">
        <v>373</v>
      </c>
      <c r="H126" s="5" t="s">
        <v>317</v>
      </c>
      <c r="I126" s="132"/>
      <c r="J126" s="132"/>
      <c r="K126" s="14">
        <v>514900</v>
      </c>
      <c r="L126" s="115" t="s">
        <v>9</v>
      </c>
      <c r="M126" s="115" t="s">
        <v>8</v>
      </c>
      <c r="N126" s="22" t="str">
        <f>IF(AND('331-CT'!$E$7=TH!H126,OR(L126="331",M126="331")),"331",IF(AND(OR(L126="131",M126="131"),H126='131-CT'!$E$7),"131",""))</f>
        <v>331</v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/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387"/>
      <c r="AA126" s="123"/>
      <c r="AB126" s="123"/>
      <c r="AC126" s="123"/>
    </row>
    <row r="127" spans="1:29" s="303" customFormat="1" ht="15.75" customHeight="1">
      <c r="A127" s="388" t="str">
        <f>IF(B127&lt;&gt;"",IF(AND(B127&gt;=_TM1,B127&lt;=_TM2,OR(TH!L127="1111",TH!M127="1111")),TH!D127,""),"")</f>
        <v>C12</v>
      </c>
      <c r="B127" s="13">
        <f t="shared" si="4"/>
        <v>11</v>
      </c>
      <c r="C127" s="112">
        <f t="shared" si="5"/>
        <v>41215</v>
      </c>
      <c r="D127" s="112" t="s">
        <v>431</v>
      </c>
      <c r="E127" s="107">
        <v>41215</v>
      </c>
      <c r="F127" s="110" t="s">
        <v>411</v>
      </c>
      <c r="G127" s="395" t="s">
        <v>373</v>
      </c>
      <c r="H127" s="5" t="s">
        <v>317</v>
      </c>
      <c r="I127" s="132"/>
      <c r="J127" s="132"/>
      <c r="K127" s="14">
        <v>5663900</v>
      </c>
      <c r="L127" s="115" t="s">
        <v>8</v>
      </c>
      <c r="M127" s="115" t="s">
        <v>46</v>
      </c>
      <c r="N127" s="22" t="str">
        <f>IF(AND('331-CT'!$E$7=TH!H127,OR(L127="331",M127="331")),"331",IF(AND(OR(L127="131",M127="131"),H127='131-CT'!$E$7),"131",""))</f>
        <v>331</v>
      </c>
      <c r="O127" s="22" t="str">
        <f>IF(AND($B127&gt;='111'!$N$11,$B127&lt;='111'!$O$11,OR($L127=$O$7,$M127=$O$7)),"x","")</f>
        <v>x</v>
      </c>
      <c r="P127" s="22" t="str">
        <f>IF(AND($L127=$O$7,$B127&lt;'111'!$N$11),"x","")</f>
        <v/>
      </c>
      <c r="Q127" s="22" t="str">
        <f>IF(AND($M127=$O$7,$B127&lt;'111'!$N$11),"x","")</f>
        <v/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387"/>
      <c r="AB127" s="123"/>
      <c r="AC127" s="123"/>
    </row>
    <row r="128" spans="1:29" s="303" customFormat="1" ht="15.75" customHeight="1">
      <c r="A128" s="388" t="str">
        <f>IF(B128&lt;&gt;"",IF(AND(B128&gt;=_TM1,B128&lt;=_TM2,OR(TH!L128="1111",TH!M128="1111")),TH!D128,""),"")</f>
        <v/>
      </c>
      <c r="B128" s="13">
        <f t="shared" si="4"/>
        <v>11</v>
      </c>
      <c r="C128" s="112">
        <f t="shared" si="5"/>
        <v>41215</v>
      </c>
      <c r="D128" s="107" t="s">
        <v>525</v>
      </c>
      <c r="E128" s="112">
        <v>41215</v>
      </c>
      <c r="F128" s="113" t="s">
        <v>462</v>
      </c>
      <c r="G128" s="396" t="s">
        <v>486</v>
      </c>
      <c r="H128" s="114" t="s">
        <v>461</v>
      </c>
      <c r="I128" s="132">
        <v>11050</v>
      </c>
      <c r="J128" s="132">
        <v>900</v>
      </c>
      <c r="K128" s="306">
        <f>ROUND(I128*J128,0)</f>
        <v>9945000</v>
      </c>
      <c r="L128" s="307" t="s">
        <v>241</v>
      </c>
      <c r="M128" s="307" t="s">
        <v>158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/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387"/>
    </row>
    <row r="129" spans="1:29" s="303" customFormat="1" ht="15.75" customHeight="1">
      <c r="A129" s="388" t="str">
        <f>IF(B129&lt;&gt;"",IF(AND(B129&gt;=_TM1,B129&lt;=_TM2,OR(TH!L129="1111",TH!M129="1111")),TH!D129,""),"")</f>
        <v/>
      </c>
      <c r="B129" s="13">
        <f t="shared" si="4"/>
        <v>11</v>
      </c>
      <c r="C129" s="112">
        <f t="shared" si="5"/>
        <v>41215</v>
      </c>
      <c r="D129" s="107" t="s">
        <v>525</v>
      </c>
      <c r="E129" s="112">
        <v>41215</v>
      </c>
      <c r="F129" s="113" t="s">
        <v>463</v>
      </c>
      <c r="G129" s="396" t="s">
        <v>486</v>
      </c>
      <c r="H129" s="114" t="s">
        <v>461</v>
      </c>
      <c r="I129" s="132"/>
      <c r="J129" s="132"/>
      <c r="K129" s="306">
        <v>994500</v>
      </c>
      <c r="L129" s="307" t="s">
        <v>241</v>
      </c>
      <c r="M129" s="307" t="s">
        <v>282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/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387"/>
    </row>
    <row r="130" spans="1:29" s="303" customFormat="1" ht="15.75" customHeight="1">
      <c r="A130" s="388" t="str">
        <f>IF(B130&lt;&gt;"",IF(AND(B130&gt;=_TM1,B130&lt;=_TM2,OR(TH!L130="1111",TH!M130="1111")),TH!D130,""),"")</f>
        <v>T07</v>
      </c>
      <c r="B130" s="13">
        <f t="shared" si="4"/>
        <v>11</v>
      </c>
      <c r="C130" s="112">
        <f t="shared" si="5"/>
        <v>41215</v>
      </c>
      <c r="D130" s="107" t="s">
        <v>539</v>
      </c>
      <c r="E130" s="112">
        <v>41215</v>
      </c>
      <c r="F130" s="113" t="s">
        <v>401</v>
      </c>
      <c r="G130" s="396" t="s">
        <v>486</v>
      </c>
      <c r="H130" s="114" t="s">
        <v>461</v>
      </c>
      <c r="I130" s="132"/>
      <c r="J130" s="132"/>
      <c r="K130" s="306">
        <v>10939500</v>
      </c>
      <c r="L130" s="307" t="s">
        <v>46</v>
      </c>
      <c r="M130" s="307" t="s">
        <v>241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>x</v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/>
      </c>
      <c r="Y130" s="22" t="str">
        <f>IF(AND(B130&lt;=NKC!$N$8,B130&gt;=NKC!$M$8),"x","")</f>
        <v>x</v>
      </c>
      <c r="Z130" s="387"/>
    </row>
    <row r="131" spans="1:29" s="303" customFormat="1" ht="15.75" customHeight="1">
      <c r="A131" s="388" t="str">
        <f>IF(B131&lt;&gt;"",IF(AND(B131&gt;=_TM1,B131&lt;=_TM2,OR(TH!L131="1111",TH!M131="1111")),TH!D131,""),"")</f>
        <v/>
      </c>
      <c r="B131" s="13">
        <f t="shared" si="4"/>
        <v>11</v>
      </c>
      <c r="C131" s="112">
        <f t="shared" si="5"/>
        <v>41219</v>
      </c>
      <c r="D131" s="107" t="s">
        <v>526</v>
      </c>
      <c r="E131" s="112">
        <v>41219</v>
      </c>
      <c r="F131" s="113" t="s">
        <v>487</v>
      </c>
      <c r="G131" s="396" t="s">
        <v>488</v>
      </c>
      <c r="H131" s="114" t="s">
        <v>489</v>
      </c>
      <c r="I131" s="132">
        <v>500</v>
      </c>
      <c r="J131" s="132">
        <v>11450</v>
      </c>
      <c r="K131" s="306">
        <f>ROUND(I131*J131,0)</f>
        <v>5725000</v>
      </c>
      <c r="L131" s="307" t="s">
        <v>241</v>
      </c>
      <c r="M131" s="307" t="s">
        <v>158</v>
      </c>
      <c r="N131" s="22" t="str">
        <f>IF(AND('331-CT'!$E$7=TH!H131,OR(L131="331",M131="331")),"331",IF(AND(OR(L131="131",M131="131"),H131='131-CT'!$E$7),"131",""))</f>
        <v>131</v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387"/>
      <c r="AB131" s="123"/>
      <c r="AC131" s="123"/>
    </row>
    <row r="132" spans="1:29" s="303" customFormat="1" ht="15.75" customHeight="1">
      <c r="A132" s="388" t="str">
        <f>IF(B132&lt;&gt;"",IF(AND(B132&gt;=_TM1,B132&lt;=_TM2,OR(TH!L132="1111",TH!M132="1111")),TH!D132,""),"")</f>
        <v/>
      </c>
      <c r="B132" s="13">
        <f t="shared" si="4"/>
        <v>11</v>
      </c>
      <c r="C132" s="112">
        <f t="shared" si="5"/>
        <v>41219</v>
      </c>
      <c r="D132" s="107" t="s">
        <v>526</v>
      </c>
      <c r="E132" s="112">
        <v>41219</v>
      </c>
      <c r="F132" s="113" t="s">
        <v>463</v>
      </c>
      <c r="G132" s="396" t="s">
        <v>488</v>
      </c>
      <c r="H132" s="114" t="s">
        <v>489</v>
      </c>
      <c r="I132" s="132"/>
      <c r="J132" s="132"/>
      <c r="K132" s="306">
        <v>572500</v>
      </c>
      <c r="L132" s="307" t="s">
        <v>241</v>
      </c>
      <c r="M132" s="307" t="s">
        <v>282</v>
      </c>
      <c r="N132" s="22" t="str">
        <f>IF(AND('331-CT'!$E$7=TH!H132,OR(L132="331",M132="331")),"331",IF(AND(OR(L132="131",M132="131"),H132='131-CT'!$E$7),"131",""))</f>
        <v>131</v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/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387"/>
      <c r="AB132" s="123"/>
      <c r="AC132" s="123"/>
    </row>
    <row r="133" spans="1:29" s="303" customFormat="1" ht="15.75" customHeight="1">
      <c r="A133" s="388" t="str">
        <f>IF(B133&lt;&gt;"",IF(AND(B133&gt;=_TM1,B133&lt;=_TM2,OR(TH!L133="1111",TH!M133="1111")),TH!D133,""),"")</f>
        <v>T08</v>
      </c>
      <c r="B133" s="13">
        <f t="shared" si="4"/>
        <v>11</v>
      </c>
      <c r="C133" s="112">
        <f t="shared" si="5"/>
        <v>41219</v>
      </c>
      <c r="D133" s="107" t="s">
        <v>540</v>
      </c>
      <c r="E133" s="112">
        <v>41219</v>
      </c>
      <c r="F133" s="113" t="s">
        <v>401</v>
      </c>
      <c r="G133" s="396" t="s">
        <v>488</v>
      </c>
      <c r="H133" s="114" t="s">
        <v>489</v>
      </c>
      <c r="I133" s="132"/>
      <c r="J133" s="132"/>
      <c r="K133" s="306">
        <v>6297500</v>
      </c>
      <c r="L133" s="307" t="s">
        <v>46</v>
      </c>
      <c r="M133" s="307" t="s">
        <v>241</v>
      </c>
      <c r="N133" s="22" t="str">
        <f>IF(AND('331-CT'!$E$7=TH!H133,OR(L133="331",M133="331")),"331",IF(AND(OR(L133="131",M133="131"),H133='131-CT'!$E$7),"131",""))</f>
        <v>131</v>
      </c>
      <c r="O133" s="22" t="str">
        <f>IF(AND($B133&gt;='111'!$N$11,$B133&lt;='111'!$O$11,OR($L133=$O$7,$M133=$O$7)),"x","")</f>
        <v>x</v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/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387"/>
      <c r="AB133" s="123"/>
      <c r="AC133" s="123"/>
    </row>
    <row r="134" spans="1:29" s="303" customFormat="1" ht="15.75" customHeight="1">
      <c r="A134" s="388" t="str">
        <f>IF(B134&lt;&gt;"",IF(AND(B134&gt;=_TM1,B134&lt;=_TM2,OR(TH!L134="1111",TH!M134="1111")),TH!D134,""),"")</f>
        <v/>
      </c>
      <c r="B134" s="13">
        <f t="shared" si="4"/>
        <v>11</v>
      </c>
      <c r="C134" s="112">
        <f t="shared" si="5"/>
        <v>41220</v>
      </c>
      <c r="D134" s="107" t="s">
        <v>398</v>
      </c>
      <c r="E134" s="107">
        <v>41220</v>
      </c>
      <c r="F134" s="110" t="s">
        <v>401</v>
      </c>
      <c r="G134" s="395" t="s">
        <v>305</v>
      </c>
      <c r="H134" s="114" t="s">
        <v>406</v>
      </c>
      <c r="I134" s="132"/>
      <c r="J134" s="132"/>
      <c r="K134" s="306">
        <v>6956400</v>
      </c>
      <c r="L134" s="307" t="s">
        <v>24</v>
      </c>
      <c r="M134" s="307" t="s">
        <v>241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>x</v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387"/>
    </row>
    <row r="135" spans="1:29" s="303" customFormat="1" ht="15.75" customHeight="1">
      <c r="A135" s="388" t="str">
        <f>IF(B135&lt;&gt;"",IF(AND(B135&gt;=_TM1,B135&lt;=_TM2,OR(TH!L135="1111",TH!M135="1111")),TH!D135,""),"")</f>
        <v>C13</v>
      </c>
      <c r="B135" s="13">
        <f t="shared" si="4"/>
        <v>11</v>
      </c>
      <c r="C135" s="112">
        <f t="shared" si="5"/>
        <v>41220</v>
      </c>
      <c r="D135" s="112" t="s">
        <v>432</v>
      </c>
      <c r="E135" s="107">
        <v>41220</v>
      </c>
      <c r="F135" s="113" t="s">
        <v>298</v>
      </c>
      <c r="G135" s="395" t="s">
        <v>370</v>
      </c>
      <c r="H135" s="5" t="s">
        <v>369</v>
      </c>
      <c r="I135" s="132"/>
      <c r="J135" s="132"/>
      <c r="K135" s="14">
        <v>4845455</v>
      </c>
      <c r="L135" s="115" t="s">
        <v>82</v>
      </c>
      <c r="M135" s="115" t="s">
        <v>46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>x</v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387"/>
      <c r="AB135" s="123"/>
      <c r="AC135" s="123"/>
    </row>
    <row r="136" spans="1:29" s="303" customFormat="1" ht="15.75" customHeight="1">
      <c r="A136" s="388" t="str">
        <f>IF(B136&lt;&gt;"",IF(AND(B136&gt;=_TM1,B136&lt;=_TM2,OR(TH!L136="1111",TH!M136="1111")),TH!D136,""),"")</f>
        <v>C13</v>
      </c>
      <c r="B136" s="13">
        <f t="shared" si="4"/>
        <v>11</v>
      </c>
      <c r="C136" s="112">
        <f t="shared" si="5"/>
        <v>41220</v>
      </c>
      <c r="D136" s="112" t="s">
        <v>432</v>
      </c>
      <c r="E136" s="107">
        <v>41220</v>
      </c>
      <c r="F136" s="113" t="s">
        <v>299</v>
      </c>
      <c r="G136" s="395" t="s">
        <v>370</v>
      </c>
      <c r="H136" s="5" t="s">
        <v>369</v>
      </c>
      <c r="I136" s="132"/>
      <c r="J136" s="132"/>
      <c r="K136" s="14">
        <v>484545</v>
      </c>
      <c r="L136" s="115" t="s">
        <v>9</v>
      </c>
      <c r="M136" s="115" t="s">
        <v>46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>x</v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387"/>
      <c r="AB136" s="123"/>
      <c r="AC136" s="123"/>
    </row>
    <row r="137" spans="1:29" s="303" customFormat="1" ht="15.75" customHeight="1">
      <c r="A137" s="388" t="str">
        <f>IF(B137&lt;&gt;"",IF(AND(B137&gt;=_TM1,B137&lt;=_TM2,OR(TH!L137="1111",TH!M137="1111")),TH!D137,""),"")</f>
        <v/>
      </c>
      <c r="B137" s="13">
        <f t="shared" si="4"/>
        <v>11</v>
      </c>
      <c r="C137" s="112">
        <f t="shared" si="5"/>
        <v>41220</v>
      </c>
      <c r="D137" s="107" t="s">
        <v>527</v>
      </c>
      <c r="E137" s="112">
        <v>41220</v>
      </c>
      <c r="F137" s="113" t="s">
        <v>475</v>
      </c>
      <c r="G137" s="396" t="s">
        <v>490</v>
      </c>
      <c r="H137" s="114" t="s">
        <v>477</v>
      </c>
      <c r="I137" s="132">
        <v>1000</v>
      </c>
      <c r="J137" s="132">
        <v>7660</v>
      </c>
      <c r="K137" s="306">
        <f>ROUND(I137*J137,0)</f>
        <v>7660000</v>
      </c>
      <c r="L137" s="307" t="s">
        <v>241</v>
      </c>
      <c r="M137" s="307" t="s">
        <v>158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387"/>
      <c r="AB137" s="123"/>
      <c r="AC137" s="123"/>
    </row>
    <row r="138" spans="1:29" s="123" customFormat="1" ht="15.75" customHeight="1">
      <c r="A138" s="388" t="str">
        <f>IF(B138&lt;&gt;"",IF(AND(B138&gt;=_TM1,B138&lt;=_TM2,OR(TH!L138="1111",TH!M138="1111")),TH!D138,""),"")</f>
        <v/>
      </c>
      <c r="B138" s="13">
        <f t="shared" si="4"/>
        <v>11</v>
      </c>
      <c r="C138" s="112">
        <f t="shared" si="5"/>
        <v>41220</v>
      </c>
      <c r="D138" s="107" t="s">
        <v>527</v>
      </c>
      <c r="E138" s="112">
        <v>41220</v>
      </c>
      <c r="F138" s="113" t="s">
        <v>463</v>
      </c>
      <c r="G138" s="396" t="s">
        <v>490</v>
      </c>
      <c r="H138" s="114" t="s">
        <v>477</v>
      </c>
      <c r="I138" s="132"/>
      <c r="J138" s="132"/>
      <c r="K138" s="306">
        <v>766000</v>
      </c>
      <c r="L138" s="307" t="s">
        <v>241</v>
      </c>
      <c r="M138" s="307" t="s">
        <v>282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387"/>
      <c r="AA138" s="303"/>
    </row>
    <row r="139" spans="1:29" s="303" customFormat="1" ht="15.75" customHeight="1">
      <c r="A139" s="388" t="str">
        <f>IF(B139&lt;&gt;"",IF(AND(B139&gt;=_TM1,B139&lt;=_TM2,OR(TH!L139="1111",TH!M139="1111")),TH!D139,""),"")</f>
        <v>C14</v>
      </c>
      <c r="B139" s="13">
        <f t="shared" si="4"/>
        <v>11</v>
      </c>
      <c r="C139" s="112">
        <f t="shared" si="5"/>
        <v>41221</v>
      </c>
      <c r="D139" s="112" t="s">
        <v>433</v>
      </c>
      <c r="E139" s="107">
        <v>41221</v>
      </c>
      <c r="F139" s="110" t="s">
        <v>359</v>
      </c>
      <c r="G139" s="395" t="s">
        <v>361</v>
      </c>
      <c r="H139" s="114" t="s">
        <v>358</v>
      </c>
      <c r="I139" s="132"/>
      <c r="J139" s="132"/>
      <c r="K139" s="14">
        <v>4372550</v>
      </c>
      <c r="L139" s="115" t="s">
        <v>82</v>
      </c>
      <c r="M139" s="115" t="s">
        <v>46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>x</v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387"/>
      <c r="AB139" s="123"/>
      <c r="AC139" s="123"/>
    </row>
    <row r="140" spans="1:29" s="303" customFormat="1" ht="15.75" customHeight="1">
      <c r="A140" s="388" t="str">
        <f>IF(B140&lt;&gt;"",IF(AND(B140&gt;=_TM1,B140&lt;=_TM2,OR(TH!L140="1111",TH!M140="1111")),TH!D140,""),"")</f>
        <v>C14</v>
      </c>
      <c r="B140" s="13">
        <f t="shared" si="4"/>
        <v>11</v>
      </c>
      <c r="C140" s="112">
        <f t="shared" si="5"/>
        <v>41221</v>
      </c>
      <c r="D140" s="112" t="s">
        <v>433</v>
      </c>
      <c r="E140" s="107">
        <v>41221</v>
      </c>
      <c r="F140" s="110" t="s">
        <v>360</v>
      </c>
      <c r="G140" s="395" t="s">
        <v>361</v>
      </c>
      <c r="H140" s="114" t="s">
        <v>358</v>
      </c>
      <c r="I140" s="132"/>
      <c r="J140" s="132"/>
      <c r="K140" s="14">
        <v>437255</v>
      </c>
      <c r="L140" s="115" t="s">
        <v>9</v>
      </c>
      <c r="M140" s="115" t="s">
        <v>46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>x</v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387"/>
      <c r="AB140" s="123"/>
      <c r="AC140" s="123"/>
    </row>
    <row r="141" spans="1:29" s="303" customFormat="1" ht="15.75" customHeight="1">
      <c r="A141" s="388" t="str">
        <f>IF(B141&lt;&gt;"",IF(AND(B141&gt;=_TM1,B141&lt;=_TM2,OR(TH!L141="1111",TH!M141="1111")),TH!D141,""),"")</f>
        <v/>
      </c>
      <c r="B141" s="13">
        <f t="shared" si="4"/>
        <v>11</v>
      </c>
      <c r="C141" s="112">
        <f t="shared" si="5"/>
        <v>41221</v>
      </c>
      <c r="D141" s="107" t="s">
        <v>528</v>
      </c>
      <c r="E141" s="112">
        <v>41221</v>
      </c>
      <c r="F141" s="113" t="s">
        <v>466</v>
      </c>
      <c r="G141" s="396" t="s">
        <v>491</v>
      </c>
      <c r="H141" s="114" t="s">
        <v>406</v>
      </c>
      <c r="I141" s="132">
        <v>1000</v>
      </c>
      <c r="J141" s="132">
        <v>6342</v>
      </c>
      <c r="K141" s="306">
        <f>ROUND(I141*J141,0)</f>
        <v>6342000</v>
      </c>
      <c r="L141" s="307" t="s">
        <v>241</v>
      </c>
      <c r="M141" s="307" t="s">
        <v>158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387"/>
      <c r="AB141" s="123"/>
      <c r="AC141" s="123"/>
    </row>
    <row r="142" spans="1:29" s="123" customFormat="1" ht="15.75" customHeight="1">
      <c r="A142" s="388" t="str">
        <f>IF(B142&lt;&gt;"",IF(AND(B142&gt;=_TM1,B142&lt;=_TM2,OR(TH!L142="1111",TH!M142="1111")),TH!D142,""),"")</f>
        <v/>
      </c>
      <c r="B142" s="13">
        <f t="shared" si="4"/>
        <v>11</v>
      </c>
      <c r="C142" s="112">
        <f t="shared" si="5"/>
        <v>41221</v>
      </c>
      <c r="D142" s="107" t="s">
        <v>528</v>
      </c>
      <c r="E142" s="112">
        <v>41221</v>
      </c>
      <c r="F142" s="113" t="s">
        <v>463</v>
      </c>
      <c r="G142" s="396" t="s">
        <v>491</v>
      </c>
      <c r="H142" s="114" t="s">
        <v>406</v>
      </c>
      <c r="I142" s="132"/>
      <c r="J142" s="132"/>
      <c r="K142" s="306">
        <v>634200</v>
      </c>
      <c r="L142" s="307" t="s">
        <v>241</v>
      </c>
      <c r="M142" s="307" t="s">
        <v>282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387"/>
      <c r="AA142" s="303"/>
    </row>
    <row r="143" spans="1:29" s="303" customFormat="1" ht="15.75" customHeight="1">
      <c r="A143" s="388" t="str">
        <f>IF(B143&lt;&gt;"",IF(AND(B143&gt;=_TM1,B143&lt;=_TM2,OR(TH!L143="1111",TH!M143="1111")),TH!D143,""),"")</f>
        <v>T09</v>
      </c>
      <c r="B143" s="13">
        <f t="shared" si="4"/>
        <v>11</v>
      </c>
      <c r="C143" s="112">
        <f t="shared" si="5"/>
        <v>41221</v>
      </c>
      <c r="D143" s="107" t="s">
        <v>541</v>
      </c>
      <c r="E143" s="112">
        <v>41221</v>
      </c>
      <c r="F143" s="113" t="s">
        <v>401</v>
      </c>
      <c r="G143" s="396" t="s">
        <v>491</v>
      </c>
      <c r="H143" s="114" t="s">
        <v>406</v>
      </c>
      <c r="I143" s="132"/>
      <c r="J143" s="132"/>
      <c r="K143" s="306">
        <v>6976200</v>
      </c>
      <c r="L143" s="307" t="s">
        <v>46</v>
      </c>
      <c r="M143" s="307" t="s">
        <v>241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>x</v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387"/>
      <c r="AB143" s="123"/>
      <c r="AC143" s="123"/>
    </row>
    <row r="144" spans="1:29" s="303" customFormat="1" ht="15.75" customHeight="1">
      <c r="A144" s="388" t="str">
        <f>IF(B144&lt;&gt;"",IF(AND(B144&gt;=_TM1,B144&lt;=_TM2,OR(TH!L144="1111",TH!M144="1111")),TH!D144,""),"")</f>
        <v>C15</v>
      </c>
      <c r="B144" s="13">
        <f t="shared" ref="B144:B207" si="6">IF(C144&lt;&gt;"",MONTH(C144),"")</f>
        <v>11</v>
      </c>
      <c r="C144" s="112">
        <f t="shared" ref="C144:C207" si="7">E144</f>
        <v>41222</v>
      </c>
      <c r="D144" s="112" t="s">
        <v>434</v>
      </c>
      <c r="E144" s="107">
        <v>41222</v>
      </c>
      <c r="F144" s="110" t="s">
        <v>335</v>
      </c>
      <c r="G144" s="395"/>
      <c r="H144" s="5" t="s">
        <v>338</v>
      </c>
      <c r="I144" s="132"/>
      <c r="J144" s="132"/>
      <c r="K144" s="14">
        <v>505710</v>
      </c>
      <c r="L144" s="115" t="s">
        <v>17</v>
      </c>
      <c r="M144" s="115" t="s">
        <v>46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>x</v>
      </c>
      <c r="P144" s="22" t="str">
        <f>IF(AND($L144=$O$7,$B144&lt;'111'!$N$11),"x","")</f>
        <v/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387"/>
      <c r="AB144" s="123"/>
      <c r="AC144" s="123"/>
    </row>
    <row r="145" spans="1:29" s="303" customFormat="1" ht="15.75" customHeight="1">
      <c r="A145" s="388" t="str">
        <f>IF(B145&lt;&gt;"",IF(AND(B145&gt;=_TM1,B145&lt;=_TM2,OR(TH!L145="1111",TH!M145="1111")),TH!D145,""),"")</f>
        <v/>
      </c>
      <c r="B145" s="13">
        <f t="shared" si="6"/>
        <v>11</v>
      </c>
      <c r="C145" s="112">
        <f t="shared" si="7"/>
        <v>41229</v>
      </c>
      <c r="D145" s="107" t="s">
        <v>529</v>
      </c>
      <c r="E145" s="112">
        <v>41229</v>
      </c>
      <c r="F145" s="113" t="s">
        <v>472</v>
      </c>
      <c r="G145" s="396" t="s">
        <v>492</v>
      </c>
      <c r="H145" s="114" t="s">
        <v>406</v>
      </c>
      <c r="I145" s="132">
        <v>1000</v>
      </c>
      <c r="J145" s="132">
        <v>6200</v>
      </c>
      <c r="K145" s="306">
        <f>ROUND(I145*J145,0)</f>
        <v>6200000</v>
      </c>
      <c r="L145" s="307" t="s">
        <v>241</v>
      </c>
      <c r="M145" s="307" t="s">
        <v>158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387"/>
      <c r="AB145" s="123"/>
      <c r="AC145" s="123"/>
    </row>
    <row r="146" spans="1:29" s="303" customFormat="1" ht="15.75" customHeight="1">
      <c r="A146" s="388" t="str">
        <f>IF(B146&lt;&gt;"",IF(AND(B146&gt;=_TM1,B146&lt;=_TM2,OR(TH!L146="1111",TH!M146="1111")),TH!D146,""),"")</f>
        <v/>
      </c>
      <c r="B146" s="13">
        <f t="shared" si="6"/>
        <v>11</v>
      </c>
      <c r="C146" s="112">
        <f t="shared" si="7"/>
        <v>41229</v>
      </c>
      <c r="D146" s="107" t="s">
        <v>529</v>
      </c>
      <c r="E146" s="112">
        <v>41229</v>
      </c>
      <c r="F146" s="113" t="s">
        <v>463</v>
      </c>
      <c r="G146" s="396" t="s">
        <v>492</v>
      </c>
      <c r="H146" s="114" t="s">
        <v>406</v>
      </c>
      <c r="I146" s="132"/>
      <c r="J146" s="132"/>
      <c r="K146" s="306">
        <v>620000</v>
      </c>
      <c r="L146" s="307" t="s">
        <v>241</v>
      </c>
      <c r="M146" s="307" t="s">
        <v>282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387"/>
      <c r="AB146" s="123"/>
      <c r="AC146" s="123"/>
    </row>
    <row r="147" spans="1:29" s="303" customFormat="1" ht="15.75" customHeight="1">
      <c r="A147" s="388" t="str">
        <f>IF(B147&lt;&gt;"",IF(AND(B147&gt;=_TM1,B147&lt;=_TM2,OR(TH!L147="1111",TH!M147="1111")),TH!D147,""),"")</f>
        <v>T10</v>
      </c>
      <c r="B147" s="13">
        <f t="shared" si="6"/>
        <v>11</v>
      </c>
      <c r="C147" s="112">
        <f t="shared" si="7"/>
        <v>41229</v>
      </c>
      <c r="D147" s="107" t="s">
        <v>542</v>
      </c>
      <c r="E147" s="112">
        <v>41229</v>
      </c>
      <c r="F147" s="113" t="s">
        <v>401</v>
      </c>
      <c r="G147" s="396" t="s">
        <v>492</v>
      </c>
      <c r="H147" s="114" t="s">
        <v>406</v>
      </c>
      <c r="I147" s="132"/>
      <c r="J147" s="132"/>
      <c r="K147" s="306">
        <v>6820000</v>
      </c>
      <c r="L147" s="307" t="s">
        <v>46</v>
      </c>
      <c r="M147" s="307" t="s">
        <v>241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>x</v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387"/>
      <c r="AB147" s="123"/>
      <c r="AC147" s="123"/>
    </row>
    <row r="148" spans="1:29" s="303" customFormat="1" ht="15.75" customHeight="1">
      <c r="A148" s="388" t="str">
        <f>IF(B148&lt;&gt;"",IF(AND(B148&gt;=_TM1,B148&lt;=_TM2,OR(TH!L148="1111",TH!M148="1111")),TH!D148,""),"")</f>
        <v/>
      </c>
      <c r="B148" s="13">
        <f t="shared" si="6"/>
        <v>11</v>
      </c>
      <c r="C148" s="112">
        <f t="shared" si="7"/>
        <v>41230</v>
      </c>
      <c r="D148" s="112" t="s">
        <v>435</v>
      </c>
      <c r="E148" s="107">
        <v>41230</v>
      </c>
      <c r="F148" s="110" t="s">
        <v>349</v>
      </c>
      <c r="G148" s="395" t="s">
        <v>374</v>
      </c>
      <c r="H148" s="5" t="s">
        <v>317</v>
      </c>
      <c r="I148" s="132">
        <v>1000</v>
      </c>
      <c r="J148" s="132">
        <v>10286</v>
      </c>
      <c r="K148" s="14">
        <f>ROUND(I148*J148,0)</f>
        <v>10286000</v>
      </c>
      <c r="L148" s="115" t="s">
        <v>306</v>
      </c>
      <c r="M148" s="115" t="s">
        <v>8</v>
      </c>
      <c r="N148" s="22" t="str">
        <f>IF(AND('331-CT'!$E$7=TH!H148,OR(L148="331",M148="331")),"331",IF(AND(OR(L148="131",M148="131"),H148='131-CT'!$E$7),"131",""))</f>
        <v>331</v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387"/>
      <c r="AA148" s="123"/>
      <c r="AB148" s="123"/>
      <c r="AC148" s="123"/>
    </row>
    <row r="149" spans="1:29" s="303" customFormat="1" ht="15.75" customHeight="1">
      <c r="A149" s="388" t="str">
        <f>IF(B149&lt;&gt;"",IF(AND(B149&gt;=_TM1,B149&lt;=_TM2,OR(TH!L149="1111",TH!M149="1111")),TH!D149,""),"")</f>
        <v/>
      </c>
      <c r="B149" s="13">
        <f t="shared" si="6"/>
        <v>11</v>
      </c>
      <c r="C149" s="112">
        <f t="shared" si="7"/>
        <v>41230</v>
      </c>
      <c r="D149" s="112" t="s">
        <v>435</v>
      </c>
      <c r="E149" s="107">
        <v>41230</v>
      </c>
      <c r="F149" s="110" t="s">
        <v>375</v>
      </c>
      <c r="G149" s="395" t="s">
        <v>374</v>
      </c>
      <c r="H149" s="5" t="s">
        <v>317</v>
      </c>
      <c r="I149" s="132">
        <v>175</v>
      </c>
      <c r="J149" s="132">
        <v>10546</v>
      </c>
      <c r="K149" s="14">
        <f>ROUND(I149*J149,0)</f>
        <v>1845550</v>
      </c>
      <c r="L149" s="115" t="s">
        <v>306</v>
      </c>
      <c r="M149" s="115" t="s">
        <v>8</v>
      </c>
      <c r="N149" s="22" t="str">
        <f>IF(AND('331-CT'!$E$7=TH!H149,OR(L149="331",M149="331")),"331",IF(AND(OR(L149="131",M149="131"),H149='131-CT'!$E$7),"131",""))</f>
        <v>331</v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387"/>
      <c r="AA149" s="123"/>
      <c r="AB149" s="123"/>
      <c r="AC149" s="123"/>
    </row>
    <row r="150" spans="1:29" s="303" customFormat="1" ht="15.75" customHeight="1">
      <c r="A150" s="388" t="str">
        <f>IF(B150&lt;&gt;"",IF(AND(B150&gt;=_TM1,B150&lt;=_TM2,OR(TH!L150="1111",TH!M150="1111")),TH!D150,""),"")</f>
        <v/>
      </c>
      <c r="B150" s="13">
        <f t="shared" si="6"/>
        <v>11</v>
      </c>
      <c r="C150" s="112">
        <f t="shared" si="7"/>
        <v>41230</v>
      </c>
      <c r="D150" s="112" t="s">
        <v>435</v>
      </c>
      <c r="E150" s="107">
        <v>41230</v>
      </c>
      <c r="F150" s="110" t="s">
        <v>356</v>
      </c>
      <c r="G150" s="395" t="s">
        <v>374</v>
      </c>
      <c r="H150" s="5" t="s">
        <v>317</v>
      </c>
      <c r="I150" s="132">
        <v>600</v>
      </c>
      <c r="J150" s="132">
        <v>8556</v>
      </c>
      <c r="K150" s="14">
        <f>ROUND(I150*J150,0)</f>
        <v>5133600</v>
      </c>
      <c r="L150" s="115" t="s">
        <v>306</v>
      </c>
      <c r="M150" s="115" t="s">
        <v>8</v>
      </c>
      <c r="N150" s="22" t="str">
        <f>IF(AND('331-CT'!$E$7=TH!H150,OR(L150="331",M150="331")),"331",IF(AND(OR(L150="131",M150="131"),H150='131-CT'!$E$7),"131",""))</f>
        <v>331</v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/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/>
      </c>
      <c r="Y150" s="22" t="str">
        <f>IF(AND(B150&lt;=NKC!$N$8,B150&gt;=NKC!$M$8),"x","")</f>
        <v>x</v>
      </c>
      <c r="Z150" s="387"/>
      <c r="AA150" s="123"/>
      <c r="AB150" s="123"/>
      <c r="AC150" s="123"/>
    </row>
    <row r="151" spans="1:29" s="303" customFormat="1" ht="15.75" customHeight="1">
      <c r="A151" s="388" t="str">
        <f>IF(B151&lt;&gt;"",IF(AND(B151&gt;=_TM1,B151&lt;=_TM2,OR(TH!L151="1111",TH!M151="1111")),TH!D151,""),"")</f>
        <v/>
      </c>
      <c r="B151" s="13">
        <f t="shared" si="6"/>
        <v>11</v>
      </c>
      <c r="C151" s="112">
        <f t="shared" si="7"/>
        <v>41230</v>
      </c>
      <c r="D151" s="112" t="s">
        <v>435</v>
      </c>
      <c r="E151" s="107">
        <v>41230</v>
      </c>
      <c r="F151" s="110" t="s">
        <v>319</v>
      </c>
      <c r="G151" s="395" t="s">
        <v>374</v>
      </c>
      <c r="H151" s="5" t="s">
        <v>317</v>
      </c>
      <c r="I151" s="132"/>
      <c r="J151" s="132"/>
      <c r="K151" s="14">
        <v>1726515</v>
      </c>
      <c r="L151" s="115" t="s">
        <v>9</v>
      </c>
      <c r="M151" s="115" t="s">
        <v>8</v>
      </c>
      <c r="N151" s="22" t="str">
        <f>IF(AND('331-CT'!$E$7=TH!H151,OR(L151="331",M151="331")),"331",IF(AND(OR(L151="131",M151="131"),H151='131-CT'!$E$7),"131",""))</f>
        <v>331</v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/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387"/>
      <c r="AA151" s="123"/>
      <c r="AB151" s="123"/>
      <c r="AC151" s="123"/>
    </row>
    <row r="152" spans="1:29" s="303" customFormat="1" ht="15.75" customHeight="1">
      <c r="A152" s="388" t="str">
        <f>IF(B152&lt;&gt;"",IF(AND(B152&gt;=_TM1,B152&lt;=_TM2,OR(TH!L152="1111",TH!M152="1111")),TH!D152,""),"")</f>
        <v>C16</v>
      </c>
      <c r="B152" s="13">
        <f t="shared" si="6"/>
        <v>11</v>
      </c>
      <c r="C152" s="112">
        <f t="shared" si="7"/>
        <v>41230</v>
      </c>
      <c r="D152" s="112" t="s">
        <v>436</v>
      </c>
      <c r="E152" s="107">
        <v>41230</v>
      </c>
      <c r="F152" s="110" t="s">
        <v>411</v>
      </c>
      <c r="G152" s="395" t="s">
        <v>374</v>
      </c>
      <c r="H152" s="5" t="s">
        <v>317</v>
      </c>
      <c r="I152" s="132"/>
      <c r="J152" s="132"/>
      <c r="K152" s="14">
        <v>18991665</v>
      </c>
      <c r="L152" s="115" t="s">
        <v>8</v>
      </c>
      <c r="M152" s="115" t="s">
        <v>46</v>
      </c>
      <c r="N152" s="22" t="str">
        <f>IF(AND('331-CT'!$E$7=TH!H152,OR(L152="331",M152="331")),"331",IF(AND(OR(L152="131",M152="131"),H152='131-CT'!$E$7),"131",""))</f>
        <v>331</v>
      </c>
      <c r="O152" s="22" t="str">
        <f>IF(AND($B152&gt;='111'!$N$11,$B152&lt;='111'!$O$11,OR($L152=$O$7,$M152=$O$7)),"x","")</f>
        <v>x</v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387"/>
      <c r="AB152" s="123"/>
      <c r="AC152" s="123"/>
    </row>
    <row r="153" spans="1:29" s="303" customFormat="1" ht="15.75" customHeight="1">
      <c r="A153" s="388" t="str">
        <f>IF(B153&lt;&gt;"",IF(AND(B153&gt;=_TM1,B153&lt;=_TM2,OR(TH!L153="1111",TH!M153="1111")),TH!D153,""),"")</f>
        <v>C17</v>
      </c>
      <c r="B153" s="13">
        <f t="shared" si="6"/>
        <v>11</v>
      </c>
      <c r="C153" s="112">
        <f t="shared" si="7"/>
        <v>41233</v>
      </c>
      <c r="D153" s="112" t="s">
        <v>437</v>
      </c>
      <c r="E153" s="107">
        <v>41233</v>
      </c>
      <c r="F153" s="113" t="s">
        <v>310</v>
      </c>
      <c r="G153" s="395" t="s">
        <v>371</v>
      </c>
      <c r="H153" s="122" t="s">
        <v>309</v>
      </c>
      <c r="I153" s="132"/>
      <c r="J153" s="132"/>
      <c r="K153" s="14">
        <f>72727+181818</f>
        <v>254545</v>
      </c>
      <c r="L153" s="115" t="s">
        <v>82</v>
      </c>
      <c r="M153" s="115" t="s">
        <v>46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>x</v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387"/>
      <c r="AB153" s="123"/>
      <c r="AC153" s="123"/>
    </row>
    <row r="154" spans="1:29" s="303" customFormat="1" ht="15.75" customHeight="1">
      <c r="A154" s="388" t="str">
        <f>IF(B154&lt;&gt;"",IF(AND(B154&gt;=_TM1,B154&lt;=_TM2,OR(TH!L154="1111",TH!M154="1111")),TH!D154,""),"")</f>
        <v>C17</v>
      </c>
      <c r="B154" s="13">
        <f t="shared" si="6"/>
        <v>11</v>
      </c>
      <c r="C154" s="112">
        <f t="shared" si="7"/>
        <v>41233</v>
      </c>
      <c r="D154" s="112" t="s">
        <v>437</v>
      </c>
      <c r="E154" s="107">
        <v>41233</v>
      </c>
      <c r="F154" s="113" t="s">
        <v>311</v>
      </c>
      <c r="G154" s="395" t="s">
        <v>371</v>
      </c>
      <c r="H154" s="122" t="s">
        <v>309</v>
      </c>
      <c r="I154" s="132"/>
      <c r="J154" s="132"/>
      <c r="K154" s="14">
        <f>7273+18182</f>
        <v>25455</v>
      </c>
      <c r="L154" s="115" t="s">
        <v>9</v>
      </c>
      <c r="M154" s="115" t="s">
        <v>46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>x</v>
      </c>
      <c r="P154" s="22" t="str">
        <f>IF(AND($L154=$O$7,$B154&lt;'111'!$N$11),"x","")</f>
        <v/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387"/>
      <c r="AB154" s="123"/>
      <c r="AC154" s="123"/>
    </row>
    <row r="155" spans="1:29" s="303" customFormat="1" ht="15.75" customHeight="1">
      <c r="A155" s="388" t="str">
        <f>IF(B155&lt;&gt;"",IF(AND(B155&gt;=_TM1,B155&lt;=_TM2,OR(TH!L155="1111",TH!M155="1111")),TH!D155,""),"")</f>
        <v/>
      </c>
      <c r="B155" s="13">
        <f t="shared" si="6"/>
        <v>11</v>
      </c>
      <c r="C155" s="112">
        <f t="shared" si="7"/>
        <v>41235</v>
      </c>
      <c r="D155" s="112" t="s">
        <v>438</v>
      </c>
      <c r="E155" s="107">
        <v>41235</v>
      </c>
      <c r="F155" s="110" t="s">
        <v>377</v>
      </c>
      <c r="G155" s="395" t="s">
        <v>376</v>
      </c>
      <c r="H155" s="5" t="s">
        <v>317</v>
      </c>
      <c r="I155" s="132">
        <v>800</v>
      </c>
      <c r="J155" s="132">
        <v>11693</v>
      </c>
      <c r="K155" s="14">
        <f>ROUND(I155*J155,0)</f>
        <v>9354400</v>
      </c>
      <c r="L155" s="115" t="s">
        <v>306</v>
      </c>
      <c r="M155" s="115" t="s">
        <v>8</v>
      </c>
      <c r="N155" s="22" t="str">
        <f>IF(AND('331-CT'!$E$7=TH!H155,OR(L155="331",M155="331")),"331",IF(AND(OR(L155="131",M155="131"),H155='131-CT'!$E$7),"131",""))</f>
        <v>331</v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387"/>
      <c r="AA155" s="123"/>
      <c r="AB155" s="123"/>
      <c r="AC155" s="123"/>
    </row>
    <row r="156" spans="1:29" s="303" customFormat="1" ht="15.75" customHeight="1">
      <c r="A156" s="388" t="str">
        <f>IF(B156&lt;&gt;"",IF(AND(B156&gt;=_TM1,B156&lt;=_TM2,OR(TH!L156="1111",TH!M156="1111")),TH!D156,""),"")</f>
        <v/>
      </c>
      <c r="B156" s="13">
        <f t="shared" si="6"/>
        <v>11</v>
      </c>
      <c r="C156" s="112">
        <f t="shared" si="7"/>
        <v>41235</v>
      </c>
      <c r="D156" s="112" t="s">
        <v>438</v>
      </c>
      <c r="E156" s="107">
        <v>41235</v>
      </c>
      <c r="F156" s="110" t="s">
        <v>378</v>
      </c>
      <c r="G156" s="395" t="s">
        <v>376</v>
      </c>
      <c r="H156" s="5" t="s">
        <v>317</v>
      </c>
      <c r="I156" s="132">
        <v>320</v>
      </c>
      <c r="J156" s="132">
        <v>19110</v>
      </c>
      <c r="K156" s="14">
        <f>ROUND(I156*J156,0)</f>
        <v>6115200</v>
      </c>
      <c r="L156" s="115" t="s">
        <v>306</v>
      </c>
      <c r="M156" s="115" t="s">
        <v>8</v>
      </c>
      <c r="N156" s="22" t="str">
        <f>IF(AND('331-CT'!$E$7=TH!H156,OR(L156="331",M156="331")),"331",IF(AND(OR(L156="131",M156="131"),H156='131-CT'!$E$7),"131",""))</f>
        <v>331</v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387"/>
      <c r="AA156" s="123"/>
      <c r="AB156" s="123"/>
      <c r="AC156" s="123"/>
    </row>
    <row r="157" spans="1:29" s="303" customFormat="1" ht="15.75" customHeight="1">
      <c r="A157" s="388" t="str">
        <f>IF(B157&lt;&gt;"",IF(AND(B157&gt;=_TM1,B157&lt;=_TM2,OR(TH!L157="1111",TH!M157="1111")),TH!D157,""),"")</f>
        <v/>
      </c>
      <c r="B157" s="13">
        <f t="shared" si="6"/>
        <v>11</v>
      </c>
      <c r="C157" s="112">
        <f t="shared" si="7"/>
        <v>41235</v>
      </c>
      <c r="D157" s="112" t="s">
        <v>438</v>
      </c>
      <c r="E157" s="107">
        <v>41235</v>
      </c>
      <c r="F157" s="110" t="s">
        <v>319</v>
      </c>
      <c r="G157" s="395" t="s">
        <v>376</v>
      </c>
      <c r="H157" s="5" t="s">
        <v>317</v>
      </c>
      <c r="I157" s="132"/>
      <c r="J157" s="132"/>
      <c r="K157" s="14">
        <v>1546960</v>
      </c>
      <c r="L157" s="115" t="s">
        <v>9</v>
      </c>
      <c r="M157" s="115" t="s">
        <v>8</v>
      </c>
      <c r="N157" s="22" t="str">
        <f>IF(AND('331-CT'!$E$7=TH!H157,OR(L157="331",M157="331")),"331",IF(AND(OR(L157="131",M157="131"),H157='131-CT'!$E$7),"131",""))</f>
        <v>331</v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387"/>
      <c r="AA157" s="123"/>
      <c r="AB157" s="123"/>
      <c r="AC157" s="123"/>
    </row>
    <row r="158" spans="1:29" s="303" customFormat="1" ht="15.75" customHeight="1">
      <c r="A158" s="388" t="str">
        <f>IF(B158&lt;&gt;"",IF(AND(B158&gt;=_TM1,B158&lt;=_TM2,OR(TH!L158="1111",TH!M158="1111")),TH!D158,""),"")</f>
        <v>C18</v>
      </c>
      <c r="B158" s="13">
        <f t="shared" si="6"/>
        <v>11</v>
      </c>
      <c r="C158" s="112">
        <f t="shared" si="7"/>
        <v>41235</v>
      </c>
      <c r="D158" s="112" t="s">
        <v>439</v>
      </c>
      <c r="E158" s="107">
        <v>41235</v>
      </c>
      <c r="F158" s="110" t="s">
        <v>411</v>
      </c>
      <c r="G158" s="395" t="s">
        <v>376</v>
      </c>
      <c r="H158" s="5" t="s">
        <v>317</v>
      </c>
      <c r="I158" s="132"/>
      <c r="J158" s="132"/>
      <c r="K158" s="14">
        <v>17016560</v>
      </c>
      <c r="L158" s="115" t="s">
        <v>8</v>
      </c>
      <c r="M158" s="115" t="s">
        <v>46</v>
      </c>
      <c r="N158" s="22" t="str">
        <f>IF(AND('331-CT'!$E$7=TH!H158,OR(L158="331",M158="331")),"331",IF(AND(OR(L158="131",M158="131"),H158='131-CT'!$E$7),"131",""))</f>
        <v>331</v>
      </c>
      <c r="O158" s="22" t="str">
        <f>IF(AND($B158&gt;='111'!$N$11,$B158&lt;='111'!$O$11,OR($L158=$O$7,$M158=$O$7)),"x","")</f>
        <v>x</v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387"/>
      <c r="AB158" s="123"/>
      <c r="AC158" s="123"/>
    </row>
    <row r="159" spans="1:29" s="303" customFormat="1" ht="15.75" customHeight="1">
      <c r="A159" s="388" t="str">
        <f>IF(B159&lt;&gt;"",IF(AND(B159&gt;=_TM1,B159&lt;=_TM2,OR(TH!L159="1111",TH!M159="1111")),TH!D159,""),"")</f>
        <v>T11</v>
      </c>
      <c r="B159" s="13">
        <f t="shared" si="6"/>
        <v>11</v>
      </c>
      <c r="C159" s="112">
        <f t="shared" si="7"/>
        <v>41236</v>
      </c>
      <c r="D159" s="107" t="s">
        <v>543</v>
      </c>
      <c r="E159" s="107">
        <v>41236</v>
      </c>
      <c r="F159" s="110" t="s">
        <v>403</v>
      </c>
      <c r="G159" s="395" t="s">
        <v>305</v>
      </c>
      <c r="H159" s="114" t="s">
        <v>408</v>
      </c>
      <c r="I159" s="132"/>
      <c r="J159" s="132"/>
      <c r="K159" s="306">
        <v>7500000</v>
      </c>
      <c r="L159" s="307" t="s">
        <v>46</v>
      </c>
      <c r="M159" s="307" t="s">
        <v>24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>x</v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>x</v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387"/>
    </row>
    <row r="160" spans="1:29" s="303" customFormat="1" ht="15.75" customHeight="1">
      <c r="A160" s="388" t="str">
        <f>IF(B160&lt;&gt;"",IF(AND(B160&gt;=_TM1,B160&lt;=_TM2,OR(TH!L160="1111",TH!M160="1111")),TH!D160,""),"")</f>
        <v/>
      </c>
      <c r="B160" s="13">
        <f t="shared" si="6"/>
        <v>11</v>
      </c>
      <c r="C160" s="112">
        <f t="shared" si="7"/>
        <v>41236</v>
      </c>
      <c r="D160" s="107" t="s">
        <v>530</v>
      </c>
      <c r="E160" s="112">
        <v>41236</v>
      </c>
      <c r="F160" s="113" t="s">
        <v>470</v>
      </c>
      <c r="G160" s="396" t="s">
        <v>493</v>
      </c>
      <c r="H160" s="114" t="s">
        <v>406</v>
      </c>
      <c r="I160" s="132">
        <v>1110</v>
      </c>
      <c r="J160" s="132">
        <v>5150</v>
      </c>
      <c r="K160" s="306">
        <f>ROUND(I160*J160,0)</f>
        <v>5716500</v>
      </c>
      <c r="L160" s="307" t="s">
        <v>241</v>
      </c>
      <c r="M160" s="307" t="s">
        <v>158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387"/>
      <c r="AB160" s="123"/>
      <c r="AC160" s="123"/>
    </row>
    <row r="161" spans="1:29" s="303" customFormat="1" ht="15.75" customHeight="1">
      <c r="A161" s="388" t="str">
        <f>IF(B161&lt;&gt;"",IF(AND(B161&gt;=_TM1,B161&lt;=_TM2,OR(TH!L161="1111",TH!M161="1111")),TH!D161,""),"")</f>
        <v/>
      </c>
      <c r="B161" s="13">
        <f t="shared" si="6"/>
        <v>11</v>
      </c>
      <c r="C161" s="112">
        <f t="shared" si="7"/>
        <v>41236</v>
      </c>
      <c r="D161" s="107" t="s">
        <v>530</v>
      </c>
      <c r="E161" s="112">
        <v>41236</v>
      </c>
      <c r="F161" s="113" t="s">
        <v>469</v>
      </c>
      <c r="G161" s="396" t="s">
        <v>493</v>
      </c>
      <c r="H161" s="114" t="s">
        <v>406</v>
      </c>
      <c r="I161" s="132">
        <v>1110</v>
      </c>
      <c r="J161" s="132">
        <v>7110</v>
      </c>
      <c r="K161" s="306">
        <f>ROUND(I161*J161,0)</f>
        <v>7892100</v>
      </c>
      <c r="L161" s="307" t="s">
        <v>241</v>
      </c>
      <c r="M161" s="307" t="s">
        <v>158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387"/>
      <c r="AB161" s="123"/>
      <c r="AC161" s="123"/>
    </row>
    <row r="162" spans="1:29" s="303" customFormat="1" ht="15.75" customHeight="1">
      <c r="A162" s="388" t="str">
        <f>IF(B162&lt;&gt;"",IF(AND(B162&gt;=_TM1,B162&lt;=_TM2,OR(TH!L162="1111",TH!M162="1111")),TH!D162,""),"")</f>
        <v/>
      </c>
      <c r="B162" s="13">
        <f t="shared" si="6"/>
        <v>11</v>
      </c>
      <c r="C162" s="112">
        <f t="shared" si="7"/>
        <v>41236</v>
      </c>
      <c r="D162" s="107" t="s">
        <v>530</v>
      </c>
      <c r="E162" s="112">
        <v>41236</v>
      </c>
      <c r="F162" s="113" t="s">
        <v>463</v>
      </c>
      <c r="G162" s="396" t="s">
        <v>493</v>
      </c>
      <c r="H162" s="114" t="s">
        <v>406</v>
      </c>
      <c r="I162" s="132"/>
      <c r="J162" s="132"/>
      <c r="K162" s="306">
        <v>1360860</v>
      </c>
      <c r="L162" s="307" t="s">
        <v>241</v>
      </c>
      <c r="M162" s="307" t="s">
        <v>282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387"/>
    </row>
    <row r="163" spans="1:29" s="303" customFormat="1" ht="15.75" customHeight="1">
      <c r="A163" s="388" t="str">
        <f>IF(B163&lt;&gt;"",IF(AND(B163&gt;=_TM1,B163&lt;=_TM2,OR(TH!L163="1111",TH!M163="1111")),TH!D163,""),"")</f>
        <v>T12</v>
      </c>
      <c r="B163" s="13">
        <f t="shared" si="6"/>
        <v>11</v>
      </c>
      <c r="C163" s="112">
        <f t="shared" si="7"/>
        <v>41236</v>
      </c>
      <c r="D163" s="107" t="s">
        <v>544</v>
      </c>
      <c r="E163" s="112">
        <v>41236</v>
      </c>
      <c r="F163" s="113" t="s">
        <v>401</v>
      </c>
      <c r="G163" s="396" t="s">
        <v>493</v>
      </c>
      <c r="H163" s="114" t="s">
        <v>406</v>
      </c>
      <c r="I163" s="132"/>
      <c r="J163" s="132"/>
      <c r="K163" s="306">
        <v>14969460</v>
      </c>
      <c r="L163" s="307" t="s">
        <v>46</v>
      </c>
      <c r="M163" s="307" t="s">
        <v>241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>x</v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387"/>
    </row>
    <row r="164" spans="1:29" s="303" customFormat="1" ht="15.75" customHeight="1">
      <c r="A164" s="388" t="str">
        <f>IF(B164&lt;&gt;"",IF(AND(B164&gt;=_TM1,B164&lt;=_TM2,OR(TH!L164="1111",TH!M164="1111")),TH!D164,""),"")</f>
        <v/>
      </c>
      <c r="B164" s="13">
        <f t="shared" si="6"/>
        <v>11</v>
      </c>
      <c r="C164" s="112">
        <f t="shared" si="7"/>
        <v>41237</v>
      </c>
      <c r="D164" s="112" t="s">
        <v>440</v>
      </c>
      <c r="E164" s="107">
        <v>41237</v>
      </c>
      <c r="F164" s="110" t="s">
        <v>380</v>
      </c>
      <c r="G164" s="395" t="s">
        <v>379</v>
      </c>
      <c r="H164" s="5" t="s">
        <v>317</v>
      </c>
      <c r="I164" s="132">
        <v>150</v>
      </c>
      <c r="J164" s="132">
        <v>10230</v>
      </c>
      <c r="K164" s="14">
        <f>ROUND(I164*J164,0)</f>
        <v>1534500</v>
      </c>
      <c r="L164" s="115" t="s">
        <v>306</v>
      </c>
      <c r="M164" s="115" t="s">
        <v>8</v>
      </c>
      <c r="N164" s="22" t="str">
        <f>IF(AND('331-CT'!$E$7=TH!H164,OR(L164="331",M164="331")),"331",IF(AND(OR(L164="131",M164="131"),H164='131-CT'!$E$7),"131",""))</f>
        <v>331</v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387"/>
      <c r="AA164" s="123"/>
      <c r="AB164" s="123"/>
      <c r="AC164" s="123"/>
    </row>
    <row r="165" spans="1:29" s="303" customFormat="1" ht="15.75" customHeight="1">
      <c r="A165" s="388" t="str">
        <f>IF(B165&lt;&gt;"",IF(AND(B165&gt;=_TM1,B165&lt;=_TM2,OR(TH!L165="1111",TH!M165="1111")),TH!D165,""),"")</f>
        <v/>
      </c>
      <c r="B165" s="13">
        <f t="shared" si="6"/>
        <v>11</v>
      </c>
      <c r="C165" s="112">
        <f t="shared" si="7"/>
        <v>41237</v>
      </c>
      <c r="D165" s="112" t="s">
        <v>440</v>
      </c>
      <c r="E165" s="107">
        <v>41237</v>
      </c>
      <c r="F165" s="110" t="s">
        <v>381</v>
      </c>
      <c r="G165" s="395" t="s">
        <v>379</v>
      </c>
      <c r="H165" s="5" t="s">
        <v>317</v>
      </c>
      <c r="I165" s="132">
        <v>502</v>
      </c>
      <c r="J165" s="132">
        <v>11186</v>
      </c>
      <c r="K165" s="14">
        <f>ROUND(I165*J165,0)</f>
        <v>5615372</v>
      </c>
      <c r="L165" s="115" t="s">
        <v>306</v>
      </c>
      <c r="M165" s="115" t="s">
        <v>8</v>
      </c>
      <c r="N165" s="22" t="str">
        <f>IF(AND('331-CT'!$E$7=TH!H165,OR(L165="331",M165="331")),"331",IF(AND(OR(L165="131",M165="131"),H165='131-CT'!$E$7),"131",""))</f>
        <v>331</v>
      </c>
      <c r="O165" s="22" t="str">
        <f>IF(AND($B165&gt;='111'!$N$11,$B165&lt;='111'!$O$11,OR($L165=$O$7,$M165=$O$7)),"x","")</f>
        <v/>
      </c>
      <c r="P165" s="22" t="str">
        <f>IF(AND($L165=$O$7,$B165&lt;'111'!$N$11),"x","")</f>
        <v/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387"/>
      <c r="AA165" s="123"/>
      <c r="AB165" s="123"/>
      <c r="AC165" s="123"/>
    </row>
    <row r="166" spans="1:29" s="303" customFormat="1" ht="15.75" customHeight="1">
      <c r="A166" s="388" t="str">
        <f>IF(B166&lt;&gt;"",IF(AND(B166&gt;=_TM1,B166&lt;=_TM2,OR(TH!L166="1111",TH!M166="1111")),TH!D166,""),"")</f>
        <v/>
      </c>
      <c r="B166" s="13">
        <f t="shared" si="6"/>
        <v>11</v>
      </c>
      <c r="C166" s="112">
        <f t="shared" si="7"/>
        <v>41237</v>
      </c>
      <c r="D166" s="112" t="s">
        <v>440</v>
      </c>
      <c r="E166" s="107">
        <v>41237</v>
      </c>
      <c r="F166" s="110" t="s">
        <v>319</v>
      </c>
      <c r="G166" s="395" t="s">
        <v>379</v>
      </c>
      <c r="H166" s="5" t="s">
        <v>317</v>
      </c>
      <c r="I166" s="132"/>
      <c r="J166" s="132"/>
      <c r="K166" s="14">
        <v>714987</v>
      </c>
      <c r="L166" s="115" t="s">
        <v>9</v>
      </c>
      <c r="M166" s="115" t="s">
        <v>8</v>
      </c>
      <c r="N166" s="22" t="str">
        <f>IF(AND('331-CT'!$E$7=TH!H166,OR(L166="331",M166="331")),"331",IF(AND(OR(L166="131",M166="131"),H166='131-CT'!$E$7),"131",""))</f>
        <v>331</v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387"/>
      <c r="AA166" s="123"/>
      <c r="AB166" s="123"/>
      <c r="AC166" s="123"/>
    </row>
    <row r="167" spans="1:29" s="123" customFormat="1" ht="15.75" customHeight="1">
      <c r="A167" s="388" t="str">
        <f>IF(B167&lt;&gt;"",IF(AND(B167&gt;=_TM1,B167&lt;=_TM2,OR(TH!L167="1111",TH!M167="1111")),TH!D167,""),"")</f>
        <v>C19</v>
      </c>
      <c r="B167" s="13">
        <f t="shared" si="6"/>
        <v>11</v>
      </c>
      <c r="C167" s="112">
        <f t="shared" si="7"/>
        <v>41237</v>
      </c>
      <c r="D167" s="112" t="s">
        <v>441</v>
      </c>
      <c r="E167" s="107">
        <v>41237</v>
      </c>
      <c r="F167" s="110" t="s">
        <v>411</v>
      </c>
      <c r="G167" s="395" t="s">
        <v>379</v>
      </c>
      <c r="H167" s="5" t="s">
        <v>317</v>
      </c>
      <c r="I167" s="132"/>
      <c r="J167" s="132"/>
      <c r="K167" s="14">
        <v>7864859</v>
      </c>
      <c r="L167" s="115" t="s">
        <v>8</v>
      </c>
      <c r="M167" s="115" t="s">
        <v>46</v>
      </c>
      <c r="N167" s="22" t="str">
        <f>IF(AND('331-CT'!$E$7=TH!H167,OR(L167="331",M167="331")),"331",IF(AND(OR(L167="131",M167="131"),H167='131-CT'!$E$7),"131",""))</f>
        <v>331</v>
      </c>
      <c r="O167" s="22" t="str">
        <f>IF(AND($B167&gt;='111'!$N$11,$B167&lt;='111'!$O$11,OR($L167=$O$7,$M167=$O$7)),"x","")</f>
        <v>x</v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387"/>
      <c r="AA167" s="303"/>
    </row>
    <row r="168" spans="1:29" s="123" customFormat="1" ht="15.75" customHeight="1">
      <c r="A168" s="388" t="str">
        <f>IF(B168&lt;&gt;"",IF(AND(B168&gt;=_TM1,B168&lt;=_TM2,OR(TH!L168="1111",TH!M168="1111")),TH!D168,""),"")</f>
        <v>C20</v>
      </c>
      <c r="B168" s="13">
        <f t="shared" si="6"/>
        <v>11</v>
      </c>
      <c r="C168" s="112">
        <f t="shared" si="7"/>
        <v>41237</v>
      </c>
      <c r="D168" s="112" t="s">
        <v>442</v>
      </c>
      <c r="E168" s="107">
        <v>41237</v>
      </c>
      <c r="F168" s="113" t="s">
        <v>331</v>
      </c>
      <c r="G168" s="395" t="s">
        <v>382</v>
      </c>
      <c r="H168" s="5" t="s">
        <v>329</v>
      </c>
      <c r="I168" s="132">
        <v>100</v>
      </c>
      <c r="J168" s="132">
        <v>25200</v>
      </c>
      <c r="K168" s="14">
        <f>ROUND(I168*J168,0)</f>
        <v>2520000</v>
      </c>
      <c r="L168" s="115" t="s">
        <v>154</v>
      </c>
      <c r="M168" s="115" t="s">
        <v>46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>x</v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387"/>
    </row>
    <row r="169" spans="1:29" s="123" customFormat="1" ht="15.75" customHeight="1">
      <c r="A169" s="388" t="str">
        <f>IF(B169&lt;&gt;"",IF(AND(B169&gt;=_TM1,B169&lt;=_TM2,OR(TH!L169="1111",TH!M169="1111")),TH!D169,""),"")</f>
        <v>C20</v>
      </c>
      <c r="B169" s="13">
        <f t="shared" si="6"/>
        <v>11</v>
      </c>
      <c r="C169" s="112">
        <f t="shared" si="7"/>
        <v>41237</v>
      </c>
      <c r="D169" s="112" t="s">
        <v>442</v>
      </c>
      <c r="E169" s="107">
        <v>41237</v>
      </c>
      <c r="F169" s="113" t="s">
        <v>332</v>
      </c>
      <c r="G169" s="395" t="s">
        <v>382</v>
      </c>
      <c r="H169" s="5" t="s">
        <v>329</v>
      </c>
      <c r="I169" s="132"/>
      <c r="J169" s="132"/>
      <c r="K169" s="306">
        <v>252000</v>
      </c>
      <c r="L169" s="115" t="s">
        <v>9</v>
      </c>
      <c r="M169" s="115" t="s">
        <v>46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>x</v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387"/>
      <c r="AA169" s="303"/>
      <c r="AB169" s="303"/>
      <c r="AC169" s="303"/>
    </row>
    <row r="170" spans="1:29" s="123" customFormat="1" ht="15.75" customHeight="1">
      <c r="A170" s="388" t="str">
        <f>IF(B170&lt;&gt;"",IF(AND(B170&gt;=_TM1,B170&lt;=_TM2,OR(TH!L170="1111",TH!M170="1111")),TH!D170,""),"")</f>
        <v/>
      </c>
      <c r="B170" s="13">
        <f t="shared" si="6"/>
        <v>11</v>
      </c>
      <c r="C170" s="112">
        <f t="shared" si="7"/>
        <v>41238</v>
      </c>
      <c r="D170" s="107" t="s">
        <v>398</v>
      </c>
      <c r="E170" s="107">
        <v>41238</v>
      </c>
      <c r="F170" s="110" t="s">
        <v>405</v>
      </c>
      <c r="G170" s="395" t="s">
        <v>305</v>
      </c>
      <c r="H170" s="114"/>
      <c r="I170" s="132"/>
      <c r="J170" s="132"/>
      <c r="K170" s="306">
        <v>15290</v>
      </c>
      <c r="L170" s="307" t="s">
        <v>24</v>
      </c>
      <c r="M170" s="307" t="s">
        <v>39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>x</v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387"/>
      <c r="AA170" s="303"/>
      <c r="AB170" s="303"/>
      <c r="AC170" s="303"/>
    </row>
    <row r="171" spans="1:29" s="123" customFormat="1" ht="15.75" customHeight="1">
      <c r="A171" s="388" t="str">
        <f>IF(B171&lt;&gt;"",IF(AND(B171&gt;=_TM1,B171&lt;=_TM2,OR(TH!L171="1111",TH!M171="1111")),TH!D171,""),"")</f>
        <v/>
      </c>
      <c r="B171" s="13">
        <f t="shared" si="6"/>
        <v>11</v>
      </c>
      <c r="C171" s="112">
        <f t="shared" si="7"/>
        <v>41238</v>
      </c>
      <c r="D171" s="107" t="s">
        <v>410</v>
      </c>
      <c r="E171" s="107">
        <v>41238</v>
      </c>
      <c r="F171" s="110" t="s">
        <v>400</v>
      </c>
      <c r="G171" s="395" t="s">
        <v>305</v>
      </c>
      <c r="H171" s="114"/>
      <c r="I171" s="132"/>
      <c r="J171" s="132"/>
      <c r="K171" s="306">
        <v>11000</v>
      </c>
      <c r="L171" s="307" t="s">
        <v>82</v>
      </c>
      <c r="M171" s="307" t="s">
        <v>24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>x</v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387"/>
      <c r="AA171" s="303"/>
      <c r="AB171" s="303"/>
      <c r="AC171" s="303"/>
    </row>
    <row r="172" spans="1:29" s="123" customFormat="1" ht="15.75" customHeight="1">
      <c r="A172" s="388" t="str">
        <f>IF(B172&lt;&gt;"",IF(AND(B172&gt;=_TM1,B172&lt;=_TM2,OR(TH!L172="1111",TH!M172="1111")),TH!D172,""),"")</f>
        <v/>
      </c>
      <c r="B172" s="13">
        <f t="shared" si="6"/>
        <v>11</v>
      </c>
      <c r="C172" s="112">
        <f t="shared" si="7"/>
        <v>41240</v>
      </c>
      <c r="D172" s="107" t="s">
        <v>531</v>
      </c>
      <c r="E172" s="112">
        <v>41240</v>
      </c>
      <c r="F172" s="113" t="s">
        <v>494</v>
      </c>
      <c r="G172" s="396" t="s">
        <v>495</v>
      </c>
      <c r="H172" s="114" t="s">
        <v>496</v>
      </c>
      <c r="I172" s="132">
        <v>800</v>
      </c>
      <c r="J172" s="132">
        <v>5320</v>
      </c>
      <c r="K172" s="306">
        <f>ROUND(I172*J172,0)</f>
        <v>4256000</v>
      </c>
      <c r="L172" s="307" t="s">
        <v>241</v>
      </c>
      <c r="M172" s="307" t="s">
        <v>158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387"/>
      <c r="AA172" s="303"/>
      <c r="AB172" s="303"/>
      <c r="AC172" s="303"/>
    </row>
    <row r="173" spans="1:29" s="123" customFormat="1" ht="15.75" customHeight="1">
      <c r="A173" s="388" t="str">
        <f>IF(B173&lt;&gt;"",IF(AND(B173&gt;=_TM1,B173&lt;=_TM2,OR(TH!L173="1111",TH!M173="1111")),TH!D173,""),"")</f>
        <v/>
      </c>
      <c r="B173" s="13">
        <f t="shared" si="6"/>
        <v>11</v>
      </c>
      <c r="C173" s="112">
        <f t="shared" si="7"/>
        <v>41240</v>
      </c>
      <c r="D173" s="107" t="s">
        <v>531</v>
      </c>
      <c r="E173" s="112">
        <v>41240</v>
      </c>
      <c r="F173" s="113" t="s">
        <v>497</v>
      </c>
      <c r="G173" s="396" t="s">
        <v>495</v>
      </c>
      <c r="H173" s="114" t="s">
        <v>496</v>
      </c>
      <c r="I173" s="132">
        <v>300</v>
      </c>
      <c r="J173" s="132">
        <v>6340</v>
      </c>
      <c r="K173" s="306">
        <f>ROUND(I173*J173,0)</f>
        <v>1902000</v>
      </c>
      <c r="L173" s="307" t="s">
        <v>241</v>
      </c>
      <c r="M173" s="307" t="s">
        <v>158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/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387"/>
      <c r="AA173" s="303"/>
    </row>
    <row r="174" spans="1:29" s="303" customFormat="1" ht="15.75" customHeight="1">
      <c r="A174" s="388" t="str">
        <f>IF(B174&lt;&gt;"",IF(AND(B174&gt;=_TM1,B174&lt;=_TM2,OR(TH!L174="1111",TH!M174="1111")),TH!D174,""),"")</f>
        <v/>
      </c>
      <c r="B174" s="13">
        <f t="shared" si="6"/>
        <v>11</v>
      </c>
      <c r="C174" s="112">
        <f t="shared" si="7"/>
        <v>41240</v>
      </c>
      <c r="D174" s="107" t="s">
        <v>531</v>
      </c>
      <c r="E174" s="112">
        <v>41240</v>
      </c>
      <c r="F174" s="113" t="s">
        <v>498</v>
      </c>
      <c r="G174" s="396" t="s">
        <v>495</v>
      </c>
      <c r="H174" s="114" t="s">
        <v>496</v>
      </c>
      <c r="I174" s="132">
        <v>350</v>
      </c>
      <c r="J174" s="132">
        <v>6600</v>
      </c>
      <c r="K174" s="306">
        <f>ROUND(I174*J174,0)</f>
        <v>2310000</v>
      </c>
      <c r="L174" s="307" t="s">
        <v>241</v>
      </c>
      <c r="M174" s="307" t="s">
        <v>158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387"/>
      <c r="AB174" s="123"/>
      <c r="AC174" s="123"/>
    </row>
    <row r="175" spans="1:29" s="303" customFormat="1" ht="15.75" customHeight="1">
      <c r="A175" s="388" t="str">
        <f>IF(B175&lt;&gt;"",IF(AND(B175&gt;=_TM1,B175&lt;=_TM2,OR(TH!L175="1111",TH!M175="1111")),TH!D175,""),"")</f>
        <v/>
      </c>
      <c r="B175" s="13">
        <f t="shared" si="6"/>
        <v>11</v>
      </c>
      <c r="C175" s="112">
        <f t="shared" si="7"/>
        <v>41240</v>
      </c>
      <c r="D175" s="107" t="s">
        <v>531</v>
      </c>
      <c r="E175" s="112">
        <v>41240</v>
      </c>
      <c r="F175" s="113" t="s">
        <v>499</v>
      </c>
      <c r="G175" s="396" t="s">
        <v>495</v>
      </c>
      <c r="H175" s="114" t="s">
        <v>496</v>
      </c>
      <c r="I175" s="132">
        <v>500</v>
      </c>
      <c r="J175" s="132">
        <v>7420</v>
      </c>
      <c r="K175" s="306">
        <f>ROUND(I175*J175,0)</f>
        <v>3710000</v>
      </c>
      <c r="L175" s="307" t="s">
        <v>241</v>
      </c>
      <c r="M175" s="307" t="s">
        <v>158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/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387"/>
      <c r="AB175" s="123"/>
      <c r="AC175" s="123"/>
    </row>
    <row r="176" spans="1:29" s="303" customFormat="1" ht="15.75" customHeight="1">
      <c r="A176" s="388" t="str">
        <f>IF(B176&lt;&gt;"",IF(AND(B176&gt;=_TM1,B176&lt;=_TM2,OR(TH!L176="1111",TH!M176="1111")),TH!D176,""),"")</f>
        <v/>
      </c>
      <c r="B176" s="13">
        <f t="shared" si="6"/>
        <v>11</v>
      </c>
      <c r="C176" s="112">
        <f t="shared" si="7"/>
        <v>41240</v>
      </c>
      <c r="D176" s="107" t="s">
        <v>531</v>
      </c>
      <c r="E176" s="112">
        <v>41240</v>
      </c>
      <c r="F176" s="113" t="s">
        <v>463</v>
      </c>
      <c r="G176" s="396" t="s">
        <v>495</v>
      </c>
      <c r="H176" s="114" t="s">
        <v>496</v>
      </c>
      <c r="I176" s="132"/>
      <c r="J176" s="132"/>
      <c r="K176" s="306">
        <v>1217800</v>
      </c>
      <c r="L176" s="307" t="s">
        <v>241</v>
      </c>
      <c r="M176" s="307" t="s">
        <v>282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387"/>
      <c r="AB176" s="123"/>
      <c r="AC176" s="123"/>
    </row>
    <row r="177" spans="1:29" s="303" customFormat="1" ht="15.75" customHeight="1">
      <c r="A177" s="388" t="str">
        <f>IF(B177&lt;&gt;"",IF(AND(B177&gt;=_TM1,B177&lt;=_TM2,OR(TH!L177="1111",TH!M177="1111")),TH!D177,""),"")</f>
        <v>T13</v>
      </c>
      <c r="B177" s="13">
        <f t="shared" si="6"/>
        <v>11</v>
      </c>
      <c r="C177" s="112">
        <f t="shared" si="7"/>
        <v>41240</v>
      </c>
      <c r="D177" s="107" t="s">
        <v>545</v>
      </c>
      <c r="E177" s="112">
        <v>41240</v>
      </c>
      <c r="F177" s="113" t="s">
        <v>401</v>
      </c>
      <c r="G177" s="396" t="s">
        <v>495</v>
      </c>
      <c r="H177" s="114" t="s">
        <v>496</v>
      </c>
      <c r="I177" s="132"/>
      <c r="J177" s="132"/>
      <c r="K177" s="306">
        <v>13395800</v>
      </c>
      <c r="L177" s="307" t="s">
        <v>46</v>
      </c>
      <c r="M177" s="307" t="s">
        <v>241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>x</v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387"/>
      <c r="AB177" s="123"/>
      <c r="AC177" s="123"/>
    </row>
    <row r="178" spans="1:29" s="303" customFormat="1" ht="15.75" customHeight="1">
      <c r="A178" s="388" t="str">
        <f>IF(B178&lt;&gt;"",IF(AND(B178&gt;=_TM1,B178&lt;=_TM2,OR(TH!L178="1111",TH!M178="1111")),TH!D178,""),"")</f>
        <v/>
      </c>
      <c r="B178" s="13">
        <f t="shared" si="6"/>
        <v>11</v>
      </c>
      <c r="C178" s="112">
        <f t="shared" si="7"/>
        <v>41242</v>
      </c>
      <c r="D178" s="107" t="s">
        <v>398</v>
      </c>
      <c r="E178" s="107">
        <v>41242</v>
      </c>
      <c r="F178" s="110" t="s">
        <v>401</v>
      </c>
      <c r="G178" s="395" t="s">
        <v>305</v>
      </c>
      <c r="H178" s="114" t="s">
        <v>477</v>
      </c>
      <c r="I178" s="132"/>
      <c r="J178" s="132"/>
      <c r="K178" s="306">
        <v>8415000</v>
      </c>
      <c r="L178" s="307" t="s">
        <v>24</v>
      </c>
      <c r="M178" s="307" t="s">
        <v>241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>x</v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387"/>
    </row>
    <row r="179" spans="1:29" s="303" customFormat="1" ht="15.75" customHeight="1">
      <c r="A179" s="388" t="str">
        <f>IF(B179&lt;&gt;"",IF(AND(B179&gt;=_TM1,B179&lt;=_TM2,OR(TH!L179="1111",TH!M179="1111")),TH!D179,""),"")</f>
        <v>C21</v>
      </c>
      <c r="B179" s="13">
        <f t="shared" si="6"/>
        <v>11</v>
      </c>
      <c r="C179" s="112">
        <f t="shared" si="7"/>
        <v>41242</v>
      </c>
      <c r="D179" s="112" t="s">
        <v>279</v>
      </c>
      <c r="E179" s="107">
        <v>41242</v>
      </c>
      <c r="F179" s="110" t="s">
        <v>364</v>
      </c>
      <c r="G179" s="395" t="s">
        <v>366</v>
      </c>
      <c r="H179" s="114" t="s">
        <v>363</v>
      </c>
      <c r="I179" s="132"/>
      <c r="J179" s="132"/>
      <c r="K179" s="14">
        <v>3000000</v>
      </c>
      <c r="L179" s="115" t="s">
        <v>82</v>
      </c>
      <c r="M179" s="115" t="s">
        <v>46</v>
      </c>
      <c r="N179" s="22" t="str">
        <f>IF(AND('331-CT'!$E$7=TH!H179,OR(L179="331",M179="331")),"331",IF(AND(OR(L179="131",M179="131"),H179='131-CT'!$E$7),"131",""))</f>
        <v/>
      </c>
      <c r="O179" s="22" t="str">
        <f>IF(AND($B179&gt;='111'!$N$11,$B179&lt;='111'!$O$11,OR($L179=$O$7,$M179=$O$7)),"x","")</f>
        <v>x</v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387"/>
      <c r="AB179" s="123"/>
      <c r="AC179" s="123"/>
    </row>
    <row r="180" spans="1:29" s="303" customFormat="1" ht="15.75" customHeight="1">
      <c r="A180" s="388" t="str">
        <f>IF(B180&lt;&gt;"",IF(AND(B180&gt;=_TM1,B180&lt;=_TM2,OR(TH!L180="1111",TH!M180="1111")),TH!D180,""),"")</f>
        <v>C21</v>
      </c>
      <c r="B180" s="13">
        <f t="shared" si="6"/>
        <v>11</v>
      </c>
      <c r="C180" s="112">
        <f t="shared" si="7"/>
        <v>41242</v>
      </c>
      <c r="D180" s="112" t="s">
        <v>279</v>
      </c>
      <c r="E180" s="107">
        <v>41242</v>
      </c>
      <c r="F180" s="110" t="s">
        <v>365</v>
      </c>
      <c r="G180" s="395" t="s">
        <v>366</v>
      </c>
      <c r="H180" s="114" t="s">
        <v>363</v>
      </c>
      <c r="I180" s="132"/>
      <c r="J180" s="132"/>
      <c r="K180" s="14">
        <v>300000</v>
      </c>
      <c r="L180" s="115" t="s">
        <v>9</v>
      </c>
      <c r="M180" s="115" t="s">
        <v>46</v>
      </c>
      <c r="N180" s="22" t="str">
        <f>IF(AND('331-CT'!$E$7=TH!H180,OR(L180="331",M180="331")),"331",IF(AND(OR(L180="131",M180="131"),H180='131-CT'!$E$7),"131",""))</f>
        <v/>
      </c>
      <c r="O180" s="22" t="str">
        <f>IF(AND($B180&gt;='111'!$N$11,$B180&lt;='111'!$O$11,OR($L180=$O$7,$M180=$O$7)),"x","")</f>
        <v>x</v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387"/>
      <c r="AB180" s="123"/>
      <c r="AC180" s="123"/>
    </row>
    <row r="181" spans="1:29" s="303" customFormat="1" ht="15.75" customHeight="1">
      <c r="A181" s="388" t="str">
        <f>IF(B181&lt;&gt;"",IF(AND(B181&gt;=_TM1,B181&lt;=_TM2,OR(TH!L181="1111",TH!M181="1111")),TH!D181,""),"")</f>
        <v/>
      </c>
      <c r="B181" s="13">
        <f t="shared" si="6"/>
        <v>11</v>
      </c>
      <c r="C181" s="112">
        <f t="shared" si="7"/>
        <v>41243</v>
      </c>
      <c r="D181" s="112" t="s">
        <v>257</v>
      </c>
      <c r="E181" s="112">
        <v>41243</v>
      </c>
      <c r="F181" s="113" t="s">
        <v>723</v>
      </c>
      <c r="G181" s="396"/>
      <c r="H181" s="114"/>
      <c r="I181" s="132"/>
      <c r="J181" s="132"/>
      <c r="K181" s="306">
        <v>9600000</v>
      </c>
      <c r="L181" s="307" t="s">
        <v>82</v>
      </c>
      <c r="M181" s="307" t="s">
        <v>243</v>
      </c>
      <c r="N181" s="22" t="str">
        <f>IF(AND('331-CT'!$E$7=TH!H181,OR(L181="331",M181="331")),"331",IF(AND(OR(L181="131",M181="131"),H181='131-CT'!$E$7),"131",""))</f>
        <v/>
      </c>
      <c r="O181" s="22" t="str">
        <f>IF(AND($B181&gt;='111'!$N$11,$B181&lt;='111'!$O$11,OR($L181=$O$7,$M181=$O$7)),"x","")</f>
        <v/>
      </c>
      <c r="P181" s="22" t="str">
        <f>IF(AND($L181=$O$7,$B181&lt;'111'!$N$11),"x","")</f>
        <v/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387"/>
      <c r="AB181" s="123"/>
      <c r="AC181" s="123"/>
    </row>
    <row r="182" spans="1:29" s="303" customFormat="1" ht="15.75" customHeight="1">
      <c r="A182" s="388" t="str">
        <f>IF(B182&lt;&gt;"",IF(AND(B182&gt;=_TM1,B182&lt;=_TM2,OR(TH!L182="1111",TH!M182="1111")),TH!D182,""),"")</f>
        <v/>
      </c>
      <c r="B182" s="13">
        <f t="shared" si="6"/>
        <v>11</v>
      </c>
      <c r="C182" s="112">
        <f t="shared" si="7"/>
        <v>41243</v>
      </c>
      <c r="D182" s="112" t="s">
        <v>257</v>
      </c>
      <c r="E182" s="112">
        <v>41243</v>
      </c>
      <c r="F182" s="113" t="s">
        <v>722</v>
      </c>
      <c r="G182" s="396"/>
      <c r="H182" s="114"/>
      <c r="I182" s="132"/>
      <c r="J182" s="132"/>
      <c r="K182" s="306">
        <v>5685000</v>
      </c>
      <c r="L182" s="307" t="s">
        <v>154</v>
      </c>
      <c r="M182" s="307" t="s">
        <v>243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/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387"/>
      <c r="AB182" s="123"/>
      <c r="AC182" s="123"/>
    </row>
    <row r="183" spans="1:29" s="303" customFormat="1" ht="15.75" customHeight="1">
      <c r="A183" s="388" t="str">
        <f>IF(B183&lt;&gt;"",IF(AND(B183&gt;=_TM1,B183&lt;=_TM2,OR(TH!L183="1111",TH!M183="1111")),TH!D183,""),"")</f>
        <v>C22</v>
      </c>
      <c r="B183" s="13">
        <f t="shared" si="6"/>
        <v>11</v>
      </c>
      <c r="C183" s="112">
        <f t="shared" si="7"/>
        <v>41243</v>
      </c>
      <c r="D183" s="112" t="s">
        <v>443</v>
      </c>
      <c r="E183" s="112">
        <v>41243</v>
      </c>
      <c r="F183" s="113" t="s">
        <v>726</v>
      </c>
      <c r="G183" s="396"/>
      <c r="H183" s="114" t="s">
        <v>715</v>
      </c>
      <c r="I183" s="132"/>
      <c r="J183" s="132"/>
      <c r="K183" s="306">
        <f>K181+K182</f>
        <v>15285000</v>
      </c>
      <c r="L183" s="307" t="s">
        <v>243</v>
      </c>
      <c r="M183" s="307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>x</v>
      </c>
      <c r="P183" s="22" t="str">
        <f>IF(AND($L183=$O$7,$B183&lt;'111'!$N$11),"x","")</f>
        <v/>
      </c>
      <c r="Q183" s="22" t="str">
        <f>IF(AND($M183=$O$7,$B183&lt;'111'!$N$11),"x","")</f>
        <v/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/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387"/>
      <c r="AB183" s="123"/>
      <c r="AC183" s="123"/>
    </row>
    <row r="184" spans="1:29" s="303" customFormat="1" ht="15.75" customHeight="1">
      <c r="A184" s="388" t="str">
        <f>IF(B184&lt;&gt;"",IF(AND(B184&gt;=_TM1,B184&lt;=_TM2,OR(TH!L184="1111",TH!M184="1111")),TH!D184,""),"")</f>
        <v>C23</v>
      </c>
      <c r="B184" s="13">
        <f t="shared" si="6"/>
        <v>12</v>
      </c>
      <c r="C184" s="112">
        <f t="shared" si="7"/>
        <v>41244</v>
      </c>
      <c r="D184" s="112" t="s">
        <v>445</v>
      </c>
      <c r="E184" s="107">
        <v>41244</v>
      </c>
      <c r="F184" s="110" t="s">
        <v>368</v>
      </c>
      <c r="G184" s="395" t="s">
        <v>367</v>
      </c>
      <c r="H184" s="5" t="s">
        <v>347</v>
      </c>
      <c r="I184" s="132"/>
      <c r="J184" s="132"/>
      <c r="K184" s="14">
        <v>1713000</v>
      </c>
      <c r="L184" s="115" t="s">
        <v>154</v>
      </c>
      <c r="M184" s="115" t="s">
        <v>46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>x</v>
      </c>
      <c r="P184" s="22" t="str">
        <f>IF(AND($L184=$O$7,$B184&lt;'111'!$N$11),"x","")</f>
        <v/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/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387"/>
      <c r="AB184" s="123"/>
      <c r="AC184" s="123"/>
    </row>
    <row r="185" spans="1:29" s="303" customFormat="1" ht="15.75" customHeight="1">
      <c r="A185" s="388" t="str">
        <f>IF(B185&lt;&gt;"",IF(AND(B185&gt;=_TM1,B185&lt;=_TM2,OR(TH!L185="1111",TH!M185="1111")),TH!D185,""),"")</f>
        <v/>
      </c>
      <c r="B185" s="13">
        <f t="shared" si="6"/>
        <v>12</v>
      </c>
      <c r="C185" s="112">
        <f t="shared" si="7"/>
        <v>41246</v>
      </c>
      <c r="D185" s="107" t="s">
        <v>444</v>
      </c>
      <c r="E185" s="107">
        <v>41246</v>
      </c>
      <c r="F185" s="110" t="s">
        <v>391</v>
      </c>
      <c r="G185" s="396" t="s">
        <v>514</v>
      </c>
      <c r="H185" s="5" t="s">
        <v>317</v>
      </c>
      <c r="I185" s="132">
        <v>500</v>
      </c>
      <c r="J185" s="132">
        <v>12194</v>
      </c>
      <c r="K185" s="14">
        <f>ROUND(I185*J185,0)</f>
        <v>6097000</v>
      </c>
      <c r="L185" s="115" t="s">
        <v>306</v>
      </c>
      <c r="M185" s="115" t="s">
        <v>8</v>
      </c>
      <c r="N185" s="22" t="str">
        <f>IF(AND('331-CT'!$E$7=TH!H185,OR(L185="331",M185="331")),"331",IF(AND(OR(L185="131",M185="131"),H185='131-CT'!$E$7),"131",""))</f>
        <v>331</v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387"/>
    </row>
    <row r="186" spans="1:29" s="303" customFormat="1" ht="15.75" customHeight="1">
      <c r="A186" s="388" t="str">
        <f>IF(B186&lt;&gt;"",IF(AND(B186&gt;=_TM1,B186&lt;=_TM2,OR(TH!L186="1111",TH!M186="1111")),TH!D186,""),"")</f>
        <v/>
      </c>
      <c r="B186" s="13">
        <f t="shared" si="6"/>
        <v>12</v>
      </c>
      <c r="C186" s="112">
        <f t="shared" si="7"/>
        <v>41246</v>
      </c>
      <c r="D186" s="107" t="s">
        <v>444</v>
      </c>
      <c r="E186" s="107">
        <v>41246</v>
      </c>
      <c r="F186" s="110" t="s">
        <v>392</v>
      </c>
      <c r="G186" s="396" t="s">
        <v>514</v>
      </c>
      <c r="H186" s="5" t="s">
        <v>317</v>
      </c>
      <c r="I186" s="132">
        <v>750</v>
      </c>
      <c r="J186" s="132">
        <v>9672</v>
      </c>
      <c r="K186" s="14">
        <f>ROUND(I186*J186,0)</f>
        <v>7254000</v>
      </c>
      <c r="L186" s="115" t="s">
        <v>306</v>
      </c>
      <c r="M186" s="115" t="s">
        <v>8</v>
      </c>
      <c r="N186" s="22" t="str">
        <f>IF(AND('331-CT'!$E$7=TH!H186,OR(L186="331",M186="331")),"331",IF(AND(OR(L186="131",M186="131"),H186='131-CT'!$E$7),"131",""))</f>
        <v>331</v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387"/>
    </row>
    <row r="187" spans="1:29" s="303" customFormat="1" ht="15.75" customHeight="1">
      <c r="A187" s="388" t="str">
        <f>IF(B187&lt;&gt;"",IF(AND(B187&gt;=_TM1,B187&lt;=_TM2,OR(TH!L187="1111",TH!M187="1111")),TH!D187,""),"")</f>
        <v/>
      </c>
      <c r="B187" s="13">
        <f t="shared" si="6"/>
        <v>12</v>
      </c>
      <c r="C187" s="112">
        <f t="shared" si="7"/>
        <v>41246</v>
      </c>
      <c r="D187" s="107" t="s">
        <v>444</v>
      </c>
      <c r="E187" s="107">
        <v>41246</v>
      </c>
      <c r="F187" s="110" t="s">
        <v>319</v>
      </c>
      <c r="G187" s="396" t="s">
        <v>514</v>
      </c>
      <c r="H187" s="5" t="s">
        <v>317</v>
      </c>
      <c r="I187" s="132"/>
      <c r="J187" s="132"/>
      <c r="K187" s="14">
        <v>1335100</v>
      </c>
      <c r="L187" s="115" t="s">
        <v>9</v>
      </c>
      <c r="M187" s="115" t="s">
        <v>8</v>
      </c>
      <c r="N187" s="22" t="str">
        <f>IF(AND('331-CT'!$E$7=TH!H187,OR(L187="331",M187="331")),"331",IF(AND(OR(L187="131",M187="131"),H187='131-CT'!$E$7),"131",""))</f>
        <v>331</v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387">
        <v>12</v>
      </c>
    </row>
    <row r="188" spans="1:29" s="303" customFormat="1" ht="15.75" customHeight="1">
      <c r="A188" s="388" t="str">
        <f>IF(B188&lt;&gt;"",IF(AND(B188&gt;=_TM1,B188&lt;=_TM2,OR(TH!L188="1111",TH!M188="1111")),TH!D188,""),"")</f>
        <v>C24</v>
      </c>
      <c r="B188" s="13">
        <f t="shared" si="6"/>
        <v>12</v>
      </c>
      <c r="C188" s="112">
        <f t="shared" si="7"/>
        <v>41246</v>
      </c>
      <c r="D188" s="112" t="s">
        <v>280</v>
      </c>
      <c r="E188" s="107">
        <v>41246</v>
      </c>
      <c r="F188" s="110" t="s">
        <v>411</v>
      </c>
      <c r="G188" s="396" t="s">
        <v>514</v>
      </c>
      <c r="H188" s="5" t="s">
        <v>317</v>
      </c>
      <c r="I188" s="132"/>
      <c r="J188" s="132"/>
      <c r="K188" s="14">
        <v>14686100</v>
      </c>
      <c r="L188" s="115" t="s">
        <v>8</v>
      </c>
      <c r="M188" s="115" t="s">
        <v>46</v>
      </c>
      <c r="N188" s="22" t="str">
        <f>IF(AND('331-CT'!$E$7=TH!H188,OR(L188="331",M188="331")),"331",IF(AND(OR(L188="131",M188="131"),H188='131-CT'!$E$7),"131",""))</f>
        <v>331</v>
      </c>
      <c r="O188" s="22" t="str">
        <f>IF(AND($B188&gt;='111'!$N$11,$B188&lt;='111'!$O$11,OR($L188=$O$7,$M188=$O$7)),"x","")</f>
        <v>x</v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387"/>
      <c r="AB188" s="123"/>
      <c r="AC188" s="123"/>
    </row>
    <row r="189" spans="1:29" s="303" customFormat="1" ht="15.75" customHeight="1">
      <c r="A189" s="388" t="str">
        <f>IF(B189&lt;&gt;"",IF(AND(B189&gt;=_TM1,B189&lt;=_TM2,OR(TH!L189="1111",TH!M189="1111")),TH!D189,""),"")</f>
        <v/>
      </c>
      <c r="B189" s="13">
        <f t="shared" si="6"/>
        <v>12</v>
      </c>
      <c r="C189" s="112">
        <f t="shared" si="7"/>
        <v>41247</v>
      </c>
      <c r="D189" s="107" t="s">
        <v>532</v>
      </c>
      <c r="E189" s="112">
        <v>41247</v>
      </c>
      <c r="F189" s="113" t="s">
        <v>500</v>
      </c>
      <c r="G189" s="396" t="s">
        <v>501</v>
      </c>
      <c r="H189" s="114" t="s">
        <v>477</v>
      </c>
      <c r="I189" s="132">
        <v>1000</v>
      </c>
      <c r="J189" s="132">
        <v>7425</v>
      </c>
      <c r="K189" s="306">
        <f>ROUND(I189*J189,0)</f>
        <v>7425000</v>
      </c>
      <c r="L189" s="307" t="s">
        <v>241</v>
      </c>
      <c r="M189" s="307" t="s">
        <v>158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387"/>
      <c r="AB189" s="123"/>
      <c r="AC189" s="123"/>
    </row>
    <row r="190" spans="1:29" s="303" customFormat="1" ht="15.75" customHeight="1">
      <c r="A190" s="388" t="str">
        <f>IF(B190&lt;&gt;"",IF(AND(B190&gt;=_TM1,B190&lt;=_TM2,OR(TH!L190="1111",TH!M190="1111")),TH!D190,""),"")</f>
        <v/>
      </c>
      <c r="B190" s="13">
        <f t="shared" si="6"/>
        <v>12</v>
      </c>
      <c r="C190" s="112">
        <f t="shared" si="7"/>
        <v>41247</v>
      </c>
      <c r="D190" s="107" t="s">
        <v>532</v>
      </c>
      <c r="E190" s="112">
        <v>41247</v>
      </c>
      <c r="F190" s="113" t="s">
        <v>480</v>
      </c>
      <c r="G190" s="396" t="s">
        <v>501</v>
      </c>
      <c r="H190" s="114" t="s">
        <v>477</v>
      </c>
      <c r="I190" s="132">
        <v>500</v>
      </c>
      <c r="J190" s="132">
        <v>15500</v>
      </c>
      <c r="K190" s="306">
        <f>ROUND(I190*J190,0)</f>
        <v>7750000</v>
      </c>
      <c r="L190" s="307" t="s">
        <v>241</v>
      </c>
      <c r="M190" s="307" t="s">
        <v>158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/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387"/>
      <c r="AB190" s="123"/>
      <c r="AC190" s="123"/>
    </row>
    <row r="191" spans="1:29" s="303" customFormat="1" ht="15.75" customHeight="1">
      <c r="A191" s="388" t="str">
        <f>IF(B191&lt;&gt;"",IF(AND(B191&gt;=_TM1,B191&lt;=_TM2,OR(TH!L191="1111",TH!M191="1111")),TH!D191,""),"")</f>
        <v/>
      </c>
      <c r="B191" s="13">
        <f t="shared" si="6"/>
        <v>12</v>
      </c>
      <c r="C191" s="112">
        <f t="shared" si="7"/>
        <v>41247</v>
      </c>
      <c r="D191" s="107" t="s">
        <v>532</v>
      </c>
      <c r="E191" s="112">
        <v>41247</v>
      </c>
      <c r="F191" s="113" t="s">
        <v>463</v>
      </c>
      <c r="G191" s="396" t="s">
        <v>501</v>
      </c>
      <c r="H191" s="114" t="s">
        <v>477</v>
      </c>
      <c r="I191" s="132"/>
      <c r="J191" s="132"/>
      <c r="K191" s="306">
        <v>1517500</v>
      </c>
      <c r="L191" s="307" t="s">
        <v>241</v>
      </c>
      <c r="M191" s="307" t="s">
        <v>282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/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387"/>
      <c r="AB191" s="123"/>
      <c r="AC191" s="123"/>
    </row>
    <row r="192" spans="1:29" s="303" customFormat="1" ht="15.75" customHeight="1">
      <c r="A192" s="388" t="str">
        <f>IF(B192&lt;&gt;"",IF(AND(B192&gt;=_TM1,B192&lt;=_TM2,OR(TH!L192="1111",TH!M192="1111")),TH!D192,""),"")</f>
        <v>T14</v>
      </c>
      <c r="B192" s="13">
        <f t="shared" si="6"/>
        <v>12</v>
      </c>
      <c r="C192" s="112">
        <f t="shared" si="7"/>
        <v>41250</v>
      </c>
      <c r="D192" s="107" t="s">
        <v>546</v>
      </c>
      <c r="E192" s="107">
        <v>41250</v>
      </c>
      <c r="F192" s="110" t="s">
        <v>403</v>
      </c>
      <c r="G192" s="395" t="s">
        <v>305</v>
      </c>
      <c r="H192" s="114" t="s">
        <v>408</v>
      </c>
      <c r="I192" s="132"/>
      <c r="J192" s="132"/>
      <c r="K192" s="306">
        <v>8400000</v>
      </c>
      <c r="L192" s="307" t="s">
        <v>46</v>
      </c>
      <c r="M192" s="307" t="s">
        <v>24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>x</v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>x</v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387"/>
    </row>
    <row r="193" spans="1:29" s="303" customFormat="1" ht="15.75" customHeight="1">
      <c r="A193" s="388" t="str">
        <f>IF(B193&lt;&gt;"",IF(AND(B193&gt;=_TM1,B193&lt;=_TM2,OR(TH!L193="1111",TH!M193="1111")),TH!D193,""),"")</f>
        <v/>
      </c>
      <c r="B193" s="13">
        <f t="shared" si="6"/>
        <v>12</v>
      </c>
      <c r="C193" s="112">
        <f t="shared" si="7"/>
        <v>41250</v>
      </c>
      <c r="D193" s="107" t="s">
        <v>533</v>
      </c>
      <c r="E193" s="112">
        <v>41250</v>
      </c>
      <c r="F193" s="113" t="s">
        <v>474</v>
      </c>
      <c r="G193" s="396" t="s">
        <v>502</v>
      </c>
      <c r="H193" s="114" t="s">
        <v>407</v>
      </c>
      <c r="I193" s="132">
        <v>1520</v>
      </c>
      <c r="J193" s="132">
        <v>5800</v>
      </c>
      <c r="K193" s="306">
        <f>ROUND(I193*J193,0)</f>
        <v>8816000</v>
      </c>
      <c r="L193" s="307" t="s">
        <v>241</v>
      </c>
      <c r="M193" s="307" t="s">
        <v>158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/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/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387"/>
      <c r="AB193" s="123"/>
      <c r="AC193" s="123"/>
    </row>
    <row r="194" spans="1:29" s="303" customFormat="1" ht="15.75" customHeight="1">
      <c r="A194" s="388" t="str">
        <f>IF(B194&lt;&gt;"",IF(AND(B194&gt;=_TM1,B194&lt;=_TM2,OR(TH!L194="1111",TH!M194="1111")),TH!D194,""),"")</f>
        <v/>
      </c>
      <c r="B194" s="13">
        <f t="shared" si="6"/>
        <v>12</v>
      </c>
      <c r="C194" s="112">
        <f t="shared" si="7"/>
        <v>41250</v>
      </c>
      <c r="D194" s="107" t="s">
        <v>533</v>
      </c>
      <c r="E194" s="112">
        <v>41250</v>
      </c>
      <c r="F194" s="113" t="s">
        <v>463</v>
      </c>
      <c r="G194" s="396" t="s">
        <v>502</v>
      </c>
      <c r="H194" s="114" t="s">
        <v>407</v>
      </c>
      <c r="I194" s="132"/>
      <c r="J194" s="132"/>
      <c r="K194" s="306">
        <v>881600</v>
      </c>
      <c r="L194" s="307" t="s">
        <v>241</v>
      </c>
      <c r="M194" s="307" t="s">
        <v>282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/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387"/>
      <c r="AB194" s="123"/>
      <c r="AC194" s="123"/>
    </row>
    <row r="195" spans="1:29" s="303" customFormat="1" ht="15.75" customHeight="1">
      <c r="A195" s="388" t="str">
        <f>IF(B195&lt;&gt;"",IF(AND(B195&gt;=_TM1,B195&lt;=_TM2,OR(TH!L195="1111",TH!M195="1111")),TH!D195,""),"")</f>
        <v/>
      </c>
      <c r="B195" s="13">
        <f t="shared" si="6"/>
        <v>12</v>
      </c>
      <c r="C195" s="112">
        <f t="shared" si="7"/>
        <v>41251</v>
      </c>
      <c r="D195" s="107" t="s">
        <v>447</v>
      </c>
      <c r="E195" s="107">
        <v>41251</v>
      </c>
      <c r="F195" s="110" t="s">
        <v>349</v>
      </c>
      <c r="G195" s="396" t="s">
        <v>393</v>
      </c>
      <c r="H195" s="5" t="s">
        <v>317</v>
      </c>
      <c r="I195" s="132">
        <v>500</v>
      </c>
      <c r="J195" s="132">
        <v>10286</v>
      </c>
      <c r="K195" s="14">
        <f>ROUND(I195*J195,0)</f>
        <v>5143000</v>
      </c>
      <c r="L195" s="115" t="s">
        <v>306</v>
      </c>
      <c r="M195" s="115" t="s">
        <v>8</v>
      </c>
      <c r="N195" s="22" t="str">
        <f>IF(AND('331-CT'!$E$7=TH!H195,OR(L195="331",M195="331")),"331",IF(AND(OR(L195="131",M195="131"),H195='131-CT'!$E$7),"131",""))</f>
        <v>331</v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/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/>
      </c>
      <c r="Y195" s="22" t="str">
        <f>IF(AND(B195&lt;=NKC!$N$8,B195&gt;=NKC!$M$8),"x","")</f>
        <v>x</v>
      </c>
      <c r="Z195" s="387"/>
    </row>
    <row r="196" spans="1:29" s="303" customFormat="1" ht="15.75" customHeight="1">
      <c r="A196" s="388" t="str">
        <f>IF(B196&lt;&gt;"",IF(AND(B196&gt;=_TM1,B196&lt;=_TM2,OR(TH!L196="1111",TH!M196="1111")),TH!D196,""),"")</f>
        <v/>
      </c>
      <c r="B196" s="13">
        <f t="shared" si="6"/>
        <v>12</v>
      </c>
      <c r="C196" s="112">
        <f t="shared" si="7"/>
        <v>41251</v>
      </c>
      <c r="D196" s="107" t="s">
        <v>447</v>
      </c>
      <c r="E196" s="107">
        <v>41251</v>
      </c>
      <c r="F196" s="110" t="s">
        <v>326</v>
      </c>
      <c r="G196" s="396" t="s">
        <v>393</v>
      </c>
      <c r="H196" s="5" t="s">
        <v>317</v>
      </c>
      <c r="I196" s="132">
        <v>500</v>
      </c>
      <c r="J196" s="132">
        <v>10298</v>
      </c>
      <c r="K196" s="14">
        <f>ROUND(I196*J196,0)</f>
        <v>5149000</v>
      </c>
      <c r="L196" s="115" t="s">
        <v>306</v>
      </c>
      <c r="M196" s="115" t="s">
        <v>8</v>
      </c>
      <c r="N196" s="22" t="str">
        <f>IF(AND('331-CT'!$E$7=TH!H196,OR(L196="331",M196="331")),"331",IF(AND(OR(L196="131",M196="131"),H196='131-CT'!$E$7),"131",""))</f>
        <v>331</v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/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387"/>
    </row>
    <row r="197" spans="1:29" s="303" customFormat="1" ht="15.75" customHeight="1">
      <c r="A197" s="388" t="str">
        <f>IF(B197&lt;&gt;"",IF(AND(B197&gt;=_TM1,B197&lt;=_TM2,OR(TH!L197="1111",TH!M197="1111")),TH!D197,""),"")</f>
        <v/>
      </c>
      <c r="B197" s="13">
        <f t="shared" si="6"/>
        <v>12</v>
      </c>
      <c r="C197" s="112">
        <f t="shared" si="7"/>
        <v>41251</v>
      </c>
      <c r="D197" s="107" t="s">
        <v>447</v>
      </c>
      <c r="E197" s="107">
        <v>41251</v>
      </c>
      <c r="F197" s="110" t="s">
        <v>319</v>
      </c>
      <c r="G197" s="396" t="s">
        <v>393</v>
      </c>
      <c r="H197" s="5" t="s">
        <v>317</v>
      </c>
      <c r="I197" s="132"/>
      <c r="J197" s="132"/>
      <c r="K197" s="14">
        <v>1029200</v>
      </c>
      <c r="L197" s="115" t="s">
        <v>9</v>
      </c>
      <c r="M197" s="115" t="s">
        <v>8</v>
      </c>
      <c r="N197" s="22" t="str">
        <f>IF(AND('331-CT'!$E$7=TH!H197,OR(L197="331",M197="331")),"331",IF(AND(OR(L197="131",M197="131"),H197='131-CT'!$E$7),"131",""))</f>
        <v>331</v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/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387">
        <v>12</v>
      </c>
      <c r="AA197" s="123"/>
      <c r="AB197" s="123"/>
    </row>
    <row r="198" spans="1:29" s="123" customFormat="1" ht="15.75" customHeight="1">
      <c r="A198" s="388" t="str">
        <f>IF(B198&lt;&gt;"",IF(AND(B198&gt;=_TM1,B198&lt;=_TM2,OR(TH!L198="1111",TH!M198="1111")),TH!D198,""),"")</f>
        <v>C25</v>
      </c>
      <c r="B198" s="13">
        <f t="shared" si="6"/>
        <v>12</v>
      </c>
      <c r="C198" s="112">
        <f t="shared" si="7"/>
        <v>41251</v>
      </c>
      <c r="D198" s="112" t="s">
        <v>448</v>
      </c>
      <c r="E198" s="107">
        <v>41251</v>
      </c>
      <c r="F198" s="110" t="s">
        <v>411</v>
      </c>
      <c r="G198" s="396" t="s">
        <v>393</v>
      </c>
      <c r="H198" s="5" t="s">
        <v>317</v>
      </c>
      <c r="I198" s="132"/>
      <c r="J198" s="132"/>
      <c r="K198" s="14">
        <v>11321200</v>
      </c>
      <c r="L198" s="115" t="s">
        <v>8</v>
      </c>
      <c r="M198" s="115" t="s">
        <v>46</v>
      </c>
      <c r="N198" s="22" t="str">
        <f>IF(AND('331-CT'!$E$7=TH!H198,OR(L198="331",M198="331")),"331",IF(AND(OR(L198="131",M198="131"),H198='131-CT'!$E$7),"131",""))</f>
        <v>331</v>
      </c>
      <c r="O198" s="22" t="str">
        <f>IF(AND($B198&gt;='111'!$N$11,$B198&lt;='111'!$O$11,OR($L198=$O$7,$M198=$O$7)),"x","")</f>
        <v>x</v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/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/>
      </c>
      <c r="Y198" s="22" t="str">
        <f>IF(AND(B198&lt;=NKC!$N$8,B198&gt;=NKC!$M$8),"x","")</f>
        <v>x</v>
      </c>
      <c r="Z198" s="387"/>
      <c r="AA198" s="303"/>
    </row>
    <row r="199" spans="1:29" s="123" customFormat="1" ht="15.75" customHeight="1">
      <c r="A199" s="388" t="str">
        <f>IF(B199&lt;&gt;"",IF(AND(B199&gt;=_TM1,B199&lt;=_TM2,OR(TH!L199="1111",TH!M199="1111")),TH!D199,""),"")</f>
        <v/>
      </c>
      <c r="B199" s="13">
        <f t="shared" si="6"/>
        <v>12</v>
      </c>
      <c r="C199" s="112">
        <f t="shared" si="7"/>
        <v>41253</v>
      </c>
      <c r="D199" s="107" t="s">
        <v>534</v>
      </c>
      <c r="E199" s="112">
        <v>41253</v>
      </c>
      <c r="F199" s="113" t="s">
        <v>472</v>
      </c>
      <c r="G199" s="396" t="s">
        <v>503</v>
      </c>
      <c r="H199" s="114" t="s">
        <v>406</v>
      </c>
      <c r="I199" s="132">
        <v>1235</v>
      </c>
      <c r="J199" s="132">
        <v>6200</v>
      </c>
      <c r="K199" s="306">
        <f>ROUND(I199*J199,0)</f>
        <v>7657000</v>
      </c>
      <c r="L199" s="307" t="s">
        <v>241</v>
      </c>
      <c r="M199" s="307" t="s">
        <v>158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/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387"/>
      <c r="AA199" s="303"/>
    </row>
    <row r="200" spans="1:29" s="123" customFormat="1" ht="15.75" customHeight="1">
      <c r="A200" s="388" t="str">
        <f>IF(B200&lt;&gt;"",IF(AND(B200&gt;=_TM1,B200&lt;=_TM2,OR(TH!L200="1111",TH!M200="1111")),TH!D200,""),"")</f>
        <v/>
      </c>
      <c r="B200" s="13">
        <f t="shared" si="6"/>
        <v>12</v>
      </c>
      <c r="C200" s="112">
        <f t="shared" si="7"/>
        <v>41253</v>
      </c>
      <c r="D200" s="107" t="s">
        <v>534</v>
      </c>
      <c r="E200" s="112">
        <v>41253</v>
      </c>
      <c r="F200" s="113" t="s">
        <v>466</v>
      </c>
      <c r="G200" s="396" t="s">
        <v>503</v>
      </c>
      <c r="H200" s="114" t="s">
        <v>406</v>
      </c>
      <c r="I200" s="132">
        <v>1010</v>
      </c>
      <c r="J200" s="132">
        <v>6340</v>
      </c>
      <c r="K200" s="306">
        <f>ROUND(I200*J200,0)</f>
        <v>6403400</v>
      </c>
      <c r="L200" s="307" t="s">
        <v>241</v>
      </c>
      <c r="M200" s="307" t="s">
        <v>158</v>
      </c>
      <c r="N200" s="22" t="str">
        <f>IF(AND('331-CT'!$E$7=TH!H200,OR(L200="331",M200="331")),"331",IF(AND(OR(L200="131",M200="131"),H200='131-CT'!$E$7),"131",""))</f>
        <v/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/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387"/>
      <c r="AA200" s="303"/>
    </row>
    <row r="201" spans="1:29" s="123" customFormat="1" ht="15.75" customHeight="1">
      <c r="A201" s="388" t="str">
        <f>IF(B201&lt;&gt;"",IF(AND(B201&gt;=_TM1,B201&lt;=_TM2,OR(TH!L201="1111",TH!M201="1111")),TH!D201,""),"")</f>
        <v/>
      </c>
      <c r="B201" s="13">
        <f t="shared" si="6"/>
        <v>12</v>
      </c>
      <c r="C201" s="112">
        <f t="shared" si="7"/>
        <v>41253</v>
      </c>
      <c r="D201" s="107" t="s">
        <v>534</v>
      </c>
      <c r="E201" s="112">
        <v>41253</v>
      </c>
      <c r="F201" s="113" t="s">
        <v>463</v>
      </c>
      <c r="G201" s="396" t="s">
        <v>503</v>
      </c>
      <c r="H201" s="114" t="s">
        <v>406</v>
      </c>
      <c r="I201" s="132"/>
      <c r="J201" s="132"/>
      <c r="K201" s="306">
        <v>1406040</v>
      </c>
      <c r="L201" s="307" t="s">
        <v>241</v>
      </c>
      <c r="M201" s="307" t="s">
        <v>282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/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/>
      </c>
      <c r="Y201" s="22" t="str">
        <f>IF(AND(B201&lt;=NKC!$N$8,B201&gt;=NKC!$M$8),"x","")</f>
        <v>x</v>
      </c>
      <c r="Z201" s="387"/>
      <c r="AA201" s="303"/>
    </row>
    <row r="202" spans="1:29" s="123" customFormat="1" ht="15.75" customHeight="1">
      <c r="A202" s="388" t="str">
        <f>IF(B202&lt;&gt;"",IF(AND(B202&gt;=_TM1,B202&lt;=_TM2,OR(TH!L202="1111",TH!M202="1111")),TH!D202,""),"")</f>
        <v>T15</v>
      </c>
      <c r="B202" s="13">
        <f t="shared" si="6"/>
        <v>12</v>
      </c>
      <c r="C202" s="112">
        <f t="shared" si="7"/>
        <v>41253</v>
      </c>
      <c r="D202" s="107" t="s">
        <v>547</v>
      </c>
      <c r="E202" s="112">
        <v>41253</v>
      </c>
      <c r="F202" s="113" t="s">
        <v>401</v>
      </c>
      <c r="G202" s="396" t="s">
        <v>503</v>
      </c>
      <c r="H202" s="114" t="s">
        <v>406</v>
      </c>
      <c r="I202" s="132"/>
      <c r="J202" s="132"/>
      <c r="K202" s="306">
        <v>15466440</v>
      </c>
      <c r="L202" s="307" t="s">
        <v>46</v>
      </c>
      <c r="M202" s="307" t="s">
        <v>241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>x</v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/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387"/>
      <c r="AA202" s="303"/>
    </row>
    <row r="203" spans="1:29" s="123" customFormat="1" ht="15.75" customHeight="1">
      <c r="A203" s="388" t="str">
        <f>IF(B203&lt;&gt;"",IF(AND(B203&gt;=_TM1,B203&lt;=_TM2,OR(TH!L203="1111",TH!M203="1111")),TH!D203,""),"")</f>
        <v>C26</v>
      </c>
      <c r="B203" s="13">
        <f t="shared" si="6"/>
        <v>12</v>
      </c>
      <c r="C203" s="112">
        <f t="shared" si="7"/>
        <v>41255</v>
      </c>
      <c r="D203" s="112" t="s">
        <v>449</v>
      </c>
      <c r="E203" s="107">
        <v>41255</v>
      </c>
      <c r="F203" s="110" t="s">
        <v>397</v>
      </c>
      <c r="G203" s="396" t="s">
        <v>395</v>
      </c>
      <c r="H203" s="114" t="s">
        <v>396</v>
      </c>
      <c r="I203" s="132"/>
      <c r="J203" s="132"/>
      <c r="K203" s="306">
        <v>262000</v>
      </c>
      <c r="L203" s="307" t="s">
        <v>82</v>
      </c>
      <c r="M203" s="307" t="s">
        <v>46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>x</v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/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/>
      </c>
      <c r="Y203" s="22" t="str">
        <f>IF(AND(B203&lt;=NKC!$N$8,B203&gt;=NKC!$M$8),"x","")</f>
        <v>x</v>
      </c>
      <c r="Z203" s="387"/>
      <c r="AA203" s="303"/>
      <c r="AC203" s="303"/>
    </row>
    <row r="204" spans="1:29" s="123" customFormat="1" ht="15.75" customHeight="1">
      <c r="A204" s="388" t="str">
        <f>IF(B204&lt;&gt;"",IF(AND(B204&gt;=_TM1,B204&lt;=_TM2,OR(TH!L204="1111",TH!M204="1111")),TH!D204,""),"")</f>
        <v>C27</v>
      </c>
      <c r="B204" s="13">
        <f t="shared" si="6"/>
        <v>12</v>
      </c>
      <c r="C204" s="112">
        <f t="shared" si="7"/>
        <v>41260</v>
      </c>
      <c r="D204" s="112" t="s">
        <v>450</v>
      </c>
      <c r="E204" s="107">
        <v>41260</v>
      </c>
      <c r="F204" s="113" t="s">
        <v>310</v>
      </c>
      <c r="G204" s="395" t="s">
        <v>383</v>
      </c>
      <c r="H204" s="122" t="s">
        <v>309</v>
      </c>
      <c r="I204" s="132"/>
      <c r="J204" s="132"/>
      <c r="K204" s="14">
        <f>77272+181818+18182</f>
        <v>277272</v>
      </c>
      <c r="L204" s="115" t="s">
        <v>82</v>
      </c>
      <c r="M204" s="115" t="s">
        <v>46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>x</v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/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387"/>
      <c r="AA204" s="303"/>
      <c r="AB204" s="303"/>
      <c r="AC204" s="303"/>
    </row>
    <row r="205" spans="1:29" s="123" customFormat="1" ht="15.75" customHeight="1">
      <c r="A205" s="388" t="str">
        <f>IF(B205&lt;&gt;"",IF(AND(B205&gt;=_TM1,B205&lt;=_TM2,OR(TH!L205="1111",TH!M205="1111")),TH!D205,""),"")</f>
        <v>C27</v>
      </c>
      <c r="B205" s="13">
        <f t="shared" si="6"/>
        <v>12</v>
      </c>
      <c r="C205" s="112">
        <f t="shared" si="7"/>
        <v>41260</v>
      </c>
      <c r="D205" s="112" t="s">
        <v>450</v>
      </c>
      <c r="E205" s="107">
        <v>41260</v>
      </c>
      <c r="F205" s="113" t="s">
        <v>311</v>
      </c>
      <c r="G205" s="395" t="s">
        <v>383</v>
      </c>
      <c r="H205" s="122" t="s">
        <v>309</v>
      </c>
      <c r="I205" s="132"/>
      <c r="J205" s="132"/>
      <c r="K205" s="14">
        <f>7728</f>
        <v>7728</v>
      </c>
      <c r="L205" s="115" t="s">
        <v>9</v>
      </c>
      <c r="M205" s="115" t="s">
        <v>46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>x</v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387">
        <v>12</v>
      </c>
      <c r="AA205" s="303"/>
      <c r="AB205" s="303"/>
      <c r="AC205" s="303"/>
    </row>
    <row r="206" spans="1:29" s="123" customFormat="1" ht="15.75" customHeight="1">
      <c r="A206" s="388" t="str">
        <f>IF(B206&lt;&gt;"",IF(AND(B206&gt;=_TM1,B206&lt;=_TM2,OR(TH!L206="1111",TH!M206="1111")),TH!D206,""),"")</f>
        <v/>
      </c>
      <c r="B206" s="13">
        <f t="shared" si="6"/>
        <v>12</v>
      </c>
      <c r="C206" s="112">
        <f t="shared" si="7"/>
        <v>41267</v>
      </c>
      <c r="D206" s="107" t="s">
        <v>535</v>
      </c>
      <c r="E206" s="112">
        <v>41267</v>
      </c>
      <c r="F206" s="113" t="s">
        <v>504</v>
      </c>
      <c r="G206" s="396" t="s">
        <v>505</v>
      </c>
      <c r="H206" s="114" t="s">
        <v>409</v>
      </c>
      <c r="I206" s="132">
        <v>180</v>
      </c>
      <c r="J206" s="132">
        <v>24201</v>
      </c>
      <c r="K206" s="306">
        <f>ROUND(I206*J206,0)</f>
        <v>4356180</v>
      </c>
      <c r="L206" s="307" t="s">
        <v>241</v>
      </c>
      <c r="M206" s="307" t="s">
        <v>158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387"/>
      <c r="AA206" s="303"/>
      <c r="AB206" s="303"/>
      <c r="AC206" s="303"/>
    </row>
    <row r="207" spans="1:29" s="123" customFormat="1" ht="15.75" customHeight="1">
      <c r="A207" s="388" t="str">
        <f>IF(B207&lt;&gt;"",IF(AND(B207&gt;=_TM1,B207&lt;=_TM2,OR(TH!L207="1111",TH!M207="1111")),TH!D207,""),"")</f>
        <v/>
      </c>
      <c r="B207" s="13">
        <f t="shared" si="6"/>
        <v>12</v>
      </c>
      <c r="C207" s="112">
        <f t="shared" si="7"/>
        <v>41267</v>
      </c>
      <c r="D207" s="107" t="s">
        <v>535</v>
      </c>
      <c r="E207" s="112">
        <v>41267</v>
      </c>
      <c r="F207" s="113" t="s">
        <v>506</v>
      </c>
      <c r="G207" s="396" t="s">
        <v>505</v>
      </c>
      <c r="H207" s="114" t="s">
        <v>409</v>
      </c>
      <c r="I207" s="132">
        <v>100</v>
      </c>
      <c r="J207" s="132">
        <v>18550</v>
      </c>
      <c r="K207" s="306">
        <f>ROUND(I207*J207,0)</f>
        <v>1855000</v>
      </c>
      <c r="L207" s="307" t="s">
        <v>241</v>
      </c>
      <c r="M207" s="307" t="s">
        <v>158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/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387"/>
      <c r="AA207" s="303"/>
      <c r="AB207" s="303"/>
      <c r="AC207" s="303"/>
    </row>
    <row r="208" spans="1:29" s="123" customFormat="1" ht="15.75" customHeight="1">
      <c r="A208" s="388" t="str">
        <f>IF(B208&lt;&gt;"",IF(AND(B208&gt;=_TM1,B208&lt;=_TM2,OR(TH!L208="1111",TH!M208="1111")),TH!D208,""),"")</f>
        <v/>
      </c>
      <c r="B208" s="13">
        <f t="shared" ref="B208:B271" si="8">IF(C208&lt;&gt;"",MONTH(C208),"")</f>
        <v>12</v>
      </c>
      <c r="C208" s="112">
        <f t="shared" ref="C208:C271" si="9">E208</f>
        <v>41267</v>
      </c>
      <c r="D208" s="107" t="s">
        <v>535</v>
      </c>
      <c r="E208" s="112">
        <v>41267</v>
      </c>
      <c r="F208" s="113" t="s">
        <v>507</v>
      </c>
      <c r="G208" s="396" t="s">
        <v>505</v>
      </c>
      <c r="H208" s="114" t="s">
        <v>409</v>
      </c>
      <c r="I208" s="132">
        <v>180</v>
      </c>
      <c r="J208" s="132">
        <v>24000</v>
      </c>
      <c r="K208" s="306">
        <f>ROUND(I208*J208,0)</f>
        <v>4320000</v>
      </c>
      <c r="L208" s="307" t="s">
        <v>241</v>
      </c>
      <c r="M208" s="307" t="s">
        <v>158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387"/>
      <c r="AA208" s="303"/>
    </row>
    <row r="209" spans="1:29" s="123" customFormat="1" ht="15.75" customHeight="1">
      <c r="A209" s="388" t="str">
        <f>IF(B209&lt;&gt;"",IF(AND(B209&gt;=_TM1,B209&lt;=_TM2,OR(TH!L209="1111",TH!M209="1111")),TH!D209,""),"")</f>
        <v/>
      </c>
      <c r="B209" s="13">
        <f t="shared" si="8"/>
        <v>12</v>
      </c>
      <c r="C209" s="112">
        <f t="shared" si="9"/>
        <v>41267</v>
      </c>
      <c r="D209" s="107" t="s">
        <v>535</v>
      </c>
      <c r="E209" s="112">
        <v>41267</v>
      </c>
      <c r="F209" s="113" t="s">
        <v>508</v>
      </c>
      <c r="G209" s="396" t="s">
        <v>505</v>
      </c>
      <c r="H209" s="114" t="s">
        <v>409</v>
      </c>
      <c r="I209" s="132">
        <v>260</v>
      </c>
      <c r="J209" s="132">
        <v>26201</v>
      </c>
      <c r="K209" s="306">
        <f>ROUND(I209*J209,0)</f>
        <v>6812260</v>
      </c>
      <c r="L209" s="307" t="s">
        <v>241</v>
      </c>
      <c r="M209" s="307" t="s">
        <v>158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387"/>
      <c r="AA209" s="303"/>
    </row>
    <row r="210" spans="1:29" s="123" customFormat="1" ht="15.75" customHeight="1">
      <c r="A210" s="388" t="str">
        <f>IF(B210&lt;&gt;"",IF(AND(B210&gt;=_TM1,B210&lt;=_TM2,OR(TH!L210="1111",TH!M210="1111")),TH!D210,""),"")</f>
        <v/>
      </c>
      <c r="B210" s="13">
        <f t="shared" si="8"/>
        <v>12</v>
      </c>
      <c r="C210" s="112">
        <f t="shared" si="9"/>
        <v>41267</v>
      </c>
      <c r="D210" s="107" t="s">
        <v>535</v>
      </c>
      <c r="E210" s="112">
        <v>41267</v>
      </c>
      <c r="F210" s="113" t="s">
        <v>463</v>
      </c>
      <c r="G210" s="396" t="s">
        <v>505</v>
      </c>
      <c r="H210" s="114" t="s">
        <v>409</v>
      </c>
      <c r="I210" s="132"/>
      <c r="J210" s="132"/>
      <c r="K210" s="306">
        <v>1734344</v>
      </c>
      <c r="L210" s="307" t="s">
        <v>241</v>
      </c>
      <c r="M210" s="307" t="s">
        <v>282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/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387"/>
      <c r="AA210" s="303"/>
    </row>
    <row r="211" spans="1:29" s="123" customFormat="1" ht="15.75" customHeight="1">
      <c r="A211" s="388" t="str">
        <f>IF(B211&lt;&gt;"",IF(AND(B211&gt;=_TM1,B211&lt;=_TM2,OR(TH!L211="1111",TH!M211="1111")),TH!D211,""),"")</f>
        <v/>
      </c>
      <c r="B211" s="13">
        <f t="shared" si="8"/>
        <v>12</v>
      </c>
      <c r="C211" s="112">
        <f t="shared" si="9"/>
        <v>41268</v>
      </c>
      <c r="D211" s="107" t="s">
        <v>398</v>
      </c>
      <c r="E211" s="107">
        <v>41268</v>
      </c>
      <c r="F211" s="110" t="s">
        <v>401</v>
      </c>
      <c r="G211" s="395" t="s">
        <v>305</v>
      </c>
      <c r="H211" s="114" t="s">
        <v>409</v>
      </c>
      <c r="I211" s="132"/>
      <c r="J211" s="132"/>
      <c r="K211" s="306">
        <v>19077784</v>
      </c>
      <c r="L211" s="307" t="s">
        <v>24</v>
      </c>
      <c r="M211" s="307" t="s">
        <v>241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/>
      </c>
      <c r="R211" s="22" t="str">
        <f>IF(ISERROR(FIND('112'!$M$9,G211,1)),"",IF((AND(FIND('112'!$M$9,G211,1)&gt;=1,$B211&gt;='112'!$N$8,$B211&lt;='112'!$O$8,OR($L211='112'!$I$6,$M211='112'!$I$6))),"x",""))</f>
        <v>x</v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/>
      </c>
      <c r="Y211" s="22" t="str">
        <f>IF(AND(B211&lt;=NKC!$N$8,B211&gt;=NKC!$M$8),"x","")</f>
        <v>x</v>
      </c>
      <c r="Z211" s="387"/>
      <c r="AA211" s="303"/>
      <c r="AB211" s="303"/>
      <c r="AC211" s="303"/>
    </row>
    <row r="212" spans="1:29" s="123" customFormat="1" ht="15.75" customHeight="1">
      <c r="A212" s="388" t="str">
        <f>IF(B212&lt;&gt;"",IF(AND(B212&gt;=_TM1,B212&lt;=_TM2,OR(TH!L212="1111",TH!M212="1111")),TH!D212,""),"")</f>
        <v/>
      </c>
      <c r="B212" s="13">
        <f t="shared" si="8"/>
        <v>12</v>
      </c>
      <c r="C212" s="112">
        <f t="shared" si="9"/>
        <v>41268</v>
      </c>
      <c r="D212" s="107" t="s">
        <v>536</v>
      </c>
      <c r="E212" s="112">
        <v>41268</v>
      </c>
      <c r="F212" s="113" t="s">
        <v>509</v>
      </c>
      <c r="G212" s="396" t="s">
        <v>510</v>
      </c>
      <c r="H212" s="114" t="s">
        <v>409</v>
      </c>
      <c r="I212" s="132">
        <v>40</v>
      </c>
      <c r="J212" s="132">
        <v>38150</v>
      </c>
      <c r="K212" s="306">
        <f>ROUND(I212*J212,0)</f>
        <v>1526000</v>
      </c>
      <c r="L212" s="307" t="s">
        <v>241</v>
      </c>
      <c r="M212" s="307" t="s">
        <v>158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/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387"/>
      <c r="AA212" s="303"/>
    </row>
    <row r="213" spans="1:29" s="123" customFormat="1" ht="15.75" customHeight="1">
      <c r="A213" s="388" t="str">
        <f>IF(B213&lt;&gt;"",IF(AND(B213&gt;=_TM1,B213&lt;=_TM2,OR(TH!L213="1111",TH!M213="1111")),TH!D213,""),"")</f>
        <v/>
      </c>
      <c r="B213" s="13">
        <f t="shared" si="8"/>
        <v>12</v>
      </c>
      <c r="C213" s="112">
        <f t="shared" si="9"/>
        <v>41268</v>
      </c>
      <c r="D213" s="107" t="s">
        <v>536</v>
      </c>
      <c r="E213" s="112">
        <v>41268</v>
      </c>
      <c r="F213" s="113" t="s">
        <v>463</v>
      </c>
      <c r="G213" s="396" t="s">
        <v>510</v>
      </c>
      <c r="H213" s="114" t="s">
        <v>409</v>
      </c>
      <c r="I213" s="132"/>
      <c r="J213" s="132"/>
      <c r="K213" s="306">
        <v>152600</v>
      </c>
      <c r="L213" s="307" t="s">
        <v>241</v>
      </c>
      <c r="M213" s="307" t="s">
        <v>282</v>
      </c>
      <c r="N213" s="22" t="str">
        <f>IF(AND('331-CT'!$E$7=TH!H213,OR(L213="331",M213="331")),"331",IF(AND(OR(L213="131",M213="131"),H213='131-CT'!$E$7),"131",""))</f>
        <v/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387"/>
      <c r="AA213" s="303"/>
    </row>
    <row r="214" spans="1:29" s="123" customFormat="1" ht="15.75" customHeight="1">
      <c r="A214" s="388" t="str">
        <f>IF(B214&lt;&gt;"",IF(AND(B214&gt;=_TM1,B214&lt;=_TM2,OR(TH!L214="1111",TH!M214="1111")),TH!D214,""),"")</f>
        <v>T16</v>
      </c>
      <c r="B214" s="13">
        <f t="shared" si="8"/>
        <v>12</v>
      </c>
      <c r="C214" s="112">
        <f t="shared" si="9"/>
        <v>41268</v>
      </c>
      <c r="D214" s="107" t="s">
        <v>548</v>
      </c>
      <c r="E214" s="112">
        <v>41268</v>
      </c>
      <c r="F214" s="113" t="s">
        <v>401</v>
      </c>
      <c r="G214" s="396" t="s">
        <v>510</v>
      </c>
      <c r="H214" s="114" t="s">
        <v>409</v>
      </c>
      <c r="I214" s="132"/>
      <c r="J214" s="132"/>
      <c r="K214" s="306">
        <v>1678600</v>
      </c>
      <c r="L214" s="307" t="s">
        <v>46</v>
      </c>
      <c r="M214" s="307" t="s">
        <v>241</v>
      </c>
      <c r="N214" s="22" t="str">
        <f>IF(AND('331-CT'!$E$7=TH!H214,OR(L214="331",M214="331")),"331",IF(AND(OR(L214="131",M214="131"),H214='131-CT'!$E$7),"131",""))</f>
        <v/>
      </c>
      <c r="O214" s="22" t="str">
        <f>IF(AND($B214&gt;='111'!$N$11,$B214&lt;='111'!$O$11,OR($L214=$O$7,$M214=$O$7)),"x","")</f>
        <v>x</v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387"/>
      <c r="AA214" s="303"/>
    </row>
    <row r="215" spans="1:29" s="123" customFormat="1" ht="15.75" customHeight="1">
      <c r="A215" s="388" t="str">
        <f>IF(B215&lt;&gt;"",IF(AND(B215&gt;=_TM1,B215&lt;=_TM2,OR(TH!L215="1111",TH!M215="1111")),TH!D215,""),"")</f>
        <v>C28</v>
      </c>
      <c r="B215" s="13">
        <f t="shared" si="8"/>
        <v>12</v>
      </c>
      <c r="C215" s="112">
        <f t="shared" si="9"/>
        <v>41269</v>
      </c>
      <c r="D215" s="107" t="s">
        <v>451</v>
      </c>
      <c r="E215" s="107">
        <v>41269</v>
      </c>
      <c r="F215" s="110" t="s">
        <v>296</v>
      </c>
      <c r="G215" s="396" t="s">
        <v>387</v>
      </c>
      <c r="H215" s="114" t="s">
        <v>384</v>
      </c>
      <c r="I215" s="132"/>
      <c r="J215" s="132"/>
      <c r="K215" s="306">
        <v>3181818</v>
      </c>
      <c r="L215" s="115" t="s">
        <v>82</v>
      </c>
      <c r="M215" s="115" t="s">
        <v>46</v>
      </c>
      <c r="N215" s="22" t="str">
        <f>IF(AND('331-CT'!$E$7=TH!H215,OR(L215="331",M215="331")),"331",IF(AND(OR(L215="131",M215="131"),H215='131-CT'!$E$7),"131",""))</f>
        <v/>
      </c>
      <c r="O215" s="22" t="str">
        <f>IF(AND($B215&gt;='111'!$N$11,$B215&lt;='111'!$O$11,OR($L215=$O$7,$M215=$O$7)),"x","")</f>
        <v>x</v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387"/>
      <c r="AA215" s="303"/>
      <c r="AC215" s="303"/>
    </row>
    <row r="216" spans="1:29" s="123" customFormat="1" ht="15.75" customHeight="1">
      <c r="A216" s="388" t="str">
        <f>IF(B216&lt;&gt;"",IF(AND(B216&gt;=_TM1,B216&lt;=_TM2,OR(TH!L216="1111",TH!M216="1111")),TH!D216,""),"")</f>
        <v>C28</v>
      </c>
      <c r="B216" s="13">
        <f t="shared" si="8"/>
        <v>12</v>
      </c>
      <c r="C216" s="112">
        <f t="shared" si="9"/>
        <v>41269</v>
      </c>
      <c r="D216" s="107" t="s">
        <v>451</v>
      </c>
      <c r="E216" s="107">
        <v>41269</v>
      </c>
      <c r="F216" s="110" t="s">
        <v>297</v>
      </c>
      <c r="G216" s="396" t="s">
        <v>387</v>
      </c>
      <c r="H216" s="114" t="s">
        <v>384</v>
      </c>
      <c r="I216" s="132"/>
      <c r="J216" s="132"/>
      <c r="K216" s="306">
        <v>318182</v>
      </c>
      <c r="L216" s="115" t="s">
        <v>9</v>
      </c>
      <c r="M216" s="115" t="s">
        <v>46</v>
      </c>
      <c r="N216" s="22" t="str">
        <f>IF(AND('331-CT'!$E$7=TH!H216,OR(L216="331",M216="331")),"331",IF(AND(OR(L216="131",M216="131"),H216='131-CT'!$E$7),"131",""))</f>
        <v/>
      </c>
      <c r="O216" s="22" t="str">
        <f>IF(AND($B216&gt;='111'!$N$11,$B216&lt;='111'!$O$11,OR($L216=$O$7,$M216=$O$7)),"x","")</f>
        <v>x</v>
      </c>
      <c r="P216" s="22" t="str">
        <f>IF(AND($L216=$O$7,$B216&lt;'111'!$N$11),"x","")</f>
        <v/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387">
        <v>12</v>
      </c>
      <c r="AC216" s="303"/>
    </row>
    <row r="217" spans="1:29" s="123" customFormat="1" ht="15.75" customHeight="1">
      <c r="A217" s="388" t="str">
        <f>IF(B217&lt;&gt;"",IF(AND(B217&gt;=_TM1,B217&lt;=_TM2,OR(TH!L217="1111",TH!M217="1111")),TH!D217,""),"")</f>
        <v/>
      </c>
      <c r="B217" s="13">
        <f t="shared" si="8"/>
        <v>12</v>
      </c>
      <c r="C217" s="112">
        <f t="shared" si="9"/>
        <v>41270</v>
      </c>
      <c r="D217" s="107" t="s">
        <v>537</v>
      </c>
      <c r="E217" s="112">
        <v>41270</v>
      </c>
      <c r="F217" s="113" t="s">
        <v>511</v>
      </c>
      <c r="G217" s="396" t="s">
        <v>512</v>
      </c>
      <c r="H217" s="114" t="s">
        <v>513</v>
      </c>
      <c r="I217" s="132">
        <v>60</v>
      </c>
      <c r="J217" s="132">
        <v>88860</v>
      </c>
      <c r="K217" s="306">
        <f>ROUND(I217*J217,0)</f>
        <v>5331600</v>
      </c>
      <c r="L217" s="307" t="s">
        <v>241</v>
      </c>
      <c r="M217" s="307" t="s">
        <v>158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/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387"/>
      <c r="AA217" s="303"/>
    </row>
    <row r="218" spans="1:29" s="123" customFormat="1" ht="15.75" customHeight="1">
      <c r="A218" s="388" t="str">
        <f>IF(B218&lt;&gt;"",IF(AND(B218&gt;=_TM1,B218&lt;=_TM2,OR(TH!L218="1111",TH!M218="1111")),TH!D218,""),"")</f>
        <v/>
      </c>
      <c r="B218" s="13">
        <f t="shared" si="8"/>
        <v>12</v>
      </c>
      <c r="C218" s="112">
        <f t="shared" si="9"/>
        <v>41270</v>
      </c>
      <c r="D218" s="107" t="s">
        <v>537</v>
      </c>
      <c r="E218" s="112">
        <v>41270</v>
      </c>
      <c r="F218" s="113" t="s">
        <v>463</v>
      </c>
      <c r="G218" s="396" t="s">
        <v>512</v>
      </c>
      <c r="H218" s="114" t="s">
        <v>513</v>
      </c>
      <c r="I218" s="132"/>
      <c r="J218" s="132"/>
      <c r="K218" s="306">
        <v>533160</v>
      </c>
      <c r="L218" s="307" t="s">
        <v>241</v>
      </c>
      <c r="M218" s="307" t="s">
        <v>282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/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387"/>
      <c r="AA218" s="303"/>
      <c r="AB218" s="303"/>
      <c r="AC218" s="303"/>
    </row>
    <row r="219" spans="1:29" s="123" customFormat="1" ht="15.75" customHeight="1">
      <c r="A219" s="388" t="str">
        <f>IF(B219&lt;&gt;"",IF(AND(B219&gt;=_TM1,B219&lt;=_TM2,OR(TH!L219="1111",TH!M219="1111")),TH!D219,""),"")</f>
        <v>T17</v>
      </c>
      <c r="B219" s="13">
        <f t="shared" si="8"/>
        <v>12</v>
      </c>
      <c r="C219" s="112">
        <f t="shared" si="9"/>
        <v>41270</v>
      </c>
      <c r="D219" s="107" t="s">
        <v>549</v>
      </c>
      <c r="E219" s="112">
        <v>41270</v>
      </c>
      <c r="F219" s="113" t="s">
        <v>401</v>
      </c>
      <c r="G219" s="396" t="s">
        <v>512</v>
      </c>
      <c r="H219" s="114" t="s">
        <v>513</v>
      </c>
      <c r="I219" s="132"/>
      <c r="J219" s="132"/>
      <c r="K219" s="306">
        <v>5864760</v>
      </c>
      <c r="L219" s="307" t="s">
        <v>46</v>
      </c>
      <c r="M219" s="307" t="s">
        <v>241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>x</v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/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387"/>
      <c r="AA219" s="303"/>
      <c r="AB219" s="303"/>
      <c r="AC219" s="303"/>
    </row>
    <row r="220" spans="1:29" s="123" customFormat="1" ht="15.75" customHeight="1">
      <c r="A220" s="388" t="str">
        <f>IF(B220&lt;&gt;"",IF(AND(B220&gt;=_TM1,B220&lt;=_TM2,OR(TH!L220="1111",TH!M220="1111")),TH!D220,""),"")</f>
        <v>T18</v>
      </c>
      <c r="B220" s="13">
        <f t="shared" si="8"/>
        <v>12</v>
      </c>
      <c r="C220" s="112">
        <f t="shared" si="9"/>
        <v>41271</v>
      </c>
      <c r="D220" s="107" t="s">
        <v>550</v>
      </c>
      <c r="E220" s="107">
        <v>41271</v>
      </c>
      <c r="F220" s="110" t="s">
        <v>403</v>
      </c>
      <c r="G220" s="395" t="s">
        <v>305</v>
      </c>
      <c r="H220" s="114" t="s">
        <v>408</v>
      </c>
      <c r="I220" s="132"/>
      <c r="J220" s="132"/>
      <c r="K220" s="306">
        <v>19000000</v>
      </c>
      <c r="L220" s="307" t="s">
        <v>46</v>
      </c>
      <c r="M220" s="307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>x</v>
      </c>
      <c r="P220" s="22" t="str">
        <f>IF(AND($L220=$O$7,$B220&lt;'111'!$N$11),"x","")</f>
        <v/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>x</v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/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387"/>
      <c r="AA220" s="303"/>
      <c r="AB220" s="303"/>
      <c r="AC220" s="303"/>
    </row>
    <row r="221" spans="1:29" s="123" customFormat="1" ht="15.75" customHeight="1">
      <c r="A221" s="388" t="str">
        <f>IF(B221&lt;&gt;"",IF(AND(B221&gt;=_TM1,B221&lt;=_TM2,OR(TH!L221="1111",TH!M221="1111")),TH!D221,""),"")</f>
        <v>C29</v>
      </c>
      <c r="B221" s="13">
        <f t="shared" si="8"/>
        <v>12</v>
      </c>
      <c r="C221" s="112">
        <f t="shared" si="9"/>
        <v>41271</v>
      </c>
      <c r="D221" s="107" t="s">
        <v>453</v>
      </c>
      <c r="E221" s="107">
        <v>41271</v>
      </c>
      <c r="F221" s="110" t="s">
        <v>296</v>
      </c>
      <c r="G221" s="396" t="s">
        <v>386</v>
      </c>
      <c r="H221" s="114" t="s">
        <v>384</v>
      </c>
      <c r="I221" s="132"/>
      <c r="J221" s="132"/>
      <c r="K221" s="306">
        <v>3363636</v>
      </c>
      <c r="L221" s="115" t="s">
        <v>82</v>
      </c>
      <c r="M221" s="115" t="s">
        <v>46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>x</v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/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/>
      </c>
      <c r="Y221" s="22" t="str">
        <f>IF(AND(B221&lt;=NKC!$N$8,B221&gt;=NKC!$M$8),"x","")</f>
        <v>x</v>
      </c>
      <c r="Z221" s="387"/>
      <c r="AA221" s="303"/>
      <c r="AB221" s="303"/>
      <c r="AC221" s="303"/>
    </row>
    <row r="222" spans="1:29" s="123" customFormat="1" ht="15.75" customHeight="1">
      <c r="A222" s="388" t="str">
        <f>IF(B222&lt;&gt;"",IF(AND(B222&gt;=_TM1,B222&lt;=_TM2,OR(TH!L222="1111",TH!M222="1111")),TH!D222,""),"")</f>
        <v>C29</v>
      </c>
      <c r="B222" s="13">
        <f t="shared" si="8"/>
        <v>12</v>
      </c>
      <c r="C222" s="112">
        <f t="shared" si="9"/>
        <v>41271</v>
      </c>
      <c r="D222" s="107" t="s">
        <v>453</v>
      </c>
      <c r="E222" s="107">
        <v>41271</v>
      </c>
      <c r="F222" s="110" t="s">
        <v>297</v>
      </c>
      <c r="G222" s="396" t="s">
        <v>386</v>
      </c>
      <c r="H222" s="114" t="s">
        <v>384</v>
      </c>
      <c r="I222" s="132"/>
      <c r="J222" s="132"/>
      <c r="K222" s="306">
        <v>336364</v>
      </c>
      <c r="L222" s="115" t="s">
        <v>9</v>
      </c>
      <c r="M222" s="115" t="s">
        <v>46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>x</v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/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387">
        <v>12</v>
      </c>
      <c r="AC222" s="303"/>
    </row>
    <row r="223" spans="1:29" s="123" customFormat="1" ht="15.75" customHeight="1">
      <c r="A223" s="388" t="str">
        <f>IF(B223&lt;&gt;"",IF(AND(B223&gt;=_TM1,B223&lt;=_TM2,OR(TH!L223="1111",TH!M223="1111")),TH!D223,""),"")</f>
        <v/>
      </c>
      <c r="B223" s="13">
        <f t="shared" si="8"/>
        <v>12</v>
      </c>
      <c r="C223" s="112">
        <f t="shared" si="9"/>
        <v>41273</v>
      </c>
      <c r="D223" s="107" t="s">
        <v>455</v>
      </c>
      <c r="E223" s="107">
        <v>41273</v>
      </c>
      <c r="F223" s="110" t="s">
        <v>356</v>
      </c>
      <c r="G223" s="396" t="s">
        <v>389</v>
      </c>
      <c r="H223" s="5" t="s">
        <v>317</v>
      </c>
      <c r="I223" s="132">
        <v>550</v>
      </c>
      <c r="J223" s="132">
        <v>8556</v>
      </c>
      <c r="K223" s="14">
        <f>ROUND(I223*J223,0)</f>
        <v>4705800</v>
      </c>
      <c r="L223" s="115" t="s">
        <v>306</v>
      </c>
      <c r="M223" s="115" t="s">
        <v>8</v>
      </c>
      <c r="N223" s="22" t="str">
        <f>IF(AND('331-CT'!$E$7=TH!H223,OR(L223="331",M223="331")),"331",IF(AND(OR(L223="131",M223="131"),H223='131-CT'!$E$7),"131",""))</f>
        <v>331</v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/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/>
      </c>
      <c r="Y223" s="22" t="str">
        <f>IF(AND(B223&lt;=NKC!$N$8,B223&gt;=NKC!$M$8),"x","")</f>
        <v>x</v>
      </c>
      <c r="Z223" s="387"/>
      <c r="AA223" s="303"/>
      <c r="AB223" s="303"/>
      <c r="AC223" s="303"/>
    </row>
    <row r="224" spans="1:29" s="123" customFormat="1" ht="15.75" customHeight="1">
      <c r="A224" s="388" t="str">
        <f>IF(B224&lt;&gt;"",IF(AND(B224&gt;=_TM1,B224&lt;=_TM2,OR(TH!L224="1111",TH!M224="1111")),TH!D224,""),"")</f>
        <v/>
      </c>
      <c r="B224" s="13">
        <f t="shared" si="8"/>
        <v>12</v>
      </c>
      <c r="C224" s="112">
        <f t="shared" si="9"/>
        <v>41273</v>
      </c>
      <c r="D224" s="107" t="s">
        <v>455</v>
      </c>
      <c r="E224" s="107">
        <v>41273</v>
      </c>
      <c r="F224" s="110" t="s">
        <v>390</v>
      </c>
      <c r="G224" s="396" t="s">
        <v>389</v>
      </c>
      <c r="H224" s="5" t="s">
        <v>317</v>
      </c>
      <c r="I224" s="132">
        <v>550</v>
      </c>
      <c r="J224" s="132">
        <v>11532</v>
      </c>
      <c r="K224" s="14">
        <f>ROUND(I224*J224,0)</f>
        <v>6342600</v>
      </c>
      <c r="L224" s="115" t="s">
        <v>306</v>
      </c>
      <c r="M224" s="115" t="s">
        <v>8</v>
      </c>
      <c r="N224" s="22" t="str">
        <f>IF(AND('331-CT'!$E$7=TH!H224,OR(L224="331",M224="331")),"331",IF(AND(OR(L224="131",M224="131"),H224='131-CT'!$E$7),"131",""))</f>
        <v>331</v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/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387"/>
      <c r="AC224" s="303"/>
    </row>
    <row r="225" spans="1:29" s="123" customFormat="1" ht="15.75" customHeight="1">
      <c r="A225" s="388" t="str">
        <f>IF(B225&lt;&gt;"",IF(AND(B225&gt;=_TM1,B225&lt;=_TM2,OR(TH!L225="1111",TH!M225="1111")),TH!D225,""),"")</f>
        <v/>
      </c>
      <c r="B225" s="13">
        <f t="shared" si="8"/>
        <v>12</v>
      </c>
      <c r="C225" s="112">
        <f t="shared" si="9"/>
        <v>41273</v>
      </c>
      <c r="D225" s="107" t="s">
        <v>455</v>
      </c>
      <c r="E225" s="107">
        <v>41273</v>
      </c>
      <c r="F225" s="110" t="s">
        <v>326</v>
      </c>
      <c r="G225" s="396" t="s">
        <v>389</v>
      </c>
      <c r="H225" s="5" t="s">
        <v>317</v>
      </c>
      <c r="I225" s="132">
        <v>500</v>
      </c>
      <c r="J225" s="132">
        <v>10298</v>
      </c>
      <c r="K225" s="14">
        <f>ROUND(I225*J225,0)</f>
        <v>5149000</v>
      </c>
      <c r="L225" s="115" t="s">
        <v>306</v>
      </c>
      <c r="M225" s="115" t="s">
        <v>8</v>
      </c>
      <c r="N225" s="22" t="str">
        <f>IF(AND('331-CT'!$E$7=TH!H225,OR(L225="331",M225="331")),"331",IF(AND(OR(L225="131",M225="131"),H225='131-CT'!$E$7),"131",""))</f>
        <v>331</v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387"/>
      <c r="AA225" s="303"/>
      <c r="AC225" s="303"/>
    </row>
    <row r="226" spans="1:29" s="123" customFormat="1" ht="15.75" customHeight="1">
      <c r="A226" s="388" t="str">
        <f>IF(B226&lt;&gt;"",IF(AND(B226&gt;=_TM1,B226&lt;=_TM2,OR(TH!L226="1111",TH!M226="1111")),TH!D226,""),"")</f>
        <v/>
      </c>
      <c r="B226" s="13">
        <f t="shared" si="8"/>
        <v>12</v>
      </c>
      <c r="C226" s="112">
        <f t="shared" si="9"/>
        <v>41273</v>
      </c>
      <c r="D226" s="107" t="s">
        <v>455</v>
      </c>
      <c r="E226" s="107">
        <v>41273</v>
      </c>
      <c r="F226" s="110" t="s">
        <v>319</v>
      </c>
      <c r="G226" s="396" t="s">
        <v>389</v>
      </c>
      <c r="H226" s="5" t="s">
        <v>317</v>
      </c>
      <c r="I226" s="132"/>
      <c r="J226" s="132"/>
      <c r="K226" s="14">
        <v>1619740</v>
      </c>
      <c r="L226" s="115" t="s">
        <v>9</v>
      </c>
      <c r="M226" s="115" t="s">
        <v>8</v>
      </c>
      <c r="N226" s="22" t="str">
        <f>IF(AND('331-CT'!$E$7=TH!H226,OR(L226="331",M226="331")),"331",IF(AND(OR(L226="131",M226="131"),H226='131-CT'!$E$7),"131",""))</f>
        <v>331</v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387">
        <v>12</v>
      </c>
      <c r="AA226" s="303"/>
      <c r="AB226" s="303"/>
      <c r="AC226" s="303"/>
    </row>
    <row r="227" spans="1:29" s="123" customFormat="1" ht="15.75" customHeight="1">
      <c r="A227" s="388" t="str">
        <f>IF(B227&lt;&gt;"",IF(AND(B227&gt;=_TM1,B227&lt;=_TM2,OR(TH!L227="1111",TH!M227="1111")),TH!D227,""),"")</f>
        <v>C30</v>
      </c>
      <c r="B227" s="13">
        <f t="shared" si="8"/>
        <v>12</v>
      </c>
      <c r="C227" s="112">
        <f t="shared" si="9"/>
        <v>41273</v>
      </c>
      <c r="D227" s="112" t="s">
        <v>454</v>
      </c>
      <c r="E227" s="107">
        <v>41273</v>
      </c>
      <c r="F227" s="110" t="s">
        <v>411</v>
      </c>
      <c r="G227" s="396" t="s">
        <v>389</v>
      </c>
      <c r="H227" s="5" t="s">
        <v>317</v>
      </c>
      <c r="I227" s="132"/>
      <c r="J227" s="132"/>
      <c r="K227" s="14">
        <v>17817140</v>
      </c>
      <c r="L227" s="115" t="s">
        <v>8</v>
      </c>
      <c r="M227" s="115" t="s">
        <v>46</v>
      </c>
      <c r="N227" s="22" t="str">
        <f>IF(AND('331-CT'!$E$7=TH!H227,OR(L227="331",M227="331")),"331",IF(AND(OR(L227="131",M227="131"),H227='131-CT'!$E$7),"131",""))</f>
        <v>331</v>
      </c>
      <c r="O227" s="22" t="str">
        <f>IF(AND($B227&gt;='111'!$N$11,$B227&lt;='111'!$O$11,OR($L227=$O$7,$M227=$O$7)),"x","")</f>
        <v>x</v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387"/>
      <c r="AA227" s="303"/>
    </row>
    <row r="228" spans="1:29" s="123" customFormat="1" ht="15.75" customHeight="1">
      <c r="A228" s="388" t="str">
        <f>IF(B228&lt;&gt;"",IF(AND(B228&gt;=_TM1,B228&lt;=_TM2,OR(TH!L228="1111",TH!M228="1111")),TH!D228,""),"")</f>
        <v>C31</v>
      </c>
      <c r="B228" s="13">
        <f t="shared" si="8"/>
        <v>12</v>
      </c>
      <c r="C228" s="112">
        <f t="shared" si="9"/>
        <v>41273</v>
      </c>
      <c r="D228" s="112" t="s">
        <v>456</v>
      </c>
      <c r="E228" s="107">
        <v>41273</v>
      </c>
      <c r="F228" s="110" t="s">
        <v>296</v>
      </c>
      <c r="G228" s="396" t="s">
        <v>385</v>
      </c>
      <c r="H228" s="114" t="s">
        <v>384</v>
      </c>
      <c r="I228" s="132"/>
      <c r="J228" s="132"/>
      <c r="K228" s="306">
        <v>2545455</v>
      </c>
      <c r="L228" s="115" t="s">
        <v>82</v>
      </c>
      <c r="M228" s="115" t="s">
        <v>46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>x</v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387"/>
      <c r="AA228" s="303"/>
      <c r="AB228" s="303"/>
      <c r="AC228" s="303"/>
    </row>
    <row r="229" spans="1:29" s="123" customFormat="1" ht="15.75" customHeight="1">
      <c r="A229" s="388" t="str">
        <f>IF(B229&lt;&gt;"",IF(AND(B229&gt;=_TM1,B229&lt;=_TM2,OR(TH!L229="1111",TH!M229="1111")),TH!D229,""),"")</f>
        <v>C31</v>
      </c>
      <c r="B229" s="13">
        <f t="shared" si="8"/>
        <v>12</v>
      </c>
      <c r="C229" s="112">
        <f t="shared" si="9"/>
        <v>41273</v>
      </c>
      <c r="D229" s="112" t="s">
        <v>456</v>
      </c>
      <c r="E229" s="107">
        <v>41273</v>
      </c>
      <c r="F229" s="110" t="s">
        <v>297</v>
      </c>
      <c r="G229" s="396" t="s">
        <v>385</v>
      </c>
      <c r="H229" s="114" t="s">
        <v>384</v>
      </c>
      <c r="I229" s="132"/>
      <c r="J229" s="132"/>
      <c r="K229" s="306">
        <v>254545</v>
      </c>
      <c r="L229" s="115" t="s">
        <v>9</v>
      </c>
      <c r="M229" s="115" t="s">
        <v>46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>x</v>
      </c>
      <c r="P229" s="22" t="str">
        <f>IF(AND($L229=$O$7,$B229&lt;'111'!$N$11),"x","")</f>
        <v/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/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387">
        <v>12</v>
      </c>
      <c r="AA229" s="303"/>
      <c r="AB229" s="303"/>
      <c r="AC229" s="303"/>
    </row>
    <row r="230" spans="1:29" s="123" customFormat="1" ht="15.75" customHeight="1">
      <c r="A230" s="388" t="str">
        <f>IF(B230&lt;&gt;"",IF(AND(B230&gt;=_TM1,B230&lt;=_TM2,OR(TH!L230="1111",TH!M230="1111")),TH!D230,""),"")</f>
        <v/>
      </c>
      <c r="B230" s="13">
        <f t="shared" si="8"/>
        <v>12</v>
      </c>
      <c r="C230" s="112">
        <f t="shared" si="9"/>
        <v>41274</v>
      </c>
      <c r="D230" s="107" t="s">
        <v>398</v>
      </c>
      <c r="E230" s="107">
        <v>41274</v>
      </c>
      <c r="F230" s="110" t="s">
        <v>405</v>
      </c>
      <c r="G230" s="395" t="s">
        <v>305</v>
      </c>
      <c r="H230" s="114"/>
      <c r="I230" s="132"/>
      <c r="J230" s="132"/>
      <c r="K230" s="306">
        <v>7199</v>
      </c>
      <c r="L230" s="307" t="s">
        <v>24</v>
      </c>
      <c r="M230" s="307" t="s">
        <v>39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>x</v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387"/>
      <c r="AA230" s="303"/>
      <c r="AB230" s="303"/>
      <c r="AC230" s="303"/>
    </row>
    <row r="231" spans="1:29" s="123" customFormat="1" ht="15.75" customHeight="1">
      <c r="A231" s="388" t="str">
        <f>IF(B231&lt;&gt;"",IF(AND(B231&gt;=_TM1,B231&lt;=_TM2,OR(TH!L231="1111",TH!M231="1111")),TH!D231,""),"")</f>
        <v/>
      </c>
      <c r="B231" s="13">
        <f t="shared" si="8"/>
        <v>12</v>
      </c>
      <c r="C231" s="112">
        <f t="shared" si="9"/>
        <v>41274</v>
      </c>
      <c r="D231" s="107" t="s">
        <v>410</v>
      </c>
      <c r="E231" s="107">
        <v>41274</v>
      </c>
      <c r="F231" s="110" t="s">
        <v>400</v>
      </c>
      <c r="G231" s="395" t="s">
        <v>305</v>
      </c>
      <c r="H231" s="114"/>
      <c r="I231" s="132"/>
      <c r="J231" s="132"/>
      <c r="K231" s="306">
        <v>11000</v>
      </c>
      <c r="L231" s="307" t="s">
        <v>82</v>
      </c>
      <c r="M231" s="307" t="s">
        <v>24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>x</v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387"/>
      <c r="AA231" s="303"/>
      <c r="AB231" s="303"/>
      <c r="AC231" s="303"/>
    </row>
    <row r="232" spans="1:29" s="123" customFormat="1" ht="15.75" customHeight="1">
      <c r="A232" s="388" t="str">
        <f>IF(B232&lt;&gt;"",IF(AND(B232&gt;=_TM1,B232&lt;=_TM2,OR(TH!L232="1111",TH!M232="1111")),TH!D232,""),"")</f>
        <v>C32</v>
      </c>
      <c r="B232" s="13">
        <f t="shared" si="8"/>
        <v>12</v>
      </c>
      <c r="C232" s="112">
        <f t="shared" si="9"/>
        <v>41274</v>
      </c>
      <c r="D232" s="107" t="s">
        <v>457</v>
      </c>
      <c r="E232" s="107">
        <v>41274</v>
      </c>
      <c r="F232" s="110" t="s">
        <v>364</v>
      </c>
      <c r="G232" s="396" t="s">
        <v>295</v>
      </c>
      <c r="H232" s="114" t="s">
        <v>388</v>
      </c>
      <c r="I232" s="132"/>
      <c r="J232" s="132"/>
      <c r="K232" s="306">
        <v>3000000</v>
      </c>
      <c r="L232" s="115" t="s">
        <v>82</v>
      </c>
      <c r="M232" s="115" t="s">
        <v>46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>x</v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387"/>
      <c r="AA232" s="303"/>
      <c r="AC232" s="303"/>
    </row>
    <row r="233" spans="1:29" s="123" customFormat="1" ht="15.75" customHeight="1">
      <c r="A233" s="388" t="str">
        <f>IF(B233&lt;&gt;"",IF(AND(B233&gt;=_TM1,B233&lt;=_TM2,OR(TH!L233="1111",TH!M233="1111")),TH!D233,""),"")</f>
        <v>C32</v>
      </c>
      <c r="B233" s="13">
        <f t="shared" si="8"/>
        <v>12</v>
      </c>
      <c r="C233" s="112">
        <f t="shared" si="9"/>
        <v>41274</v>
      </c>
      <c r="D233" s="107" t="s">
        <v>457</v>
      </c>
      <c r="E233" s="107">
        <v>41274</v>
      </c>
      <c r="F233" s="110" t="s">
        <v>365</v>
      </c>
      <c r="G233" s="396" t="s">
        <v>295</v>
      </c>
      <c r="H233" s="114" t="s">
        <v>388</v>
      </c>
      <c r="I233" s="132"/>
      <c r="J233" s="132"/>
      <c r="K233" s="306">
        <v>300000</v>
      </c>
      <c r="L233" s="115" t="s">
        <v>9</v>
      </c>
      <c r="M233" s="115" t="s">
        <v>46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>x</v>
      </c>
      <c r="P233" s="22" t="str">
        <f>IF(AND($L233=$O$7,$B233&lt;'111'!$N$11),"x","")</f>
        <v/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387">
        <v>12</v>
      </c>
      <c r="AA233" s="303"/>
      <c r="AB233" s="303"/>
      <c r="AC233" s="303"/>
    </row>
    <row r="234" spans="1:29" s="123" customFormat="1" ht="15.75" customHeight="1">
      <c r="A234" s="388" t="str">
        <f>IF(B234&lt;&gt;"",IF(AND(B234&gt;=_TM1,B234&lt;=_TM2,OR(TH!L234="1111",TH!M234="1111")),TH!D234,""),"")</f>
        <v>C33</v>
      </c>
      <c r="B234" s="13">
        <f t="shared" si="8"/>
        <v>12</v>
      </c>
      <c r="C234" s="112">
        <f t="shared" si="9"/>
        <v>41274</v>
      </c>
      <c r="D234" s="107" t="s">
        <v>458</v>
      </c>
      <c r="E234" s="107">
        <v>41274</v>
      </c>
      <c r="F234" s="110" t="s">
        <v>286</v>
      </c>
      <c r="G234" s="396" t="s">
        <v>394</v>
      </c>
      <c r="H234" s="114" t="s">
        <v>347</v>
      </c>
      <c r="I234" s="132"/>
      <c r="J234" s="132"/>
      <c r="K234" s="306">
        <v>1137500</v>
      </c>
      <c r="L234" s="307" t="s">
        <v>154</v>
      </c>
      <c r="M234" s="307" t="s">
        <v>46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>x</v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387"/>
      <c r="AA234" s="303"/>
      <c r="AC234" s="303"/>
    </row>
    <row r="235" spans="1:29" s="123" customFormat="1" ht="15.75" customHeight="1">
      <c r="A235" s="388" t="str">
        <f>IF(B235&lt;&gt;"",IF(AND(B235&gt;=_TM1,B235&lt;=_TM2,OR(TH!L235="1111",TH!M235="1111")),TH!D235,""),"")</f>
        <v/>
      </c>
      <c r="B235" s="13">
        <f t="shared" si="8"/>
        <v>12</v>
      </c>
      <c r="C235" s="112">
        <f t="shared" si="9"/>
        <v>41274</v>
      </c>
      <c r="D235" s="112" t="s">
        <v>257</v>
      </c>
      <c r="E235" s="112">
        <v>41274</v>
      </c>
      <c r="F235" s="113" t="s">
        <v>515</v>
      </c>
      <c r="G235" s="396"/>
      <c r="H235" s="114" t="s">
        <v>338</v>
      </c>
      <c r="I235" s="132"/>
      <c r="J235" s="132"/>
      <c r="K235" s="306">
        <v>959303</v>
      </c>
      <c r="L235" s="307" t="s">
        <v>9</v>
      </c>
      <c r="M235" s="307" t="s">
        <v>17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387"/>
      <c r="AA235" s="303"/>
    </row>
    <row r="236" spans="1:29" s="123" customFormat="1" ht="15.75" customHeight="1">
      <c r="A236" s="388" t="str">
        <f>IF(B236&lt;&gt;"",IF(AND(B236&gt;=_TM1,B236&lt;=_TM2,OR(TH!L236="1111",TH!M236="1111")),TH!D236,""),"")</f>
        <v/>
      </c>
      <c r="B236" s="13">
        <f t="shared" si="8"/>
        <v>12</v>
      </c>
      <c r="C236" s="112">
        <f t="shared" si="9"/>
        <v>41274</v>
      </c>
      <c r="D236" s="112" t="s">
        <v>257</v>
      </c>
      <c r="E236" s="112">
        <v>41274</v>
      </c>
      <c r="F236" s="113" t="s">
        <v>723</v>
      </c>
      <c r="G236" s="396"/>
      <c r="H236" s="114"/>
      <c r="I236" s="132"/>
      <c r="J236" s="132"/>
      <c r="K236" s="306">
        <v>9600000</v>
      </c>
      <c r="L236" s="307" t="s">
        <v>82</v>
      </c>
      <c r="M236" s="307" t="s">
        <v>243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387"/>
      <c r="AA236" s="303"/>
    </row>
    <row r="237" spans="1:29" s="123" customFormat="1" ht="15.75" customHeight="1">
      <c r="A237" s="388" t="str">
        <f>IF(B237&lt;&gt;"",IF(AND(B237&gt;=_TM1,B237&lt;=_TM2,OR(TH!L237="1111",TH!M237="1111")),TH!D237,""),"")</f>
        <v/>
      </c>
      <c r="B237" s="13">
        <f t="shared" si="8"/>
        <v>12</v>
      </c>
      <c r="C237" s="112">
        <f t="shared" si="9"/>
        <v>41274</v>
      </c>
      <c r="D237" s="112" t="s">
        <v>257</v>
      </c>
      <c r="E237" s="112">
        <v>41274</v>
      </c>
      <c r="F237" s="113" t="s">
        <v>722</v>
      </c>
      <c r="G237" s="396"/>
      <c r="H237" s="114"/>
      <c r="I237" s="132"/>
      <c r="J237" s="132"/>
      <c r="K237" s="306">
        <v>5685000</v>
      </c>
      <c r="L237" s="307" t="s">
        <v>154</v>
      </c>
      <c r="M237" s="307" t="s">
        <v>243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387"/>
      <c r="AA237" s="303"/>
    </row>
    <row r="238" spans="1:29" s="123" customFormat="1" ht="15.75" customHeight="1">
      <c r="A238" s="388" t="str">
        <f>IF(B238&lt;&gt;"",IF(AND(B238&gt;=_TM1,B238&lt;=_TM2,OR(TH!L238="1111",TH!M238="1111")),TH!D238,""),"")</f>
        <v>C34</v>
      </c>
      <c r="B238" s="13">
        <f t="shared" si="8"/>
        <v>12</v>
      </c>
      <c r="C238" s="112">
        <f t="shared" si="9"/>
        <v>41274</v>
      </c>
      <c r="D238" s="107" t="s">
        <v>728</v>
      </c>
      <c r="E238" s="112">
        <v>41274</v>
      </c>
      <c r="F238" s="113" t="s">
        <v>727</v>
      </c>
      <c r="G238" s="396"/>
      <c r="H238" s="114" t="s">
        <v>715</v>
      </c>
      <c r="I238" s="132"/>
      <c r="J238" s="132"/>
      <c r="K238" s="306">
        <f>K236+K237</f>
        <v>15285000</v>
      </c>
      <c r="L238" s="307" t="s">
        <v>243</v>
      </c>
      <c r="M238" s="307" t="s">
        <v>46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>x</v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387"/>
      <c r="AA238" s="303"/>
    </row>
    <row r="239" spans="1:29" s="123" customFormat="1" ht="15.75" customHeight="1">
      <c r="A239" s="388" t="str">
        <f>IF(B239&lt;&gt;"",IF(AND(B239&gt;=_TM1,B239&lt;=_TM2,OR(TH!L239="1111",TH!M239="1111")),TH!D239,""),"")</f>
        <v/>
      </c>
      <c r="B239" s="13">
        <f t="shared" si="8"/>
        <v>12</v>
      </c>
      <c r="C239" s="112">
        <f t="shared" si="9"/>
        <v>41274</v>
      </c>
      <c r="D239" s="112" t="s">
        <v>517</v>
      </c>
      <c r="E239" s="112">
        <v>41274</v>
      </c>
      <c r="F239" s="113" t="s">
        <v>377</v>
      </c>
      <c r="G239" s="396"/>
      <c r="H239" s="114" t="s">
        <v>551</v>
      </c>
      <c r="I239" s="132">
        <v>800</v>
      </c>
      <c r="J239" s="132">
        <v>11693</v>
      </c>
      <c r="K239" s="306">
        <f t="shared" ref="K239:K270" si="10">ROUND(I239*J239,0)</f>
        <v>9354400</v>
      </c>
      <c r="L239" s="307" t="s">
        <v>154</v>
      </c>
      <c r="M239" s="307" t="s">
        <v>306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/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387"/>
      <c r="AA239" s="303"/>
    </row>
    <row r="240" spans="1:29" s="123" customFormat="1" ht="15.75" customHeight="1">
      <c r="A240" s="388" t="str">
        <f>IF(B240&lt;&gt;"",IF(AND(B240&gt;=_TM1,B240&lt;=_TM2,OR(TH!L240="1111",TH!M240="1111")),TH!D240,""),"")</f>
        <v/>
      </c>
      <c r="B240" s="13">
        <f t="shared" si="8"/>
        <v>12</v>
      </c>
      <c r="C240" s="112">
        <f t="shared" si="9"/>
        <v>41274</v>
      </c>
      <c r="D240" s="112" t="s">
        <v>517</v>
      </c>
      <c r="E240" s="112">
        <v>41274</v>
      </c>
      <c r="F240" s="113" t="s">
        <v>378</v>
      </c>
      <c r="G240" s="396"/>
      <c r="H240" s="114" t="s">
        <v>551</v>
      </c>
      <c r="I240" s="132">
        <v>60</v>
      </c>
      <c r="J240" s="132">
        <v>19110</v>
      </c>
      <c r="K240" s="306">
        <f t="shared" si="10"/>
        <v>1146600</v>
      </c>
      <c r="L240" s="307" t="s">
        <v>154</v>
      </c>
      <c r="M240" s="307" t="s">
        <v>306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387"/>
      <c r="AA240" s="303"/>
    </row>
    <row r="241" spans="1:27" s="123" customFormat="1" ht="15.75" customHeight="1">
      <c r="A241" s="388" t="str">
        <f>IF(B241&lt;&gt;"",IF(AND(B241&gt;=_TM1,B241&lt;=_TM2,OR(TH!L241="1111",TH!M241="1111")),TH!D241,""),"")</f>
        <v/>
      </c>
      <c r="B241" s="13">
        <f t="shared" si="8"/>
        <v>12</v>
      </c>
      <c r="C241" s="112">
        <f t="shared" si="9"/>
        <v>41274</v>
      </c>
      <c r="D241" s="112" t="s">
        <v>517</v>
      </c>
      <c r="E241" s="112">
        <v>41274</v>
      </c>
      <c r="F241" s="113" t="s">
        <v>353</v>
      </c>
      <c r="G241" s="396"/>
      <c r="H241" s="114" t="s">
        <v>551</v>
      </c>
      <c r="I241" s="132">
        <v>1101</v>
      </c>
      <c r="J241" s="132">
        <v>12750</v>
      </c>
      <c r="K241" s="306">
        <f t="shared" si="10"/>
        <v>14037750</v>
      </c>
      <c r="L241" s="307" t="s">
        <v>154</v>
      </c>
      <c r="M241" s="307" t="s">
        <v>306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387"/>
      <c r="AA241" s="303"/>
    </row>
    <row r="242" spans="1:27" s="123" customFormat="1" ht="15.75" customHeight="1">
      <c r="A242" s="388" t="str">
        <f>IF(B242&lt;&gt;"",IF(AND(B242&gt;=_TM1,B242&lt;=_TM2,OR(TH!L242="1111",TH!M242="1111")),TH!D242,""),"")</f>
        <v/>
      </c>
      <c r="B242" s="13">
        <f t="shared" si="8"/>
        <v>12</v>
      </c>
      <c r="C242" s="112">
        <f t="shared" si="9"/>
        <v>41274</v>
      </c>
      <c r="D242" s="112" t="s">
        <v>517</v>
      </c>
      <c r="E242" s="112">
        <v>41274</v>
      </c>
      <c r="F242" s="113" t="s">
        <v>390</v>
      </c>
      <c r="G242" s="396"/>
      <c r="H242" s="114" t="s">
        <v>551</v>
      </c>
      <c r="I242" s="132">
        <v>400</v>
      </c>
      <c r="J242" s="132">
        <v>11532</v>
      </c>
      <c r="K242" s="306">
        <f t="shared" si="10"/>
        <v>4612800</v>
      </c>
      <c r="L242" s="307" t="s">
        <v>154</v>
      </c>
      <c r="M242" s="307" t="s">
        <v>306</v>
      </c>
      <c r="N242" s="22" t="str">
        <f>IF(AND('331-CT'!$E$7=TH!H242,OR(L242="331",M242="331")),"331",IF(AND(OR(L242="131",M242="131"),H242='131-CT'!$E$7),"131",""))</f>
        <v/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387"/>
      <c r="AA242" s="303"/>
    </row>
    <row r="243" spans="1:27" s="123" customFormat="1" ht="15.75" customHeight="1">
      <c r="A243" s="388" t="str">
        <f>IF(B243&lt;&gt;"",IF(AND(B243&gt;=_TM1,B243&lt;=_TM2,OR(TH!L243="1111",TH!M243="1111")),TH!D243,""),"")</f>
        <v/>
      </c>
      <c r="B243" s="13">
        <f t="shared" si="8"/>
        <v>12</v>
      </c>
      <c r="C243" s="112">
        <f t="shared" si="9"/>
        <v>41274</v>
      </c>
      <c r="D243" s="112" t="s">
        <v>517</v>
      </c>
      <c r="E243" s="112">
        <v>41274</v>
      </c>
      <c r="F243" s="113" t="s">
        <v>350</v>
      </c>
      <c r="G243" s="396"/>
      <c r="H243" s="114" t="s">
        <v>551</v>
      </c>
      <c r="I243" s="132">
        <v>100</v>
      </c>
      <c r="J243" s="132">
        <v>13020</v>
      </c>
      <c r="K243" s="306">
        <f t="shared" si="10"/>
        <v>1302000</v>
      </c>
      <c r="L243" s="307" t="s">
        <v>154</v>
      </c>
      <c r="M243" s="307" t="s">
        <v>306</v>
      </c>
      <c r="N243" s="22" t="str">
        <f>IF(AND('331-CT'!$E$7=TH!H243,OR(L243="331",M243="331")),"331",IF(AND(OR(L243="131",M243="131"),H243='131-CT'!$E$7),"131",""))</f>
        <v/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387"/>
      <c r="AA243" s="303"/>
    </row>
    <row r="244" spans="1:27" s="123" customFormat="1" ht="15.75" customHeight="1">
      <c r="A244" s="388" t="str">
        <f>IF(B244&lt;&gt;"",IF(AND(B244&gt;=_TM1,B244&lt;=_TM2,OR(TH!L244="1111",TH!M244="1111")),TH!D244,""),"")</f>
        <v/>
      </c>
      <c r="B244" s="13">
        <f t="shared" si="8"/>
        <v>12</v>
      </c>
      <c r="C244" s="112">
        <f t="shared" si="9"/>
        <v>41274</v>
      </c>
      <c r="D244" s="112" t="s">
        <v>517</v>
      </c>
      <c r="E244" s="112">
        <v>41274</v>
      </c>
      <c r="F244" s="113" t="s">
        <v>350</v>
      </c>
      <c r="G244" s="396"/>
      <c r="H244" s="114" t="s">
        <v>551</v>
      </c>
      <c r="I244" s="132">
        <v>40</v>
      </c>
      <c r="J244" s="132">
        <v>13020</v>
      </c>
      <c r="K244" s="306">
        <f t="shared" si="10"/>
        <v>520800</v>
      </c>
      <c r="L244" s="307" t="s">
        <v>154</v>
      </c>
      <c r="M244" s="307" t="s">
        <v>306</v>
      </c>
      <c r="N244" s="22" t="str">
        <f>IF(AND('331-CT'!$E$7=TH!H244,OR(L244="331",M244="331")),"331",IF(AND(OR(L244="131",M244="131"),H244='131-CT'!$E$7),"131",""))</f>
        <v/>
      </c>
      <c r="O244" s="22" t="str">
        <f>IF(AND($B244&gt;='111'!$N$11,$B244&lt;='111'!$O$11,OR($L244=$O$7,$M244=$O$7)),"x","")</f>
        <v/>
      </c>
      <c r="P244" s="22" t="str">
        <f>IF(AND($L244=$O$7,$B244&lt;'111'!$N$11),"x","")</f>
        <v/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387"/>
      <c r="AA244" s="303"/>
    </row>
    <row r="245" spans="1:27" s="123" customFormat="1" ht="15.75" customHeight="1">
      <c r="A245" s="388" t="str">
        <f>IF(B245&lt;&gt;"",IF(AND(B245&gt;=_TM1,B245&lt;=_TM2,OR(TH!L245="1111",TH!M245="1111")),TH!D245,""),"")</f>
        <v/>
      </c>
      <c r="B245" s="13">
        <f t="shared" si="8"/>
        <v>12</v>
      </c>
      <c r="C245" s="112">
        <f t="shared" si="9"/>
        <v>41274</v>
      </c>
      <c r="D245" s="112" t="s">
        <v>517</v>
      </c>
      <c r="E245" s="112">
        <v>41274</v>
      </c>
      <c r="F245" s="113" t="s">
        <v>350</v>
      </c>
      <c r="G245" s="396"/>
      <c r="H245" s="114" t="s">
        <v>551</v>
      </c>
      <c r="I245" s="132">
        <v>180</v>
      </c>
      <c r="J245" s="132">
        <v>13020</v>
      </c>
      <c r="K245" s="306">
        <f t="shared" si="10"/>
        <v>2343600</v>
      </c>
      <c r="L245" s="307" t="s">
        <v>154</v>
      </c>
      <c r="M245" s="307" t="s">
        <v>306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387"/>
      <c r="AA245" s="303"/>
    </row>
    <row r="246" spans="1:27" s="123" customFormat="1" ht="15.75" customHeight="1">
      <c r="A246" s="388" t="str">
        <f>IF(B246&lt;&gt;"",IF(AND(B246&gt;=_TM1,B246&lt;=_TM2,OR(TH!L246="1111",TH!M246="1111")),TH!D246,""),"")</f>
        <v/>
      </c>
      <c r="B246" s="13">
        <f t="shared" si="8"/>
        <v>12</v>
      </c>
      <c r="C246" s="112">
        <f t="shared" si="9"/>
        <v>41274</v>
      </c>
      <c r="D246" s="112" t="s">
        <v>517</v>
      </c>
      <c r="E246" s="112">
        <v>41274</v>
      </c>
      <c r="F246" s="113" t="s">
        <v>350</v>
      </c>
      <c r="G246" s="396"/>
      <c r="H246" s="114" t="s">
        <v>551</v>
      </c>
      <c r="I246" s="132">
        <v>180</v>
      </c>
      <c r="J246" s="132">
        <v>13020</v>
      </c>
      <c r="K246" s="306">
        <f t="shared" si="10"/>
        <v>2343600</v>
      </c>
      <c r="L246" s="307" t="s">
        <v>154</v>
      </c>
      <c r="M246" s="307" t="s">
        <v>306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387"/>
      <c r="AA246" s="303"/>
    </row>
    <row r="247" spans="1:27" s="123" customFormat="1" ht="15.75" customHeight="1">
      <c r="A247" s="388" t="str">
        <f>IF(B247&lt;&gt;"",IF(AND(B247&gt;=_TM1,B247&lt;=_TM2,OR(TH!L247="1111",TH!M247="1111")),TH!D247,""),"")</f>
        <v/>
      </c>
      <c r="B247" s="13">
        <f t="shared" si="8"/>
        <v>12</v>
      </c>
      <c r="C247" s="112">
        <f t="shared" si="9"/>
        <v>41274</v>
      </c>
      <c r="D247" s="112" t="s">
        <v>517</v>
      </c>
      <c r="E247" s="112">
        <v>41274</v>
      </c>
      <c r="F247" s="113" t="s">
        <v>352</v>
      </c>
      <c r="G247" s="396"/>
      <c r="H247" s="114" t="s">
        <v>551</v>
      </c>
      <c r="I247" s="132">
        <v>505</v>
      </c>
      <c r="J247" s="132">
        <v>12124</v>
      </c>
      <c r="K247" s="306">
        <f t="shared" si="10"/>
        <v>6122620</v>
      </c>
      <c r="L247" s="307" t="s">
        <v>154</v>
      </c>
      <c r="M247" s="307" t="s">
        <v>306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/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387"/>
      <c r="AA247" s="303"/>
    </row>
    <row r="248" spans="1:27" s="123" customFormat="1" ht="15.75" customHeight="1">
      <c r="A248" s="388" t="str">
        <f>IF(B248&lt;&gt;"",IF(AND(B248&gt;=_TM1,B248&lt;=_TM2,OR(TH!L248="1111",TH!M248="1111")),TH!D248,""),"")</f>
        <v/>
      </c>
      <c r="B248" s="13">
        <f t="shared" si="8"/>
        <v>12</v>
      </c>
      <c r="C248" s="112">
        <f t="shared" si="9"/>
        <v>41274</v>
      </c>
      <c r="D248" s="112" t="s">
        <v>517</v>
      </c>
      <c r="E248" s="112">
        <v>41274</v>
      </c>
      <c r="F248" s="113" t="s">
        <v>392</v>
      </c>
      <c r="G248" s="396"/>
      <c r="H248" s="114" t="s">
        <v>551</v>
      </c>
      <c r="I248" s="132">
        <v>750</v>
      </c>
      <c r="J248" s="132">
        <v>9672</v>
      </c>
      <c r="K248" s="306">
        <f t="shared" si="10"/>
        <v>7254000</v>
      </c>
      <c r="L248" s="307" t="s">
        <v>154</v>
      </c>
      <c r="M248" s="307" t="s">
        <v>306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/>
      </c>
      <c r="Y248" s="22" t="str">
        <f>IF(AND(B248&lt;=NKC!$N$8,B248&gt;=NKC!$M$8),"x","")</f>
        <v>x</v>
      </c>
      <c r="Z248" s="387"/>
      <c r="AA248" s="303"/>
    </row>
    <row r="249" spans="1:27" s="123" customFormat="1" ht="15.75" customHeight="1">
      <c r="A249" s="388" t="str">
        <f>IF(B249&lt;&gt;"",IF(AND(B249&gt;=_TM1,B249&lt;=_TM2,OR(TH!L249="1111",TH!M249="1111")),TH!D249,""),"")</f>
        <v/>
      </c>
      <c r="B249" s="13">
        <f t="shared" si="8"/>
        <v>12</v>
      </c>
      <c r="C249" s="112">
        <f t="shared" si="9"/>
        <v>41274</v>
      </c>
      <c r="D249" s="112" t="s">
        <v>517</v>
      </c>
      <c r="E249" s="112">
        <v>41274</v>
      </c>
      <c r="F249" s="113" t="s">
        <v>349</v>
      </c>
      <c r="G249" s="396"/>
      <c r="H249" s="114" t="s">
        <v>551</v>
      </c>
      <c r="I249" s="132">
        <v>412</v>
      </c>
      <c r="J249" s="132">
        <v>10286</v>
      </c>
      <c r="K249" s="306">
        <f t="shared" si="10"/>
        <v>4237832</v>
      </c>
      <c r="L249" s="307" t="s">
        <v>154</v>
      </c>
      <c r="M249" s="307" t="s">
        <v>306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387"/>
      <c r="AA249" s="303"/>
    </row>
    <row r="250" spans="1:27" s="123" customFormat="1" ht="15.75" customHeight="1">
      <c r="A250" s="388" t="str">
        <f>IF(B250&lt;&gt;"",IF(AND(B250&gt;=_TM1,B250&lt;=_TM2,OR(TH!L250="1111",TH!M250="1111")),TH!D250,""),"")</f>
        <v/>
      </c>
      <c r="B250" s="13">
        <f t="shared" si="8"/>
        <v>12</v>
      </c>
      <c r="C250" s="112">
        <f t="shared" si="9"/>
        <v>41274</v>
      </c>
      <c r="D250" s="112" t="s">
        <v>517</v>
      </c>
      <c r="E250" s="112">
        <v>41274</v>
      </c>
      <c r="F250" s="113" t="s">
        <v>353</v>
      </c>
      <c r="G250" s="396"/>
      <c r="H250" s="114" t="s">
        <v>551</v>
      </c>
      <c r="I250" s="132">
        <v>399</v>
      </c>
      <c r="J250" s="132">
        <v>12750</v>
      </c>
      <c r="K250" s="306">
        <f t="shared" si="10"/>
        <v>5087250</v>
      </c>
      <c r="L250" s="307" t="s">
        <v>154</v>
      </c>
      <c r="M250" s="307" t="s">
        <v>306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/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387"/>
      <c r="AA250" s="303"/>
    </row>
    <row r="251" spans="1:27" s="123" customFormat="1" ht="15.75" customHeight="1">
      <c r="A251" s="388" t="str">
        <f>IF(B251&lt;&gt;"",IF(AND(B251&gt;=_TM1,B251&lt;=_TM2,OR(TH!L251="1111",TH!M251="1111")),TH!D251,""),"")</f>
        <v/>
      </c>
      <c r="B251" s="13">
        <f t="shared" si="8"/>
        <v>12</v>
      </c>
      <c r="C251" s="112">
        <f t="shared" si="9"/>
        <v>41274</v>
      </c>
      <c r="D251" s="112" t="s">
        <v>517</v>
      </c>
      <c r="E251" s="112">
        <v>41274</v>
      </c>
      <c r="F251" s="113" t="s">
        <v>390</v>
      </c>
      <c r="G251" s="396"/>
      <c r="H251" s="114" t="s">
        <v>551</v>
      </c>
      <c r="I251" s="132">
        <v>150</v>
      </c>
      <c r="J251" s="132">
        <v>11532</v>
      </c>
      <c r="K251" s="306">
        <f t="shared" si="10"/>
        <v>1729800</v>
      </c>
      <c r="L251" s="307" t="s">
        <v>154</v>
      </c>
      <c r="M251" s="307" t="s">
        <v>306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/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387"/>
      <c r="AA251" s="303"/>
    </row>
    <row r="252" spans="1:27" s="123" customFormat="1" ht="15.75" customHeight="1">
      <c r="A252" s="388" t="str">
        <f>IF(B252&lt;&gt;"",IF(AND(B252&gt;=_TM1,B252&lt;=_TM2,OR(TH!L252="1111",TH!M252="1111")),TH!D252,""),"")</f>
        <v/>
      </c>
      <c r="B252" s="13">
        <f t="shared" si="8"/>
        <v>12</v>
      </c>
      <c r="C252" s="112">
        <f t="shared" si="9"/>
        <v>41274</v>
      </c>
      <c r="D252" s="112" t="s">
        <v>517</v>
      </c>
      <c r="E252" s="112">
        <v>41274</v>
      </c>
      <c r="F252" s="113" t="s">
        <v>327</v>
      </c>
      <c r="G252" s="396"/>
      <c r="H252" s="114" t="s">
        <v>551</v>
      </c>
      <c r="I252" s="132">
        <v>1260</v>
      </c>
      <c r="J252" s="132">
        <v>10855.523809523809</v>
      </c>
      <c r="K252" s="306">
        <f t="shared" si="10"/>
        <v>13677960</v>
      </c>
      <c r="L252" s="307" t="s">
        <v>154</v>
      </c>
      <c r="M252" s="307" t="s">
        <v>306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387"/>
      <c r="AA252" s="303"/>
    </row>
    <row r="253" spans="1:27" s="123" customFormat="1" ht="15.75" customHeight="1">
      <c r="A253" s="388" t="str">
        <f>IF(B253&lt;&gt;"",IF(AND(B253&gt;=_TM1,B253&lt;=_TM2,OR(TH!L253="1111",TH!M253="1111")),TH!D253,""),"")</f>
        <v/>
      </c>
      <c r="B253" s="13">
        <f t="shared" si="8"/>
        <v>12</v>
      </c>
      <c r="C253" s="112">
        <f t="shared" si="9"/>
        <v>41274</v>
      </c>
      <c r="D253" s="112" t="s">
        <v>517</v>
      </c>
      <c r="E253" s="112">
        <v>41274</v>
      </c>
      <c r="F253" s="113" t="s">
        <v>321</v>
      </c>
      <c r="G253" s="396"/>
      <c r="H253" s="114" t="s">
        <v>551</v>
      </c>
      <c r="I253" s="132">
        <v>283</v>
      </c>
      <c r="J253" s="132">
        <v>10844</v>
      </c>
      <c r="K253" s="306">
        <f t="shared" si="10"/>
        <v>3068852</v>
      </c>
      <c r="L253" s="307" t="s">
        <v>154</v>
      </c>
      <c r="M253" s="307" t="s">
        <v>306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/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387"/>
      <c r="AA253" s="303"/>
    </row>
    <row r="254" spans="1:27" s="123" customFormat="1" ht="15.75" customHeight="1">
      <c r="A254" s="388" t="str">
        <f>IF(B254&lt;&gt;"",IF(AND(B254&gt;=_TM1,B254&lt;=_TM2,OR(TH!L254="1111",TH!M254="1111")),TH!D254,""),"")</f>
        <v/>
      </c>
      <c r="B254" s="13">
        <f t="shared" si="8"/>
        <v>12</v>
      </c>
      <c r="C254" s="112">
        <f t="shared" si="9"/>
        <v>41274</v>
      </c>
      <c r="D254" s="112" t="s">
        <v>517</v>
      </c>
      <c r="E254" s="112">
        <v>41274</v>
      </c>
      <c r="F254" s="113" t="s">
        <v>326</v>
      </c>
      <c r="G254" s="396"/>
      <c r="H254" s="114" t="s">
        <v>551</v>
      </c>
      <c r="I254" s="132">
        <v>2050</v>
      </c>
      <c r="J254" s="132">
        <v>10298</v>
      </c>
      <c r="K254" s="306">
        <f t="shared" si="10"/>
        <v>21110900</v>
      </c>
      <c r="L254" s="307" t="s">
        <v>154</v>
      </c>
      <c r="M254" s="307" t="s">
        <v>306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/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387"/>
      <c r="AA254" s="303"/>
    </row>
    <row r="255" spans="1:27" s="123" customFormat="1" ht="15.75" customHeight="1">
      <c r="A255" s="388" t="str">
        <f>IF(B255&lt;&gt;"",IF(AND(B255&gt;=_TM1,B255&lt;=_TM2,OR(TH!L255="1111",TH!M255="1111")),TH!D255,""),"")</f>
        <v/>
      </c>
      <c r="B255" s="13">
        <f t="shared" si="8"/>
        <v>12</v>
      </c>
      <c r="C255" s="112">
        <f t="shared" si="9"/>
        <v>41274</v>
      </c>
      <c r="D255" s="112" t="s">
        <v>517</v>
      </c>
      <c r="E255" s="112">
        <v>41274</v>
      </c>
      <c r="F255" s="113" t="s">
        <v>320</v>
      </c>
      <c r="G255" s="396"/>
      <c r="H255" s="114" t="s">
        <v>551</v>
      </c>
      <c r="I255" s="132">
        <v>574</v>
      </c>
      <c r="J255" s="132">
        <v>11048</v>
      </c>
      <c r="K255" s="306">
        <f t="shared" si="10"/>
        <v>6341552</v>
      </c>
      <c r="L255" s="307" t="s">
        <v>154</v>
      </c>
      <c r="M255" s="307" t="s">
        <v>306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/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387"/>
      <c r="AA255" s="303"/>
    </row>
    <row r="256" spans="1:27" s="123" customFormat="1" ht="15.75" customHeight="1">
      <c r="A256" s="388" t="str">
        <f>IF(B256&lt;&gt;"",IF(AND(B256&gt;=_TM1,B256&lt;=_TM2,OR(TH!L256="1111",TH!M256="1111")),TH!D256,""),"")</f>
        <v/>
      </c>
      <c r="B256" s="13">
        <f t="shared" si="8"/>
        <v>12</v>
      </c>
      <c r="C256" s="112">
        <f t="shared" si="9"/>
        <v>41274</v>
      </c>
      <c r="D256" s="112" t="s">
        <v>517</v>
      </c>
      <c r="E256" s="112">
        <v>41274</v>
      </c>
      <c r="F256" s="113" t="s">
        <v>349</v>
      </c>
      <c r="G256" s="396"/>
      <c r="H256" s="114" t="s">
        <v>551</v>
      </c>
      <c r="I256" s="132">
        <v>1588</v>
      </c>
      <c r="J256" s="132">
        <v>10286</v>
      </c>
      <c r="K256" s="306">
        <f t="shared" si="10"/>
        <v>16334168</v>
      </c>
      <c r="L256" s="307" t="s">
        <v>154</v>
      </c>
      <c r="M256" s="307" t="s">
        <v>306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/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387"/>
      <c r="AA256" s="303"/>
    </row>
    <row r="257" spans="1:27" s="123" customFormat="1" ht="15.75" customHeight="1">
      <c r="A257" s="388" t="str">
        <f>IF(B257&lt;&gt;"",IF(AND(B257&gt;=_TM1,B257&lt;=_TM2,OR(TH!L257="1111",TH!M257="1111")),TH!D257,""),"")</f>
        <v/>
      </c>
      <c r="B257" s="13">
        <f t="shared" si="8"/>
        <v>12</v>
      </c>
      <c r="C257" s="112">
        <f t="shared" si="9"/>
        <v>41274</v>
      </c>
      <c r="D257" s="112" t="s">
        <v>517</v>
      </c>
      <c r="E257" s="112">
        <v>41274</v>
      </c>
      <c r="F257" s="113" t="s">
        <v>391</v>
      </c>
      <c r="G257" s="396"/>
      <c r="H257" s="114" t="s">
        <v>551</v>
      </c>
      <c r="I257" s="132">
        <v>500</v>
      </c>
      <c r="J257" s="132">
        <v>12194</v>
      </c>
      <c r="K257" s="306">
        <f t="shared" si="10"/>
        <v>6097000</v>
      </c>
      <c r="L257" s="307" t="s">
        <v>154</v>
      </c>
      <c r="M257" s="307" t="s">
        <v>306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387"/>
      <c r="AA257" s="303"/>
    </row>
    <row r="258" spans="1:27" s="123" customFormat="1" ht="15.75" customHeight="1">
      <c r="A258" s="388" t="str">
        <f>IF(B258&lt;&gt;"",IF(AND(B258&gt;=_TM1,B258&lt;=_TM2,OR(TH!L258="1111",TH!M258="1111")),TH!D258,""),"")</f>
        <v/>
      </c>
      <c r="B258" s="13">
        <f t="shared" si="8"/>
        <v>12</v>
      </c>
      <c r="C258" s="112">
        <f t="shared" si="9"/>
        <v>41274</v>
      </c>
      <c r="D258" s="112" t="s">
        <v>517</v>
      </c>
      <c r="E258" s="112">
        <v>41274</v>
      </c>
      <c r="F258" s="113" t="s">
        <v>342</v>
      </c>
      <c r="G258" s="396"/>
      <c r="H258" s="114" t="s">
        <v>551</v>
      </c>
      <c r="I258" s="132">
        <v>1000</v>
      </c>
      <c r="J258" s="132">
        <v>12319</v>
      </c>
      <c r="K258" s="306">
        <f t="shared" si="10"/>
        <v>12319000</v>
      </c>
      <c r="L258" s="307" t="s">
        <v>154</v>
      </c>
      <c r="M258" s="307" t="s">
        <v>306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387"/>
      <c r="AA258" s="303"/>
    </row>
    <row r="259" spans="1:27" s="123" customFormat="1" ht="15.75" customHeight="1">
      <c r="A259" s="388" t="str">
        <f>IF(B259&lt;&gt;"",IF(AND(B259&gt;=_TM1,B259&lt;=_TM2,OR(TH!L259="1111",TH!M259="1111")),TH!D259,""),"")</f>
        <v/>
      </c>
      <c r="B259" s="13">
        <f t="shared" si="8"/>
        <v>12</v>
      </c>
      <c r="C259" s="112">
        <f t="shared" si="9"/>
        <v>41274</v>
      </c>
      <c r="D259" s="112" t="s">
        <v>517</v>
      </c>
      <c r="E259" s="112">
        <v>41274</v>
      </c>
      <c r="F259" s="113" t="s">
        <v>381</v>
      </c>
      <c r="G259" s="396"/>
      <c r="H259" s="114" t="s">
        <v>551</v>
      </c>
      <c r="I259" s="132">
        <v>502</v>
      </c>
      <c r="J259" s="132">
        <v>11186</v>
      </c>
      <c r="K259" s="306">
        <f t="shared" si="10"/>
        <v>5615372</v>
      </c>
      <c r="L259" s="307" t="s">
        <v>154</v>
      </c>
      <c r="M259" s="307" t="s">
        <v>306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387"/>
      <c r="AA259" s="303"/>
    </row>
    <row r="260" spans="1:27" s="123" customFormat="1" ht="15.75" customHeight="1">
      <c r="A260" s="388" t="str">
        <f>IF(B260&lt;&gt;"",IF(AND(B260&gt;=_TM1,B260&lt;=_TM2,OR(TH!L260="1111",TH!M260="1111")),TH!D260,""),"")</f>
        <v/>
      </c>
      <c r="B260" s="13">
        <f t="shared" si="8"/>
        <v>12</v>
      </c>
      <c r="C260" s="112">
        <f t="shared" si="9"/>
        <v>41274</v>
      </c>
      <c r="D260" s="112" t="s">
        <v>517</v>
      </c>
      <c r="E260" s="112">
        <v>41274</v>
      </c>
      <c r="F260" s="113" t="s">
        <v>380</v>
      </c>
      <c r="G260" s="396"/>
      <c r="H260" s="114" t="s">
        <v>551</v>
      </c>
      <c r="I260" s="132">
        <v>150</v>
      </c>
      <c r="J260" s="132">
        <v>10230</v>
      </c>
      <c r="K260" s="306">
        <f t="shared" si="10"/>
        <v>1534500</v>
      </c>
      <c r="L260" s="307" t="s">
        <v>154</v>
      </c>
      <c r="M260" s="307" t="s">
        <v>306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387"/>
      <c r="AA260" s="303"/>
    </row>
    <row r="261" spans="1:27" s="123" customFormat="1" ht="15.75" customHeight="1">
      <c r="A261" s="388" t="str">
        <f>IF(B261&lt;&gt;"",IF(AND(B261&gt;=_TM1,B261&lt;=_TM2,OR(TH!L261="1111",TH!M261="1111")),TH!D261,""),"")</f>
        <v/>
      </c>
      <c r="B261" s="13">
        <f t="shared" si="8"/>
        <v>12</v>
      </c>
      <c r="C261" s="112">
        <f t="shared" si="9"/>
        <v>41274</v>
      </c>
      <c r="D261" s="112" t="s">
        <v>517</v>
      </c>
      <c r="E261" s="112">
        <v>41274</v>
      </c>
      <c r="F261" s="113" t="s">
        <v>356</v>
      </c>
      <c r="G261" s="396"/>
      <c r="H261" s="114" t="s">
        <v>551</v>
      </c>
      <c r="I261" s="132">
        <v>275</v>
      </c>
      <c r="J261" s="132">
        <v>8556</v>
      </c>
      <c r="K261" s="306">
        <f t="shared" si="10"/>
        <v>2352900</v>
      </c>
      <c r="L261" s="307" t="s">
        <v>154</v>
      </c>
      <c r="M261" s="307" t="s">
        <v>306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387"/>
      <c r="AA261" s="303"/>
    </row>
    <row r="262" spans="1:27" s="123" customFormat="1" ht="15.75" customHeight="1">
      <c r="A262" s="388" t="str">
        <f>IF(B262&lt;&gt;"",IF(AND(B262&gt;=_TM1,B262&lt;=_TM2,OR(TH!L262="1111",TH!M262="1111")),TH!D262,""),"")</f>
        <v/>
      </c>
      <c r="B262" s="13">
        <f t="shared" si="8"/>
        <v>12</v>
      </c>
      <c r="C262" s="112">
        <f t="shared" si="9"/>
        <v>41274</v>
      </c>
      <c r="D262" s="112" t="s">
        <v>517</v>
      </c>
      <c r="E262" s="112">
        <v>41274</v>
      </c>
      <c r="F262" s="113" t="s">
        <v>356</v>
      </c>
      <c r="G262" s="396"/>
      <c r="H262" s="114" t="s">
        <v>551</v>
      </c>
      <c r="I262" s="132">
        <v>1125</v>
      </c>
      <c r="J262" s="132">
        <v>8556</v>
      </c>
      <c r="K262" s="306">
        <f t="shared" si="10"/>
        <v>9625500</v>
      </c>
      <c r="L262" s="307" t="s">
        <v>154</v>
      </c>
      <c r="M262" s="307" t="s">
        <v>306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387"/>
      <c r="AA262" s="303"/>
    </row>
    <row r="263" spans="1:27" s="123" customFormat="1" ht="15.75" customHeight="1">
      <c r="A263" s="388" t="str">
        <f>IF(B263&lt;&gt;"",IF(AND(B263&gt;=_TM1,B263&lt;=_TM2,OR(TH!L263="1111",TH!M263="1111")),TH!D263,""),"")</f>
        <v/>
      </c>
      <c r="B263" s="13">
        <f t="shared" si="8"/>
        <v>12</v>
      </c>
      <c r="C263" s="112">
        <f t="shared" si="9"/>
        <v>41274</v>
      </c>
      <c r="D263" s="112" t="s">
        <v>517</v>
      </c>
      <c r="E263" s="112">
        <v>41274</v>
      </c>
      <c r="F263" s="113" t="s">
        <v>356</v>
      </c>
      <c r="G263" s="396"/>
      <c r="H263" s="114" t="s">
        <v>551</v>
      </c>
      <c r="I263" s="132">
        <v>250</v>
      </c>
      <c r="J263" s="132">
        <v>8556</v>
      </c>
      <c r="K263" s="306">
        <f t="shared" si="10"/>
        <v>2139000</v>
      </c>
      <c r="L263" s="307" t="s">
        <v>154</v>
      </c>
      <c r="M263" s="307" t="s">
        <v>306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387"/>
      <c r="AA263" s="303"/>
    </row>
    <row r="264" spans="1:27" s="123" customFormat="1" ht="15.75" customHeight="1">
      <c r="A264" s="388" t="str">
        <f>IF(B264&lt;&gt;"",IF(AND(B264&gt;=_TM1,B264&lt;=_TM2,OR(TH!L264="1111",TH!M264="1111")),TH!D264,""),"")</f>
        <v/>
      </c>
      <c r="B264" s="13">
        <f t="shared" si="8"/>
        <v>12</v>
      </c>
      <c r="C264" s="112">
        <f t="shared" si="9"/>
        <v>41274</v>
      </c>
      <c r="D264" s="112" t="s">
        <v>517</v>
      </c>
      <c r="E264" s="112">
        <v>41274</v>
      </c>
      <c r="F264" s="113" t="s">
        <v>323</v>
      </c>
      <c r="G264" s="396"/>
      <c r="H264" s="114" t="s">
        <v>551</v>
      </c>
      <c r="I264" s="132">
        <v>1000</v>
      </c>
      <c r="J264" s="132">
        <v>11622</v>
      </c>
      <c r="K264" s="306">
        <f t="shared" si="10"/>
        <v>11622000</v>
      </c>
      <c r="L264" s="307" t="s">
        <v>154</v>
      </c>
      <c r="M264" s="307" t="s">
        <v>306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387"/>
      <c r="AA264" s="303"/>
    </row>
    <row r="265" spans="1:27" s="123" customFormat="1" ht="15.75" customHeight="1">
      <c r="A265" s="388" t="str">
        <f>IF(B265&lt;&gt;"",IF(AND(B265&gt;=_TM1,B265&lt;=_TM2,OR(TH!L265="1111",TH!M265="1111")),TH!D265,""),"")</f>
        <v/>
      </c>
      <c r="B265" s="13">
        <f t="shared" si="8"/>
        <v>12</v>
      </c>
      <c r="C265" s="112">
        <f t="shared" si="9"/>
        <v>41274</v>
      </c>
      <c r="D265" s="112" t="s">
        <v>517</v>
      </c>
      <c r="E265" s="112">
        <v>41274</v>
      </c>
      <c r="F265" s="113" t="s">
        <v>375</v>
      </c>
      <c r="G265" s="396"/>
      <c r="H265" s="114" t="s">
        <v>551</v>
      </c>
      <c r="I265" s="132">
        <v>175</v>
      </c>
      <c r="J265" s="132">
        <v>10546</v>
      </c>
      <c r="K265" s="306">
        <f t="shared" si="10"/>
        <v>1845550</v>
      </c>
      <c r="L265" s="307" t="s">
        <v>154</v>
      </c>
      <c r="M265" s="307" t="s">
        <v>306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387"/>
      <c r="AA265" s="303"/>
    </row>
    <row r="266" spans="1:27" s="123" customFormat="1" ht="15.75" customHeight="1">
      <c r="A266" s="388" t="str">
        <f>IF(B266&lt;&gt;"",IF(AND(B266&gt;=_TM1,B266&lt;=_TM2,OR(TH!L266="1111",TH!M266="1111")),TH!D266,""),"")</f>
        <v/>
      </c>
      <c r="B266" s="13">
        <f t="shared" si="8"/>
        <v>12</v>
      </c>
      <c r="C266" s="112">
        <f t="shared" si="9"/>
        <v>41274</v>
      </c>
      <c r="D266" s="112" t="s">
        <v>517</v>
      </c>
      <c r="E266" s="112">
        <v>41274</v>
      </c>
      <c r="F266" s="113" t="s">
        <v>378</v>
      </c>
      <c r="G266" s="396"/>
      <c r="H266" s="114" t="s">
        <v>551</v>
      </c>
      <c r="I266" s="132">
        <v>260</v>
      </c>
      <c r="J266" s="132">
        <v>19110</v>
      </c>
      <c r="K266" s="306">
        <f t="shared" si="10"/>
        <v>4968600</v>
      </c>
      <c r="L266" s="307" t="s">
        <v>154</v>
      </c>
      <c r="M266" s="307" t="s">
        <v>306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/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/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387"/>
      <c r="AA266" s="303"/>
    </row>
    <row r="267" spans="1:27" s="123" customFormat="1" ht="15.75" customHeight="1">
      <c r="A267" s="388" t="str">
        <f>IF(B267&lt;&gt;"",IF(AND(B267&gt;=_TM1,B267&lt;=_TM2,OR(TH!L267="1111",TH!M267="1111")),TH!D267,""),"")</f>
        <v/>
      </c>
      <c r="B267" s="13">
        <f t="shared" si="8"/>
        <v>12</v>
      </c>
      <c r="C267" s="112">
        <f t="shared" si="9"/>
        <v>41274</v>
      </c>
      <c r="D267" s="112" t="s">
        <v>517</v>
      </c>
      <c r="E267" s="112">
        <v>41274</v>
      </c>
      <c r="F267" s="113" t="s">
        <v>322</v>
      </c>
      <c r="G267" s="396"/>
      <c r="H267" s="114" t="s">
        <v>551</v>
      </c>
      <c r="I267" s="132">
        <v>500</v>
      </c>
      <c r="J267" s="132">
        <v>10286</v>
      </c>
      <c r="K267" s="306">
        <f t="shared" si="10"/>
        <v>5143000</v>
      </c>
      <c r="L267" s="307" t="s">
        <v>154</v>
      </c>
      <c r="M267" s="307" t="s">
        <v>306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/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387"/>
      <c r="AA267" s="303"/>
    </row>
    <row r="268" spans="1:27" s="123" customFormat="1" ht="15.75" customHeight="1">
      <c r="A268" s="388" t="str">
        <f>IF(B268&lt;&gt;"",IF(AND(B268&gt;=_TM1,B268&lt;=_TM2,OR(TH!L268="1111",TH!M268="1111")),TH!D268,""),"")</f>
        <v/>
      </c>
      <c r="B268" s="13">
        <f t="shared" si="8"/>
        <v>12</v>
      </c>
      <c r="C268" s="112">
        <f t="shared" si="9"/>
        <v>41274</v>
      </c>
      <c r="D268" s="112" t="s">
        <v>424</v>
      </c>
      <c r="E268" s="112">
        <v>41274</v>
      </c>
      <c r="F268" s="113" t="s">
        <v>462</v>
      </c>
      <c r="G268" s="396"/>
      <c r="H268" s="114" t="s">
        <v>552</v>
      </c>
      <c r="I268" s="132">
        <v>22750</v>
      </c>
      <c r="J268" s="132">
        <v>1016.1613030360031</v>
      </c>
      <c r="K268" s="306">
        <f t="shared" si="10"/>
        <v>23117670</v>
      </c>
      <c r="L268" s="307" t="s">
        <v>306</v>
      </c>
      <c r="M268" s="307" t="s">
        <v>154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/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/>
      </c>
      <c r="Y268" s="22" t="str">
        <f>IF(AND(B268&lt;=NKC!$N$8,B268&gt;=NKC!$M$8),"x","")</f>
        <v>x</v>
      </c>
      <c r="Z268" s="387"/>
      <c r="AA268" s="303"/>
    </row>
    <row r="269" spans="1:27" s="123" customFormat="1" ht="15.75" customHeight="1">
      <c r="A269" s="388" t="str">
        <f>IF(B269&lt;&gt;"",IF(AND(B269&gt;=_TM1,B269&lt;=_TM2,OR(TH!L269="1111",TH!M269="1111")),TH!D269,""),"")</f>
        <v/>
      </c>
      <c r="B269" s="13">
        <f t="shared" si="8"/>
        <v>12</v>
      </c>
      <c r="C269" s="112">
        <f t="shared" si="9"/>
        <v>41274</v>
      </c>
      <c r="D269" s="112" t="s">
        <v>424</v>
      </c>
      <c r="E269" s="112">
        <v>41274</v>
      </c>
      <c r="F269" s="113" t="s">
        <v>511</v>
      </c>
      <c r="G269" s="396"/>
      <c r="H269" s="114" t="s">
        <v>552</v>
      </c>
      <c r="I269" s="132">
        <v>60</v>
      </c>
      <c r="J269" s="132">
        <v>19714.978885453584</v>
      </c>
      <c r="K269" s="306">
        <f t="shared" si="10"/>
        <v>1182899</v>
      </c>
      <c r="L269" s="307" t="s">
        <v>306</v>
      </c>
      <c r="M269" s="307" t="s">
        <v>154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/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>x</v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387"/>
      <c r="AA269" s="303"/>
    </row>
    <row r="270" spans="1:27" s="123" customFormat="1" ht="15.75" customHeight="1">
      <c r="A270" s="388" t="str">
        <f>IF(B270&lt;&gt;"",IF(AND(B270&gt;=_TM1,B270&lt;=_TM2,OR(TH!L270="1111",TH!M270="1111")),TH!D270,""),"")</f>
        <v/>
      </c>
      <c r="B270" s="13">
        <f t="shared" si="8"/>
        <v>12</v>
      </c>
      <c r="C270" s="112">
        <f t="shared" si="9"/>
        <v>41274</v>
      </c>
      <c r="D270" s="112" t="s">
        <v>424</v>
      </c>
      <c r="E270" s="112">
        <v>41274</v>
      </c>
      <c r="F270" s="113" t="s">
        <v>470</v>
      </c>
      <c r="G270" s="396"/>
      <c r="H270" s="114" t="s">
        <v>552</v>
      </c>
      <c r="I270" s="132">
        <v>3303</v>
      </c>
      <c r="J270" s="132">
        <v>4854.9788854535855</v>
      </c>
      <c r="K270" s="306">
        <f t="shared" si="10"/>
        <v>16035995</v>
      </c>
      <c r="L270" s="307" t="s">
        <v>306</v>
      </c>
      <c r="M270" s="307" t="s">
        <v>154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387"/>
      <c r="AA270" s="303"/>
    </row>
    <row r="271" spans="1:27" s="123" customFormat="1" ht="15.75" customHeight="1">
      <c r="A271" s="388" t="str">
        <f>IF(B271&lt;&gt;"",IF(AND(B271&gt;=_TM1,B271&lt;=_TM2,OR(TH!L271="1111",TH!M271="1111")),TH!D271,""),"")</f>
        <v/>
      </c>
      <c r="B271" s="13">
        <f t="shared" si="8"/>
        <v>12</v>
      </c>
      <c r="C271" s="112">
        <f t="shared" si="9"/>
        <v>41274</v>
      </c>
      <c r="D271" s="112" t="s">
        <v>424</v>
      </c>
      <c r="E271" s="112">
        <v>41274</v>
      </c>
      <c r="F271" s="113" t="s">
        <v>494</v>
      </c>
      <c r="G271" s="396"/>
      <c r="H271" s="114" t="s">
        <v>552</v>
      </c>
      <c r="I271" s="132">
        <v>800</v>
      </c>
      <c r="J271" s="132">
        <v>6370.9788854535864</v>
      </c>
      <c r="K271" s="306">
        <f t="shared" ref="K271:K302" si="11">ROUND(I271*J271,0)</f>
        <v>5096783</v>
      </c>
      <c r="L271" s="307" t="s">
        <v>306</v>
      </c>
      <c r="M271" s="307" t="s">
        <v>154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387"/>
      <c r="AA271" s="303"/>
    </row>
    <row r="272" spans="1:27" s="123" customFormat="1" ht="15.75" customHeight="1">
      <c r="A272" s="388" t="str">
        <f>IF(B272&lt;&gt;"",IF(AND(B272&gt;=_TM1,B272&lt;=_TM2,OR(TH!L272="1111",TH!M272="1111")),TH!D272,""),"")</f>
        <v/>
      </c>
      <c r="B272" s="13">
        <f t="shared" ref="B272:B317" si="12">IF(C272&lt;&gt;"",MONTH(C272),"")</f>
        <v>12</v>
      </c>
      <c r="C272" s="112">
        <f t="shared" ref="C272:C317" si="13">E272</f>
        <v>41274</v>
      </c>
      <c r="D272" s="112" t="s">
        <v>424</v>
      </c>
      <c r="E272" s="112">
        <v>41274</v>
      </c>
      <c r="F272" s="113" t="s">
        <v>506</v>
      </c>
      <c r="G272" s="396"/>
      <c r="H272" s="114" t="s">
        <v>552</v>
      </c>
      <c r="I272" s="132">
        <v>100</v>
      </c>
      <c r="J272" s="132">
        <v>13624.978885453584</v>
      </c>
      <c r="K272" s="306">
        <f t="shared" si="11"/>
        <v>1362498</v>
      </c>
      <c r="L272" s="307" t="s">
        <v>306</v>
      </c>
      <c r="M272" s="307" t="s">
        <v>154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387"/>
      <c r="AA272" s="303"/>
    </row>
    <row r="273" spans="1:27" s="123" customFormat="1" ht="15.75" customHeight="1">
      <c r="A273" s="388" t="str">
        <f>IF(B273&lt;&gt;"",IF(AND(B273&gt;=_TM1,B273&lt;=_TM2,OR(TH!L273="1111",TH!M273="1111")),TH!D273,""),"")</f>
        <v/>
      </c>
      <c r="B273" s="13">
        <f t="shared" si="12"/>
        <v>12</v>
      </c>
      <c r="C273" s="112">
        <f t="shared" si="13"/>
        <v>41274</v>
      </c>
      <c r="D273" s="112" t="s">
        <v>424</v>
      </c>
      <c r="E273" s="112">
        <v>41274</v>
      </c>
      <c r="F273" s="113" t="s">
        <v>509</v>
      </c>
      <c r="G273" s="396"/>
      <c r="H273" s="114" t="s">
        <v>552</v>
      </c>
      <c r="I273" s="132">
        <v>40</v>
      </c>
      <c r="J273" s="132">
        <v>13624.978885453587</v>
      </c>
      <c r="K273" s="306">
        <f t="shared" si="11"/>
        <v>544999</v>
      </c>
      <c r="L273" s="307" t="s">
        <v>306</v>
      </c>
      <c r="M273" s="307" t="s">
        <v>154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>x</v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387"/>
      <c r="AA273" s="303"/>
    </row>
    <row r="274" spans="1:27" s="123" customFormat="1" ht="15.75" customHeight="1">
      <c r="A274" s="388" t="str">
        <f>IF(B274&lt;&gt;"",IF(AND(B274&gt;=_TM1,B274&lt;=_TM2,OR(TH!L274="1111",TH!M274="1111")),TH!D274,""),"")</f>
        <v/>
      </c>
      <c r="B274" s="13">
        <f t="shared" si="12"/>
        <v>12</v>
      </c>
      <c r="C274" s="112">
        <f t="shared" si="13"/>
        <v>41274</v>
      </c>
      <c r="D274" s="112" t="s">
        <v>424</v>
      </c>
      <c r="E274" s="112">
        <v>41274</v>
      </c>
      <c r="F274" s="113" t="s">
        <v>507</v>
      </c>
      <c r="G274" s="396"/>
      <c r="H274" s="114" t="s">
        <v>552</v>
      </c>
      <c r="I274" s="132">
        <v>180</v>
      </c>
      <c r="J274" s="132">
        <v>13624.978885453585</v>
      </c>
      <c r="K274" s="306">
        <f t="shared" si="11"/>
        <v>2452496</v>
      </c>
      <c r="L274" s="307" t="s">
        <v>306</v>
      </c>
      <c r="M274" s="307" t="s">
        <v>154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/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387"/>
      <c r="AA274" s="303"/>
    </row>
    <row r="275" spans="1:27" s="123" customFormat="1" ht="15.75" customHeight="1">
      <c r="A275" s="388" t="str">
        <f>IF(B275&lt;&gt;"",IF(AND(B275&gt;=_TM1,B275&lt;=_TM2,OR(TH!L275="1111",TH!M275="1111")),TH!D275,""),"")</f>
        <v/>
      </c>
      <c r="B275" s="13">
        <f t="shared" si="12"/>
        <v>12</v>
      </c>
      <c r="C275" s="112">
        <f t="shared" si="13"/>
        <v>41274</v>
      </c>
      <c r="D275" s="112" t="s">
        <v>424</v>
      </c>
      <c r="E275" s="112">
        <v>41274</v>
      </c>
      <c r="F275" s="113" t="s">
        <v>504</v>
      </c>
      <c r="G275" s="396"/>
      <c r="H275" s="114" t="s">
        <v>552</v>
      </c>
      <c r="I275" s="132">
        <v>180</v>
      </c>
      <c r="J275" s="132">
        <v>13624.978885453585</v>
      </c>
      <c r="K275" s="306">
        <f t="shared" si="11"/>
        <v>2452496</v>
      </c>
      <c r="L275" s="307" t="s">
        <v>306</v>
      </c>
      <c r="M275" s="307" t="s">
        <v>154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387"/>
      <c r="AA275" s="303"/>
    </row>
    <row r="276" spans="1:27" s="123" customFormat="1" ht="15.75" customHeight="1">
      <c r="A276" s="388" t="str">
        <f>IF(B276&lt;&gt;"",IF(AND(B276&gt;=_TM1,B276&lt;=_TM2,OR(TH!L276="1111",TH!M276="1111")),TH!D276,""),"")</f>
        <v/>
      </c>
      <c r="B276" s="13">
        <f t="shared" si="12"/>
        <v>12</v>
      </c>
      <c r="C276" s="112">
        <f t="shared" si="13"/>
        <v>41274</v>
      </c>
      <c r="D276" s="112" t="s">
        <v>424</v>
      </c>
      <c r="E276" s="112">
        <v>41274</v>
      </c>
      <c r="F276" s="113" t="s">
        <v>468</v>
      </c>
      <c r="G276" s="396"/>
      <c r="H276" s="114" t="s">
        <v>552</v>
      </c>
      <c r="I276" s="132">
        <v>1010</v>
      </c>
      <c r="J276" s="132">
        <v>6666.9788854535864</v>
      </c>
      <c r="K276" s="306">
        <f t="shared" si="11"/>
        <v>6733649</v>
      </c>
      <c r="L276" s="307" t="s">
        <v>306</v>
      </c>
      <c r="M276" s="307" t="s">
        <v>154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387"/>
      <c r="AA276" s="303"/>
    </row>
    <row r="277" spans="1:27" s="123" customFormat="1" ht="15.75" customHeight="1">
      <c r="A277" s="388" t="str">
        <f>IF(B277&lt;&gt;"",IF(AND(B277&gt;=_TM1,B277&lt;=_TM2,OR(TH!L277="1111",TH!M277="1111")),TH!D277,""),"")</f>
        <v/>
      </c>
      <c r="B277" s="13">
        <f t="shared" si="12"/>
        <v>12</v>
      </c>
      <c r="C277" s="112">
        <f t="shared" si="13"/>
        <v>41274</v>
      </c>
      <c r="D277" s="112" t="s">
        <v>424</v>
      </c>
      <c r="E277" s="112">
        <v>41274</v>
      </c>
      <c r="F277" s="113" t="s">
        <v>466</v>
      </c>
      <c r="G277" s="396"/>
      <c r="H277" s="114" t="s">
        <v>552</v>
      </c>
      <c r="I277" s="132">
        <v>3104</v>
      </c>
      <c r="J277" s="132">
        <v>5946.1779833917299</v>
      </c>
      <c r="K277" s="306">
        <f t="shared" si="11"/>
        <v>18456936</v>
      </c>
      <c r="L277" s="307" t="s">
        <v>306</v>
      </c>
      <c r="M277" s="307" t="s">
        <v>154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387"/>
      <c r="AA277" s="303"/>
    </row>
    <row r="278" spans="1:27" s="123" customFormat="1" ht="15.75" customHeight="1">
      <c r="A278" s="388" t="str">
        <f>IF(B278&lt;&gt;"",IF(AND(B278&gt;=_TM1,B278&lt;=_TM2,OR(TH!L278="1111",TH!M278="1111")),TH!D278,""),"")</f>
        <v/>
      </c>
      <c r="B278" s="13">
        <f t="shared" si="12"/>
        <v>12</v>
      </c>
      <c r="C278" s="112">
        <f t="shared" si="13"/>
        <v>41274</v>
      </c>
      <c r="D278" s="112" t="s">
        <v>424</v>
      </c>
      <c r="E278" s="112">
        <v>41274</v>
      </c>
      <c r="F278" s="113" t="s">
        <v>474</v>
      </c>
      <c r="G278" s="396"/>
      <c r="H278" s="114" t="s">
        <v>552</v>
      </c>
      <c r="I278" s="132">
        <v>2820</v>
      </c>
      <c r="J278" s="132">
        <v>6068.7235663046495</v>
      </c>
      <c r="K278" s="306">
        <f t="shared" si="11"/>
        <v>17113800</v>
      </c>
      <c r="L278" s="307" t="s">
        <v>306</v>
      </c>
      <c r="M278" s="307" t="s">
        <v>154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387"/>
      <c r="AA278" s="303"/>
    </row>
    <row r="279" spans="1:27" s="123" customFormat="1" ht="15.75" customHeight="1">
      <c r="A279" s="388" t="str">
        <f>IF(B279&lt;&gt;"",IF(AND(B279&gt;=_TM1,B279&lt;=_TM2,OR(TH!L279="1111",TH!M279="1111")),TH!D279,""),"")</f>
        <v/>
      </c>
      <c r="B279" s="13">
        <f t="shared" si="12"/>
        <v>12</v>
      </c>
      <c r="C279" s="112">
        <f t="shared" si="13"/>
        <v>41274</v>
      </c>
      <c r="D279" s="112" t="s">
        <v>424</v>
      </c>
      <c r="E279" s="112">
        <v>41274</v>
      </c>
      <c r="F279" s="113" t="s">
        <v>472</v>
      </c>
      <c r="G279" s="396"/>
      <c r="H279" s="114" t="s">
        <v>552</v>
      </c>
      <c r="I279" s="132">
        <v>4665</v>
      </c>
      <c r="J279" s="132">
        <v>5788.2054663753433</v>
      </c>
      <c r="K279" s="306">
        <f t="shared" si="11"/>
        <v>27001979</v>
      </c>
      <c r="L279" s="307" t="s">
        <v>306</v>
      </c>
      <c r="M279" s="307" t="s">
        <v>154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387"/>
      <c r="AA279" s="303"/>
    </row>
    <row r="280" spans="1:27" s="123" customFormat="1" ht="15.75" customHeight="1">
      <c r="A280" s="388" t="str">
        <f>IF(B280&lt;&gt;"",IF(AND(B280&gt;=_TM1,B280&lt;=_TM2,OR(TH!L280="1111",TH!M280="1111")),TH!D280,""),"")</f>
        <v/>
      </c>
      <c r="B280" s="13">
        <f t="shared" si="12"/>
        <v>12</v>
      </c>
      <c r="C280" s="112">
        <f t="shared" si="13"/>
        <v>41274</v>
      </c>
      <c r="D280" s="112" t="s">
        <v>424</v>
      </c>
      <c r="E280" s="112">
        <v>41274</v>
      </c>
      <c r="F280" s="113" t="s">
        <v>464</v>
      </c>
      <c r="G280" s="396"/>
      <c r="H280" s="114" t="s">
        <v>552</v>
      </c>
      <c r="I280" s="132">
        <v>1147</v>
      </c>
      <c r="J280" s="132">
        <v>6133.7949273018858</v>
      </c>
      <c r="K280" s="306">
        <f t="shared" si="11"/>
        <v>7035463</v>
      </c>
      <c r="L280" s="307" t="s">
        <v>306</v>
      </c>
      <c r="M280" s="307" t="s">
        <v>154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387"/>
      <c r="AA280" s="303"/>
    </row>
    <row r="281" spans="1:27" s="123" customFormat="1" ht="15.75" customHeight="1">
      <c r="A281" s="388" t="str">
        <f>IF(B281&lt;&gt;"",IF(AND(B281&gt;=_TM1,B281&lt;=_TM2,OR(TH!L281="1111",TH!M281="1111")),TH!D281,""),"")</f>
        <v/>
      </c>
      <c r="B281" s="13">
        <f t="shared" si="12"/>
        <v>12</v>
      </c>
      <c r="C281" s="112">
        <f t="shared" si="13"/>
        <v>41274</v>
      </c>
      <c r="D281" s="112" t="s">
        <v>424</v>
      </c>
      <c r="E281" s="112">
        <v>41274</v>
      </c>
      <c r="F281" s="113" t="s">
        <v>469</v>
      </c>
      <c r="G281" s="396"/>
      <c r="H281" s="114" t="s">
        <v>552</v>
      </c>
      <c r="I281" s="132">
        <v>3175</v>
      </c>
      <c r="J281" s="132">
        <v>5749.5987279732699</v>
      </c>
      <c r="K281" s="306">
        <f t="shared" si="11"/>
        <v>18254976</v>
      </c>
      <c r="L281" s="307" t="s">
        <v>306</v>
      </c>
      <c r="M281" s="307" t="s">
        <v>154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387"/>
      <c r="AA281" s="303"/>
    </row>
    <row r="282" spans="1:27" s="123" customFormat="1" ht="15.75" customHeight="1">
      <c r="A282" s="388" t="str">
        <f>IF(B282&lt;&gt;"",IF(AND(B282&gt;=_TM1,B282&lt;=_TM2,OR(TH!L282="1111",TH!M282="1111")),TH!D282,""),"")</f>
        <v/>
      </c>
      <c r="B282" s="13">
        <f t="shared" si="12"/>
        <v>12</v>
      </c>
      <c r="C282" s="112">
        <f t="shared" si="13"/>
        <v>41274</v>
      </c>
      <c r="D282" s="112" t="s">
        <v>424</v>
      </c>
      <c r="E282" s="112">
        <v>41274</v>
      </c>
      <c r="F282" s="113" t="s">
        <v>482</v>
      </c>
      <c r="G282" s="396"/>
      <c r="H282" s="114" t="s">
        <v>552</v>
      </c>
      <c r="I282" s="132">
        <v>1000</v>
      </c>
      <c r="J282" s="132">
        <v>6701.9788854535855</v>
      </c>
      <c r="K282" s="306">
        <f t="shared" si="11"/>
        <v>6701979</v>
      </c>
      <c r="L282" s="307" t="s">
        <v>306</v>
      </c>
      <c r="M282" s="307" t="s">
        <v>154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387"/>
      <c r="AA282" s="303"/>
    </row>
    <row r="283" spans="1:27" s="123" customFormat="1" ht="15.75" customHeight="1">
      <c r="A283" s="388" t="str">
        <f>IF(B283&lt;&gt;"",IF(AND(B283&gt;=_TM1,B283&lt;=_TM2,OR(TH!L283="1111",TH!M283="1111")),TH!D283,""),"")</f>
        <v/>
      </c>
      <c r="B283" s="13">
        <f t="shared" si="12"/>
        <v>12</v>
      </c>
      <c r="C283" s="112">
        <f t="shared" si="13"/>
        <v>41274</v>
      </c>
      <c r="D283" s="112" t="s">
        <v>424</v>
      </c>
      <c r="E283" s="112">
        <v>41274</v>
      </c>
      <c r="F283" s="113" t="s">
        <v>480</v>
      </c>
      <c r="G283" s="396"/>
      <c r="H283" s="114" t="s">
        <v>552</v>
      </c>
      <c r="I283" s="132">
        <v>1000</v>
      </c>
      <c r="J283" s="132">
        <v>12923.978885453585</v>
      </c>
      <c r="K283" s="306">
        <f t="shared" si="11"/>
        <v>12923979</v>
      </c>
      <c r="L283" s="307" t="s">
        <v>306</v>
      </c>
      <c r="M283" s="307" t="s">
        <v>154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387"/>
      <c r="AA283" s="303"/>
    </row>
    <row r="284" spans="1:27" s="123" customFormat="1" ht="15.75" customHeight="1">
      <c r="A284" s="388" t="str">
        <f>IF(B284&lt;&gt;"",IF(AND(B284&gt;=_TM1,B284&lt;=_TM2,OR(TH!L284="1111",TH!M284="1111")),TH!D284,""),"")</f>
        <v/>
      </c>
      <c r="B284" s="13">
        <f t="shared" si="12"/>
        <v>12</v>
      </c>
      <c r="C284" s="112">
        <f t="shared" si="13"/>
        <v>41274</v>
      </c>
      <c r="D284" s="112" t="s">
        <v>424</v>
      </c>
      <c r="E284" s="112">
        <v>41274</v>
      </c>
      <c r="F284" s="113" t="s">
        <v>500</v>
      </c>
      <c r="G284" s="396"/>
      <c r="H284" s="114" t="s">
        <v>552</v>
      </c>
      <c r="I284" s="132">
        <v>1000</v>
      </c>
      <c r="J284" s="132">
        <v>6220.3508854535858</v>
      </c>
      <c r="K284" s="306">
        <f t="shared" si="11"/>
        <v>6220351</v>
      </c>
      <c r="L284" s="307" t="s">
        <v>306</v>
      </c>
      <c r="M284" s="307" t="s">
        <v>154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/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387"/>
      <c r="AA284" s="303"/>
    </row>
    <row r="285" spans="1:27" s="123" customFormat="1" ht="15.75" customHeight="1">
      <c r="A285" s="388" t="str">
        <f>IF(B285&lt;&gt;"",IF(AND(B285&gt;=_TM1,B285&lt;=_TM2,OR(TH!L285="1111",TH!M285="1111")),TH!D285,""),"")</f>
        <v/>
      </c>
      <c r="B285" s="13">
        <f t="shared" si="12"/>
        <v>12</v>
      </c>
      <c r="C285" s="112">
        <f t="shared" si="13"/>
        <v>41274</v>
      </c>
      <c r="D285" s="112" t="s">
        <v>424</v>
      </c>
      <c r="E285" s="112">
        <v>41274</v>
      </c>
      <c r="F285" s="113" t="s">
        <v>497</v>
      </c>
      <c r="G285" s="396"/>
      <c r="H285" s="114" t="s">
        <v>552</v>
      </c>
      <c r="I285" s="132">
        <v>300</v>
      </c>
      <c r="J285" s="132">
        <v>5719.9788854535855</v>
      </c>
      <c r="K285" s="306">
        <f t="shared" si="11"/>
        <v>1715994</v>
      </c>
      <c r="L285" s="307" t="s">
        <v>306</v>
      </c>
      <c r="M285" s="307" t="s">
        <v>154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387"/>
      <c r="AA285" s="303"/>
    </row>
    <row r="286" spans="1:27" s="123" customFormat="1" ht="15.75" customHeight="1">
      <c r="A286" s="388" t="str">
        <f>IF(B286&lt;&gt;"",IF(AND(B286&gt;=_TM1,B286&lt;=_TM2,OR(TH!L286="1111",TH!M286="1111")),TH!D286,""),"")</f>
        <v/>
      </c>
      <c r="B286" s="13">
        <f t="shared" si="12"/>
        <v>12</v>
      </c>
      <c r="C286" s="112">
        <f t="shared" si="13"/>
        <v>41274</v>
      </c>
      <c r="D286" s="112" t="s">
        <v>424</v>
      </c>
      <c r="E286" s="112">
        <v>41274</v>
      </c>
      <c r="F286" s="113" t="s">
        <v>484</v>
      </c>
      <c r="G286" s="396"/>
      <c r="H286" s="114" t="s">
        <v>552</v>
      </c>
      <c r="I286" s="132">
        <v>550</v>
      </c>
      <c r="J286" s="132">
        <v>4882.9788854535864</v>
      </c>
      <c r="K286" s="306">
        <f t="shared" si="11"/>
        <v>2685638</v>
      </c>
      <c r="L286" s="307" t="s">
        <v>306</v>
      </c>
      <c r="M286" s="307" t="s">
        <v>154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387"/>
      <c r="AA286" s="303"/>
    </row>
    <row r="287" spans="1:27" s="123" customFormat="1" ht="15.75" customHeight="1">
      <c r="A287" s="388" t="str">
        <f>IF(B287&lt;&gt;"",IF(AND(B287&gt;=_TM1,B287&lt;=_TM2,OR(TH!L287="1111",TH!M287="1111")),TH!D287,""),"")</f>
        <v/>
      </c>
      <c r="B287" s="13">
        <f t="shared" si="12"/>
        <v>12</v>
      </c>
      <c r="C287" s="112">
        <f t="shared" si="13"/>
        <v>41274</v>
      </c>
      <c r="D287" s="112" t="s">
        <v>424</v>
      </c>
      <c r="E287" s="112">
        <v>41274</v>
      </c>
      <c r="F287" s="113" t="s">
        <v>459</v>
      </c>
      <c r="G287" s="396"/>
      <c r="H287" s="114" t="s">
        <v>552</v>
      </c>
      <c r="I287" s="132">
        <v>2250</v>
      </c>
      <c r="J287" s="132">
        <v>4882.9788854535855</v>
      </c>
      <c r="K287" s="306">
        <f t="shared" si="11"/>
        <v>10986702</v>
      </c>
      <c r="L287" s="307" t="s">
        <v>306</v>
      </c>
      <c r="M287" s="307" t="s">
        <v>154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387"/>
      <c r="AA287" s="303"/>
    </row>
    <row r="288" spans="1:27" s="123" customFormat="1" ht="15.75" customHeight="1">
      <c r="A288" s="388" t="str">
        <f>IF(B288&lt;&gt;"",IF(AND(B288&gt;=_TM1,B288&lt;=_TM2,OR(TH!L288="1111",TH!M288="1111")),TH!D288,""),"")</f>
        <v/>
      </c>
      <c r="B288" s="13">
        <f t="shared" si="12"/>
        <v>12</v>
      </c>
      <c r="C288" s="112">
        <f t="shared" si="13"/>
        <v>41274</v>
      </c>
      <c r="D288" s="112" t="s">
        <v>424</v>
      </c>
      <c r="E288" s="112">
        <v>41274</v>
      </c>
      <c r="F288" s="113" t="s">
        <v>499</v>
      </c>
      <c r="G288" s="396"/>
      <c r="H288" s="114" t="s">
        <v>552</v>
      </c>
      <c r="I288" s="132">
        <v>500</v>
      </c>
      <c r="J288" s="132">
        <v>4882.9788854535855</v>
      </c>
      <c r="K288" s="306">
        <f t="shared" si="11"/>
        <v>2441489</v>
      </c>
      <c r="L288" s="307" t="s">
        <v>306</v>
      </c>
      <c r="M288" s="307" t="s">
        <v>154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387"/>
      <c r="AA288" s="303"/>
    </row>
    <row r="289" spans="1:27" s="123" customFormat="1" ht="15.75" customHeight="1">
      <c r="A289" s="388" t="str">
        <f>IF(B289&lt;&gt;"",IF(AND(B289&gt;=_TM1,B289&lt;=_TM2,OR(TH!L289="1111",TH!M289="1111")),TH!D289,""),"")</f>
        <v/>
      </c>
      <c r="B289" s="13">
        <f t="shared" si="12"/>
        <v>12</v>
      </c>
      <c r="C289" s="112">
        <f t="shared" si="13"/>
        <v>41274</v>
      </c>
      <c r="D289" s="112" t="s">
        <v>424</v>
      </c>
      <c r="E289" s="112">
        <v>41274</v>
      </c>
      <c r="F289" s="113" t="s">
        <v>475</v>
      </c>
      <c r="G289" s="396"/>
      <c r="H289" s="114" t="s">
        <v>552</v>
      </c>
      <c r="I289" s="132">
        <v>2000</v>
      </c>
      <c r="J289" s="132">
        <v>6415.9788854535855</v>
      </c>
      <c r="K289" s="306">
        <f t="shared" si="11"/>
        <v>12831958</v>
      </c>
      <c r="L289" s="307" t="s">
        <v>306</v>
      </c>
      <c r="M289" s="307" t="s">
        <v>154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/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387"/>
      <c r="AA289" s="303"/>
    </row>
    <row r="290" spans="1:27" s="123" customFormat="1" ht="15.75" customHeight="1">
      <c r="A290" s="388" t="str">
        <f>IF(B290&lt;&gt;"",IF(AND(B290&gt;=_TM1,B290&lt;=_TM2,OR(TH!L290="1111",TH!M290="1111")),TH!D290,""),"")</f>
        <v/>
      </c>
      <c r="B290" s="13">
        <f t="shared" si="12"/>
        <v>12</v>
      </c>
      <c r="C290" s="112">
        <f t="shared" si="13"/>
        <v>41274</v>
      </c>
      <c r="D290" s="112" t="s">
        <v>424</v>
      </c>
      <c r="E290" s="112">
        <v>41274</v>
      </c>
      <c r="F290" s="113" t="s">
        <v>498</v>
      </c>
      <c r="G290" s="396"/>
      <c r="H290" s="114" t="s">
        <v>552</v>
      </c>
      <c r="I290" s="132">
        <v>350</v>
      </c>
      <c r="J290" s="132">
        <v>5877.9788854535855</v>
      </c>
      <c r="K290" s="306">
        <f t="shared" si="11"/>
        <v>2057293</v>
      </c>
      <c r="L290" s="307" t="s">
        <v>306</v>
      </c>
      <c r="M290" s="307" t="s">
        <v>154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387"/>
      <c r="AA290" s="303"/>
    </row>
    <row r="291" spans="1:27" s="123" customFormat="1" ht="15.75" customHeight="1">
      <c r="A291" s="388" t="str">
        <f>IF(B291&lt;&gt;"",IF(AND(B291&gt;=_TM1,B291&lt;=_TM2,OR(TH!L291="1111",TH!M291="1111")),TH!D291,""),"")</f>
        <v/>
      </c>
      <c r="B291" s="13">
        <f t="shared" si="12"/>
        <v>12</v>
      </c>
      <c r="C291" s="112">
        <f t="shared" si="13"/>
        <v>41274</v>
      </c>
      <c r="D291" s="112" t="s">
        <v>424</v>
      </c>
      <c r="E291" s="112">
        <v>41274</v>
      </c>
      <c r="F291" s="113" t="s">
        <v>508</v>
      </c>
      <c r="G291" s="396"/>
      <c r="H291" s="114" t="s">
        <v>552</v>
      </c>
      <c r="I291" s="132">
        <v>260</v>
      </c>
      <c r="J291" s="132">
        <v>19714.978885453587</v>
      </c>
      <c r="K291" s="306">
        <f t="shared" si="11"/>
        <v>5125895</v>
      </c>
      <c r="L291" s="307" t="s">
        <v>306</v>
      </c>
      <c r="M291" s="307" t="s">
        <v>154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387"/>
      <c r="AA291" s="303"/>
    </row>
    <row r="292" spans="1:27" s="123" customFormat="1" ht="15.75" customHeight="1">
      <c r="A292" s="388" t="str">
        <f>IF(B292&lt;&gt;"",IF(AND(B292&gt;=_TM1,B292&lt;=_TM2,OR(TH!L292="1111",TH!M292="1111")),TH!D292,""),"")</f>
        <v/>
      </c>
      <c r="B292" s="13">
        <f t="shared" si="12"/>
        <v>12</v>
      </c>
      <c r="C292" s="112">
        <f t="shared" si="13"/>
        <v>41274</v>
      </c>
      <c r="D292" s="112" t="s">
        <v>424</v>
      </c>
      <c r="E292" s="112">
        <v>41274</v>
      </c>
      <c r="F292" s="113" t="s">
        <v>487</v>
      </c>
      <c r="G292" s="396"/>
      <c r="H292" s="114" t="s">
        <v>552</v>
      </c>
      <c r="I292" s="132">
        <v>500</v>
      </c>
      <c r="J292" s="132">
        <v>10890.978885453585</v>
      </c>
      <c r="K292" s="306">
        <f t="shared" si="11"/>
        <v>5445489</v>
      </c>
      <c r="L292" s="307" t="s">
        <v>306</v>
      </c>
      <c r="M292" s="307" t="s">
        <v>154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387"/>
      <c r="AA292" s="303"/>
    </row>
    <row r="293" spans="1:27" s="123" customFormat="1" ht="15.75" customHeight="1">
      <c r="A293" s="388" t="str">
        <f>IF(B293&lt;&gt;"",IF(AND(B293&gt;=_TM1,B293&lt;=_TM2,OR(TH!L293="1111",TH!M293="1111")),TH!D293,""),"")</f>
        <v/>
      </c>
      <c r="B293" s="13">
        <f t="shared" si="12"/>
        <v>12</v>
      </c>
      <c r="C293" s="112">
        <f t="shared" si="13"/>
        <v>41274</v>
      </c>
      <c r="D293" s="112" t="s">
        <v>554</v>
      </c>
      <c r="E293" s="112">
        <v>41274</v>
      </c>
      <c r="F293" s="113" t="s">
        <v>462</v>
      </c>
      <c r="G293" s="396"/>
      <c r="H293" s="114" t="s">
        <v>553</v>
      </c>
      <c r="I293" s="132">
        <v>22750</v>
      </c>
      <c r="J293" s="132">
        <v>1016.1613030360031</v>
      </c>
      <c r="K293" s="306">
        <f t="shared" si="11"/>
        <v>23117670</v>
      </c>
      <c r="L293" s="307" t="s">
        <v>156</v>
      </c>
      <c r="M293" s="307" t="s">
        <v>306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387"/>
      <c r="AA293" s="303"/>
    </row>
    <row r="294" spans="1:27" s="123" customFormat="1" ht="15.75" customHeight="1">
      <c r="A294" s="388" t="str">
        <f>IF(B294&lt;&gt;"",IF(AND(B294&gt;=_TM1,B294&lt;=_TM2,OR(TH!L294="1111",TH!M294="1111")),TH!D294,""),"")</f>
        <v/>
      </c>
      <c r="B294" s="13">
        <f t="shared" si="12"/>
        <v>12</v>
      </c>
      <c r="C294" s="112">
        <f t="shared" si="13"/>
        <v>41274</v>
      </c>
      <c r="D294" s="112" t="s">
        <v>554</v>
      </c>
      <c r="E294" s="112">
        <v>41274</v>
      </c>
      <c r="F294" s="113" t="s">
        <v>511</v>
      </c>
      <c r="G294" s="396"/>
      <c r="H294" s="114" t="s">
        <v>553</v>
      </c>
      <c r="I294" s="132">
        <v>60</v>
      </c>
      <c r="J294" s="132">
        <v>19714.978885453584</v>
      </c>
      <c r="K294" s="306">
        <f t="shared" si="11"/>
        <v>1182899</v>
      </c>
      <c r="L294" s="307" t="s">
        <v>156</v>
      </c>
      <c r="M294" s="307" t="s">
        <v>306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/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>x</v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387"/>
      <c r="AA294" s="303"/>
    </row>
    <row r="295" spans="1:27" s="123" customFormat="1" ht="15.75" customHeight="1">
      <c r="A295" s="388" t="str">
        <f>IF(B295&lt;&gt;"",IF(AND(B295&gt;=_TM1,B295&lt;=_TM2,OR(TH!L295="1111",TH!M295="1111")),TH!D295,""),"")</f>
        <v/>
      </c>
      <c r="B295" s="13">
        <f t="shared" si="12"/>
        <v>12</v>
      </c>
      <c r="C295" s="112">
        <f t="shared" si="13"/>
        <v>41274</v>
      </c>
      <c r="D295" s="112" t="s">
        <v>554</v>
      </c>
      <c r="E295" s="112">
        <v>41274</v>
      </c>
      <c r="F295" s="113" t="s">
        <v>470</v>
      </c>
      <c r="G295" s="396"/>
      <c r="H295" s="114" t="s">
        <v>553</v>
      </c>
      <c r="I295" s="132">
        <v>3303</v>
      </c>
      <c r="J295" s="132">
        <v>4854.9788854535855</v>
      </c>
      <c r="K295" s="306">
        <f t="shared" si="11"/>
        <v>16035995</v>
      </c>
      <c r="L295" s="307" t="s">
        <v>156</v>
      </c>
      <c r="M295" s="307" t="s">
        <v>306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/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387"/>
      <c r="AA295" s="303"/>
    </row>
    <row r="296" spans="1:27" s="123" customFormat="1" ht="15.75" customHeight="1">
      <c r="A296" s="388" t="str">
        <f>IF(B296&lt;&gt;"",IF(AND(B296&gt;=_TM1,B296&lt;=_TM2,OR(TH!L296="1111",TH!M296="1111")),TH!D296,""),"")</f>
        <v/>
      </c>
      <c r="B296" s="13">
        <f t="shared" si="12"/>
        <v>12</v>
      </c>
      <c r="C296" s="112">
        <f t="shared" si="13"/>
        <v>41274</v>
      </c>
      <c r="D296" s="112" t="s">
        <v>554</v>
      </c>
      <c r="E296" s="112">
        <v>41274</v>
      </c>
      <c r="F296" s="113" t="s">
        <v>494</v>
      </c>
      <c r="G296" s="396"/>
      <c r="H296" s="114" t="s">
        <v>553</v>
      </c>
      <c r="I296" s="132">
        <v>800</v>
      </c>
      <c r="J296" s="132">
        <v>6370.9788854535864</v>
      </c>
      <c r="K296" s="306">
        <f t="shared" si="11"/>
        <v>5096783</v>
      </c>
      <c r="L296" s="307" t="s">
        <v>156</v>
      </c>
      <c r="M296" s="307" t="s">
        <v>306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/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387"/>
      <c r="AA296" s="303"/>
    </row>
    <row r="297" spans="1:27" s="123" customFormat="1" ht="15.75" customHeight="1">
      <c r="A297" s="388" t="str">
        <f>IF(B297&lt;&gt;"",IF(AND(B297&gt;=_TM1,B297&lt;=_TM2,OR(TH!L297="1111",TH!M297="1111")),TH!D297,""),"")</f>
        <v/>
      </c>
      <c r="B297" s="13">
        <f t="shared" si="12"/>
        <v>12</v>
      </c>
      <c r="C297" s="112">
        <f t="shared" si="13"/>
        <v>41274</v>
      </c>
      <c r="D297" s="112" t="s">
        <v>554</v>
      </c>
      <c r="E297" s="112">
        <v>41274</v>
      </c>
      <c r="F297" s="113" t="s">
        <v>506</v>
      </c>
      <c r="G297" s="396"/>
      <c r="H297" s="114" t="s">
        <v>553</v>
      </c>
      <c r="I297" s="132">
        <v>100</v>
      </c>
      <c r="J297" s="132">
        <v>13624.978885453584</v>
      </c>
      <c r="K297" s="306">
        <f t="shared" si="11"/>
        <v>1362498</v>
      </c>
      <c r="L297" s="307" t="s">
        <v>156</v>
      </c>
      <c r="M297" s="307" t="s">
        <v>306</v>
      </c>
      <c r="N297" s="22" t="str">
        <f>IF(AND('331-CT'!$E$7=TH!H297,OR(L297="331",M297="331")),"331",IF(AND(OR(L297="131",M297="131"),H297='131-CT'!$E$7),"131",""))</f>
        <v/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387"/>
      <c r="AA297" s="303"/>
    </row>
    <row r="298" spans="1:27" s="123" customFormat="1" ht="15.75" customHeight="1">
      <c r="A298" s="388" t="str">
        <f>IF(B298&lt;&gt;"",IF(AND(B298&gt;=_TM1,B298&lt;=_TM2,OR(TH!L298="1111",TH!M298="1111")),TH!D298,""),"")</f>
        <v/>
      </c>
      <c r="B298" s="13">
        <f t="shared" si="12"/>
        <v>12</v>
      </c>
      <c r="C298" s="112">
        <f t="shared" si="13"/>
        <v>41274</v>
      </c>
      <c r="D298" s="112" t="s">
        <v>554</v>
      </c>
      <c r="E298" s="112">
        <v>41274</v>
      </c>
      <c r="F298" s="113" t="s">
        <v>509</v>
      </c>
      <c r="G298" s="396"/>
      <c r="H298" s="114" t="s">
        <v>553</v>
      </c>
      <c r="I298" s="132">
        <v>40</v>
      </c>
      <c r="J298" s="132">
        <v>13624.978885453587</v>
      </c>
      <c r="K298" s="306">
        <f t="shared" si="11"/>
        <v>544999</v>
      </c>
      <c r="L298" s="307" t="s">
        <v>156</v>
      </c>
      <c r="M298" s="307" t="s">
        <v>306</v>
      </c>
      <c r="N298" s="22" t="str">
        <f>IF(AND('331-CT'!$E$7=TH!H298,OR(L298="331",M298="331")),"331",IF(AND(OR(L298="131",M298="131"),H298='131-CT'!$E$7),"131",""))</f>
        <v/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>x</v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387"/>
      <c r="AA298" s="303"/>
    </row>
    <row r="299" spans="1:27" s="123" customFormat="1" ht="15.75" customHeight="1">
      <c r="A299" s="388" t="str">
        <f>IF(B299&lt;&gt;"",IF(AND(B299&gt;=_TM1,B299&lt;=_TM2,OR(TH!L299="1111",TH!M299="1111")),TH!D299,""),"")</f>
        <v/>
      </c>
      <c r="B299" s="13">
        <f t="shared" si="12"/>
        <v>12</v>
      </c>
      <c r="C299" s="112">
        <f t="shared" si="13"/>
        <v>41274</v>
      </c>
      <c r="D299" s="112" t="s">
        <v>554</v>
      </c>
      <c r="E299" s="112">
        <v>41274</v>
      </c>
      <c r="F299" s="113" t="s">
        <v>507</v>
      </c>
      <c r="G299" s="396"/>
      <c r="H299" s="114" t="s">
        <v>553</v>
      </c>
      <c r="I299" s="132">
        <v>180</v>
      </c>
      <c r="J299" s="132">
        <v>13624.978885453585</v>
      </c>
      <c r="K299" s="306">
        <f t="shared" si="11"/>
        <v>2452496</v>
      </c>
      <c r="L299" s="307" t="s">
        <v>156</v>
      </c>
      <c r="M299" s="307" t="s">
        <v>306</v>
      </c>
      <c r="N299" s="22" t="str">
        <f>IF(AND('331-CT'!$E$7=TH!H299,OR(L299="331",M299="331")),"331",IF(AND(OR(L299="131",M299="131"),H299='131-CT'!$E$7),"131",""))</f>
        <v/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387"/>
      <c r="AA299" s="303"/>
    </row>
    <row r="300" spans="1:27" s="123" customFormat="1" ht="15.75" customHeight="1">
      <c r="A300" s="388" t="str">
        <f>IF(B300&lt;&gt;"",IF(AND(B300&gt;=_TM1,B300&lt;=_TM2,OR(TH!L300="1111",TH!M300="1111")),TH!D300,""),"")</f>
        <v/>
      </c>
      <c r="B300" s="13">
        <f t="shared" si="12"/>
        <v>12</v>
      </c>
      <c r="C300" s="112">
        <f t="shared" si="13"/>
        <v>41274</v>
      </c>
      <c r="D300" s="112" t="s">
        <v>554</v>
      </c>
      <c r="E300" s="112">
        <v>41274</v>
      </c>
      <c r="F300" s="113" t="s">
        <v>504</v>
      </c>
      <c r="G300" s="396"/>
      <c r="H300" s="114" t="s">
        <v>553</v>
      </c>
      <c r="I300" s="132">
        <v>180</v>
      </c>
      <c r="J300" s="132">
        <v>13624.978885453585</v>
      </c>
      <c r="K300" s="306">
        <f t="shared" si="11"/>
        <v>2452496</v>
      </c>
      <c r="L300" s="307" t="s">
        <v>156</v>
      </c>
      <c r="M300" s="307" t="s">
        <v>306</v>
      </c>
      <c r="N300" s="22" t="str">
        <f>IF(AND('331-CT'!$E$7=TH!H300,OR(L300="331",M300="331")),"331",IF(AND(OR(L300="131",M300="131"),H300='131-CT'!$E$7),"131",""))</f>
        <v/>
      </c>
      <c r="O300" s="22" t="str">
        <f>IF(AND($B300&gt;='111'!$N$11,$B300&lt;='111'!$O$11,OR($L300=$O$7,$M300=$O$7)),"x","")</f>
        <v/>
      </c>
      <c r="P300" s="22" t="str">
        <f>IF(AND($L300=$O$7,$B300&lt;'111'!$N$11),"x","")</f>
        <v/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387"/>
      <c r="AA300" s="303"/>
    </row>
    <row r="301" spans="1:27" s="123" customFormat="1" ht="15.75" customHeight="1">
      <c r="A301" s="388" t="str">
        <f>IF(B301&lt;&gt;"",IF(AND(B301&gt;=_TM1,B301&lt;=_TM2,OR(TH!L301="1111",TH!M301="1111")),TH!D301,""),"")</f>
        <v/>
      </c>
      <c r="B301" s="13">
        <f t="shared" si="12"/>
        <v>12</v>
      </c>
      <c r="C301" s="112">
        <f t="shared" si="13"/>
        <v>41274</v>
      </c>
      <c r="D301" s="112" t="s">
        <v>554</v>
      </c>
      <c r="E301" s="112">
        <v>41274</v>
      </c>
      <c r="F301" s="113" t="s">
        <v>468</v>
      </c>
      <c r="G301" s="396"/>
      <c r="H301" s="114" t="s">
        <v>553</v>
      </c>
      <c r="I301" s="132">
        <v>1010</v>
      </c>
      <c r="J301" s="132">
        <v>6666.9788854535864</v>
      </c>
      <c r="K301" s="306">
        <f t="shared" si="11"/>
        <v>6733649</v>
      </c>
      <c r="L301" s="307" t="s">
        <v>156</v>
      </c>
      <c r="M301" s="307" t="s">
        <v>306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387"/>
      <c r="AA301" s="303"/>
    </row>
    <row r="302" spans="1:27" s="123" customFormat="1" ht="15.75" customHeight="1">
      <c r="A302" s="388" t="str">
        <f>IF(B302&lt;&gt;"",IF(AND(B302&gt;=_TM1,B302&lt;=_TM2,OR(TH!L302="1111",TH!M302="1111")),TH!D302,""),"")</f>
        <v/>
      </c>
      <c r="B302" s="13">
        <f t="shared" si="12"/>
        <v>12</v>
      </c>
      <c r="C302" s="112">
        <f t="shared" si="13"/>
        <v>41274</v>
      </c>
      <c r="D302" s="112" t="s">
        <v>554</v>
      </c>
      <c r="E302" s="112">
        <v>41274</v>
      </c>
      <c r="F302" s="113" t="s">
        <v>466</v>
      </c>
      <c r="G302" s="396"/>
      <c r="H302" s="114" t="s">
        <v>553</v>
      </c>
      <c r="I302" s="132">
        <v>3104</v>
      </c>
      <c r="J302" s="132">
        <v>5946.1779833917299</v>
      </c>
      <c r="K302" s="306">
        <f t="shared" si="11"/>
        <v>18456936</v>
      </c>
      <c r="L302" s="307" t="s">
        <v>156</v>
      </c>
      <c r="M302" s="307" t="s">
        <v>306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387"/>
      <c r="AA302" s="303"/>
    </row>
    <row r="303" spans="1:27" s="123" customFormat="1" ht="15.75" customHeight="1">
      <c r="A303" s="388" t="str">
        <f>IF(B303&lt;&gt;"",IF(AND(B303&gt;=_TM1,B303&lt;=_TM2,OR(TH!L303="1111",TH!M303="1111")),TH!D303,""),"")</f>
        <v/>
      </c>
      <c r="B303" s="13">
        <f t="shared" si="12"/>
        <v>12</v>
      </c>
      <c r="C303" s="112">
        <f t="shared" si="13"/>
        <v>41274</v>
      </c>
      <c r="D303" s="112" t="s">
        <v>554</v>
      </c>
      <c r="E303" s="112">
        <v>41274</v>
      </c>
      <c r="F303" s="113" t="s">
        <v>474</v>
      </c>
      <c r="G303" s="396"/>
      <c r="H303" s="114" t="s">
        <v>553</v>
      </c>
      <c r="I303" s="132">
        <v>2820</v>
      </c>
      <c r="J303" s="132">
        <v>6068.7235663046495</v>
      </c>
      <c r="K303" s="306">
        <f t="shared" ref="K303:K317" si="14">ROUND(I303*J303,0)</f>
        <v>17113800</v>
      </c>
      <c r="L303" s="307" t="s">
        <v>156</v>
      </c>
      <c r="M303" s="307" t="s">
        <v>306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/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387"/>
      <c r="AA303" s="303"/>
    </row>
    <row r="304" spans="1:27" s="123" customFormat="1" ht="15.75" customHeight="1">
      <c r="A304" s="388" t="str">
        <f>IF(B304&lt;&gt;"",IF(AND(B304&gt;=_TM1,B304&lt;=_TM2,OR(TH!L304="1111",TH!M304="1111")),TH!D304,""),"")</f>
        <v/>
      </c>
      <c r="B304" s="13">
        <f t="shared" si="12"/>
        <v>12</v>
      </c>
      <c r="C304" s="112">
        <f t="shared" si="13"/>
        <v>41274</v>
      </c>
      <c r="D304" s="112" t="s">
        <v>554</v>
      </c>
      <c r="E304" s="112">
        <v>41274</v>
      </c>
      <c r="F304" s="113" t="s">
        <v>472</v>
      </c>
      <c r="G304" s="396"/>
      <c r="H304" s="114" t="s">
        <v>553</v>
      </c>
      <c r="I304" s="132">
        <v>4665</v>
      </c>
      <c r="J304" s="132">
        <v>5788.2054663753433</v>
      </c>
      <c r="K304" s="306">
        <f t="shared" si="14"/>
        <v>27001979</v>
      </c>
      <c r="L304" s="307" t="s">
        <v>156</v>
      </c>
      <c r="M304" s="307" t="s">
        <v>306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387"/>
      <c r="AA304" s="303"/>
    </row>
    <row r="305" spans="1:27" s="123" customFormat="1" ht="15.75" customHeight="1">
      <c r="A305" s="388" t="str">
        <f>IF(B305&lt;&gt;"",IF(AND(B305&gt;=_TM1,B305&lt;=_TM2,OR(TH!L305="1111",TH!M305="1111")),TH!D305,""),"")</f>
        <v/>
      </c>
      <c r="B305" s="13">
        <f t="shared" si="12"/>
        <v>12</v>
      </c>
      <c r="C305" s="112">
        <f t="shared" si="13"/>
        <v>41274</v>
      </c>
      <c r="D305" s="112" t="s">
        <v>554</v>
      </c>
      <c r="E305" s="112">
        <v>41274</v>
      </c>
      <c r="F305" s="113" t="s">
        <v>464</v>
      </c>
      <c r="G305" s="396"/>
      <c r="H305" s="114" t="s">
        <v>553</v>
      </c>
      <c r="I305" s="132">
        <v>1147</v>
      </c>
      <c r="J305" s="132">
        <v>6133.7949273018858</v>
      </c>
      <c r="K305" s="306">
        <f t="shared" si="14"/>
        <v>7035463</v>
      </c>
      <c r="L305" s="307" t="s">
        <v>156</v>
      </c>
      <c r="M305" s="307" t="s">
        <v>306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387"/>
      <c r="AA305" s="303"/>
    </row>
    <row r="306" spans="1:27" s="123" customFormat="1" ht="15.75" customHeight="1">
      <c r="A306" s="388" t="str">
        <f>IF(B306&lt;&gt;"",IF(AND(B306&gt;=_TM1,B306&lt;=_TM2,OR(TH!L306="1111",TH!M306="1111")),TH!D306,""),"")</f>
        <v/>
      </c>
      <c r="B306" s="13">
        <f t="shared" si="12"/>
        <v>12</v>
      </c>
      <c r="C306" s="112">
        <f t="shared" si="13"/>
        <v>41274</v>
      </c>
      <c r="D306" s="112" t="s">
        <v>554</v>
      </c>
      <c r="E306" s="112">
        <v>41274</v>
      </c>
      <c r="F306" s="113" t="s">
        <v>469</v>
      </c>
      <c r="G306" s="396"/>
      <c r="H306" s="114" t="s">
        <v>553</v>
      </c>
      <c r="I306" s="132">
        <v>3175</v>
      </c>
      <c r="J306" s="132">
        <v>5749.5987279732699</v>
      </c>
      <c r="K306" s="306">
        <f t="shared" si="14"/>
        <v>18254976</v>
      </c>
      <c r="L306" s="307" t="s">
        <v>156</v>
      </c>
      <c r="M306" s="307" t="s">
        <v>306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387"/>
      <c r="AA306" s="303"/>
    </row>
    <row r="307" spans="1:27" s="123" customFormat="1" ht="15.75" customHeight="1">
      <c r="A307" s="388" t="str">
        <f>IF(B307&lt;&gt;"",IF(AND(B307&gt;=_TM1,B307&lt;=_TM2,OR(TH!L307="1111",TH!M307="1111")),TH!D307,""),"")</f>
        <v/>
      </c>
      <c r="B307" s="13">
        <f t="shared" si="12"/>
        <v>12</v>
      </c>
      <c r="C307" s="112">
        <f t="shared" si="13"/>
        <v>41274</v>
      </c>
      <c r="D307" s="112" t="s">
        <v>554</v>
      </c>
      <c r="E307" s="112">
        <v>41274</v>
      </c>
      <c r="F307" s="113" t="s">
        <v>482</v>
      </c>
      <c r="G307" s="396"/>
      <c r="H307" s="114" t="s">
        <v>553</v>
      </c>
      <c r="I307" s="132">
        <v>1000</v>
      </c>
      <c r="J307" s="132">
        <v>6701.9788854535855</v>
      </c>
      <c r="K307" s="306">
        <f t="shared" si="14"/>
        <v>6701979</v>
      </c>
      <c r="L307" s="307" t="s">
        <v>156</v>
      </c>
      <c r="M307" s="307" t="s">
        <v>306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387"/>
      <c r="AA307" s="303"/>
    </row>
    <row r="308" spans="1:27" s="123" customFormat="1" ht="15.75" customHeight="1">
      <c r="A308" s="388" t="str">
        <f>IF(B308&lt;&gt;"",IF(AND(B308&gt;=_TM1,B308&lt;=_TM2,OR(TH!L308="1111",TH!M308="1111")),TH!D308,""),"")</f>
        <v/>
      </c>
      <c r="B308" s="13">
        <f t="shared" si="12"/>
        <v>12</v>
      </c>
      <c r="C308" s="112">
        <f t="shared" si="13"/>
        <v>41274</v>
      </c>
      <c r="D308" s="112" t="s">
        <v>554</v>
      </c>
      <c r="E308" s="112">
        <v>41274</v>
      </c>
      <c r="F308" s="113" t="s">
        <v>480</v>
      </c>
      <c r="G308" s="396"/>
      <c r="H308" s="114" t="s">
        <v>553</v>
      </c>
      <c r="I308" s="132">
        <v>1000</v>
      </c>
      <c r="J308" s="132">
        <v>12923.978885453585</v>
      </c>
      <c r="K308" s="306">
        <f t="shared" si="14"/>
        <v>12923979</v>
      </c>
      <c r="L308" s="307" t="s">
        <v>156</v>
      </c>
      <c r="M308" s="307" t="s">
        <v>306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387"/>
      <c r="AA308" s="303"/>
    </row>
    <row r="309" spans="1:27" s="123" customFormat="1" ht="15.75" customHeight="1">
      <c r="A309" s="388" t="str">
        <f>IF(B309&lt;&gt;"",IF(AND(B309&gt;=_TM1,B309&lt;=_TM2,OR(TH!L309="1111",TH!M309="1111")),TH!D309,""),"")</f>
        <v/>
      </c>
      <c r="B309" s="13">
        <f t="shared" si="12"/>
        <v>12</v>
      </c>
      <c r="C309" s="112">
        <f t="shared" si="13"/>
        <v>41274</v>
      </c>
      <c r="D309" s="112" t="s">
        <v>554</v>
      </c>
      <c r="E309" s="112">
        <v>41274</v>
      </c>
      <c r="F309" s="113" t="s">
        <v>500</v>
      </c>
      <c r="G309" s="396"/>
      <c r="H309" s="114" t="s">
        <v>553</v>
      </c>
      <c r="I309" s="132">
        <v>1000</v>
      </c>
      <c r="J309" s="132">
        <v>6220.3508854535858</v>
      </c>
      <c r="K309" s="306">
        <f t="shared" si="14"/>
        <v>6220351</v>
      </c>
      <c r="L309" s="307" t="s">
        <v>156</v>
      </c>
      <c r="M309" s="307" t="s">
        <v>306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387"/>
      <c r="AA309" s="303"/>
    </row>
    <row r="310" spans="1:27" s="123" customFormat="1" ht="15.75" customHeight="1">
      <c r="A310" s="388" t="str">
        <f>IF(B310&lt;&gt;"",IF(AND(B310&gt;=_TM1,B310&lt;=_TM2,OR(TH!L310="1111",TH!M310="1111")),TH!D310,""),"")</f>
        <v/>
      </c>
      <c r="B310" s="13">
        <f t="shared" si="12"/>
        <v>12</v>
      </c>
      <c r="C310" s="112">
        <f t="shared" si="13"/>
        <v>41274</v>
      </c>
      <c r="D310" s="112" t="s">
        <v>554</v>
      </c>
      <c r="E310" s="112">
        <v>41274</v>
      </c>
      <c r="F310" s="113" t="s">
        <v>497</v>
      </c>
      <c r="G310" s="396"/>
      <c r="H310" s="114" t="s">
        <v>553</v>
      </c>
      <c r="I310" s="132">
        <v>300</v>
      </c>
      <c r="J310" s="132">
        <v>5719.9788854535855</v>
      </c>
      <c r="K310" s="306">
        <f t="shared" si="14"/>
        <v>1715994</v>
      </c>
      <c r="L310" s="307" t="s">
        <v>156</v>
      </c>
      <c r="M310" s="307" t="s">
        <v>306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/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387"/>
      <c r="AA310" s="303"/>
    </row>
    <row r="311" spans="1:27" s="123" customFormat="1" ht="15.75" customHeight="1">
      <c r="A311" s="388" t="str">
        <f>IF(B311&lt;&gt;"",IF(AND(B311&gt;=_TM1,B311&lt;=_TM2,OR(TH!L311="1111",TH!M311="1111")),TH!D311,""),"")</f>
        <v/>
      </c>
      <c r="B311" s="13">
        <f t="shared" si="12"/>
        <v>12</v>
      </c>
      <c r="C311" s="112">
        <f t="shared" si="13"/>
        <v>41274</v>
      </c>
      <c r="D311" s="112" t="s">
        <v>554</v>
      </c>
      <c r="E311" s="112">
        <v>41274</v>
      </c>
      <c r="F311" s="113" t="s">
        <v>484</v>
      </c>
      <c r="G311" s="396"/>
      <c r="H311" s="114" t="s">
        <v>553</v>
      </c>
      <c r="I311" s="132">
        <v>550</v>
      </c>
      <c r="J311" s="132">
        <v>4882.9788854535864</v>
      </c>
      <c r="K311" s="306">
        <f t="shared" si="14"/>
        <v>2685638</v>
      </c>
      <c r="L311" s="307" t="s">
        <v>156</v>
      </c>
      <c r="M311" s="307" t="s">
        <v>306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/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387"/>
      <c r="AA311" s="303"/>
    </row>
    <row r="312" spans="1:27" s="123" customFormat="1" ht="15.75" customHeight="1">
      <c r="A312" s="388" t="str">
        <f>IF(B312&lt;&gt;"",IF(AND(B312&gt;=_TM1,B312&lt;=_TM2,OR(TH!L312="1111",TH!M312="1111")),TH!D312,""),"")</f>
        <v/>
      </c>
      <c r="B312" s="13">
        <f t="shared" si="12"/>
        <v>12</v>
      </c>
      <c r="C312" s="112">
        <f t="shared" si="13"/>
        <v>41274</v>
      </c>
      <c r="D312" s="112" t="s">
        <v>554</v>
      </c>
      <c r="E312" s="112">
        <v>41274</v>
      </c>
      <c r="F312" s="113" t="s">
        <v>459</v>
      </c>
      <c r="G312" s="396"/>
      <c r="H312" s="114" t="s">
        <v>553</v>
      </c>
      <c r="I312" s="132">
        <v>2250</v>
      </c>
      <c r="J312" s="132">
        <v>4882.9788854535855</v>
      </c>
      <c r="K312" s="306">
        <f t="shared" si="14"/>
        <v>10986702</v>
      </c>
      <c r="L312" s="307" t="s">
        <v>156</v>
      </c>
      <c r="M312" s="307" t="s">
        <v>306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/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387"/>
      <c r="AA312" s="303"/>
    </row>
    <row r="313" spans="1:27" s="123" customFormat="1" ht="15.75" customHeight="1">
      <c r="A313" s="388" t="str">
        <f>IF(B313&lt;&gt;"",IF(AND(B313&gt;=_TM1,B313&lt;=_TM2,OR(TH!L313="1111",TH!M313="1111")),TH!D313,""),"")</f>
        <v/>
      </c>
      <c r="B313" s="13">
        <f t="shared" si="12"/>
        <v>12</v>
      </c>
      <c r="C313" s="112">
        <f t="shared" si="13"/>
        <v>41274</v>
      </c>
      <c r="D313" s="112" t="s">
        <v>554</v>
      </c>
      <c r="E313" s="112">
        <v>41274</v>
      </c>
      <c r="F313" s="113" t="s">
        <v>499</v>
      </c>
      <c r="G313" s="396"/>
      <c r="H313" s="114" t="s">
        <v>553</v>
      </c>
      <c r="I313" s="132">
        <v>500</v>
      </c>
      <c r="J313" s="132">
        <v>4882.9788854535855</v>
      </c>
      <c r="K313" s="306">
        <f t="shared" si="14"/>
        <v>2441489</v>
      </c>
      <c r="L313" s="307" t="s">
        <v>156</v>
      </c>
      <c r="M313" s="307" t="s">
        <v>306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/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/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387"/>
      <c r="AA313" s="303"/>
    </row>
    <row r="314" spans="1:27" s="123" customFormat="1" ht="15.75" customHeight="1">
      <c r="A314" s="388" t="str">
        <f>IF(B314&lt;&gt;"",IF(AND(B314&gt;=_TM1,B314&lt;=_TM2,OR(TH!L314="1111",TH!M314="1111")),TH!D314,""),"")</f>
        <v/>
      </c>
      <c r="B314" s="13">
        <f t="shared" si="12"/>
        <v>12</v>
      </c>
      <c r="C314" s="112">
        <f t="shared" si="13"/>
        <v>41274</v>
      </c>
      <c r="D314" s="112" t="s">
        <v>554</v>
      </c>
      <c r="E314" s="112">
        <v>41274</v>
      </c>
      <c r="F314" s="113" t="s">
        <v>475</v>
      </c>
      <c r="G314" s="396"/>
      <c r="H314" s="114" t="s">
        <v>553</v>
      </c>
      <c r="I314" s="132">
        <v>2000</v>
      </c>
      <c r="J314" s="132">
        <v>6415.9788854535855</v>
      </c>
      <c r="K314" s="306">
        <f t="shared" si="14"/>
        <v>12831958</v>
      </c>
      <c r="L314" s="307" t="s">
        <v>156</v>
      </c>
      <c r="M314" s="307" t="s">
        <v>306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/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387"/>
      <c r="AA314" s="303"/>
    </row>
    <row r="315" spans="1:27" s="123" customFormat="1" ht="15.75" customHeight="1">
      <c r="A315" s="388" t="str">
        <f>IF(B315&lt;&gt;"",IF(AND(B315&gt;=_TM1,B315&lt;=_TM2,OR(TH!L315="1111",TH!M315="1111")),TH!D315,""),"")</f>
        <v/>
      </c>
      <c r="B315" s="13">
        <f t="shared" si="12"/>
        <v>12</v>
      </c>
      <c r="C315" s="112">
        <f t="shared" si="13"/>
        <v>41274</v>
      </c>
      <c r="D315" s="112" t="s">
        <v>554</v>
      </c>
      <c r="E315" s="112">
        <v>41274</v>
      </c>
      <c r="F315" s="113" t="s">
        <v>498</v>
      </c>
      <c r="G315" s="396"/>
      <c r="H315" s="114" t="s">
        <v>553</v>
      </c>
      <c r="I315" s="132">
        <v>350</v>
      </c>
      <c r="J315" s="132">
        <v>5877.9788854535855</v>
      </c>
      <c r="K315" s="306">
        <f t="shared" si="14"/>
        <v>2057293</v>
      </c>
      <c r="L315" s="307" t="s">
        <v>156</v>
      </c>
      <c r="M315" s="307" t="s">
        <v>306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/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/>
      </c>
      <c r="Y315" s="22" t="str">
        <f>IF(AND(B315&lt;=NKC!$N$8,B315&gt;=NKC!$M$8),"x","")</f>
        <v>x</v>
      </c>
      <c r="Z315" s="387"/>
      <c r="AA315" s="303"/>
    </row>
    <row r="316" spans="1:27" s="123" customFormat="1" ht="15.75" customHeight="1">
      <c r="A316" s="388" t="str">
        <f>IF(B316&lt;&gt;"",IF(AND(B316&gt;=_TM1,B316&lt;=_TM2,OR(TH!L316="1111",TH!M316="1111")),TH!D316,""),"")</f>
        <v/>
      </c>
      <c r="B316" s="13">
        <f t="shared" si="12"/>
        <v>12</v>
      </c>
      <c r="C316" s="112">
        <f t="shared" si="13"/>
        <v>41274</v>
      </c>
      <c r="D316" s="112" t="s">
        <v>554</v>
      </c>
      <c r="E316" s="112">
        <v>41274</v>
      </c>
      <c r="F316" s="113" t="s">
        <v>508</v>
      </c>
      <c r="G316" s="396"/>
      <c r="H316" s="114" t="s">
        <v>553</v>
      </c>
      <c r="I316" s="132">
        <v>260</v>
      </c>
      <c r="J316" s="132">
        <v>19714.978885453587</v>
      </c>
      <c r="K316" s="306">
        <f t="shared" si="14"/>
        <v>5125895</v>
      </c>
      <c r="L316" s="307" t="s">
        <v>156</v>
      </c>
      <c r="M316" s="307" t="s">
        <v>306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/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387"/>
      <c r="AA316" s="303"/>
    </row>
    <row r="317" spans="1:27" s="123" customFormat="1" ht="15.75" customHeight="1">
      <c r="A317" s="388" t="str">
        <f>IF(B317&lt;&gt;"",IF(AND(B317&gt;=_TM1,B317&lt;=_TM2,OR(TH!L317="1111",TH!M317="1111")),TH!D317,""),"")</f>
        <v/>
      </c>
      <c r="B317" s="13">
        <f t="shared" si="12"/>
        <v>12</v>
      </c>
      <c r="C317" s="112">
        <f t="shared" si="13"/>
        <v>41274</v>
      </c>
      <c r="D317" s="112" t="s">
        <v>554</v>
      </c>
      <c r="E317" s="112">
        <v>41274</v>
      </c>
      <c r="F317" s="113" t="s">
        <v>487</v>
      </c>
      <c r="G317" s="396"/>
      <c r="H317" s="114" t="s">
        <v>553</v>
      </c>
      <c r="I317" s="132">
        <v>500</v>
      </c>
      <c r="J317" s="132">
        <v>10890.978885453585</v>
      </c>
      <c r="K317" s="306">
        <f t="shared" si="14"/>
        <v>5445489</v>
      </c>
      <c r="L317" s="307" t="s">
        <v>156</v>
      </c>
      <c r="M317" s="307" t="s">
        <v>306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387"/>
      <c r="AA317" s="303"/>
    </row>
    <row r="318" spans="1:27" s="123" customFormat="1" ht="15.75" customHeight="1">
      <c r="A318" s="388" t="str">
        <f>IF(B318&lt;&gt;"",IF(AND(B318&gt;=_TM1,B318&lt;=_TM2,OR(TH!L318="1111",TH!M318="1111")),TH!D318,""),"")</f>
        <v/>
      </c>
      <c r="B318" s="13" t="str">
        <f t="shared" ref="B318:B322" si="15">IF(C318&lt;&gt;"",MONTH(C318),"")</f>
        <v/>
      </c>
      <c r="C318" s="112"/>
      <c r="D318" s="112"/>
      <c r="E318" s="112"/>
      <c r="F318" s="113"/>
      <c r="G318" s="396"/>
      <c r="H318" s="114"/>
      <c r="I318" s="132"/>
      <c r="J318" s="132"/>
      <c r="K318" s="306"/>
      <c r="L318" s="307"/>
      <c r="M318" s="307"/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/>
      </c>
      <c r="Z318" s="387"/>
      <c r="AA318" s="303"/>
    </row>
    <row r="319" spans="1:27" s="123" customFormat="1" ht="15.75" customHeight="1">
      <c r="A319" s="388" t="str">
        <f>IF(B319&lt;&gt;"",IF(AND(B319&gt;=_TM1,B319&lt;=_TM2,OR(TH!L319="1111",TH!M319="1111")),TH!D319,""),"")</f>
        <v/>
      </c>
      <c r="B319" s="13" t="str">
        <f t="shared" ref="B319:B320" si="16">IF(C319&lt;&gt;"",MONTH(C319),"")</f>
        <v/>
      </c>
      <c r="C319" s="112"/>
      <c r="D319" s="112"/>
      <c r="E319" s="112"/>
      <c r="F319" s="113"/>
      <c r="G319" s="396"/>
      <c r="H319" s="114"/>
      <c r="I319" s="132"/>
      <c r="J319" s="132"/>
      <c r="K319" s="306"/>
      <c r="L319" s="307"/>
      <c r="M319" s="307"/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/>
      </c>
      <c r="Z319" s="387"/>
      <c r="AA319" s="303"/>
    </row>
    <row r="320" spans="1:27" s="123" customFormat="1" ht="15.75" customHeight="1">
      <c r="A320" s="388" t="str">
        <f>IF(B320&lt;&gt;"",IF(AND(B320&gt;=_TM1,B320&lt;=_TM2,OR(TH!L320="1111",TH!M320="1111")),TH!D320,""),"")</f>
        <v/>
      </c>
      <c r="B320" s="13" t="str">
        <f t="shared" si="16"/>
        <v/>
      </c>
      <c r="C320" s="112"/>
      <c r="D320" s="112"/>
      <c r="E320" s="112"/>
      <c r="F320" s="113"/>
      <c r="G320" s="396"/>
      <c r="H320" s="114"/>
      <c r="I320" s="132"/>
      <c r="J320" s="132"/>
      <c r="K320" s="306"/>
      <c r="L320" s="307"/>
      <c r="M320" s="307"/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/>
      </c>
      <c r="Z320" s="387"/>
      <c r="AA320" s="303"/>
    </row>
    <row r="321" spans="1:27" s="123" customFormat="1" ht="15.75" customHeight="1">
      <c r="A321" s="388" t="str">
        <f>IF(B321&lt;&gt;"",IF(AND(B321&gt;=_TM1,B321&lt;=_TM2,OR(TH!L321="1111",TH!M321="1111")),TH!D321,""),"")</f>
        <v/>
      </c>
      <c r="B321" s="13" t="str">
        <f t="shared" si="15"/>
        <v/>
      </c>
      <c r="C321" s="112"/>
      <c r="D321" s="112"/>
      <c r="E321" s="112"/>
      <c r="F321" s="113"/>
      <c r="G321" s="396"/>
      <c r="H321" s="114"/>
      <c r="I321" s="132"/>
      <c r="J321" s="132"/>
      <c r="K321" s="306"/>
      <c r="L321" s="307"/>
      <c r="M321" s="307"/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/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/>
      </c>
      <c r="Z321" s="387"/>
      <c r="AA321" s="303"/>
    </row>
    <row r="322" spans="1:27" s="123" customFormat="1" ht="15.75" customHeight="1">
      <c r="A322" s="388" t="str">
        <f>IF(B322&lt;&gt;"",IF(AND(B322&gt;=_TM1,B322&lt;=_TM2,OR(TH!L322="1111",TH!M322="1111")),TH!D322,""),"")</f>
        <v/>
      </c>
      <c r="B322" s="13" t="str">
        <f t="shared" si="15"/>
        <v/>
      </c>
      <c r="C322" s="112"/>
      <c r="D322" s="112"/>
      <c r="E322" s="112"/>
      <c r="F322" s="113"/>
      <c r="G322" s="396"/>
      <c r="H322" s="114"/>
      <c r="I322" s="132"/>
      <c r="J322" s="132"/>
      <c r="K322" s="306"/>
      <c r="L322" s="307"/>
      <c r="M322" s="307"/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/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/>
      </c>
      <c r="Z322" s="387"/>
      <c r="AA322" s="303"/>
    </row>
    <row r="323" spans="1:27" s="123" customFormat="1">
      <c r="A323" s="118"/>
      <c r="G323" s="397"/>
      <c r="H323" s="361"/>
      <c r="I323" s="361"/>
      <c r="J323" s="361"/>
    </row>
    <row r="324" spans="1:27" s="123" customFormat="1">
      <c r="A324" s="118"/>
      <c r="G324" s="397"/>
      <c r="H324" s="361"/>
      <c r="I324" s="361"/>
      <c r="J324" s="361"/>
      <c r="K324" s="398">
        <f>SUBTOTAL(9,K10:K322)</f>
        <v>4881678507</v>
      </c>
    </row>
  </sheetData>
  <autoFilter ref="A9:AC322"/>
  <sortState ref="A74:AD335">
    <sortCondition ref="C74:C335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277"/>
  <sheetViews>
    <sheetView topLeftCell="A8" zoomScale="90" zoomScaleNormal="90" workbookViewId="0">
      <pane ySplit="3" topLeftCell="A263" activePane="bottomLeft" state="frozen"/>
      <selection activeCell="A8" sqref="A8"/>
      <selection pane="bottomLeft" activeCell="D268" sqref="D268"/>
    </sheetView>
  </sheetViews>
  <sheetFormatPr defaultRowHeight="15"/>
  <cols>
    <col min="1" max="1" width="10" style="368" customWidth="1"/>
    <col min="2" max="2" width="9.28515625" style="368" customWidth="1"/>
    <col min="3" max="3" width="10" style="368" customWidth="1"/>
    <col min="4" max="4" width="41.42578125" style="368" customWidth="1"/>
    <col min="5" max="5" width="6" style="368" customWidth="1"/>
    <col min="6" max="6" width="7.85546875" style="368" customWidth="1"/>
    <col min="7" max="7" width="8.5703125" style="368" customWidth="1"/>
    <col min="8" max="8" width="13.85546875" style="368" customWidth="1"/>
    <col min="9" max="9" width="14.140625" style="368" customWidth="1"/>
    <col min="10" max="11" width="9.140625" style="368"/>
    <col min="12" max="12" width="3.5703125" style="368" customWidth="1"/>
    <col min="13" max="256" width="9.140625" style="368"/>
    <col min="257" max="257" width="13" style="368" customWidth="1"/>
    <col min="258" max="258" width="9.140625" style="368"/>
    <col min="259" max="259" width="13" style="368" customWidth="1"/>
    <col min="260" max="260" width="29.7109375" style="368" customWidth="1"/>
    <col min="261" max="261" width="7.7109375" style="368" customWidth="1"/>
    <col min="262" max="262" width="6" style="368" customWidth="1"/>
    <col min="263" max="263" width="11.5703125" style="368" customWidth="1"/>
    <col min="264" max="264" width="13.42578125" style="368" customWidth="1"/>
    <col min="265" max="265" width="13.85546875" style="368" customWidth="1"/>
    <col min="266" max="512" width="9.140625" style="368"/>
    <col min="513" max="513" width="13" style="368" customWidth="1"/>
    <col min="514" max="514" width="9.140625" style="368"/>
    <col min="515" max="515" width="13" style="368" customWidth="1"/>
    <col min="516" max="516" width="29.7109375" style="368" customWidth="1"/>
    <col min="517" max="517" width="7.7109375" style="368" customWidth="1"/>
    <col min="518" max="518" width="6" style="368" customWidth="1"/>
    <col min="519" max="519" width="11.5703125" style="368" customWidth="1"/>
    <col min="520" max="520" width="13.42578125" style="368" customWidth="1"/>
    <col min="521" max="521" width="13.85546875" style="368" customWidth="1"/>
    <col min="522" max="768" width="9.140625" style="368"/>
    <col min="769" max="769" width="13" style="368" customWidth="1"/>
    <col min="770" max="770" width="9.140625" style="368"/>
    <col min="771" max="771" width="13" style="368" customWidth="1"/>
    <col min="772" max="772" width="29.7109375" style="368" customWidth="1"/>
    <col min="773" max="773" width="7.7109375" style="368" customWidth="1"/>
    <col min="774" max="774" width="6" style="368" customWidth="1"/>
    <col min="775" max="775" width="11.5703125" style="368" customWidth="1"/>
    <col min="776" max="776" width="13.42578125" style="368" customWidth="1"/>
    <col min="777" max="777" width="13.85546875" style="368" customWidth="1"/>
    <col min="778" max="1024" width="9.140625" style="368"/>
    <col min="1025" max="1025" width="13" style="368" customWidth="1"/>
    <col min="1026" max="1026" width="9.140625" style="368"/>
    <col min="1027" max="1027" width="13" style="368" customWidth="1"/>
    <col min="1028" max="1028" width="29.7109375" style="368" customWidth="1"/>
    <col min="1029" max="1029" width="7.7109375" style="368" customWidth="1"/>
    <col min="1030" max="1030" width="6" style="368" customWidth="1"/>
    <col min="1031" max="1031" width="11.5703125" style="368" customWidth="1"/>
    <col min="1032" max="1032" width="13.42578125" style="368" customWidth="1"/>
    <col min="1033" max="1033" width="13.85546875" style="368" customWidth="1"/>
    <col min="1034" max="1280" width="9.140625" style="368"/>
    <col min="1281" max="1281" width="13" style="368" customWidth="1"/>
    <col min="1282" max="1282" width="9.140625" style="368"/>
    <col min="1283" max="1283" width="13" style="368" customWidth="1"/>
    <col min="1284" max="1284" width="29.7109375" style="368" customWidth="1"/>
    <col min="1285" max="1285" width="7.7109375" style="368" customWidth="1"/>
    <col min="1286" max="1286" width="6" style="368" customWidth="1"/>
    <col min="1287" max="1287" width="11.5703125" style="368" customWidth="1"/>
    <col min="1288" max="1288" width="13.42578125" style="368" customWidth="1"/>
    <col min="1289" max="1289" width="13.85546875" style="368" customWidth="1"/>
    <col min="1290" max="1536" width="9.140625" style="368"/>
    <col min="1537" max="1537" width="13" style="368" customWidth="1"/>
    <col min="1538" max="1538" width="9.140625" style="368"/>
    <col min="1539" max="1539" width="13" style="368" customWidth="1"/>
    <col min="1540" max="1540" width="29.7109375" style="368" customWidth="1"/>
    <col min="1541" max="1541" width="7.7109375" style="368" customWidth="1"/>
    <col min="1542" max="1542" width="6" style="368" customWidth="1"/>
    <col min="1543" max="1543" width="11.5703125" style="368" customWidth="1"/>
    <col min="1544" max="1544" width="13.42578125" style="368" customWidth="1"/>
    <col min="1545" max="1545" width="13.85546875" style="368" customWidth="1"/>
    <col min="1546" max="1792" width="9.140625" style="368"/>
    <col min="1793" max="1793" width="13" style="368" customWidth="1"/>
    <col min="1794" max="1794" width="9.140625" style="368"/>
    <col min="1795" max="1795" width="13" style="368" customWidth="1"/>
    <col min="1796" max="1796" width="29.7109375" style="368" customWidth="1"/>
    <col min="1797" max="1797" width="7.7109375" style="368" customWidth="1"/>
    <col min="1798" max="1798" width="6" style="368" customWidth="1"/>
    <col min="1799" max="1799" width="11.5703125" style="368" customWidth="1"/>
    <col min="1800" max="1800" width="13.42578125" style="368" customWidth="1"/>
    <col min="1801" max="1801" width="13.85546875" style="368" customWidth="1"/>
    <col min="1802" max="2048" width="9.140625" style="368"/>
    <col min="2049" max="2049" width="13" style="368" customWidth="1"/>
    <col min="2050" max="2050" width="9.140625" style="368"/>
    <col min="2051" max="2051" width="13" style="368" customWidth="1"/>
    <col min="2052" max="2052" width="29.7109375" style="368" customWidth="1"/>
    <col min="2053" max="2053" width="7.7109375" style="368" customWidth="1"/>
    <col min="2054" max="2054" width="6" style="368" customWidth="1"/>
    <col min="2055" max="2055" width="11.5703125" style="368" customWidth="1"/>
    <col min="2056" max="2056" width="13.42578125" style="368" customWidth="1"/>
    <col min="2057" max="2057" width="13.85546875" style="368" customWidth="1"/>
    <col min="2058" max="2304" width="9.140625" style="368"/>
    <col min="2305" max="2305" width="13" style="368" customWidth="1"/>
    <col min="2306" max="2306" width="9.140625" style="368"/>
    <col min="2307" max="2307" width="13" style="368" customWidth="1"/>
    <col min="2308" max="2308" width="29.7109375" style="368" customWidth="1"/>
    <col min="2309" max="2309" width="7.7109375" style="368" customWidth="1"/>
    <col min="2310" max="2310" width="6" style="368" customWidth="1"/>
    <col min="2311" max="2311" width="11.5703125" style="368" customWidth="1"/>
    <col min="2312" max="2312" width="13.42578125" style="368" customWidth="1"/>
    <col min="2313" max="2313" width="13.85546875" style="368" customWidth="1"/>
    <col min="2314" max="2560" width="9.140625" style="368"/>
    <col min="2561" max="2561" width="13" style="368" customWidth="1"/>
    <col min="2562" max="2562" width="9.140625" style="368"/>
    <col min="2563" max="2563" width="13" style="368" customWidth="1"/>
    <col min="2564" max="2564" width="29.7109375" style="368" customWidth="1"/>
    <col min="2565" max="2565" width="7.7109375" style="368" customWidth="1"/>
    <col min="2566" max="2566" width="6" style="368" customWidth="1"/>
    <col min="2567" max="2567" width="11.5703125" style="368" customWidth="1"/>
    <col min="2568" max="2568" width="13.42578125" style="368" customWidth="1"/>
    <col min="2569" max="2569" width="13.85546875" style="368" customWidth="1"/>
    <col min="2570" max="2816" width="9.140625" style="368"/>
    <col min="2817" max="2817" width="13" style="368" customWidth="1"/>
    <col min="2818" max="2818" width="9.140625" style="368"/>
    <col min="2819" max="2819" width="13" style="368" customWidth="1"/>
    <col min="2820" max="2820" width="29.7109375" style="368" customWidth="1"/>
    <col min="2821" max="2821" width="7.7109375" style="368" customWidth="1"/>
    <col min="2822" max="2822" width="6" style="368" customWidth="1"/>
    <col min="2823" max="2823" width="11.5703125" style="368" customWidth="1"/>
    <col min="2824" max="2824" width="13.42578125" style="368" customWidth="1"/>
    <col min="2825" max="2825" width="13.85546875" style="368" customWidth="1"/>
    <col min="2826" max="3072" width="9.140625" style="368"/>
    <col min="3073" max="3073" width="13" style="368" customWidth="1"/>
    <col min="3074" max="3074" width="9.140625" style="368"/>
    <col min="3075" max="3075" width="13" style="368" customWidth="1"/>
    <col min="3076" max="3076" width="29.7109375" style="368" customWidth="1"/>
    <col min="3077" max="3077" width="7.7109375" style="368" customWidth="1"/>
    <col min="3078" max="3078" width="6" style="368" customWidth="1"/>
    <col min="3079" max="3079" width="11.5703125" style="368" customWidth="1"/>
    <col min="3080" max="3080" width="13.42578125" style="368" customWidth="1"/>
    <col min="3081" max="3081" width="13.85546875" style="368" customWidth="1"/>
    <col min="3082" max="3328" width="9.140625" style="368"/>
    <col min="3329" max="3329" width="13" style="368" customWidth="1"/>
    <col min="3330" max="3330" width="9.140625" style="368"/>
    <col min="3331" max="3331" width="13" style="368" customWidth="1"/>
    <col min="3332" max="3332" width="29.7109375" style="368" customWidth="1"/>
    <col min="3333" max="3333" width="7.7109375" style="368" customWidth="1"/>
    <col min="3334" max="3334" width="6" style="368" customWidth="1"/>
    <col min="3335" max="3335" width="11.5703125" style="368" customWidth="1"/>
    <col min="3336" max="3336" width="13.42578125" style="368" customWidth="1"/>
    <col min="3337" max="3337" width="13.85546875" style="368" customWidth="1"/>
    <col min="3338" max="3584" width="9.140625" style="368"/>
    <col min="3585" max="3585" width="13" style="368" customWidth="1"/>
    <col min="3586" max="3586" width="9.140625" style="368"/>
    <col min="3587" max="3587" width="13" style="368" customWidth="1"/>
    <col min="3588" max="3588" width="29.7109375" style="368" customWidth="1"/>
    <col min="3589" max="3589" width="7.7109375" style="368" customWidth="1"/>
    <col min="3590" max="3590" width="6" style="368" customWidth="1"/>
    <col min="3591" max="3591" width="11.5703125" style="368" customWidth="1"/>
    <col min="3592" max="3592" width="13.42578125" style="368" customWidth="1"/>
    <col min="3593" max="3593" width="13.85546875" style="368" customWidth="1"/>
    <col min="3594" max="3840" width="9.140625" style="368"/>
    <col min="3841" max="3841" width="13" style="368" customWidth="1"/>
    <col min="3842" max="3842" width="9.140625" style="368"/>
    <col min="3843" max="3843" width="13" style="368" customWidth="1"/>
    <col min="3844" max="3844" width="29.7109375" style="368" customWidth="1"/>
    <col min="3845" max="3845" width="7.7109375" style="368" customWidth="1"/>
    <col min="3846" max="3846" width="6" style="368" customWidth="1"/>
    <col min="3847" max="3847" width="11.5703125" style="368" customWidth="1"/>
    <col min="3848" max="3848" width="13.42578125" style="368" customWidth="1"/>
    <col min="3849" max="3849" width="13.85546875" style="368" customWidth="1"/>
    <col min="3850" max="4096" width="9.140625" style="368"/>
    <col min="4097" max="4097" width="13" style="368" customWidth="1"/>
    <col min="4098" max="4098" width="9.140625" style="368"/>
    <col min="4099" max="4099" width="13" style="368" customWidth="1"/>
    <col min="4100" max="4100" width="29.7109375" style="368" customWidth="1"/>
    <col min="4101" max="4101" width="7.7109375" style="368" customWidth="1"/>
    <col min="4102" max="4102" width="6" style="368" customWidth="1"/>
    <col min="4103" max="4103" width="11.5703125" style="368" customWidth="1"/>
    <col min="4104" max="4104" width="13.42578125" style="368" customWidth="1"/>
    <col min="4105" max="4105" width="13.85546875" style="368" customWidth="1"/>
    <col min="4106" max="4352" width="9.140625" style="368"/>
    <col min="4353" max="4353" width="13" style="368" customWidth="1"/>
    <col min="4354" max="4354" width="9.140625" style="368"/>
    <col min="4355" max="4355" width="13" style="368" customWidth="1"/>
    <col min="4356" max="4356" width="29.7109375" style="368" customWidth="1"/>
    <col min="4357" max="4357" width="7.7109375" style="368" customWidth="1"/>
    <col min="4358" max="4358" width="6" style="368" customWidth="1"/>
    <col min="4359" max="4359" width="11.5703125" style="368" customWidth="1"/>
    <col min="4360" max="4360" width="13.42578125" style="368" customWidth="1"/>
    <col min="4361" max="4361" width="13.85546875" style="368" customWidth="1"/>
    <col min="4362" max="4608" width="9.140625" style="368"/>
    <col min="4609" max="4609" width="13" style="368" customWidth="1"/>
    <col min="4610" max="4610" width="9.140625" style="368"/>
    <col min="4611" max="4611" width="13" style="368" customWidth="1"/>
    <col min="4612" max="4612" width="29.7109375" style="368" customWidth="1"/>
    <col min="4613" max="4613" width="7.7109375" style="368" customWidth="1"/>
    <col min="4614" max="4614" width="6" style="368" customWidth="1"/>
    <col min="4615" max="4615" width="11.5703125" style="368" customWidth="1"/>
    <col min="4616" max="4616" width="13.42578125" style="368" customWidth="1"/>
    <col min="4617" max="4617" width="13.85546875" style="368" customWidth="1"/>
    <col min="4618" max="4864" width="9.140625" style="368"/>
    <col min="4865" max="4865" width="13" style="368" customWidth="1"/>
    <col min="4866" max="4866" width="9.140625" style="368"/>
    <col min="4867" max="4867" width="13" style="368" customWidth="1"/>
    <col min="4868" max="4868" width="29.7109375" style="368" customWidth="1"/>
    <col min="4869" max="4869" width="7.7109375" style="368" customWidth="1"/>
    <col min="4870" max="4870" width="6" style="368" customWidth="1"/>
    <col min="4871" max="4871" width="11.5703125" style="368" customWidth="1"/>
    <col min="4872" max="4872" width="13.42578125" style="368" customWidth="1"/>
    <col min="4873" max="4873" width="13.85546875" style="368" customWidth="1"/>
    <col min="4874" max="5120" width="9.140625" style="368"/>
    <col min="5121" max="5121" width="13" style="368" customWidth="1"/>
    <col min="5122" max="5122" width="9.140625" style="368"/>
    <col min="5123" max="5123" width="13" style="368" customWidth="1"/>
    <col min="5124" max="5124" width="29.7109375" style="368" customWidth="1"/>
    <col min="5125" max="5125" width="7.7109375" style="368" customWidth="1"/>
    <col min="5126" max="5126" width="6" style="368" customWidth="1"/>
    <col min="5127" max="5127" width="11.5703125" style="368" customWidth="1"/>
    <col min="5128" max="5128" width="13.42578125" style="368" customWidth="1"/>
    <col min="5129" max="5129" width="13.85546875" style="368" customWidth="1"/>
    <col min="5130" max="5376" width="9.140625" style="368"/>
    <col min="5377" max="5377" width="13" style="368" customWidth="1"/>
    <col min="5378" max="5378" width="9.140625" style="368"/>
    <col min="5379" max="5379" width="13" style="368" customWidth="1"/>
    <col min="5380" max="5380" width="29.7109375" style="368" customWidth="1"/>
    <col min="5381" max="5381" width="7.7109375" style="368" customWidth="1"/>
    <col min="5382" max="5382" width="6" style="368" customWidth="1"/>
    <col min="5383" max="5383" width="11.5703125" style="368" customWidth="1"/>
    <col min="5384" max="5384" width="13.42578125" style="368" customWidth="1"/>
    <col min="5385" max="5385" width="13.85546875" style="368" customWidth="1"/>
    <col min="5386" max="5632" width="9.140625" style="368"/>
    <col min="5633" max="5633" width="13" style="368" customWidth="1"/>
    <col min="5634" max="5634" width="9.140625" style="368"/>
    <col min="5635" max="5635" width="13" style="368" customWidth="1"/>
    <col min="5636" max="5636" width="29.7109375" style="368" customWidth="1"/>
    <col min="5637" max="5637" width="7.7109375" style="368" customWidth="1"/>
    <col min="5638" max="5638" width="6" style="368" customWidth="1"/>
    <col min="5639" max="5639" width="11.5703125" style="368" customWidth="1"/>
    <col min="5640" max="5640" width="13.42578125" style="368" customWidth="1"/>
    <col min="5641" max="5641" width="13.85546875" style="368" customWidth="1"/>
    <col min="5642" max="5888" width="9.140625" style="368"/>
    <col min="5889" max="5889" width="13" style="368" customWidth="1"/>
    <col min="5890" max="5890" width="9.140625" style="368"/>
    <col min="5891" max="5891" width="13" style="368" customWidth="1"/>
    <col min="5892" max="5892" width="29.7109375" style="368" customWidth="1"/>
    <col min="5893" max="5893" width="7.7109375" style="368" customWidth="1"/>
    <col min="5894" max="5894" width="6" style="368" customWidth="1"/>
    <col min="5895" max="5895" width="11.5703125" style="368" customWidth="1"/>
    <col min="5896" max="5896" width="13.42578125" style="368" customWidth="1"/>
    <col min="5897" max="5897" width="13.85546875" style="368" customWidth="1"/>
    <col min="5898" max="6144" width="9.140625" style="368"/>
    <col min="6145" max="6145" width="13" style="368" customWidth="1"/>
    <col min="6146" max="6146" width="9.140625" style="368"/>
    <col min="6147" max="6147" width="13" style="368" customWidth="1"/>
    <col min="6148" max="6148" width="29.7109375" style="368" customWidth="1"/>
    <col min="6149" max="6149" width="7.7109375" style="368" customWidth="1"/>
    <col min="6150" max="6150" width="6" style="368" customWidth="1"/>
    <col min="6151" max="6151" width="11.5703125" style="368" customWidth="1"/>
    <col min="6152" max="6152" width="13.42578125" style="368" customWidth="1"/>
    <col min="6153" max="6153" width="13.85546875" style="368" customWidth="1"/>
    <col min="6154" max="6400" width="9.140625" style="368"/>
    <col min="6401" max="6401" width="13" style="368" customWidth="1"/>
    <col min="6402" max="6402" width="9.140625" style="368"/>
    <col min="6403" max="6403" width="13" style="368" customWidth="1"/>
    <col min="6404" max="6404" width="29.7109375" style="368" customWidth="1"/>
    <col min="6405" max="6405" width="7.7109375" style="368" customWidth="1"/>
    <col min="6406" max="6406" width="6" style="368" customWidth="1"/>
    <col min="6407" max="6407" width="11.5703125" style="368" customWidth="1"/>
    <col min="6408" max="6408" width="13.42578125" style="368" customWidth="1"/>
    <col min="6409" max="6409" width="13.85546875" style="368" customWidth="1"/>
    <col min="6410" max="6656" width="9.140625" style="368"/>
    <col min="6657" max="6657" width="13" style="368" customWidth="1"/>
    <col min="6658" max="6658" width="9.140625" style="368"/>
    <col min="6659" max="6659" width="13" style="368" customWidth="1"/>
    <col min="6660" max="6660" width="29.7109375" style="368" customWidth="1"/>
    <col min="6661" max="6661" width="7.7109375" style="368" customWidth="1"/>
    <col min="6662" max="6662" width="6" style="368" customWidth="1"/>
    <col min="6663" max="6663" width="11.5703125" style="368" customWidth="1"/>
    <col min="6664" max="6664" width="13.42578125" style="368" customWidth="1"/>
    <col min="6665" max="6665" width="13.85546875" style="368" customWidth="1"/>
    <col min="6666" max="6912" width="9.140625" style="368"/>
    <col min="6913" max="6913" width="13" style="368" customWidth="1"/>
    <col min="6914" max="6914" width="9.140625" style="368"/>
    <col min="6915" max="6915" width="13" style="368" customWidth="1"/>
    <col min="6916" max="6916" width="29.7109375" style="368" customWidth="1"/>
    <col min="6917" max="6917" width="7.7109375" style="368" customWidth="1"/>
    <col min="6918" max="6918" width="6" style="368" customWidth="1"/>
    <col min="6919" max="6919" width="11.5703125" style="368" customWidth="1"/>
    <col min="6920" max="6920" width="13.42578125" style="368" customWidth="1"/>
    <col min="6921" max="6921" width="13.85546875" style="368" customWidth="1"/>
    <col min="6922" max="7168" width="9.140625" style="368"/>
    <col min="7169" max="7169" width="13" style="368" customWidth="1"/>
    <col min="7170" max="7170" width="9.140625" style="368"/>
    <col min="7171" max="7171" width="13" style="368" customWidth="1"/>
    <col min="7172" max="7172" width="29.7109375" style="368" customWidth="1"/>
    <col min="7173" max="7173" width="7.7109375" style="368" customWidth="1"/>
    <col min="7174" max="7174" width="6" style="368" customWidth="1"/>
    <col min="7175" max="7175" width="11.5703125" style="368" customWidth="1"/>
    <col min="7176" max="7176" width="13.42578125" style="368" customWidth="1"/>
    <col min="7177" max="7177" width="13.85546875" style="368" customWidth="1"/>
    <col min="7178" max="7424" width="9.140625" style="368"/>
    <col min="7425" max="7425" width="13" style="368" customWidth="1"/>
    <col min="7426" max="7426" width="9.140625" style="368"/>
    <col min="7427" max="7427" width="13" style="368" customWidth="1"/>
    <col min="7428" max="7428" width="29.7109375" style="368" customWidth="1"/>
    <col min="7429" max="7429" width="7.7109375" style="368" customWidth="1"/>
    <col min="7430" max="7430" width="6" style="368" customWidth="1"/>
    <col min="7431" max="7431" width="11.5703125" style="368" customWidth="1"/>
    <col min="7432" max="7432" width="13.42578125" style="368" customWidth="1"/>
    <col min="7433" max="7433" width="13.85546875" style="368" customWidth="1"/>
    <col min="7434" max="7680" width="9.140625" style="368"/>
    <col min="7681" max="7681" width="13" style="368" customWidth="1"/>
    <col min="7682" max="7682" width="9.140625" style="368"/>
    <col min="7683" max="7683" width="13" style="368" customWidth="1"/>
    <col min="7684" max="7684" width="29.7109375" style="368" customWidth="1"/>
    <col min="7685" max="7685" width="7.7109375" style="368" customWidth="1"/>
    <col min="7686" max="7686" width="6" style="368" customWidth="1"/>
    <col min="7687" max="7687" width="11.5703125" style="368" customWidth="1"/>
    <col min="7688" max="7688" width="13.42578125" style="368" customWidth="1"/>
    <col min="7689" max="7689" width="13.85546875" style="368" customWidth="1"/>
    <col min="7690" max="7936" width="9.140625" style="368"/>
    <col min="7937" max="7937" width="13" style="368" customWidth="1"/>
    <col min="7938" max="7938" width="9.140625" style="368"/>
    <col min="7939" max="7939" width="13" style="368" customWidth="1"/>
    <col min="7940" max="7940" width="29.7109375" style="368" customWidth="1"/>
    <col min="7941" max="7941" width="7.7109375" style="368" customWidth="1"/>
    <col min="7942" max="7942" width="6" style="368" customWidth="1"/>
    <col min="7943" max="7943" width="11.5703125" style="368" customWidth="1"/>
    <col min="7944" max="7944" width="13.42578125" style="368" customWidth="1"/>
    <col min="7945" max="7945" width="13.85546875" style="368" customWidth="1"/>
    <col min="7946" max="8192" width="9.140625" style="368"/>
    <col min="8193" max="8193" width="13" style="368" customWidth="1"/>
    <col min="8194" max="8194" width="9.140625" style="368"/>
    <col min="8195" max="8195" width="13" style="368" customWidth="1"/>
    <col min="8196" max="8196" width="29.7109375" style="368" customWidth="1"/>
    <col min="8197" max="8197" width="7.7109375" style="368" customWidth="1"/>
    <col min="8198" max="8198" width="6" style="368" customWidth="1"/>
    <col min="8199" max="8199" width="11.5703125" style="368" customWidth="1"/>
    <col min="8200" max="8200" width="13.42578125" style="368" customWidth="1"/>
    <col min="8201" max="8201" width="13.85546875" style="368" customWidth="1"/>
    <col min="8202" max="8448" width="9.140625" style="368"/>
    <col min="8449" max="8449" width="13" style="368" customWidth="1"/>
    <col min="8450" max="8450" width="9.140625" style="368"/>
    <col min="8451" max="8451" width="13" style="368" customWidth="1"/>
    <col min="8452" max="8452" width="29.7109375" style="368" customWidth="1"/>
    <col min="8453" max="8453" width="7.7109375" style="368" customWidth="1"/>
    <col min="8454" max="8454" width="6" style="368" customWidth="1"/>
    <col min="8455" max="8455" width="11.5703125" style="368" customWidth="1"/>
    <col min="8456" max="8456" width="13.42578125" style="368" customWidth="1"/>
    <col min="8457" max="8457" width="13.85546875" style="368" customWidth="1"/>
    <col min="8458" max="8704" width="9.140625" style="368"/>
    <col min="8705" max="8705" width="13" style="368" customWidth="1"/>
    <col min="8706" max="8706" width="9.140625" style="368"/>
    <col min="8707" max="8707" width="13" style="368" customWidth="1"/>
    <col min="8708" max="8708" width="29.7109375" style="368" customWidth="1"/>
    <col min="8709" max="8709" width="7.7109375" style="368" customWidth="1"/>
    <col min="8710" max="8710" width="6" style="368" customWidth="1"/>
    <col min="8711" max="8711" width="11.5703125" style="368" customWidth="1"/>
    <col min="8712" max="8712" width="13.42578125" style="368" customWidth="1"/>
    <col min="8713" max="8713" width="13.85546875" style="368" customWidth="1"/>
    <col min="8714" max="8960" width="9.140625" style="368"/>
    <col min="8961" max="8961" width="13" style="368" customWidth="1"/>
    <col min="8962" max="8962" width="9.140625" style="368"/>
    <col min="8963" max="8963" width="13" style="368" customWidth="1"/>
    <col min="8964" max="8964" width="29.7109375" style="368" customWidth="1"/>
    <col min="8965" max="8965" width="7.7109375" style="368" customWidth="1"/>
    <col min="8966" max="8966" width="6" style="368" customWidth="1"/>
    <col min="8967" max="8967" width="11.5703125" style="368" customWidth="1"/>
    <col min="8968" max="8968" width="13.42578125" style="368" customWidth="1"/>
    <col min="8969" max="8969" width="13.85546875" style="368" customWidth="1"/>
    <col min="8970" max="9216" width="9.140625" style="368"/>
    <col min="9217" max="9217" width="13" style="368" customWidth="1"/>
    <col min="9218" max="9218" width="9.140625" style="368"/>
    <col min="9219" max="9219" width="13" style="368" customWidth="1"/>
    <col min="9220" max="9220" width="29.7109375" style="368" customWidth="1"/>
    <col min="9221" max="9221" width="7.7109375" style="368" customWidth="1"/>
    <col min="9222" max="9222" width="6" style="368" customWidth="1"/>
    <col min="9223" max="9223" width="11.5703125" style="368" customWidth="1"/>
    <col min="9224" max="9224" width="13.42578125" style="368" customWidth="1"/>
    <col min="9225" max="9225" width="13.85546875" style="368" customWidth="1"/>
    <col min="9226" max="9472" width="9.140625" style="368"/>
    <col min="9473" max="9473" width="13" style="368" customWidth="1"/>
    <col min="9474" max="9474" width="9.140625" style="368"/>
    <col min="9475" max="9475" width="13" style="368" customWidth="1"/>
    <col min="9476" max="9476" width="29.7109375" style="368" customWidth="1"/>
    <col min="9477" max="9477" width="7.7109375" style="368" customWidth="1"/>
    <col min="9478" max="9478" width="6" style="368" customWidth="1"/>
    <col min="9479" max="9479" width="11.5703125" style="368" customWidth="1"/>
    <col min="9480" max="9480" width="13.42578125" style="368" customWidth="1"/>
    <col min="9481" max="9481" width="13.85546875" style="368" customWidth="1"/>
    <col min="9482" max="9728" width="9.140625" style="368"/>
    <col min="9729" max="9729" width="13" style="368" customWidth="1"/>
    <col min="9730" max="9730" width="9.140625" style="368"/>
    <col min="9731" max="9731" width="13" style="368" customWidth="1"/>
    <col min="9732" max="9732" width="29.7109375" style="368" customWidth="1"/>
    <col min="9733" max="9733" width="7.7109375" style="368" customWidth="1"/>
    <col min="9734" max="9734" width="6" style="368" customWidth="1"/>
    <col min="9735" max="9735" width="11.5703125" style="368" customWidth="1"/>
    <col min="9736" max="9736" width="13.42578125" style="368" customWidth="1"/>
    <col min="9737" max="9737" width="13.85546875" style="368" customWidth="1"/>
    <col min="9738" max="9984" width="9.140625" style="368"/>
    <col min="9985" max="9985" width="13" style="368" customWidth="1"/>
    <col min="9986" max="9986" width="9.140625" style="368"/>
    <col min="9987" max="9987" width="13" style="368" customWidth="1"/>
    <col min="9988" max="9988" width="29.7109375" style="368" customWidth="1"/>
    <col min="9989" max="9989" width="7.7109375" style="368" customWidth="1"/>
    <col min="9990" max="9990" width="6" style="368" customWidth="1"/>
    <col min="9991" max="9991" width="11.5703125" style="368" customWidth="1"/>
    <col min="9992" max="9992" width="13.42578125" style="368" customWidth="1"/>
    <col min="9993" max="9993" width="13.85546875" style="368" customWidth="1"/>
    <col min="9994" max="10240" width="9.140625" style="368"/>
    <col min="10241" max="10241" width="13" style="368" customWidth="1"/>
    <col min="10242" max="10242" width="9.140625" style="368"/>
    <col min="10243" max="10243" width="13" style="368" customWidth="1"/>
    <col min="10244" max="10244" width="29.7109375" style="368" customWidth="1"/>
    <col min="10245" max="10245" width="7.7109375" style="368" customWidth="1"/>
    <col min="10246" max="10246" width="6" style="368" customWidth="1"/>
    <col min="10247" max="10247" width="11.5703125" style="368" customWidth="1"/>
    <col min="10248" max="10248" width="13.42578125" style="368" customWidth="1"/>
    <col min="10249" max="10249" width="13.85546875" style="368" customWidth="1"/>
    <col min="10250" max="10496" width="9.140625" style="368"/>
    <col min="10497" max="10497" width="13" style="368" customWidth="1"/>
    <col min="10498" max="10498" width="9.140625" style="368"/>
    <col min="10499" max="10499" width="13" style="368" customWidth="1"/>
    <col min="10500" max="10500" width="29.7109375" style="368" customWidth="1"/>
    <col min="10501" max="10501" width="7.7109375" style="368" customWidth="1"/>
    <col min="10502" max="10502" width="6" style="368" customWidth="1"/>
    <col min="10503" max="10503" width="11.5703125" style="368" customWidth="1"/>
    <col min="10504" max="10504" width="13.42578125" style="368" customWidth="1"/>
    <col min="10505" max="10505" width="13.85546875" style="368" customWidth="1"/>
    <col min="10506" max="10752" width="9.140625" style="368"/>
    <col min="10753" max="10753" width="13" style="368" customWidth="1"/>
    <col min="10754" max="10754" width="9.140625" style="368"/>
    <col min="10755" max="10755" width="13" style="368" customWidth="1"/>
    <col min="10756" max="10756" width="29.7109375" style="368" customWidth="1"/>
    <col min="10757" max="10757" width="7.7109375" style="368" customWidth="1"/>
    <col min="10758" max="10758" width="6" style="368" customWidth="1"/>
    <col min="10759" max="10759" width="11.5703125" style="368" customWidth="1"/>
    <col min="10760" max="10760" width="13.42578125" style="368" customWidth="1"/>
    <col min="10761" max="10761" width="13.85546875" style="368" customWidth="1"/>
    <col min="10762" max="11008" width="9.140625" style="368"/>
    <col min="11009" max="11009" width="13" style="368" customWidth="1"/>
    <col min="11010" max="11010" width="9.140625" style="368"/>
    <col min="11011" max="11011" width="13" style="368" customWidth="1"/>
    <col min="11012" max="11012" width="29.7109375" style="368" customWidth="1"/>
    <col min="11013" max="11013" width="7.7109375" style="368" customWidth="1"/>
    <col min="11014" max="11014" width="6" style="368" customWidth="1"/>
    <col min="11015" max="11015" width="11.5703125" style="368" customWidth="1"/>
    <col min="11016" max="11016" width="13.42578125" style="368" customWidth="1"/>
    <col min="11017" max="11017" width="13.85546875" style="368" customWidth="1"/>
    <col min="11018" max="11264" width="9.140625" style="368"/>
    <col min="11265" max="11265" width="13" style="368" customWidth="1"/>
    <col min="11266" max="11266" width="9.140625" style="368"/>
    <col min="11267" max="11267" width="13" style="368" customWidth="1"/>
    <col min="11268" max="11268" width="29.7109375" style="368" customWidth="1"/>
    <col min="11269" max="11269" width="7.7109375" style="368" customWidth="1"/>
    <col min="11270" max="11270" width="6" style="368" customWidth="1"/>
    <col min="11271" max="11271" width="11.5703125" style="368" customWidth="1"/>
    <col min="11272" max="11272" width="13.42578125" style="368" customWidth="1"/>
    <col min="11273" max="11273" width="13.85546875" style="368" customWidth="1"/>
    <col min="11274" max="11520" width="9.140625" style="368"/>
    <col min="11521" max="11521" width="13" style="368" customWidth="1"/>
    <col min="11522" max="11522" width="9.140625" style="368"/>
    <col min="11523" max="11523" width="13" style="368" customWidth="1"/>
    <col min="11524" max="11524" width="29.7109375" style="368" customWidth="1"/>
    <col min="11525" max="11525" width="7.7109375" style="368" customWidth="1"/>
    <col min="11526" max="11526" width="6" style="368" customWidth="1"/>
    <col min="11527" max="11527" width="11.5703125" style="368" customWidth="1"/>
    <col min="11528" max="11528" width="13.42578125" style="368" customWidth="1"/>
    <col min="11529" max="11529" width="13.85546875" style="368" customWidth="1"/>
    <col min="11530" max="11776" width="9.140625" style="368"/>
    <col min="11777" max="11777" width="13" style="368" customWidth="1"/>
    <col min="11778" max="11778" width="9.140625" style="368"/>
    <col min="11779" max="11779" width="13" style="368" customWidth="1"/>
    <col min="11780" max="11780" width="29.7109375" style="368" customWidth="1"/>
    <col min="11781" max="11781" width="7.7109375" style="368" customWidth="1"/>
    <col min="11782" max="11782" width="6" style="368" customWidth="1"/>
    <col min="11783" max="11783" width="11.5703125" style="368" customWidth="1"/>
    <col min="11784" max="11784" width="13.42578125" style="368" customWidth="1"/>
    <col min="11785" max="11785" width="13.85546875" style="368" customWidth="1"/>
    <col min="11786" max="12032" width="9.140625" style="368"/>
    <col min="12033" max="12033" width="13" style="368" customWidth="1"/>
    <col min="12034" max="12034" width="9.140625" style="368"/>
    <col min="12035" max="12035" width="13" style="368" customWidth="1"/>
    <col min="12036" max="12036" width="29.7109375" style="368" customWidth="1"/>
    <col min="12037" max="12037" width="7.7109375" style="368" customWidth="1"/>
    <col min="12038" max="12038" width="6" style="368" customWidth="1"/>
    <col min="12039" max="12039" width="11.5703125" style="368" customWidth="1"/>
    <col min="12040" max="12040" width="13.42578125" style="368" customWidth="1"/>
    <col min="12041" max="12041" width="13.85546875" style="368" customWidth="1"/>
    <col min="12042" max="12288" width="9.140625" style="368"/>
    <col min="12289" max="12289" width="13" style="368" customWidth="1"/>
    <col min="12290" max="12290" width="9.140625" style="368"/>
    <col min="12291" max="12291" width="13" style="368" customWidth="1"/>
    <col min="12292" max="12292" width="29.7109375" style="368" customWidth="1"/>
    <col min="12293" max="12293" width="7.7109375" style="368" customWidth="1"/>
    <col min="12294" max="12294" width="6" style="368" customWidth="1"/>
    <col min="12295" max="12295" width="11.5703125" style="368" customWidth="1"/>
    <col min="12296" max="12296" width="13.42578125" style="368" customWidth="1"/>
    <col min="12297" max="12297" width="13.85546875" style="368" customWidth="1"/>
    <col min="12298" max="12544" width="9.140625" style="368"/>
    <col min="12545" max="12545" width="13" style="368" customWidth="1"/>
    <col min="12546" max="12546" width="9.140625" style="368"/>
    <col min="12547" max="12547" width="13" style="368" customWidth="1"/>
    <col min="12548" max="12548" width="29.7109375" style="368" customWidth="1"/>
    <col min="12549" max="12549" width="7.7109375" style="368" customWidth="1"/>
    <col min="12550" max="12550" width="6" style="368" customWidth="1"/>
    <col min="12551" max="12551" width="11.5703125" style="368" customWidth="1"/>
    <col min="12552" max="12552" width="13.42578125" style="368" customWidth="1"/>
    <col min="12553" max="12553" width="13.85546875" style="368" customWidth="1"/>
    <col min="12554" max="12800" width="9.140625" style="368"/>
    <col min="12801" max="12801" width="13" style="368" customWidth="1"/>
    <col min="12802" max="12802" width="9.140625" style="368"/>
    <col min="12803" max="12803" width="13" style="368" customWidth="1"/>
    <col min="12804" max="12804" width="29.7109375" style="368" customWidth="1"/>
    <col min="12805" max="12805" width="7.7109375" style="368" customWidth="1"/>
    <col min="12806" max="12806" width="6" style="368" customWidth="1"/>
    <col min="12807" max="12807" width="11.5703125" style="368" customWidth="1"/>
    <col min="12808" max="12808" width="13.42578125" style="368" customWidth="1"/>
    <col min="12809" max="12809" width="13.85546875" style="368" customWidth="1"/>
    <col min="12810" max="13056" width="9.140625" style="368"/>
    <col min="13057" max="13057" width="13" style="368" customWidth="1"/>
    <col min="13058" max="13058" width="9.140625" style="368"/>
    <col min="13059" max="13059" width="13" style="368" customWidth="1"/>
    <col min="13060" max="13060" width="29.7109375" style="368" customWidth="1"/>
    <col min="13061" max="13061" width="7.7109375" style="368" customWidth="1"/>
    <col min="13062" max="13062" width="6" style="368" customWidth="1"/>
    <col min="13063" max="13063" width="11.5703125" style="368" customWidth="1"/>
    <col min="13064" max="13064" width="13.42578125" style="368" customWidth="1"/>
    <col min="13065" max="13065" width="13.85546875" style="368" customWidth="1"/>
    <col min="13066" max="13312" width="9.140625" style="368"/>
    <col min="13313" max="13313" width="13" style="368" customWidth="1"/>
    <col min="13314" max="13314" width="9.140625" style="368"/>
    <col min="13315" max="13315" width="13" style="368" customWidth="1"/>
    <col min="13316" max="13316" width="29.7109375" style="368" customWidth="1"/>
    <col min="13317" max="13317" width="7.7109375" style="368" customWidth="1"/>
    <col min="13318" max="13318" width="6" style="368" customWidth="1"/>
    <col min="13319" max="13319" width="11.5703125" style="368" customWidth="1"/>
    <col min="13320" max="13320" width="13.42578125" style="368" customWidth="1"/>
    <col min="13321" max="13321" width="13.85546875" style="368" customWidth="1"/>
    <col min="13322" max="13568" width="9.140625" style="368"/>
    <col min="13569" max="13569" width="13" style="368" customWidth="1"/>
    <col min="13570" max="13570" width="9.140625" style="368"/>
    <col min="13571" max="13571" width="13" style="368" customWidth="1"/>
    <col min="13572" max="13572" width="29.7109375" style="368" customWidth="1"/>
    <col min="13573" max="13573" width="7.7109375" style="368" customWidth="1"/>
    <col min="13574" max="13574" width="6" style="368" customWidth="1"/>
    <col min="13575" max="13575" width="11.5703125" style="368" customWidth="1"/>
    <col min="13576" max="13576" width="13.42578125" style="368" customWidth="1"/>
    <col min="13577" max="13577" width="13.85546875" style="368" customWidth="1"/>
    <col min="13578" max="13824" width="9.140625" style="368"/>
    <col min="13825" max="13825" width="13" style="368" customWidth="1"/>
    <col min="13826" max="13826" width="9.140625" style="368"/>
    <col min="13827" max="13827" width="13" style="368" customWidth="1"/>
    <col min="13828" max="13828" width="29.7109375" style="368" customWidth="1"/>
    <col min="13829" max="13829" width="7.7109375" style="368" customWidth="1"/>
    <col min="13830" max="13830" width="6" style="368" customWidth="1"/>
    <col min="13831" max="13831" width="11.5703125" style="368" customWidth="1"/>
    <col min="13832" max="13832" width="13.42578125" style="368" customWidth="1"/>
    <col min="13833" max="13833" width="13.85546875" style="368" customWidth="1"/>
    <col min="13834" max="14080" width="9.140625" style="368"/>
    <col min="14081" max="14081" width="13" style="368" customWidth="1"/>
    <col min="14082" max="14082" width="9.140625" style="368"/>
    <col min="14083" max="14083" width="13" style="368" customWidth="1"/>
    <col min="14084" max="14084" width="29.7109375" style="368" customWidth="1"/>
    <col min="14085" max="14085" width="7.7109375" style="368" customWidth="1"/>
    <col min="14086" max="14086" width="6" style="368" customWidth="1"/>
    <col min="14087" max="14087" width="11.5703125" style="368" customWidth="1"/>
    <col min="14088" max="14088" width="13.42578125" style="368" customWidth="1"/>
    <col min="14089" max="14089" width="13.85546875" style="368" customWidth="1"/>
    <col min="14090" max="14336" width="9.140625" style="368"/>
    <col min="14337" max="14337" width="13" style="368" customWidth="1"/>
    <col min="14338" max="14338" width="9.140625" style="368"/>
    <col min="14339" max="14339" width="13" style="368" customWidth="1"/>
    <col min="14340" max="14340" width="29.7109375" style="368" customWidth="1"/>
    <col min="14341" max="14341" width="7.7109375" style="368" customWidth="1"/>
    <col min="14342" max="14342" width="6" style="368" customWidth="1"/>
    <col min="14343" max="14343" width="11.5703125" style="368" customWidth="1"/>
    <col min="14344" max="14344" width="13.42578125" style="368" customWidth="1"/>
    <col min="14345" max="14345" width="13.85546875" style="368" customWidth="1"/>
    <col min="14346" max="14592" width="9.140625" style="368"/>
    <col min="14593" max="14593" width="13" style="368" customWidth="1"/>
    <col min="14594" max="14594" width="9.140625" style="368"/>
    <col min="14595" max="14595" width="13" style="368" customWidth="1"/>
    <col min="14596" max="14596" width="29.7109375" style="368" customWidth="1"/>
    <col min="14597" max="14597" width="7.7109375" style="368" customWidth="1"/>
    <col min="14598" max="14598" width="6" style="368" customWidth="1"/>
    <col min="14599" max="14599" width="11.5703125" style="368" customWidth="1"/>
    <col min="14600" max="14600" width="13.42578125" style="368" customWidth="1"/>
    <col min="14601" max="14601" width="13.85546875" style="368" customWidth="1"/>
    <col min="14602" max="14848" width="9.140625" style="368"/>
    <col min="14849" max="14849" width="13" style="368" customWidth="1"/>
    <col min="14850" max="14850" width="9.140625" style="368"/>
    <col min="14851" max="14851" width="13" style="368" customWidth="1"/>
    <col min="14852" max="14852" width="29.7109375" style="368" customWidth="1"/>
    <col min="14853" max="14853" width="7.7109375" style="368" customWidth="1"/>
    <col min="14854" max="14854" width="6" style="368" customWidth="1"/>
    <col min="14855" max="14855" width="11.5703125" style="368" customWidth="1"/>
    <col min="14856" max="14856" width="13.42578125" style="368" customWidth="1"/>
    <col min="14857" max="14857" width="13.85546875" style="368" customWidth="1"/>
    <col min="14858" max="15104" width="9.140625" style="368"/>
    <col min="15105" max="15105" width="13" style="368" customWidth="1"/>
    <col min="15106" max="15106" width="9.140625" style="368"/>
    <col min="15107" max="15107" width="13" style="368" customWidth="1"/>
    <col min="15108" max="15108" width="29.7109375" style="368" customWidth="1"/>
    <col min="15109" max="15109" width="7.7109375" style="368" customWidth="1"/>
    <col min="15110" max="15110" width="6" style="368" customWidth="1"/>
    <col min="15111" max="15111" width="11.5703125" style="368" customWidth="1"/>
    <col min="15112" max="15112" width="13.42578125" style="368" customWidth="1"/>
    <col min="15113" max="15113" width="13.85546875" style="368" customWidth="1"/>
    <col min="15114" max="15360" width="9.140625" style="368"/>
    <col min="15361" max="15361" width="13" style="368" customWidth="1"/>
    <col min="15362" max="15362" width="9.140625" style="368"/>
    <col min="15363" max="15363" width="13" style="368" customWidth="1"/>
    <col min="15364" max="15364" width="29.7109375" style="368" customWidth="1"/>
    <col min="15365" max="15365" width="7.7109375" style="368" customWidth="1"/>
    <col min="15366" max="15366" width="6" style="368" customWidth="1"/>
    <col min="15367" max="15367" width="11.5703125" style="368" customWidth="1"/>
    <col min="15368" max="15368" width="13.42578125" style="368" customWidth="1"/>
    <col min="15369" max="15369" width="13.85546875" style="368" customWidth="1"/>
    <col min="15370" max="15616" width="9.140625" style="368"/>
    <col min="15617" max="15617" width="13" style="368" customWidth="1"/>
    <col min="15618" max="15618" width="9.140625" style="368"/>
    <col min="15619" max="15619" width="13" style="368" customWidth="1"/>
    <col min="15620" max="15620" width="29.7109375" style="368" customWidth="1"/>
    <col min="15621" max="15621" width="7.7109375" style="368" customWidth="1"/>
    <col min="15622" max="15622" width="6" style="368" customWidth="1"/>
    <col min="15623" max="15623" width="11.5703125" style="368" customWidth="1"/>
    <col min="15624" max="15624" width="13.42578125" style="368" customWidth="1"/>
    <col min="15625" max="15625" width="13.85546875" style="368" customWidth="1"/>
    <col min="15626" max="15872" width="9.140625" style="368"/>
    <col min="15873" max="15873" width="13" style="368" customWidth="1"/>
    <col min="15874" max="15874" width="9.140625" style="368"/>
    <col min="15875" max="15875" width="13" style="368" customWidth="1"/>
    <col min="15876" max="15876" width="29.7109375" style="368" customWidth="1"/>
    <col min="15877" max="15877" width="7.7109375" style="368" customWidth="1"/>
    <col min="15878" max="15878" width="6" style="368" customWidth="1"/>
    <col min="15879" max="15879" width="11.5703125" style="368" customWidth="1"/>
    <col min="15880" max="15880" width="13.42578125" style="368" customWidth="1"/>
    <col min="15881" max="15881" width="13.85546875" style="368" customWidth="1"/>
    <col min="15882" max="16128" width="9.140625" style="368"/>
    <col min="16129" max="16129" width="13" style="368" customWidth="1"/>
    <col min="16130" max="16130" width="9.140625" style="368"/>
    <col min="16131" max="16131" width="13" style="368" customWidth="1"/>
    <col min="16132" max="16132" width="29.7109375" style="368" customWidth="1"/>
    <col min="16133" max="16133" width="7.7109375" style="368" customWidth="1"/>
    <col min="16134" max="16134" width="6" style="368" customWidth="1"/>
    <col min="16135" max="16135" width="11.5703125" style="368" customWidth="1"/>
    <col min="16136" max="16136" width="13.42578125" style="368" customWidth="1"/>
    <col min="16137" max="16137" width="13.85546875" style="368" customWidth="1"/>
    <col min="16138" max="16384" width="9.140625" style="368"/>
  </cols>
  <sheetData>
    <row r="1" spans="1:14">
      <c r="A1" s="637" t="str">
        <f>TH!A1</f>
        <v>Đơn vị: CÔNG TY TNHH MỘT THÀNH VIÊN KHỞI NGUYÊN AN</v>
      </c>
      <c r="F1" s="815" t="s">
        <v>262</v>
      </c>
      <c r="G1" s="815"/>
      <c r="H1" s="815"/>
      <c r="I1" s="815"/>
    </row>
    <row r="2" spans="1:14">
      <c r="A2" s="368" t="str">
        <f>TH!A2</f>
        <v>Địa chỉ: Thửa đất số 144, tờ bản đồ số 12TĐH.1, tổ 1, khu phố Đông Tác, Phường Tân Đông Hiệp, Thị Xã Dĩ An, Tỉnh Bình Dương, Việt Nam</v>
      </c>
      <c r="F2" s="814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14"/>
      <c r="H2" s="814"/>
      <c r="I2" s="814"/>
    </row>
    <row r="3" spans="1:14">
      <c r="F3" s="814"/>
      <c r="G3" s="814"/>
      <c r="H3" s="814"/>
      <c r="I3" s="814"/>
    </row>
    <row r="4" spans="1:14">
      <c r="H4" s="384"/>
      <c r="I4" s="384"/>
    </row>
    <row r="5" spans="1:14" ht="26.25" customHeight="1">
      <c r="B5" s="637"/>
      <c r="C5" s="637"/>
      <c r="D5" s="640" t="s">
        <v>263</v>
      </c>
      <c r="E5" s="637"/>
      <c r="F5" s="637"/>
      <c r="G5" s="637"/>
      <c r="H5" s="637"/>
      <c r="I5" s="637"/>
      <c r="J5" s="637"/>
      <c r="K5" s="637"/>
    </row>
    <row r="6" spans="1:14">
      <c r="B6" s="638"/>
      <c r="C6" s="638"/>
      <c r="D6" s="639" t="str">
        <f ca="1">$K$9&amp;"   -   Năm:  " &amp;YEAR(A11)</f>
        <v>Quý IV   -   Năm:  2012</v>
      </c>
      <c r="E6" s="638"/>
      <c r="F6" s="638"/>
      <c r="G6" s="638"/>
      <c r="H6" s="638"/>
      <c r="I6" s="638"/>
      <c r="J6" s="638"/>
      <c r="K6" s="638"/>
    </row>
    <row r="7" spans="1:14">
      <c r="A7" s="367"/>
      <c r="B7" s="367"/>
      <c r="C7" s="367"/>
      <c r="D7" s="367"/>
      <c r="E7" s="367"/>
      <c r="F7" s="367"/>
      <c r="G7" s="367"/>
      <c r="H7" s="818" t="s">
        <v>118</v>
      </c>
      <c r="I7" s="818"/>
      <c r="J7" s="367"/>
      <c r="K7" s="367"/>
      <c r="M7" s="817" t="s">
        <v>256</v>
      </c>
      <c r="N7" s="817"/>
    </row>
    <row r="8" spans="1:14" ht="23.25" customHeight="1" thickBot="1">
      <c r="A8" s="808" t="s">
        <v>264</v>
      </c>
      <c r="B8" s="810" t="s">
        <v>1</v>
      </c>
      <c r="C8" s="811"/>
      <c r="D8" s="812" t="s">
        <v>0</v>
      </c>
      <c r="E8" s="808" t="s">
        <v>265</v>
      </c>
      <c r="F8" s="816" t="s">
        <v>93</v>
      </c>
      <c r="G8" s="816"/>
      <c r="H8" s="810" t="s">
        <v>21</v>
      </c>
      <c r="I8" s="811"/>
      <c r="J8" s="367"/>
      <c r="K8" s="367"/>
      <c r="M8" s="369">
        <f>IF(K9="Quý I",1,IF(K9="Quý II",4,IF(K9="Quý III",7,IF(K9="Quý IV",10,""))))</f>
        <v>10</v>
      </c>
      <c r="N8" s="369">
        <f>IF(K9="Quý I",3,IF(K9="Quý II",6,IF(K9="Quý III",9,IF(K9="Quý IV",12,""))))</f>
        <v>12</v>
      </c>
    </row>
    <row r="9" spans="1:14" ht="28.5" customHeight="1" thickBot="1">
      <c r="A9" s="809"/>
      <c r="B9" s="370" t="s">
        <v>15</v>
      </c>
      <c r="C9" s="370" t="s">
        <v>32</v>
      </c>
      <c r="D9" s="813"/>
      <c r="E9" s="809"/>
      <c r="F9" s="592" t="s">
        <v>22</v>
      </c>
      <c r="G9" s="592" t="s">
        <v>23</v>
      </c>
      <c r="H9" s="370" t="s">
        <v>266</v>
      </c>
      <c r="I9" s="370" t="s">
        <v>23</v>
      </c>
      <c r="K9" s="352" t="s">
        <v>291</v>
      </c>
    </row>
    <row r="10" spans="1:14" ht="21" customHeight="1">
      <c r="A10" s="371"/>
      <c r="B10" s="371"/>
      <c r="C10" s="371"/>
      <c r="D10" s="372" t="s">
        <v>269</v>
      </c>
      <c r="E10" s="373"/>
      <c r="F10" s="371"/>
      <c r="G10" s="371"/>
      <c r="H10" s="374">
        <f>SUMIF(_M,"&lt;"&amp;$M$8,TH)</f>
        <v>2735108019</v>
      </c>
      <c r="I10" s="374">
        <f>SUMIF(_M,"&lt;"&amp;$M$8,TH)</f>
        <v>2735108019</v>
      </c>
    </row>
    <row r="11" spans="1:14" ht="21" customHeight="1">
      <c r="A11" s="375">
        <f ca="1">IF(ROWS($1:1)&gt;COUNT(Dong6),"",OFFSET(TH!C$1,SMALL(Dong6,ROWS($1:1)),))</f>
        <v>41274</v>
      </c>
      <c r="B11" s="376" t="str">
        <f ca="1">IF(ROWS($1:1)&gt;COUNT(Dong6),"",OFFSET(TH!D$1,SMALL(Dong6,ROWS($1:1)),))</f>
        <v>BTKC</v>
      </c>
      <c r="C11" s="375">
        <f ca="1">IF(ROWS($1:1)&gt;COUNT(Dong6),"",OFFSET(TH!E$1,SMALL(Dong6,ROWS($1:1)),))</f>
        <v>41274</v>
      </c>
      <c r="D11" s="377" t="str">
        <f ca="1">IF(ROWS($1:1)&gt;COUNT(Dong6),"",OFFSET(TH!F$1,SMALL(Dong6,ROWS($1:1)),))</f>
        <v>K/C Thuế GTGT đầu ra</v>
      </c>
      <c r="E11" s="376">
        <f t="shared" ref="E11:E40" ca="1" si="0">IF(D11&lt;&gt;"",ROW()-10,"")</f>
        <v>1</v>
      </c>
      <c r="F11" s="378" t="str">
        <f ca="1">IF(ROWS($1:1)&gt;COUNT(Dong6),"",OFFSET(TH!L$1,SMALL(Dong6,ROWS($1:1)),))</f>
        <v>3331</v>
      </c>
      <c r="G11" s="378" t="str">
        <f ca="1">IF(ROWS($1:1)&gt;COUNT(Dong6),"",OFFSET(TH!M$1,SMALL(Dong6,ROWS($1:1)),))</f>
        <v>1331</v>
      </c>
      <c r="H11" s="351">
        <f ca="1">IF(ROWS($1:1)&gt;COUNT(Dong6),"",OFFSET(TH!K$1,SMALL(Dong6,ROWS($1:1)),))</f>
        <v>24549095</v>
      </c>
      <c r="I11" s="351">
        <f ca="1">IF(ROWS($1:1)&gt;COUNT(Dong6),"",OFFSET(TH!K$1,SMALL(Dong6,ROWS($1:1)),))</f>
        <v>24549095</v>
      </c>
    </row>
    <row r="12" spans="1:14" ht="21" customHeight="1">
      <c r="A12" s="375">
        <f ca="1">IF(ROWS($1:2)&gt;COUNT(Dong6),"",OFFSET(TH!C$1,SMALL(Dong6,ROWS($1:2)),))</f>
        <v>41274</v>
      </c>
      <c r="B12" s="376" t="str">
        <f ca="1">IF(ROWS($1:2)&gt;COUNT(Dong6),"",OFFSET(TH!D$1,SMALL(Dong6,ROWS($1:2)),))</f>
        <v>BTKC</v>
      </c>
      <c r="C12" s="375">
        <f ca="1">IF(ROWS($1:2)&gt;COUNT(Dong6),"",OFFSET(TH!E$1,SMALL(Dong6,ROWS($1:2)),))</f>
        <v>41274</v>
      </c>
      <c r="D12" s="377" t="str">
        <f ca="1">IF(ROWS($1:2)&gt;COUNT(Dong6),"",OFFSET(TH!F$1,SMALL(Dong6,ROWS($1:2)),))</f>
        <v>Kết chuyển giá vốn thành phẩm</v>
      </c>
      <c r="E12" s="376">
        <f t="shared" ca="1" si="0"/>
        <v>2</v>
      </c>
      <c r="F12" s="378" t="str">
        <f ca="1">IF(ROWS($1:2)&gt;COUNT(Dong6),"",OFFSET(TH!L$1,SMALL(Dong6,ROWS($1:2)),))</f>
        <v>911</v>
      </c>
      <c r="G12" s="378" t="str">
        <f ca="1">IF(ROWS($1:2)&gt;COUNT(Dong6),"",OFFSET(TH!M$1,SMALL(Dong6,ROWS($1:2)),))</f>
        <v>632</v>
      </c>
      <c r="H12" s="351">
        <f ca="1">IF(ROWS($1:2)&gt;COUNT(Dong6),"",OFFSET(TH!K$1,SMALL(Dong6,ROWS($1:2)),))</f>
        <v>215979406</v>
      </c>
      <c r="I12" s="351">
        <f ca="1">IF(ROWS($1:2)&gt;COUNT(Dong6),"",OFFSET(TH!K$1,SMALL(Dong6,ROWS($1:2)),))</f>
        <v>215979406</v>
      </c>
    </row>
    <row r="13" spans="1:14" ht="21" customHeight="1">
      <c r="A13" s="375">
        <f ca="1">IF(ROWS($1:3)&gt;COUNT(Dong6),"",OFFSET(TH!C$1,SMALL(Dong6,ROWS($1:3)),))</f>
        <v>41274</v>
      </c>
      <c r="B13" s="376" t="str">
        <f ca="1">IF(ROWS($1:3)&gt;COUNT(Dong6),"",OFFSET(TH!D$1,SMALL(Dong6,ROWS($1:3)),))</f>
        <v>BTKC</v>
      </c>
      <c r="C13" s="375">
        <f ca="1">IF(ROWS($1:3)&gt;COUNT(Dong6),"",OFFSET(TH!E$1,SMALL(Dong6,ROWS($1:3)),))</f>
        <v>41274</v>
      </c>
      <c r="D13" s="377" t="str">
        <f ca="1">IF(ROWS($1:3)&gt;COUNT(Dong6),"",OFFSET(TH!F$1,SMALL(Dong6,ROWS($1:3)),))</f>
        <v>K/C chi phí quản lý doanh nghiệp</v>
      </c>
      <c r="E13" s="376">
        <f t="shared" ca="1" si="0"/>
        <v>3</v>
      </c>
      <c r="F13" s="378" t="str">
        <f ca="1">IF(ROWS($1:3)&gt;COUNT(Dong6),"",OFFSET(TH!L$1,SMALL(Dong6,ROWS($1:3)),))</f>
        <v>911</v>
      </c>
      <c r="G13" s="378" t="str">
        <f ca="1">IF(ROWS($1:3)&gt;COUNT(Dong6),"",OFFSET(TH!M$1,SMALL(Dong6,ROWS($1:3)),))</f>
        <v>642</v>
      </c>
      <c r="H13" s="351">
        <f ca="1">IF(ROWS($1:3)&gt;COUNT(Dong6),"",OFFSET(TH!K$1,SMALL(Dong6,ROWS($1:3)),))</f>
        <v>65483368</v>
      </c>
      <c r="I13" s="351">
        <f ca="1">IF(ROWS($1:3)&gt;COUNT(Dong6),"",OFFSET(TH!K$1,SMALL(Dong6,ROWS($1:3)),))</f>
        <v>65483368</v>
      </c>
    </row>
    <row r="14" spans="1:14" ht="21" customHeight="1">
      <c r="A14" s="375">
        <f ca="1">IF(ROWS($1:4)&gt;COUNT(Dong6),"",OFFSET(TH!C$1,SMALL(Dong6,ROWS($1:4)),))</f>
        <v>41274</v>
      </c>
      <c r="B14" s="376" t="str">
        <f ca="1">IF(ROWS($1:4)&gt;COUNT(Dong6),"",OFFSET(TH!D$1,SMALL(Dong6,ROWS($1:4)),))</f>
        <v>BTKC</v>
      </c>
      <c r="C14" s="375">
        <f ca="1">IF(ROWS($1:4)&gt;COUNT(Dong6),"",OFFSET(TH!E$1,SMALL(Dong6,ROWS($1:4)),))</f>
        <v>41274</v>
      </c>
      <c r="D14" s="377" t="str">
        <f ca="1">IF(ROWS($1:4)&gt;COUNT(Dong6),"",OFFSET(TH!F$1,SMALL(Dong6,ROWS($1:4)),))</f>
        <v>K/C doanh thu hoạt động tài chính</v>
      </c>
      <c r="E14" s="376">
        <f t="shared" ca="1" si="0"/>
        <v>4</v>
      </c>
      <c r="F14" s="378" t="str">
        <f ca="1">IF(ROWS($1:4)&gt;COUNT(Dong6),"",OFFSET(TH!L$1,SMALL(Dong6,ROWS($1:4)),))</f>
        <v>515</v>
      </c>
      <c r="G14" s="378" t="str">
        <f ca="1">IF(ROWS($1:4)&gt;COUNT(Dong6),"",OFFSET(TH!M$1,SMALL(Dong6,ROWS($1:4)),))</f>
        <v>911</v>
      </c>
      <c r="H14" s="351">
        <f ca="1">IF(ROWS($1:4)&gt;COUNT(Dong6),"",OFFSET(TH!K$1,SMALL(Dong6,ROWS($1:4)),))</f>
        <v>54361</v>
      </c>
      <c r="I14" s="351">
        <f ca="1">IF(ROWS($1:4)&gt;COUNT(Dong6),"",OFFSET(TH!K$1,SMALL(Dong6,ROWS($1:4)),))</f>
        <v>54361</v>
      </c>
    </row>
    <row r="15" spans="1:14" ht="21" customHeight="1">
      <c r="A15" s="375">
        <f ca="1">IF(ROWS($1:5)&gt;COUNT(Dong6),"",OFFSET(TH!C$1,SMALL(Dong6,ROWS($1:5)),))</f>
        <v>41274</v>
      </c>
      <c r="B15" s="376" t="str">
        <f ca="1">IF(ROWS($1:5)&gt;COUNT(Dong6),"",OFFSET(TH!D$1,SMALL(Dong6,ROWS($1:5)),))</f>
        <v>BTKC</v>
      </c>
      <c r="C15" s="375">
        <f ca="1">IF(ROWS($1:5)&gt;COUNT(Dong6),"",OFFSET(TH!E$1,SMALL(Dong6,ROWS($1:5)),))</f>
        <v>41274</v>
      </c>
      <c r="D15" s="377" t="str">
        <f ca="1">IF(ROWS($1:5)&gt;COUNT(Dong6),"",OFFSET(TH!F$1,SMALL(Dong6,ROWS($1:5)),))</f>
        <v>K/C  Doanh thu bán hàng</v>
      </c>
      <c r="E15" s="376">
        <f t="shared" ca="1" si="0"/>
        <v>5</v>
      </c>
      <c r="F15" s="378" t="str">
        <f ca="1">IF(ROWS($1:5)&gt;COUNT(Dong6),"",OFFSET(TH!L$1,SMALL(Dong6,ROWS($1:5)),))</f>
        <v>5112</v>
      </c>
      <c r="G15" s="378" t="str">
        <f ca="1">IF(ROWS($1:5)&gt;COUNT(Dong6),"",OFFSET(TH!M$1,SMALL(Dong6,ROWS($1:5)),))</f>
        <v>911</v>
      </c>
      <c r="H15" s="351">
        <f ca="1">IF(ROWS($1:5)&gt;COUNT(Dong6),"",OFFSET(TH!K$1,SMALL(Dong6,ROWS($1:5)),))</f>
        <v>245490958</v>
      </c>
      <c r="I15" s="351">
        <f ca="1">IF(ROWS($1:5)&gt;COUNT(Dong6),"",OFFSET(TH!K$1,SMALL(Dong6,ROWS($1:5)),))</f>
        <v>245490958</v>
      </c>
    </row>
    <row r="16" spans="1:14" ht="21" customHeight="1">
      <c r="A16" s="375">
        <f ca="1">IF(ROWS($1:6)&gt;COUNT(Dong6),"",OFFSET(TH!C$1,SMALL(Dong6,ROWS($1:6)),))</f>
        <v>41274</v>
      </c>
      <c r="B16" s="376" t="str">
        <f ca="1">IF(ROWS($1:6)&gt;COUNT(Dong6),"",OFFSET(TH!D$1,SMALL(Dong6,ROWS($1:6)),))</f>
        <v>BTKC</v>
      </c>
      <c r="C16" s="375">
        <f ca="1">IF(ROWS($1:6)&gt;COUNT(Dong6),"",OFFSET(TH!E$1,SMALL(Dong6,ROWS($1:6)),))</f>
        <v>41274</v>
      </c>
      <c r="D16" s="377" t="str">
        <f ca="1">IF(ROWS($1:6)&gt;COUNT(Dong6),"",OFFSET(TH!F$1,SMALL(Dong6,ROWS($1:6)),))</f>
        <v>K/C lỗ SXKD</v>
      </c>
      <c r="E16" s="376">
        <f t="shared" ca="1" si="0"/>
        <v>6</v>
      </c>
      <c r="F16" s="378" t="str">
        <f ca="1">IF(ROWS($1:6)&gt;COUNT(Dong6),"",OFFSET(TH!L$1,SMALL(Dong6,ROWS($1:6)),))</f>
        <v>4212</v>
      </c>
      <c r="G16" s="378" t="str">
        <f ca="1">IF(ROWS($1:6)&gt;COUNT(Dong6),"",OFFSET(TH!M$1,SMALL(Dong6,ROWS($1:6)),))</f>
        <v>911</v>
      </c>
      <c r="H16" s="351">
        <f ca="1">IF(ROWS($1:6)&gt;COUNT(Dong6),"",OFFSET(TH!K$1,SMALL(Dong6,ROWS($1:6)),))</f>
        <v>35917455</v>
      </c>
      <c r="I16" s="351">
        <f ca="1">IF(ROWS($1:6)&gt;COUNT(Dong6),"",OFFSET(TH!K$1,SMALL(Dong6,ROWS($1:6)),))</f>
        <v>35917455</v>
      </c>
    </row>
    <row r="17" spans="1:9" ht="21" customHeight="1">
      <c r="A17" s="375">
        <f ca="1">IF(ROWS($1:7)&gt;COUNT(Dong6),"",OFFSET(TH!C$1,SMALL(Dong6,ROWS($1:7)),))</f>
        <v>41183</v>
      </c>
      <c r="B17" s="376" t="str">
        <f ca="1">IF(ROWS($1:7)&gt;COUNT(Dong6),"",OFFSET(TH!D$1,SMALL(Dong6,ROWS($1:7)),))</f>
        <v>GBC</v>
      </c>
      <c r="C17" s="375">
        <f ca="1">IF(ROWS($1:7)&gt;COUNT(Dong6),"",OFFSET(TH!E$1,SMALL(Dong6,ROWS($1:7)),))</f>
        <v>41183</v>
      </c>
      <c r="D17" s="377" t="str">
        <f ca="1">IF(ROWS($1:7)&gt;COUNT(Dong6),"",OFFSET(TH!F$1,SMALL(Dong6,ROWS($1:7)),))</f>
        <v>Thu tiền hàng</v>
      </c>
      <c r="E17" s="376">
        <f t="shared" ca="1" si="0"/>
        <v>7</v>
      </c>
      <c r="F17" s="378" t="str">
        <f ca="1">IF(ROWS($1:7)&gt;COUNT(Dong6),"",OFFSET(TH!L$1,SMALL(Dong6,ROWS($1:7)),))</f>
        <v>1121</v>
      </c>
      <c r="G17" s="378" t="str">
        <f ca="1">IF(ROWS($1:7)&gt;COUNT(Dong6),"",OFFSET(TH!M$1,SMALL(Dong6,ROWS($1:7)),))</f>
        <v>131</v>
      </c>
      <c r="H17" s="351">
        <f ca="1">IF(ROWS($1:7)&gt;COUNT(Dong6),"",OFFSET(TH!K$1,SMALL(Dong6,ROWS($1:7)),))</f>
        <v>8024412</v>
      </c>
      <c r="I17" s="351">
        <f ca="1">IF(ROWS($1:7)&gt;COUNT(Dong6),"",OFFSET(TH!K$1,SMALL(Dong6,ROWS($1:7)),))</f>
        <v>8024412</v>
      </c>
    </row>
    <row r="18" spans="1:9" ht="21" customHeight="1">
      <c r="A18" s="375">
        <f ca="1">IF(ROWS($1:8)&gt;COUNT(Dong6),"",OFFSET(TH!C$1,SMALL(Dong6,ROWS($1:8)),))</f>
        <v>41187</v>
      </c>
      <c r="B18" s="376" t="str">
        <f ca="1">IF(ROWS($1:8)&gt;COUNT(Dong6),"",OFFSET(TH!D$1,SMALL(Dong6,ROWS($1:8)),))</f>
        <v>T01</v>
      </c>
      <c r="C18" s="375">
        <f ca="1">IF(ROWS($1:8)&gt;COUNT(Dong6),"",OFFSET(TH!E$1,SMALL(Dong6,ROWS($1:8)),))</f>
        <v>41187</v>
      </c>
      <c r="D18" s="377" t="str">
        <f ca="1">IF(ROWS($1:8)&gt;COUNT(Dong6),"",OFFSET(TH!F$1,SMALL(Dong6,ROWS($1:8)),))</f>
        <v>Rút sec nhập quỹ tiền mặt</v>
      </c>
      <c r="E18" s="376">
        <f t="shared" ca="1" si="0"/>
        <v>8</v>
      </c>
      <c r="F18" s="378" t="str">
        <f ca="1">IF(ROWS($1:8)&gt;COUNT(Dong6),"",OFFSET(TH!L$1,SMALL(Dong6,ROWS($1:8)),))</f>
        <v>1111</v>
      </c>
      <c r="G18" s="378" t="str">
        <f ca="1">IF(ROWS($1:8)&gt;COUNT(Dong6),"",OFFSET(TH!M$1,SMALL(Dong6,ROWS($1:8)),))</f>
        <v>1121</v>
      </c>
      <c r="H18" s="351">
        <f ca="1">IF(ROWS($1:8)&gt;COUNT(Dong6),"",OFFSET(TH!K$1,SMALL(Dong6,ROWS($1:8)),))</f>
        <v>28000000</v>
      </c>
      <c r="I18" s="351">
        <f ca="1">IF(ROWS($1:8)&gt;COUNT(Dong6),"",OFFSET(TH!K$1,SMALL(Dong6,ROWS($1:8)),))</f>
        <v>28000000</v>
      </c>
    </row>
    <row r="19" spans="1:9" ht="21" customHeight="1">
      <c r="A19" s="375">
        <f ca="1">IF(ROWS($1:9)&gt;COUNT(Dong6),"",OFFSET(TH!C$1,SMALL(Dong6,ROWS($1:9)),))</f>
        <v>41187</v>
      </c>
      <c r="B19" s="376" t="str">
        <f ca="1">IF(ROWS($1:9)&gt;COUNT(Dong6),"",OFFSET(TH!D$1,SMALL(Dong6,ROWS($1:9)),))</f>
        <v>GBN</v>
      </c>
      <c r="C19" s="375">
        <f ca="1">IF(ROWS($1:9)&gt;COUNT(Dong6),"",OFFSET(TH!E$1,SMALL(Dong6,ROWS($1:9)),))</f>
        <v>41187</v>
      </c>
      <c r="D19" s="377" t="str">
        <f ca="1">IF(ROWS($1:9)&gt;COUNT(Dong6),"",OFFSET(TH!F$1,SMALL(Dong6,ROWS($1:9)),))</f>
        <v>Phí cấp sec</v>
      </c>
      <c r="E19" s="376">
        <f t="shared" ca="1" si="0"/>
        <v>9</v>
      </c>
      <c r="F19" s="378" t="str">
        <f ca="1">IF(ROWS($1:9)&gt;COUNT(Dong6),"",OFFSET(TH!L$1,SMALL(Dong6,ROWS($1:9)),))</f>
        <v>642</v>
      </c>
      <c r="G19" s="378" t="str">
        <f ca="1">IF(ROWS($1:9)&gt;COUNT(Dong6),"",OFFSET(TH!M$1,SMALL(Dong6,ROWS($1:9)),))</f>
        <v>1121</v>
      </c>
      <c r="H19" s="351">
        <f ca="1">IF(ROWS($1:9)&gt;COUNT(Dong6),"",OFFSET(TH!K$1,SMALL(Dong6,ROWS($1:9)),))</f>
        <v>20000</v>
      </c>
      <c r="I19" s="351">
        <f ca="1">IF(ROWS($1:9)&gt;COUNT(Dong6),"",OFFSET(TH!K$1,SMALL(Dong6,ROWS($1:9)),))</f>
        <v>20000</v>
      </c>
    </row>
    <row r="20" spans="1:9" ht="21" customHeight="1">
      <c r="A20" s="375">
        <f ca="1">IF(ROWS($1:10)&gt;COUNT(Dong6),"",OFFSET(TH!C$1,SMALL(Dong6,ROWS($1:10)),))</f>
        <v>41187</v>
      </c>
      <c r="B20" s="376" t="str">
        <f ca="1">IF(ROWS($1:10)&gt;COUNT(Dong6),"",OFFSET(TH!D$1,SMALL(Dong6,ROWS($1:10)),))</f>
        <v>GBN</v>
      </c>
      <c r="C20" s="375">
        <f ca="1">IF(ROWS($1:10)&gt;COUNT(Dong6),"",OFFSET(TH!E$1,SMALL(Dong6,ROWS($1:10)),))</f>
        <v>41187</v>
      </c>
      <c r="D20" s="377" t="str">
        <f ca="1">IF(ROWS($1:10)&gt;COUNT(Dong6),"",OFFSET(TH!F$1,SMALL(Dong6,ROWS($1:10)),))</f>
        <v>VAT Phí cấp sec</v>
      </c>
      <c r="E20" s="376">
        <f t="shared" ca="1" si="0"/>
        <v>10</v>
      </c>
      <c r="F20" s="378" t="str">
        <f ca="1">IF(ROWS($1:10)&gt;COUNT(Dong6),"",OFFSET(TH!L$1,SMALL(Dong6,ROWS($1:10)),))</f>
        <v>1331</v>
      </c>
      <c r="G20" s="378" t="str">
        <f ca="1">IF(ROWS($1:10)&gt;COUNT(Dong6),"",OFFSET(TH!M$1,SMALL(Dong6,ROWS($1:10)),))</f>
        <v>1121</v>
      </c>
      <c r="H20" s="351">
        <f ca="1">IF(ROWS($1:10)&gt;COUNT(Dong6),"",OFFSET(TH!K$1,SMALL(Dong6,ROWS($1:10)),))</f>
        <v>2000</v>
      </c>
      <c r="I20" s="351">
        <f ca="1">IF(ROWS($1:10)&gt;COUNT(Dong6),"",OFFSET(TH!K$1,SMALL(Dong6,ROWS($1:10)),))</f>
        <v>2000</v>
      </c>
    </row>
    <row r="21" spans="1:9" ht="21" customHeight="1">
      <c r="A21" s="375">
        <f ca="1">IF(ROWS($1:11)&gt;COUNT(Dong6),"",OFFSET(TH!C$1,SMALL(Dong6,ROWS($1:11)),))</f>
        <v>41193</v>
      </c>
      <c r="B21" s="376" t="str">
        <f ca="1">IF(ROWS($1:11)&gt;COUNT(Dong6),"",OFFSET(TH!D$1,SMALL(Dong6,ROWS($1:11)),))</f>
        <v>X01</v>
      </c>
      <c r="C21" s="375">
        <f ca="1">IF(ROWS($1:11)&gt;COUNT(Dong6),"",OFFSET(TH!E$1,SMALL(Dong6,ROWS($1:11)),))</f>
        <v>41193</v>
      </c>
      <c r="D21" s="377" t="str">
        <f ca="1">IF(ROWS($1:11)&gt;COUNT(Dong6),"",OFFSET(TH!F$1,SMALL(Dong6,ROWS($1:11)),))</f>
        <v>Thùng carton (51,5x24,5x24,5)</v>
      </c>
      <c r="E21" s="376">
        <f t="shared" ca="1" si="0"/>
        <v>11</v>
      </c>
      <c r="F21" s="378" t="str">
        <f ca="1">IF(ROWS($1:11)&gt;COUNT(Dong6),"",OFFSET(TH!L$1,SMALL(Dong6,ROWS($1:11)),))</f>
        <v>131</v>
      </c>
      <c r="G21" s="378" t="str">
        <f ca="1">IF(ROWS($1:11)&gt;COUNT(Dong6),"",OFFSET(TH!M$1,SMALL(Dong6,ROWS($1:11)),))</f>
        <v>5112</v>
      </c>
      <c r="H21" s="351">
        <f ca="1">IF(ROWS($1:11)&gt;COUNT(Dong6),"",OFFSET(TH!K$1,SMALL(Dong6,ROWS($1:11)),))</f>
        <v>7540000</v>
      </c>
      <c r="I21" s="351">
        <f ca="1">IF(ROWS($1:11)&gt;COUNT(Dong6),"",OFFSET(TH!K$1,SMALL(Dong6,ROWS($1:11)),))</f>
        <v>7540000</v>
      </c>
    </row>
    <row r="22" spans="1:9" ht="21" customHeight="1">
      <c r="A22" s="375">
        <f ca="1">IF(ROWS($1:12)&gt;COUNT(Dong6),"",OFFSET(TH!C$1,SMALL(Dong6,ROWS($1:12)),))</f>
        <v>41193</v>
      </c>
      <c r="B22" s="376" t="str">
        <f ca="1">IF(ROWS($1:12)&gt;COUNT(Dong6),"",OFFSET(TH!D$1,SMALL(Dong6,ROWS($1:12)),))</f>
        <v>X01</v>
      </c>
      <c r="C22" s="375">
        <f ca="1">IF(ROWS($1:12)&gt;COUNT(Dong6),"",OFFSET(TH!E$1,SMALL(Dong6,ROWS($1:12)),))</f>
        <v>41193</v>
      </c>
      <c r="D22" s="377" t="str">
        <f ca="1">IF(ROWS($1:12)&gt;COUNT(Dong6),"",OFFSET(TH!F$1,SMALL(Dong6,ROWS($1:12)),))</f>
        <v>VAT Thùng</v>
      </c>
      <c r="E22" s="376">
        <f t="shared" ca="1" si="0"/>
        <v>12</v>
      </c>
      <c r="F22" s="378" t="str">
        <f ca="1">IF(ROWS($1:12)&gt;COUNT(Dong6),"",OFFSET(TH!L$1,SMALL(Dong6,ROWS($1:12)),))</f>
        <v>131</v>
      </c>
      <c r="G22" s="378" t="str">
        <f ca="1">IF(ROWS($1:12)&gt;COUNT(Dong6),"",OFFSET(TH!M$1,SMALL(Dong6,ROWS($1:12)),))</f>
        <v>3331</v>
      </c>
      <c r="H22" s="351">
        <f ca="1">IF(ROWS($1:12)&gt;COUNT(Dong6),"",OFFSET(TH!K$1,SMALL(Dong6,ROWS($1:12)),))</f>
        <v>754000</v>
      </c>
      <c r="I22" s="351">
        <f ca="1">IF(ROWS($1:12)&gt;COUNT(Dong6),"",OFFSET(TH!K$1,SMALL(Dong6,ROWS($1:12)),))</f>
        <v>754000</v>
      </c>
    </row>
    <row r="23" spans="1:9" ht="21" customHeight="1">
      <c r="A23" s="375">
        <f ca="1">IF(ROWS($1:13)&gt;COUNT(Dong6),"",OFFSET(TH!C$1,SMALL(Dong6,ROWS($1:13)),))</f>
        <v>41195</v>
      </c>
      <c r="B23" s="376" t="str">
        <f ca="1">IF(ROWS($1:13)&gt;COUNT(Dong6),"",OFFSET(TH!D$1,SMALL(Dong6,ROWS($1:13)),))</f>
        <v>N01</v>
      </c>
      <c r="C23" s="375">
        <f ca="1">IF(ROWS($1:13)&gt;COUNT(Dong6),"",OFFSET(TH!E$1,SMALL(Dong6,ROWS($1:13)),))</f>
        <v>41195</v>
      </c>
      <c r="D23" s="377" t="str">
        <f ca="1">IF(ROWS($1:13)&gt;COUNT(Dong6),"",OFFSET(TH!F$1,SMALL(Dong6,ROWS($1:13)),))</f>
        <v>Giấy tấm 2N +1X (110x173)</v>
      </c>
      <c r="E23" s="376">
        <f t="shared" ca="1" si="0"/>
        <v>13</v>
      </c>
      <c r="F23" s="378" t="str">
        <f ca="1">IF(ROWS($1:13)&gt;COUNT(Dong6),"",OFFSET(TH!L$1,SMALL(Dong6,ROWS($1:13)),))</f>
        <v>156</v>
      </c>
      <c r="G23" s="378" t="str">
        <f ca="1">IF(ROWS($1:13)&gt;COUNT(Dong6),"",OFFSET(TH!M$1,SMALL(Dong6,ROWS($1:13)),))</f>
        <v>331</v>
      </c>
      <c r="H23" s="351">
        <f ca="1">IF(ROWS($1:13)&gt;COUNT(Dong6),"",OFFSET(TH!K$1,SMALL(Dong6,ROWS($1:13)),))</f>
        <v>6375000</v>
      </c>
      <c r="I23" s="351">
        <f ca="1">IF(ROWS($1:13)&gt;COUNT(Dong6),"",OFFSET(TH!K$1,SMALL(Dong6,ROWS($1:13)),))</f>
        <v>6375000</v>
      </c>
    </row>
    <row r="24" spans="1:9" ht="21" customHeight="1">
      <c r="A24" s="375">
        <f ca="1">IF(ROWS($1:14)&gt;COUNT(Dong6),"",OFFSET(TH!C$1,SMALL(Dong6,ROWS($1:14)),))</f>
        <v>41195</v>
      </c>
      <c r="B24" s="376" t="str">
        <f ca="1">IF(ROWS($1:14)&gt;COUNT(Dong6),"",OFFSET(TH!D$1,SMALL(Dong6,ROWS($1:14)),))</f>
        <v>N01</v>
      </c>
      <c r="C24" s="375">
        <f ca="1">IF(ROWS($1:14)&gt;COUNT(Dong6),"",OFFSET(TH!E$1,SMALL(Dong6,ROWS($1:14)),))</f>
        <v>41195</v>
      </c>
      <c r="D24" s="377" t="str">
        <f ca="1">IF(ROWS($1:14)&gt;COUNT(Dong6),"",OFFSET(TH!F$1,SMALL(Dong6,ROWS($1:14)),))</f>
        <v xml:space="preserve">VAT Giấy tấm </v>
      </c>
      <c r="E24" s="376">
        <f t="shared" ca="1" si="0"/>
        <v>14</v>
      </c>
      <c r="F24" s="378" t="str">
        <f ca="1">IF(ROWS($1:14)&gt;COUNT(Dong6),"",OFFSET(TH!L$1,SMALL(Dong6,ROWS($1:14)),))</f>
        <v>1331</v>
      </c>
      <c r="G24" s="378" t="str">
        <f ca="1">IF(ROWS($1:14)&gt;COUNT(Dong6),"",OFFSET(TH!M$1,SMALL(Dong6,ROWS($1:14)),))</f>
        <v>331</v>
      </c>
      <c r="H24" s="351">
        <f ca="1">IF(ROWS($1:14)&gt;COUNT(Dong6),"",OFFSET(TH!K$1,SMALL(Dong6,ROWS($1:14)),))</f>
        <v>637500</v>
      </c>
      <c r="I24" s="351">
        <f ca="1">IF(ROWS($1:14)&gt;COUNT(Dong6),"",OFFSET(TH!K$1,SMALL(Dong6,ROWS($1:14)),))</f>
        <v>637500</v>
      </c>
    </row>
    <row r="25" spans="1:9" ht="21" customHeight="1">
      <c r="A25" s="375">
        <f ca="1">IF(ROWS($1:15)&gt;COUNT(Dong6),"",OFFSET(TH!C$1,SMALL(Dong6,ROWS($1:15)),))</f>
        <v>41195</v>
      </c>
      <c r="B25" s="376" t="str">
        <f ca="1">IF(ROWS($1:15)&gt;COUNT(Dong6),"",OFFSET(TH!D$1,SMALL(Dong6,ROWS($1:15)),))</f>
        <v>C01</v>
      </c>
      <c r="C25" s="375">
        <f ca="1">IF(ROWS($1:15)&gt;COUNT(Dong6),"",OFFSET(TH!E$1,SMALL(Dong6,ROWS($1:15)),))</f>
        <v>41195</v>
      </c>
      <c r="D25" s="377" t="str">
        <f ca="1">IF(ROWS($1:15)&gt;COUNT(Dong6),"",OFFSET(TH!F$1,SMALL(Dong6,ROWS($1:15)),))</f>
        <v>Thanh toán tiền hàng</v>
      </c>
      <c r="E25" s="376">
        <f t="shared" ca="1" si="0"/>
        <v>15</v>
      </c>
      <c r="F25" s="378" t="str">
        <f ca="1">IF(ROWS($1:15)&gt;COUNT(Dong6),"",OFFSET(TH!L$1,SMALL(Dong6,ROWS($1:15)),))</f>
        <v>331</v>
      </c>
      <c r="G25" s="378" t="str">
        <f ca="1">IF(ROWS($1:15)&gt;COUNT(Dong6),"",OFFSET(TH!M$1,SMALL(Dong6,ROWS($1:15)),))</f>
        <v>1111</v>
      </c>
      <c r="H25" s="351">
        <f ca="1">IF(ROWS($1:15)&gt;COUNT(Dong6),"",OFFSET(TH!K$1,SMALL(Dong6,ROWS($1:15)),))</f>
        <v>7012500</v>
      </c>
      <c r="I25" s="351">
        <f ca="1">IF(ROWS($1:15)&gt;COUNT(Dong6),"",OFFSET(TH!K$1,SMALL(Dong6,ROWS($1:15)),))</f>
        <v>7012500</v>
      </c>
    </row>
    <row r="26" spans="1:9" ht="21" customHeight="1">
      <c r="A26" s="375">
        <f ca="1">IF(ROWS($1:16)&gt;COUNT(Dong6),"",OFFSET(TH!C$1,SMALL(Dong6,ROWS($1:16)),))</f>
        <v>41198</v>
      </c>
      <c r="B26" s="376" t="str">
        <f ca="1">IF(ROWS($1:16)&gt;COUNT(Dong6),"",OFFSET(TH!D$1,SMALL(Dong6,ROWS($1:16)),))</f>
        <v>GBC</v>
      </c>
      <c r="C26" s="375">
        <f ca="1">IF(ROWS($1:16)&gt;COUNT(Dong6),"",OFFSET(TH!E$1,SMALL(Dong6,ROWS($1:16)),))</f>
        <v>41198</v>
      </c>
      <c r="D26" s="377" t="str">
        <f ca="1">IF(ROWS($1:16)&gt;COUNT(Dong6),"",OFFSET(TH!F$1,SMALL(Dong6,ROWS($1:16)),))</f>
        <v>Thu tiền hàng</v>
      </c>
      <c r="E26" s="376">
        <f t="shared" ca="1" si="0"/>
        <v>16</v>
      </c>
      <c r="F26" s="378" t="str">
        <f ca="1">IF(ROWS($1:16)&gt;COUNT(Dong6),"",OFFSET(TH!L$1,SMALL(Dong6,ROWS($1:16)),))</f>
        <v>1121</v>
      </c>
      <c r="G26" s="378" t="str">
        <f ca="1">IF(ROWS($1:16)&gt;COUNT(Dong6),"",OFFSET(TH!M$1,SMALL(Dong6,ROWS($1:16)),))</f>
        <v>131</v>
      </c>
      <c r="H26" s="351">
        <f ca="1">IF(ROWS($1:16)&gt;COUNT(Dong6),"",OFFSET(TH!K$1,SMALL(Dong6,ROWS($1:16)),))</f>
        <v>22732212</v>
      </c>
      <c r="I26" s="351">
        <f ca="1">IF(ROWS($1:16)&gt;COUNT(Dong6),"",OFFSET(TH!K$1,SMALL(Dong6,ROWS($1:16)),))</f>
        <v>22732212</v>
      </c>
    </row>
    <row r="27" spans="1:9" ht="21" customHeight="1">
      <c r="A27" s="375">
        <f ca="1">IF(ROWS($1:17)&gt;COUNT(Dong6),"",OFFSET(TH!C$1,SMALL(Dong6,ROWS($1:17)),))</f>
        <v>41198</v>
      </c>
      <c r="B27" s="376" t="str">
        <f ca="1">IF(ROWS($1:17)&gt;COUNT(Dong6),"",OFFSET(TH!D$1,SMALL(Dong6,ROWS($1:17)),))</f>
        <v>X02</v>
      </c>
      <c r="C27" s="375">
        <f ca="1">IF(ROWS($1:17)&gt;COUNT(Dong6),"",OFFSET(TH!E$1,SMALL(Dong6,ROWS($1:17)),))</f>
        <v>41198</v>
      </c>
      <c r="D27" s="377" t="str">
        <f ca="1">IF(ROWS($1:17)&gt;COUNT(Dong6),"",OFFSET(TH!F$1,SMALL(Dong6,ROWS($1:17)),))</f>
        <v>Thùng carton (52x32,5x21)</v>
      </c>
      <c r="E27" s="376">
        <f t="shared" ca="1" si="0"/>
        <v>17</v>
      </c>
      <c r="F27" s="378" t="str">
        <f ca="1">IF(ROWS($1:17)&gt;COUNT(Dong6),"",OFFSET(TH!L$1,SMALL(Dong6,ROWS($1:17)),))</f>
        <v>131</v>
      </c>
      <c r="G27" s="378" t="str">
        <f ca="1">IF(ROWS($1:17)&gt;COUNT(Dong6),"",OFFSET(TH!M$1,SMALL(Dong6,ROWS($1:17)),))</f>
        <v>5112</v>
      </c>
      <c r="H27" s="351">
        <f ca="1">IF(ROWS($1:17)&gt;COUNT(Dong6),"",OFFSET(TH!K$1,SMALL(Dong6,ROWS($1:17)),))</f>
        <v>7660000</v>
      </c>
      <c r="I27" s="351">
        <f ca="1">IF(ROWS($1:17)&gt;COUNT(Dong6),"",OFFSET(TH!K$1,SMALL(Dong6,ROWS($1:17)),))</f>
        <v>7660000</v>
      </c>
    </row>
    <row r="28" spans="1:9" ht="21" customHeight="1">
      <c r="A28" s="375">
        <f ca="1">IF(ROWS($1:18)&gt;COUNT(Dong6),"",OFFSET(TH!C$1,SMALL(Dong6,ROWS($1:18)),))</f>
        <v>41198</v>
      </c>
      <c r="B28" s="376" t="str">
        <f ca="1">IF(ROWS($1:18)&gt;COUNT(Dong6),"",OFFSET(TH!D$1,SMALL(Dong6,ROWS($1:18)),))</f>
        <v>X02</v>
      </c>
      <c r="C28" s="375">
        <f ca="1">IF(ROWS($1:18)&gt;COUNT(Dong6),"",OFFSET(TH!E$1,SMALL(Dong6,ROWS($1:18)),))</f>
        <v>41198</v>
      </c>
      <c r="D28" s="377" t="str">
        <f ca="1">IF(ROWS($1:18)&gt;COUNT(Dong6),"",OFFSET(TH!F$1,SMALL(Dong6,ROWS($1:18)),))</f>
        <v>VAT Thùng</v>
      </c>
      <c r="E28" s="376">
        <f t="shared" ca="1" si="0"/>
        <v>18</v>
      </c>
      <c r="F28" s="378" t="str">
        <f ca="1">IF(ROWS($1:18)&gt;COUNT(Dong6),"",OFFSET(TH!L$1,SMALL(Dong6,ROWS($1:18)),))</f>
        <v>131</v>
      </c>
      <c r="G28" s="378" t="str">
        <f ca="1">IF(ROWS($1:18)&gt;COUNT(Dong6),"",OFFSET(TH!M$1,SMALL(Dong6,ROWS($1:18)),))</f>
        <v>3331</v>
      </c>
      <c r="H28" s="351">
        <f ca="1">IF(ROWS($1:18)&gt;COUNT(Dong6),"",OFFSET(TH!K$1,SMALL(Dong6,ROWS($1:18)),))</f>
        <v>766000</v>
      </c>
      <c r="I28" s="351">
        <f ca="1">IF(ROWS($1:18)&gt;COUNT(Dong6),"",OFFSET(TH!K$1,SMALL(Dong6,ROWS($1:18)),))</f>
        <v>766000</v>
      </c>
    </row>
    <row r="29" spans="1:9" ht="21" customHeight="1">
      <c r="A29" s="375">
        <f ca="1">IF(ROWS($1:19)&gt;COUNT(Dong6),"",OFFSET(TH!C$1,SMALL(Dong6,ROWS($1:19)),))</f>
        <v>41199</v>
      </c>
      <c r="B29" s="376" t="str">
        <f ca="1">IF(ROWS($1:19)&gt;COUNT(Dong6),"",OFFSET(TH!D$1,SMALL(Dong6,ROWS($1:19)),))</f>
        <v>C02</v>
      </c>
      <c r="C29" s="375">
        <f ca="1">IF(ROWS($1:19)&gt;COUNT(Dong6),"",OFFSET(TH!E$1,SMALL(Dong6,ROWS($1:19)),))</f>
        <v>41199</v>
      </c>
      <c r="D29" s="377" t="str">
        <f ca="1">IF(ROWS($1:19)&gt;COUNT(Dong6),"",OFFSET(TH!F$1,SMALL(Dong6,ROWS($1:19)),))</f>
        <v>Thuế GTGT hàng sản xuất</v>
      </c>
      <c r="E29" s="376">
        <f t="shared" ca="1" si="0"/>
        <v>19</v>
      </c>
      <c r="F29" s="378" t="str">
        <f ca="1">IF(ROWS($1:19)&gt;COUNT(Dong6),"",OFFSET(TH!L$1,SMALL(Dong6,ROWS($1:19)),))</f>
        <v>3388</v>
      </c>
      <c r="G29" s="378" t="str">
        <f ca="1">IF(ROWS($1:19)&gt;COUNT(Dong6),"",OFFSET(TH!M$1,SMALL(Dong6,ROWS($1:19)),))</f>
        <v>1111</v>
      </c>
      <c r="H29" s="351">
        <f ca="1">IF(ROWS($1:19)&gt;COUNT(Dong6),"",OFFSET(TH!K$1,SMALL(Dong6,ROWS($1:19)),))</f>
        <v>366032</v>
      </c>
      <c r="I29" s="351">
        <f ca="1">IF(ROWS($1:19)&gt;COUNT(Dong6),"",OFFSET(TH!K$1,SMALL(Dong6,ROWS($1:19)),))</f>
        <v>366032</v>
      </c>
    </row>
    <row r="30" spans="1:9" ht="21" customHeight="1">
      <c r="A30" s="375">
        <f ca="1">IF(ROWS($1:20)&gt;COUNT(Dong6),"",OFFSET(TH!C$1,SMALL(Dong6,ROWS($1:20)),))</f>
        <v>41199</v>
      </c>
      <c r="B30" s="376" t="str">
        <f ca="1">IF(ROWS($1:20)&gt;COUNT(Dong6),"",OFFSET(TH!D$1,SMALL(Dong6,ROWS($1:20)),))</f>
        <v>C02</v>
      </c>
      <c r="C30" s="375">
        <f ca="1">IF(ROWS($1:20)&gt;COUNT(Dong6),"",OFFSET(TH!E$1,SMALL(Dong6,ROWS($1:20)),))</f>
        <v>41199</v>
      </c>
      <c r="D30" s="377" t="str">
        <f ca="1">IF(ROWS($1:20)&gt;COUNT(Dong6),"",OFFSET(TH!F$1,SMALL(Dong6,ROWS($1:20)),))</f>
        <v>Thuế môn bài</v>
      </c>
      <c r="E30" s="376">
        <f t="shared" ca="1" si="0"/>
        <v>20</v>
      </c>
      <c r="F30" s="378" t="str">
        <f ca="1">IF(ROWS($1:20)&gt;COUNT(Dong6),"",OFFSET(TH!L$1,SMALL(Dong6,ROWS($1:20)),))</f>
        <v>33382</v>
      </c>
      <c r="G30" s="378" t="str">
        <f ca="1">IF(ROWS($1:20)&gt;COUNT(Dong6),"",OFFSET(TH!M$1,SMALL(Dong6,ROWS($1:20)),))</f>
        <v>1111</v>
      </c>
      <c r="H30" s="351">
        <f ca="1">IF(ROWS($1:20)&gt;COUNT(Dong6),"",OFFSET(TH!K$1,SMALL(Dong6,ROWS($1:20)),))</f>
        <v>750000</v>
      </c>
      <c r="I30" s="351">
        <f ca="1">IF(ROWS($1:20)&gt;COUNT(Dong6),"",OFFSET(TH!K$1,SMALL(Dong6,ROWS($1:20)),))</f>
        <v>750000</v>
      </c>
    </row>
    <row r="31" spans="1:9" ht="21" customHeight="1">
      <c r="A31" s="375">
        <f ca="1">IF(ROWS($1:21)&gt;COUNT(Dong6),"",OFFSET(TH!C$1,SMALL(Dong6,ROWS($1:21)),))</f>
        <v>41199</v>
      </c>
      <c r="B31" s="376" t="str">
        <f ca="1">IF(ROWS($1:21)&gt;COUNT(Dong6),"",OFFSET(TH!D$1,SMALL(Dong6,ROWS($1:21)),))</f>
        <v>CTGS</v>
      </c>
      <c r="C31" s="375">
        <f ca="1">IF(ROWS($1:21)&gt;COUNT(Dong6),"",OFFSET(TH!E$1,SMALL(Dong6,ROWS($1:21)),))</f>
        <v>41199</v>
      </c>
      <c r="D31" s="377" t="str">
        <f ca="1">IF(ROWS($1:21)&gt;COUNT(Dong6),"",OFFSET(TH!F$1,SMALL(Dong6,ROWS($1:21)),))</f>
        <v xml:space="preserve">Thuế môn bài phải nộp </v>
      </c>
      <c r="E31" s="376">
        <f t="shared" ca="1" si="0"/>
        <v>21</v>
      </c>
      <c r="F31" s="378" t="str">
        <f ca="1">IF(ROWS($1:21)&gt;COUNT(Dong6),"",OFFSET(TH!L$1,SMALL(Dong6,ROWS($1:21)),))</f>
        <v>642</v>
      </c>
      <c r="G31" s="378" t="str">
        <f ca="1">IF(ROWS($1:21)&gt;COUNT(Dong6),"",OFFSET(TH!M$1,SMALL(Dong6,ROWS($1:21)),))</f>
        <v>33382</v>
      </c>
      <c r="H31" s="351">
        <f ca="1">IF(ROWS($1:21)&gt;COUNT(Dong6),"",OFFSET(TH!K$1,SMALL(Dong6,ROWS($1:21)),))</f>
        <v>750000</v>
      </c>
      <c r="I31" s="351">
        <f ca="1">IF(ROWS($1:21)&gt;COUNT(Dong6),"",OFFSET(TH!K$1,SMALL(Dong6,ROWS($1:21)),))</f>
        <v>750000</v>
      </c>
    </row>
    <row r="32" spans="1:9" ht="21" customHeight="1">
      <c r="A32" s="375">
        <f ca="1">IF(ROWS($1:22)&gt;COUNT(Dong6),"",OFFSET(TH!C$1,SMALL(Dong6,ROWS($1:22)),))</f>
        <v>41201</v>
      </c>
      <c r="B32" s="376" t="str">
        <f ca="1">IF(ROWS($1:22)&gt;COUNT(Dong6),"",OFFSET(TH!D$1,SMALL(Dong6,ROWS($1:22)),))</f>
        <v>C03</v>
      </c>
      <c r="C32" s="375">
        <f ca="1">IF(ROWS($1:22)&gt;COUNT(Dong6),"",OFFSET(TH!E$1,SMALL(Dong6,ROWS($1:22)),))</f>
        <v>41201</v>
      </c>
      <c r="D32" s="377" t="str">
        <f ca="1">IF(ROWS($1:22)&gt;COUNT(Dong6),"",OFFSET(TH!F$1,SMALL(Dong6,ROWS($1:22)),))</f>
        <v>Phần mềm diệt virut</v>
      </c>
      <c r="E32" s="376">
        <f t="shared" ca="1" si="0"/>
        <v>22</v>
      </c>
      <c r="F32" s="378" t="str">
        <f ca="1">IF(ROWS($1:22)&gt;COUNT(Dong6),"",OFFSET(TH!L$1,SMALL(Dong6,ROWS($1:22)),))</f>
        <v>642</v>
      </c>
      <c r="G32" s="378" t="str">
        <f ca="1">IF(ROWS($1:22)&gt;COUNT(Dong6),"",OFFSET(TH!M$1,SMALL(Dong6,ROWS($1:22)),))</f>
        <v>1111</v>
      </c>
      <c r="H32" s="351">
        <f ca="1">IF(ROWS($1:22)&gt;COUNT(Dong6),"",OFFSET(TH!K$1,SMALL(Dong6,ROWS($1:22)),))</f>
        <v>272000</v>
      </c>
      <c r="I32" s="351">
        <f ca="1">IF(ROWS($1:22)&gt;COUNT(Dong6),"",OFFSET(TH!K$1,SMALL(Dong6,ROWS($1:22)),))</f>
        <v>272000</v>
      </c>
    </row>
    <row r="33" spans="1:9" ht="21" customHeight="1">
      <c r="A33" s="375">
        <f ca="1">IF(ROWS($1:23)&gt;COUNT(Dong6),"",OFFSET(TH!C$1,SMALL(Dong6,ROWS($1:23)),))</f>
        <v>41201</v>
      </c>
      <c r="B33" s="376" t="str">
        <f ca="1">IF(ROWS($1:23)&gt;COUNT(Dong6),"",OFFSET(TH!D$1,SMALL(Dong6,ROWS($1:23)),))</f>
        <v>N02</v>
      </c>
      <c r="C33" s="375">
        <f ca="1">IF(ROWS($1:23)&gt;COUNT(Dong6),"",OFFSET(TH!E$1,SMALL(Dong6,ROWS($1:23)),))</f>
        <v>41201</v>
      </c>
      <c r="D33" s="377" t="str">
        <f ca="1">IF(ROWS($1:23)&gt;COUNT(Dong6),"",OFFSET(TH!F$1,SMALL(Dong6,ROWS($1:23)),))</f>
        <v>Giấy tấm 1N +2X (115x163)</v>
      </c>
      <c r="E33" s="376">
        <f t="shared" ca="1" si="0"/>
        <v>23</v>
      </c>
      <c r="F33" s="378" t="str">
        <f ca="1">IF(ROWS($1:23)&gt;COUNT(Dong6),"",OFFSET(TH!L$1,SMALL(Dong6,ROWS($1:23)),))</f>
        <v>156</v>
      </c>
      <c r="G33" s="378" t="str">
        <f ca="1">IF(ROWS($1:23)&gt;COUNT(Dong6),"",OFFSET(TH!M$1,SMALL(Dong6,ROWS($1:23)),))</f>
        <v>331</v>
      </c>
      <c r="H33" s="351">
        <f ca="1">IF(ROWS($1:23)&gt;COUNT(Dong6),"",OFFSET(TH!K$1,SMALL(Dong6,ROWS($1:23)),))</f>
        <v>5811000</v>
      </c>
      <c r="I33" s="351">
        <f ca="1">IF(ROWS($1:23)&gt;COUNT(Dong6),"",OFFSET(TH!K$1,SMALL(Dong6,ROWS($1:23)),))</f>
        <v>5811000</v>
      </c>
    </row>
    <row r="34" spans="1:9" ht="21" customHeight="1">
      <c r="A34" s="375">
        <f ca="1">IF(ROWS($1:24)&gt;COUNT(Dong6),"",OFFSET(TH!C$1,SMALL(Dong6,ROWS($1:24)),))</f>
        <v>41201</v>
      </c>
      <c r="B34" s="376" t="str">
        <f ca="1">IF(ROWS($1:24)&gt;COUNT(Dong6),"",OFFSET(TH!D$1,SMALL(Dong6,ROWS($1:24)),))</f>
        <v>N02</v>
      </c>
      <c r="C34" s="375">
        <f ca="1">IF(ROWS($1:24)&gt;COUNT(Dong6),"",OFFSET(TH!E$1,SMALL(Dong6,ROWS($1:24)),))</f>
        <v>41201</v>
      </c>
      <c r="D34" s="377" t="str">
        <f ca="1">IF(ROWS($1:24)&gt;COUNT(Dong6),"",OFFSET(TH!F$1,SMALL(Dong6,ROWS($1:24)),))</f>
        <v>Giấy tấm 1N +2X (150x92)</v>
      </c>
      <c r="E34" s="376">
        <f t="shared" ca="1" si="0"/>
        <v>24</v>
      </c>
      <c r="F34" s="378" t="str">
        <f ca="1">IF(ROWS($1:24)&gt;COUNT(Dong6),"",OFFSET(TH!L$1,SMALL(Dong6,ROWS($1:24)),))</f>
        <v>156</v>
      </c>
      <c r="G34" s="378" t="str">
        <f ca="1">IF(ROWS($1:24)&gt;COUNT(Dong6),"",OFFSET(TH!M$1,SMALL(Dong6,ROWS($1:24)),))</f>
        <v>331</v>
      </c>
      <c r="H34" s="351">
        <f ca="1">IF(ROWS($1:24)&gt;COUNT(Dong6),"",OFFSET(TH!K$1,SMALL(Dong6,ROWS($1:24)),))</f>
        <v>4278000</v>
      </c>
      <c r="I34" s="351">
        <f ca="1">IF(ROWS($1:24)&gt;COUNT(Dong6),"",OFFSET(TH!K$1,SMALL(Dong6,ROWS($1:24)),))</f>
        <v>4278000</v>
      </c>
    </row>
    <row r="35" spans="1:9" ht="21" customHeight="1">
      <c r="A35" s="375">
        <f ca="1">IF(ROWS($1:25)&gt;COUNT(Dong6),"",OFFSET(TH!C$1,SMALL(Dong6,ROWS($1:25)),))</f>
        <v>41201</v>
      </c>
      <c r="B35" s="376" t="str">
        <f ca="1">IF(ROWS($1:25)&gt;COUNT(Dong6),"",OFFSET(TH!D$1,SMALL(Dong6,ROWS($1:25)),))</f>
        <v>N02</v>
      </c>
      <c r="C35" s="375">
        <f ca="1">IF(ROWS($1:25)&gt;COUNT(Dong6),"",OFFSET(TH!E$1,SMALL(Dong6,ROWS($1:25)),))</f>
        <v>41201</v>
      </c>
      <c r="D35" s="377" t="str">
        <f ca="1">IF(ROWS($1:25)&gt;COUNT(Dong6),"",OFFSET(TH!F$1,SMALL(Dong6,ROWS($1:25)),))</f>
        <v xml:space="preserve">VAT Giấy tấm </v>
      </c>
      <c r="E35" s="376">
        <f t="shared" ca="1" si="0"/>
        <v>25</v>
      </c>
      <c r="F35" s="378" t="str">
        <f ca="1">IF(ROWS($1:25)&gt;COUNT(Dong6),"",OFFSET(TH!L$1,SMALL(Dong6,ROWS($1:25)),))</f>
        <v>1331</v>
      </c>
      <c r="G35" s="378" t="str">
        <f ca="1">IF(ROWS($1:25)&gt;COUNT(Dong6),"",OFFSET(TH!M$1,SMALL(Dong6,ROWS($1:25)),))</f>
        <v>331</v>
      </c>
      <c r="H35" s="351">
        <f ca="1">IF(ROWS($1:25)&gt;COUNT(Dong6),"",OFFSET(TH!K$1,SMALL(Dong6,ROWS($1:25)),))</f>
        <v>1008900</v>
      </c>
      <c r="I35" s="351">
        <f ca="1">IF(ROWS($1:25)&gt;COUNT(Dong6),"",OFFSET(TH!K$1,SMALL(Dong6,ROWS($1:25)),))</f>
        <v>1008900</v>
      </c>
    </row>
    <row r="36" spans="1:9" ht="21" customHeight="1">
      <c r="A36" s="375">
        <f ca="1">IF(ROWS($1:26)&gt;COUNT(Dong6),"",OFFSET(TH!C$1,SMALL(Dong6,ROWS($1:26)),))</f>
        <v>41201</v>
      </c>
      <c r="B36" s="376" t="str">
        <f ca="1">IF(ROWS($1:26)&gt;COUNT(Dong6),"",OFFSET(TH!D$1,SMALL(Dong6,ROWS($1:26)),))</f>
        <v>C04</v>
      </c>
      <c r="C36" s="375">
        <f ca="1">IF(ROWS($1:26)&gt;COUNT(Dong6),"",OFFSET(TH!E$1,SMALL(Dong6,ROWS($1:26)),))</f>
        <v>41201</v>
      </c>
      <c r="D36" s="377" t="str">
        <f ca="1">IF(ROWS($1:26)&gt;COUNT(Dong6),"",OFFSET(TH!F$1,SMALL(Dong6,ROWS($1:26)),))</f>
        <v>Thanh toán tiền hàng</v>
      </c>
      <c r="E36" s="376">
        <f t="shared" ca="1" si="0"/>
        <v>26</v>
      </c>
      <c r="F36" s="378" t="str">
        <f ca="1">IF(ROWS($1:26)&gt;COUNT(Dong6),"",OFFSET(TH!L$1,SMALL(Dong6,ROWS($1:26)),))</f>
        <v>331</v>
      </c>
      <c r="G36" s="378" t="str">
        <f ca="1">IF(ROWS($1:26)&gt;COUNT(Dong6),"",OFFSET(TH!M$1,SMALL(Dong6,ROWS($1:26)),))</f>
        <v>1111</v>
      </c>
      <c r="H36" s="351">
        <f ca="1">IF(ROWS($1:26)&gt;COUNT(Dong6),"",OFFSET(TH!K$1,SMALL(Dong6,ROWS($1:26)),))</f>
        <v>11097900</v>
      </c>
      <c r="I36" s="351">
        <f ca="1">IF(ROWS($1:26)&gt;COUNT(Dong6),"",OFFSET(TH!K$1,SMALL(Dong6,ROWS($1:26)),))</f>
        <v>11097900</v>
      </c>
    </row>
    <row r="37" spans="1:9" ht="21" customHeight="1">
      <c r="A37" s="375">
        <f ca="1">IF(ROWS($1:27)&gt;COUNT(Dong6),"",OFFSET(TH!C$1,SMALL(Dong6,ROWS($1:27)),))</f>
        <v>41202</v>
      </c>
      <c r="B37" s="376" t="str">
        <f ca="1">IF(ROWS($1:27)&gt;COUNT(Dong6),"",OFFSET(TH!D$1,SMALL(Dong6,ROWS($1:27)),))</f>
        <v>C05</v>
      </c>
      <c r="C37" s="375">
        <f ca="1">IF(ROWS($1:27)&gt;COUNT(Dong6),"",OFFSET(TH!E$1,SMALL(Dong6,ROWS($1:27)),))</f>
        <v>41202</v>
      </c>
      <c r="D37" s="377" t="str">
        <f ca="1">IF(ROWS($1:27)&gt;COUNT(Dong6),"",OFFSET(TH!F$1,SMALL(Dong6,ROWS($1:27)),))</f>
        <v>Thanh toán tiền viễn thông</v>
      </c>
      <c r="E37" s="376">
        <f t="shared" ca="1" si="0"/>
        <v>27</v>
      </c>
      <c r="F37" s="378" t="str">
        <f ca="1">IF(ROWS($1:27)&gt;COUNT(Dong6),"",OFFSET(TH!L$1,SMALL(Dong6,ROWS($1:27)),))</f>
        <v>642</v>
      </c>
      <c r="G37" s="378" t="str">
        <f ca="1">IF(ROWS($1:27)&gt;COUNT(Dong6),"",OFFSET(TH!M$1,SMALL(Dong6,ROWS($1:27)),))</f>
        <v>1111</v>
      </c>
      <c r="H37" s="351">
        <f ca="1">IF(ROWS($1:27)&gt;COUNT(Dong6),"",OFFSET(TH!K$1,SMALL(Dong6,ROWS($1:27)),))</f>
        <v>250000</v>
      </c>
      <c r="I37" s="351">
        <f ca="1">IF(ROWS($1:27)&gt;COUNT(Dong6),"",OFFSET(TH!K$1,SMALL(Dong6,ROWS($1:27)),))</f>
        <v>250000</v>
      </c>
    </row>
    <row r="38" spans="1:9" ht="21" customHeight="1">
      <c r="A38" s="375">
        <f ca="1">IF(ROWS($1:28)&gt;COUNT(Dong6),"",OFFSET(TH!C$1,SMALL(Dong6,ROWS($1:28)),))</f>
        <v>41202</v>
      </c>
      <c r="B38" s="376" t="str">
        <f ca="1">IF(ROWS($1:28)&gt;COUNT(Dong6),"",OFFSET(TH!D$1,SMALL(Dong6,ROWS($1:28)),))</f>
        <v>C05</v>
      </c>
      <c r="C38" s="375">
        <f ca="1">IF(ROWS($1:28)&gt;COUNT(Dong6),"",OFFSET(TH!E$1,SMALL(Dong6,ROWS($1:28)),))</f>
        <v>41202</v>
      </c>
      <c r="D38" s="377" t="str">
        <f ca="1">IF(ROWS($1:28)&gt;COUNT(Dong6),"",OFFSET(TH!F$1,SMALL(Dong6,ROWS($1:28)),))</f>
        <v>VAT Thanh toán tiền viễn thông</v>
      </c>
      <c r="E38" s="376">
        <f t="shared" ca="1" si="0"/>
        <v>28</v>
      </c>
      <c r="F38" s="378" t="str">
        <f ca="1">IF(ROWS($1:28)&gt;COUNT(Dong6),"",OFFSET(TH!L$1,SMALL(Dong6,ROWS($1:28)),))</f>
        <v>1331</v>
      </c>
      <c r="G38" s="378" t="str">
        <f ca="1">IF(ROWS($1:28)&gt;COUNT(Dong6),"",OFFSET(TH!M$1,SMALL(Dong6,ROWS($1:28)),))</f>
        <v>1111</v>
      </c>
      <c r="H38" s="351">
        <f ca="1">IF(ROWS($1:28)&gt;COUNT(Dong6),"",OFFSET(TH!K$1,SMALL(Dong6,ROWS($1:28)),))</f>
        <v>25000</v>
      </c>
      <c r="I38" s="351">
        <f ca="1">IF(ROWS($1:28)&gt;COUNT(Dong6),"",OFFSET(TH!K$1,SMALL(Dong6,ROWS($1:28)),))</f>
        <v>25000</v>
      </c>
    </row>
    <row r="39" spans="1:9" ht="21" customHeight="1">
      <c r="A39" s="375">
        <f ca="1">IF(ROWS($1:29)&gt;COUNT(Dong6),"",OFFSET(TH!C$1,SMALL(Dong6,ROWS($1:29)),))</f>
        <v>41205</v>
      </c>
      <c r="B39" s="376" t="str">
        <f ca="1">IF(ROWS($1:29)&gt;COUNT(Dong6),"",OFFSET(TH!D$1,SMALL(Dong6,ROWS($1:29)),))</f>
        <v>X03</v>
      </c>
      <c r="C39" s="375">
        <f ca="1">IF(ROWS($1:29)&gt;COUNT(Dong6),"",OFFSET(TH!E$1,SMALL(Dong6,ROWS($1:29)),))</f>
        <v>41205</v>
      </c>
      <c r="D39" s="377" t="str">
        <f ca="1">IF(ROWS($1:29)&gt;COUNT(Dong6),"",OFFSET(TH!F$1,SMALL(Dong6,ROWS($1:29)),))</f>
        <v>Thùng carton (22x22x51,5)</v>
      </c>
      <c r="E39" s="376">
        <f t="shared" ca="1" si="0"/>
        <v>29</v>
      </c>
      <c r="F39" s="378" t="str">
        <f ca="1">IF(ROWS($1:29)&gt;COUNT(Dong6),"",OFFSET(TH!L$1,SMALL(Dong6,ROWS($1:29)),))</f>
        <v>131</v>
      </c>
      <c r="G39" s="378" t="str">
        <f ca="1">IF(ROWS($1:29)&gt;COUNT(Dong6),"",OFFSET(TH!M$1,SMALL(Dong6,ROWS($1:29)),))</f>
        <v>5112</v>
      </c>
      <c r="H39" s="351">
        <f ca="1">IF(ROWS($1:29)&gt;COUNT(Dong6),"",OFFSET(TH!K$1,SMALL(Dong6,ROWS($1:29)),))</f>
        <v>5113950</v>
      </c>
      <c r="I39" s="351">
        <f ca="1">IF(ROWS($1:29)&gt;COUNT(Dong6),"",OFFSET(TH!K$1,SMALL(Dong6,ROWS($1:29)),))</f>
        <v>5113950</v>
      </c>
    </row>
    <row r="40" spans="1:9" ht="21" customHeight="1">
      <c r="A40" s="375">
        <f ca="1">IF(ROWS($1:30)&gt;COUNT(Dong6),"",OFFSET(TH!C$1,SMALL(Dong6,ROWS($1:30)),))</f>
        <v>41205</v>
      </c>
      <c r="B40" s="376" t="str">
        <f ca="1">IF(ROWS($1:30)&gt;COUNT(Dong6),"",OFFSET(TH!D$1,SMALL(Dong6,ROWS($1:30)),))</f>
        <v>X03</v>
      </c>
      <c r="C40" s="375">
        <f ca="1">IF(ROWS($1:30)&gt;COUNT(Dong6),"",OFFSET(TH!E$1,SMALL(Dong6,ROWS($1:30)),))</f>
        <v>41205</v>
      </c>
      <c r="D40" s="377" t="str">
        <f ca="1">IF(ROWS($1:30)&gt;COUNT(Dong6),"",OFFSET(TH!F$1,SMALL(Dong6,ROWS($1:30)),))</f>
        <v>Thùng carton (51,5x28x28)</v>
      </c>
      <c r="E40" s="376">
        <f t="shared" ca="1" si="0"/>
        <v>30</v>
      </c>
      <c r="F40" s="378" t="str">
        <f ca="1">IF(ROWS($1:30)&gt;COUNT(Dong6),"",OFFSET(TH!L$1,SMALL(Dong6,ROWS($1:30)),))</f>
        <v>131</v>
      </c>
      <c r="G40" s="378" t="str">
        <f ca="1">IF(ROWS($1:30)&gt;COUNT(Dong6),"",OFFSET(TH!M$1,SMALL(Dong6,ROWS($1:30)),))</f>
        <v>5112</v>
      </c>
      <c r="H40" s="351">
        <f ca="1">IF(ROWS($1:30)&gt;COUNT(Dong6),"",OFFSET(TH!K$1,SMALL(Dong6,ROWS($1:30)),))</f>
        <v>7216650</v>
      </c>
      <c r="I40" s="351">
        <f ca="1">IF(ROWS($1:30)&gt;COUNT(Dong6),"",OFFSET(TH!K$1,SMALL(Dong6,ROWS($1:30)),))</f>
        <v>7216650</v>
      </c>
    </row>
    <row r="41" spans="1:9" ht="21" customHeight="1">
      <c r="A41" s="375">
        <f ca="1">IF(ROWS($1:31)&gt;COUNT(Dong6),"",OFFSET(TH!C$1,SMALL(Dong6,ROWS($1:31)),))</f>
        <v>41205</v>
      </c>
      <c r="B41" s="376" t="str">
        <f ca="1">IF(ROWS($1:31)&gt;COUNT(Dong6),"",OFFSET(TH!D$1,SMALL(Dong6,ROWS($1:31)),))</f>
        <v>X03</v>
      </c>
      <c r="C41" s="375">
        <f ca="1">IF(ROWS($1:31)&gt;COUNT(Dong6),"",OFFSET(TH!E$1,SMALL(Dong6,ROWS($1:31)),))</f>
        <v>41205</v>
      </c>
      <c r="D41" s="377" t="str">
        <f ca="1">IF(ROWS($1:31)&gt;COUNT(Dong6),"",OFFSET(TH!F$1,SMALL(Dong6,ROWS($1:31)),))</f>
        <v>VAT Thùng</v>
      </c>
      <c r="E41" s="376">
        <f t="shared" ref="E41:E50" ca="1" si="1">IF(D41&lt;&gt;"",ROW()-10,"")</f>
        <v>31</v>
      </c>
      <c r="F41" s="378" t="str">
        <f ca="1">IF(ROWS($1:31)&gt;COUNT(Dong6),"",OFFSET(TH!L$1,SMALL(Dong6,ROWS($1:31)),))</f>
        <v>131</v>
      </c>
      <c r="G41" s="378" t="str">
        <f ca="1">IF(ROWS($1:31)&gt;COUNT(Dong6),"",OFFSET(TH!M$1,SMALL(Dong6,ROWS($1:31)),))</f>
        <v>3331</v>
      </c>
      <c r="H41" s="351">
        <f ca="1">IF(ROWS($1:31)&gt;COUNT(Dong6),"",OFFSET(TH!K$1,SMALL(Dong6,ROWS($1:31)),))</f>
        <v>1233060</v>
      </c>
      <c r="I41" s="351">
        <f ca="1">IF(ROWS($1:31)&gt;COUNT(Dong6),"",OFFSET(TH!K$1,SMALL(Dong6,ROWS($1:31)),))</f>
        <v>1233060</v>
      </c>
    </row>
    <row r="42" spans="1:9" ht="21" customHeight="1">
      <c r="A42" s="375">
        <f ca="1">IF(ROWS($1:32)&gt;COUNT(Dong6),"",OFFSET(TH!C$1,SMALL(Dong6,ROWS($1:32)),))</f>
        <v>41205</v>
      </c>
      <c r="B42" s="376" t="str">
        <f ca="1">IF(ROWS($1:32)&gt;COUNT(Dong6),"",OFFSET(TH!D$1,SMALL(Dong6,ROWS($1:32)),))</f>
        <v>T02</v>
      </c>
      <c r="C42" s="375">
        <f ca="1">IF(ROWS($1:32)&gt;COUNT(Dong6),"",OFFSET(TH!E$1,SMALL(Dong6,ROWS($1:32)),))</f>
        <v>41205</v>
      </c>
      <c r="D42" s="377" t="str">
        <f ca="1">IF(ROWS($1:32)&gt;COUNT(Dong6),"",OFFSET(TH!F$1,SMALL(Dong6,ROWS($1:32)),))</f>
        <v>Thu tiền hàng</v>
      </c>
      <c r="E42" s="376">
        <f t="shared" ca="1" si="1"/>
        <v>32</v>
      </c>
      <c r="F42" s="378" t="str">
        <f ca="1">IF(ROWS($1:32)&gt;COUNT(Dong6),"",OFFSET(TH!L$1,SMALL(Dong6,ROWS($1:32)),))</f>
        <v>1111</v>
      </c>
      <c r="G42" s="378" t="str">
        <f ca="1">IF(ROWS($1:32)&gt;COUNT(Dong6),"",OFFSET(TH!M$1,SMALL(Dong6,ROWS($1:32)),))</f>
        <v>131</v>
      </c>
      <c r="H42" s="351">
        <f ca="1">IF(ROWS($1:32)&gt;COUNT(Dong6),"",OFFSET(TH!K$1,SMALL(Dong6,ROWS($1:32)),))</f>
        <v>13563660</v>
      </c>
      <c r="I42" s="351">
        <f ca="1">IF(ROWS($1:32)&gt;COUNT(Dong6),"",OFFSET(TH!K$1,SMALL(Dong6,ROWS($1:32)),))</f>
        <v>13563660</v>
      </c>
    </row>
    <row r="43" spans="1:9" ht="21" customHeight="1">
      <c r="A43" s="375">
        <f ca="1">IF(ROWS($1:33)&gt;COUNT(Dong6),"",OFFSET(TH!C$1,SMALL(Dong6,ROWS($1:33)),))</f>
        <v>41206</v>
      </c>
      <c r="B43" s="376" t="str">
        <f ca="1">IF(ROWS($1:33)&gt;COUNT(Dong6),"",OFFSET(TH!D$1,SMALL(Dong6,ROWS($1:33)),))</f>
        <v>GBC</v>
      </c>
      <c r="C43" s="375">
        <f ca="1">IF(ROWS($1:33)&gt;COUNT(Dong6),"",OFFSET(TH!E$1,SMALL(Dong6,ROWS($1:33)),))</f>
        <v>41206</v>
      </c>
      <c r="D43" s="377" t="str">
        <f ca="1">IF(ROWS($1:33)&gt;COUNT(Dong6),"",OFFSET(TH!F$1,SMALL(Dong6,ROWS($1:33)),))</f>
        <v>Thu tiền hàng</v>
      </c>
      <c r="E43" s="376">
        <f t="shared" ca="1" si="1"/>
        <v>33</v>
      </c>
      <c r="F43" s="378" t="str">
        <f ca="1">IF(ROWS($1:33)&gt;COUNT(Dong6),"",OFFSET(TH!L$1,SMALL(Dong6,ROWS($1:33)),))</f>
        <v>1121</v>
      </c>
      <c r="G43" s="378" t="str">
        <f ca="1">IF(ROWS($1:33)&gt;COUNT(Dong6),"",OFFSET(TH!M$1,SMALL(Dong6,ROWS($1:33)),))</f>
        <v>131</v>
      </c>
      <c r="H43" s="351">
        <f ca="1">IF(ROWS($1:33)&gt;COUNT(Dong6),"",OFFSET(TH!K$1,SMALL(Dong6,ROWS($1:33)),))</f>
        <v>8294000</v>
      </c>
      <c r="I43" s="351">
        <f ca="1">IF(ROWS($1:33)&gt;COUNT(Dong6),"",OFFSET(TH!K$1,SMALL(Dong6,ROWS($1:33)),))</f>
        <v>8294000</v>
      </c>
    </row>
    <row r="44" spans="1:9" ht="21" customHeight="1">
      <c r="A44" s="375">
        <f ca="1">IF(ROWS($1:34)&gt;COUNT(Dong6),"",OFFSET(TH!C$1,SMALL(Dong6,ROWS($1:34)),))</f>
        <v>41207</v>
      </c>
      <c r="B44" s="376" t="str">
        <f ca="1">IF(ROWS($1:34)&gt;COUNT(Dong6),"",OFFSET(TH!D$1,SMALL(Dong6,ROWS($1:34)),))</f>
        <v>GBN</v>
      </c>
      <c r="C44" s="375">
        <f ca="1">IF(ROWS($1:34)&gt;COUNT(Dong6),"",OFFSET(TH!E$1,SMALL(Dong6,ROWS($1:34)),))</f>
        <v>41207</v>
      </c>
      <c r="D44" s="377" t="str">
        <f ca="1">IF(ROWS($1:34)&gt;COUNT(Dong6),"",OFFSET(TH!F$1,SMALL(Dong6,ROWS($1:34)),))</f>
        <v>Thu phí quản lý tài khoản</v>
      </c>
      <c r="E44" s="376">
        <f t="shared" ca="1" si="1"/>
        <v>34</v>
      </c>
      <c r="F44" s="378" t="str">
        <f ca="1">IF(ROWS($1:34)&gt;COUNT(Dong6),"",OFFSET(TH!L$1,SMALL(Dong6,ROWS($1:34)),))</f>
        <v>642</v>
      </c>
      <c r="G44" s="378" t="str">
        <f ca="1">IF(ROWS($1:34)&gt;COUNT(Dong6),"",OFFSET(TH!M$1,SMALL(Dong6,ROWS($1:34)),))</f>
        <v>1121</v>
      </c>
      <c r="H44" s="351">
        <f ca="1">IF(ROWS($1:34)&gt;COUNT(Dong6),"",OFFSET(TH!K$1,SMALL(Dong6,ROWS($1:34)),))</f>
        <v>11000</v>
      </c>
      <c r="I44" s="351">
        <f ca="1">IF(ROWS($1:34)&gt;COUNT(Dong6),"",OFFSET(TH!K$1,SMALL(Dong6,ROWS($1:34)),))</f>
        <v>11000</v>
      </c>
    </row>
    <row r="45" spans="1:9" ht="21" customHeight="1">
      <c r="A45" s="375">
        <f ca="1">IF(ROWS($1:35)&gt;COUNT(Dong6),"",OFFSET(TH!C$1,SMALL(Dong6,ROWS($1:35)),))</f>
        <v>41207</v>
      </c>
      <c r="B45" s="376" t="str">
        <f ca="1">IF(ROWS($1:35)&gt;COUNT(Dong6),"",OFFSET(TH!D$1,SMALL(Dong6,ROWS($1:35)),))</f>
        <v>GBC</v>
      </c>
      <c r="C45" s="375">
        <f ca="1">IF(ROWS($1:35)&gt;COUNT(Dong6),"",OFFSET(TH!E$1,SMALL(Dong6,ROWS($1:35)),))</f>
        <v>41207</v>
      </c>
      <c r="D45" s="377" t="str">
        <f ca="1">IF(ROWS($1:35)&gt;COUNT(Dong6),"",OFFSET(TH!F$1,SMALL(Dong6,ROWS($1:35)),))</f>
        <v>Lãi tiền gửi</v>
      </c>
      <c r="E45" s="376">
        <f t="shared" ca="1" si="1"/>
        <v>35</v>
      </c>
      <c r="F45" s="378" t="str">
        <f ca="1">IF(ROWS($1:35)&gt;COUNT(Dong6),"",OFFSET(TH!L$1,SMALL(Dong6,ROWS($1:35)),))</f>
        <v>1121</v>
      </c>
      <c r="G45" s="378" t="str">
        <f ca="1">IF(ROWS($1:35)&gt;COUNT(Dong6),"",OFFSET(TH!M$1,SMALL(Dong6,ROWS($1:35)),))</f>
        <v>515</v>
      </c>
      <c r="H45" s="351">
        <f ca="1">IF(ROWS($1:35)&gt;COUNT(Dong6),"",OFFSET(TH!K$1,SMALL(Dong6,ROWS($1:35)),))</f>
        <v>22296</v>
      </c>
      <c r="I45" s="351">
        <f ca="1">IF(ROWS($1:35)&gt;COUNT(Dong6),"",OFFSET(TH!K$1,SMALL(Dong6,ROWS($1:35)),))</f>
        <v>22296</v>
      </c>
    </row>
    <row r="46" spans="1:9" ht="21" customHeight="1">
      <c r="A46" s="375">
        <f ca="1">IF(ROWS($1:36)&gt;COUNT(Dong6),"",OFFSET(TH!C$1,SMALL(Dong6,ROWS($1:36)),))</f>
        <v>41207</v>
      </c>
      <c r="B46" s="376" t="str">
        <f ca="1">IF(ROWS($1:36)&gt;COUNT(Dong6),"",OFFSET(TH!D$1,SMALL(Dong6,ROWS($1:36)),))</f>
        <v>N03</v>
      </c>
      <c r="C46" s="375">
        <f ca="1">IF(ROWS($1:36)&gt;COUNT(Dong6),"",OFFSET(TH!E$1,SMALL(Dong6,ROWS($1:36)),))</f>
        <v>41207</v>
      </c>
      <c r="D46" s="377" t="str">
        <f ca="1">IF(ROWS($1:36)&gt;COUNT(Dong6),"",OFFSET(TH!F$1,SMALL(Dong6,ROWS($1:36)),))</f>
        <v>Giấy tấm 1N +2X (105x158)</v>
      </c>
      <c r="E46" s="376">
        <f t="shared" ca="1" si="1"/>
        <v>36</v>
      </c>
      <c r="F46" s="378" t="str">
        <f ca="1">IF(ROWS($1:36)&gt;COUNT(Dong6),"",OFFSET(TH!L$1,SMALL(Dong6,ROWS($1:36)),))</f>
        <v>156</v>
      </c>
      <c r="G46" s="378" t="str">
        <f ca="1">IF(ROWS($1:36)&gt;COUNT(Dong6),"",OFFSET(TH!M$1,SMALL(Dong6,ROWS($1:36)),))</f>
        <v>331</v>
      </c>
      <c r="H46" s="351">
        <f ca="1">IF(ROWS($1:36)&gt;COUNT(Dong6),"",OFFSET(TH!K$1,SMALL(Dong6,ROWS($1:36)),))</f>
        <v>5143000</v>
      </c>
      <c r="I46" s="351">
        <f ca="1">IF(ROWS($1:36)&gt;COUNT(Dong6),"",OFFSET(TH!K$1,SMALL(Dong6,ROWS($1:36)),))</f>
        <v>5143000</v>
      </c>
    </row>
    <row r="47" spans="1:9" ht="21" customHeight="1">
      <c r="A47" s="375">
        <f ca="1">IF(ROWS($1:37)&gt;COUNT(Dong6),"",OFFSET(TH!C$1,SMALL(Dong6,ROWS($1:37)),))</f>
        <v>41207</v>
      </c>
      <c r="B47" s="376" t="str">
        <f ca="1">IF(ROWS($1:37)&gt;COUNT(Dong6),"",OFFSET(TH!D$1,SMALL(Dong6,ROWS($1:37)),))</f>
        <v>N03</v>
      </c>
      <c r="C47" s="375">
        <f ca="1">IF(ROWS($1:37)&gt;COUNT(Dong6),"",OFFSET(TH!E$1,SMALL(Dong6,ROWS($1:37)),))</f>
        <v>41207</v>
      </c>
      <c r="D47" s="377" t="str">
        <f ca="1">IF(ROWS($1:37)&gt;COUNT(Dong6),"",OFFSET(TH!F$1,SMALL(Dong6,ROWS($1:37)),))</f>
        <v>Giấy tấm 1N +2X (120x175)</v>
      </c>
      <c r="E47" s="376">
        <f t="shared" ca="1" si="1"/>
        <v>37</v>
      </c>
      <c r="F47" s="378" t="str">
        <f ca="1">IF(ROWS($1:37)&gt;COUNT(Dong6),"",OFFSET(TH!L$1,SMALL(Dong6,ROWS($1:37)),))</f>
        <v>156</v>
      </c>
      <c r="G47" s="378" t="str">
        <f ca="1">IF(ROWS($1:37)&gt;COUNT(Dong6),"",OFFSET(TH!M$1,SMALL(Dong6,ROWS($1:37)),))</f>
        <v>331</v>
      </c>
      <c r="H47" s="351">
        <f ca="1">IF(ROWS($1:37)&gt;COUNT(Dong6),"",OFFSET(TH!K$1,SMALL(Dong6,ROWS($1:37)),))</f>
        <v>6510000</v>
      </c>
      <c r="I47" s="351">
        <f ca="1">IF(ROWS($1:37)&gt;COUNT(Dong6),"",OFFSET(TH!K$1,SMALL(Dong6,ROWS($1:37)),))</f>
        <v>6510000</v>
      </c>
    </row>
    <row r="48" spans="1:9" ht="21" customHeight="1">
      <c r="A48" s="375">
        <f ca="1">IF(ROWS($1:38)&gt;COUNT(Dong6),"",OFFSET(TH!C$1,SMALL(Dong6,ROWS($1:38)),))</f>
        <v>41207</v>
      </c>
      <c r="B48" s="376" t="str">
        <f ca="1">IF(ROWS($1:38)&gt;COUNT(Dong6),"",OFFSET(TH!D$1,SMALL(Dong6,ROWS($1:38)),))</f>
        <v>N03</v>
      </c>
      <c r="C48" s="375">
        <f ca="1">IF(ROWS($1:38)&gt;COUNT(Dong6),"",OFFSET(TH!E$1,SMALL(Dong6,ROWS($1:38)),))</f>
        <v>41207</v>
      </c>
      <c r="D48" s="377" t="str">
        <f ca="1">IF(ROWS($1:38)&gt;COUNT(Dong6),"",OFFSET(TH!F$1,SMALL(Dong6,ROWS($1:38)),))</f>
        <v xml:space="preserve">VAT Giấy tấm </v>
      </c>
      <c r="E48" s="376">
        <f t="shared" ca="1" si="1"/>
        <v>38</v>
      </c>
      <c r="F48" s="378" t="str">
        <f ca="1">IF(ROWS($1:38)&gt;COUNT(Dong6),"",OFFSET(TH!L$1,SMALL(Dong6,ROWS($1:38)),))</f>
        <v>1331</v>
      </c>
      <c r="G48" s="378" t="str">
        <f ca="1">IF(ROWS($1:38)&gt;COUNT(Dong6),"",OFFSET(TH!M$1,SMALL(Dong6,ROWS($1:38)),))</f>
        <v>331</v>
      </c>
      <c r="H48" s="351">
        <f ca="1">IF(ROWS($1:38)&gt;COUNT(Dong6),"",OFFSET(TH!K$1,SMALL(Dong6,ROWS($1:38)),))</f>
        <v>1165300</v>
      </c>
      <c r="I48" s="351">
        <f ca="1">IF(ROWS($1:38)&gt;COUNT(Dong6),"",OFFSET(TH!K$1,SMALL(Dong6,ROWS($1:38)),))</f>
        <v>1165300</v>
      </c>
    </row>
    <row r="49" spans="1:9" ht="21" customHeight="1">
      <c r="A49" s="375">
        <f ca="1">IF(ROWS($1:39)&gt;COUNT(Dong6),"",OFFSET(TH!C$1,SMALL(Dong6,ROWS($1:39)),))</f>
        <v>41207</v>
      </c>
      <c r="B49" s="376" t="str">
        <f ca="1">IF(ROWS($1:39)&gt;COUNT(Dong6),"",OFFSET(TH!D$1,SMALL(Dong6,ROWS($1:39)),))</f>
        <v>C06</v>
      </c>
      <c r="C49" s="375">
        <f ca="1">IF(ROWS($1:39)&gt;COUNT(Dong6),"",OFFSET(TH!E$1,SMALL(Dong6,ROWS($1:39)),))</f>
        <v>41207</v>
      </c>
      <c r="D49" s="377" t="str">
        <f ca="1">IF(ROWS($1:39)&gt;COUNT(Dong6),"",OFFSET(TH!F$1,SMALL(Dong6,ROWS($1:39)),))</f>
        <v>Thanh toán tiền hàng</v>
      </c>
      <c r="E49" s="376">
        <f t="shared" ca="1" si="1"/>
        <v>39</v>
      </c>
      <c r="F49" s="378" t="str">
        <f ca="1">IF(ROWS($1:39)&gt;COUNT(Dong6),"",OFFSET(TH!L$1,SMALL(Dong6,ROWS($1:39)),))</f>
        <v>331</v>
      </c>
      <c r="G49" s="378" t="str">
        <f ca="1">IF(ROWS($1:39)&gt;COUNT(Dong6),"",OFFSET(TH!M$1,SMALL(Dong6,ROWS($1:39)),))</f>
        <v>1111</v>
      </c>
      <c r="H49" s="351">
        <f ca="1">IF(ROWS($1:39)&gt;COUNT(Dong6),"",OFFSET(TH!K$1,SMALL(Dong6,ROWS($1:39)),))</f>
        <v>12818300</v>
      </c>
      <c r="I49" s="351">
        <f ca="1">IF(ROWS($1:39)&gt;COUNT(Dong6),"",OFFSET(TH!K$1,SMALL(Dong6,ROWS($1:39)),))</f>
        <v>12818300</v>
      </c>
    </row>
    <row r="50" spans="1:9" ht="21" customHeight="1">
      <c r="A50" s="375">
        <f ca="1">IF(ROWS($1:40)&gt;COUNT(Dong6),"",OFFSET(TH!C$1,SMALL(Dong6,ROWS($1:40)),))</f>
        <v>41207</v>
      </c>
      <c r="B50" s="376" t="str">
        <f ca="1">IF(ROWS($1:40)&gt;COUNT(Dong6),"",OFFSET(TH!D$1,SMALL(Dong6,ROWS($1:40)),))</f>
        <v>X04</v>
      </c>
      <c r="C50" s="375">
        <f ca="1">IF(ROWS($1:40)&gt;COUNT(Dong6),"",OFFSET(TH!E$1,SMALL(Dong6,ROWS($1:40)),))</f>
        <v>41207</v>
      </c>
      <c r="D50" s="377" t="str">
        <f ca="1">IF(ROWS($1:40)&gt;COUNT(Dong6),"",OFFSET(TH!F$1,SMALL(Dong6,ROWS($1:40)),))</f>
        <v>Thùng carton (51,5x25,5x25,5)</v>
      </c>
      <c r="E50" s="376">
        <f t="shared" ca="1" si="1"/>
        <v>40</v>
      </c>
      <c r="F50" s="378" t="str">
        <f ca="1">IF(ROWS($1:40)&gt;COUNT(Dong6),"",OFFSET(TH!L$1,SMALL(Dong6,ROWS($1:40)),))</f>
        <v>131</v>
      </c>
      <c r="G50" s="378" t="str">
        <f ca="1">IF(ROWS($1:40)&gt;COUNT(Dong6),"",OFFSET(TH!M$1,SMALL(Dong6,ROWS($1:40)),))</f>
        <v>5112</v>
      </c>
      <c r="H50" s="351">
        <f ca="1">IF(ROWS($1:40)&gt;COUNT(Dong6),"",OFFSET(TH!K$1,SMALL(Dong6,ROWS($1:40)),))</f>
        <v>6262000</v>
      </c>
      <c r="I50" s="351">
        <f ca="1">IF(ROWS($1:40)&gt;COUNT(Dong6),"",OFFSET(TH!K$1,SMALL(Dong6,ROWS($1:40)),))</f>
        <v>6262000</v>
      </c>
    </row>
    <row r="51" spans="1:9" ht="21" customHeight="1">
      <c r="A51" s="375">
        <f ca="1">IF(ROWS($1:41)&gt;COUNT(Dong6),"",OFFSET(TH!C$1,SMALL(Dong6,ROWS($1:41)),))</f>
        <v>41207</v>
      </c>
      <c r="B51" s="376" t="str">
        <f ca="1">IF(ROWS($1:41)&gt;COUNT(Dong6),"",OFFSET(TH!D$1,SMALL(Dong6,ROWS($1:41)),))</f>
        <v>X04</v>
      </c>
      <c r="C51" s="375">
        <f ca="1">IF(ROWS($1:41)&gt;COUNT(Dong6),"",OFFSET(TH!E$1,SMALL(Dong6,ROWS($1:41)),))</f>
        <v>41207</v>
      </c>
      <c r="D51" s="377" t="str">
        <f ca="1">IF(ROWS($1:41)&gt;COUNT(Dong6),"",OFFSET(TH!F$1,SMALL(Dong6,ROWS($1:41)),))</f>
        <v>VAT Thùng</v>
      </c>
      <c r="E51" s="376">
        <f t="shared" ref="E51:E114" ca="1" si="2">IF(D51&lt;&gt;"",ROW()-10,"")</f>
        <v>41</v>
      </c>
      <c r="F51" s="378" t="str">
        <f ca="1">IF(ROWS($1:41)&gt;COUNT(Dong6),"",OFFSET(TH!L$1,SMALL(Dong6,ROWS($1:41)),))</f>
        <v>131</v>
      </c>
      <c r="G51" s="378" t="str">
        <f ca="1">IF(ROWS($1:41)&gt;COUNT(Dong6),"",OFFSET(TH!M$1,SMALL(Dong6,ROWS($1:41)),))</f>
        <v>3331</v>
      </c>
      <c r="H51" s="351">
        <f ca="1">IF(ROWS($1:41)&gt;COUNT(Dong6),"",OFFSET(TH!K$1,SMALL(Dong6,ROWS($1:41)),))</f>
        <v>626200</v>
      </c>
      <c r="I51" s="351">
        <f ca="1">IF(ROWS($1:41)&gt;COUNT(Dong6),"",OFFSET(TH!K$1,SMALL(Dong6,ROWS($1:41)),))</f>
        <v>626200</v>
      </c>
    </row>
    <row r="52" spans="1:9" ht="21" customHeight="1">
      <c r="A52" s="375">
        <f ca="1">IF(ROWS($1:42)&gt;COUNT(Dong6),"",OFFSET(TH!C$1,SMALL(Dong6,ROWS($1:42)),))</f>
        <v>41207</v>
      </c>
      <c r="B52" s="376" t="str">
        <f ca="1">IF(ROWS($1:42)&gt;COUNT(Dong6),"",OFFSET(TH!D$1,SMALL(Dong6,ROWS($1:42)),))</f>
        <v>T03</v>
      </c>
      <c r="C52" s="375">
        <f ca="1">IF(ROWS($1:42)&gt;COUNT(Dong6),"",OFFSET(TH!E$1,SMALL(Dong6,ROWS($1:42)),))</f>
        <v>41207</v>
      </c>
      <c r="D52" s="377" t="str">
        <f ca="1">IF(ROWS($1:42)&gt;COUNT(Dong6),"",OFFSET(TH!F$1,SMALL(Dong6,ROWS($1:42)),))</f>
        <v>Thu tiền hàng</v>
      </c>
      <c r="E52" s="376">
        <f t="shared" ca="1" si="2"/>
        <v>42</v>
      </c>
      <c r="F52" s="378" t="str">
        <f ca="1">IF(ROWS($1:42)&gt;COUNT(Dong6),"",OFFSET(TH!L$1,SMALL(Dong6,ROWS($1:42)),))</f>
        <v>1111</v>
      </c>
      <c r="G52" s="378" t="str">
        <f ca="1">IF(ROWS($1:42)&gt;COUNT(Dong6),"",OFFSET(TH!M$1,SMALL(Dong6,ROWS($1:42)),))</f>
        <v>131</v>
      </c>
      <c r="H52" s="351">
        <f ca="1">IF(ROWS($1:42)&gt;COUNT(Dong6),"",OFFSET(TH!K$1,SMALL(Dong6,ROWS($1:42)),))</f>
        <v>6888200</v>
      </c>
      <c r="I52" s="351">
        <f ca="1">IF(ROWS($1:42)&gt;COUNT(Dong6),"",OFFSET(TH!K$1,SMALL(Dong6,ROWS($1:42)),))</f>
        <v>6888200</v>
      </c>
    </row>
    <row r="53" spans="1:9" ht="21" customHeight="1">
      <c r="A53" s="375">
        <f ca="1">IF(ROWS($1:43)&gt;COUNT(Dong6),"",OFFSET(TH!C$1,SMALL(Dong6,ROWS($1:43)),))</f>
        <v>41208</v>
      </c>
      <c r="B53" s="376" t="str">
        <f ca="1">IF(ROWS($1:43)&gt;COUNT(Dong6),"",OFFSET(TH!D$1,SMALL(Dong6,ROWS($1:43)),))</f>
        <v>N04</v>
      </c>
      <c r="C53" s="375">
        <f ca="1">IF(ROWS($1:43)&gt;COUNT(Dong6),"",OFFSET(TH!E$1,SMALL(Dong6,ROWS($1:43)),))</f>
        <v>41208</v>
      </c>
      <c r="D53" s="377" t="str">
        <f ca="1">IF(ROWS($1:43)&gt;COUNT(Dong6),"",OFFSET(TH!F$1,SMALL(Dong6,ROWS($1:43)),))</f>
        <v>Giấy tấm 2N +1X (87x208)</v>
      </c>
      <c r="E53" s="376">
        <f t="shared" ca="1" si="2"/>
        <v>43</v>
      </c>
      <c r="F53" s="378" t="str">
        <f ca="1">IF(ROWS($1:43)&gt;COUNT(Dong6),"",OFFSET(TH!L$1,SMALL(Dong6,ROWS($1:43)),))</f>
        <v>156</v>
      </c>
      <c r="G53" s="378" t="str">
        <f ca="1">IF(ROWS($1:43)&gt;COUNT(Dong6),"",OFFSET(TH!M$1,SMALL(Dong6,ROWS($1:43)),))</f>
        <v>331</v>
      </c>
      <c r="H53" s="351">
        <f ca="1">IF(ROWS($1:43)&gt;COUNT(Dong6),"",OFFSET(TH!K$1,SMALL(Dong6,ROWS($1:43)),))</f>
        <v>6122620</v>
      </c>
      <c r="I53" s="351">
        <f ca="1">IF(ROWS($1:43)&gt;COUNT(Dong6),"",OFFSET(TH!K$1,SMALL(Dong6,ROWS($1:43)),))</f>
        <v>6122620</v>
      </c>
    </row>
    <row r="54" spans="1:9" ht="21" customHeight="1">
      <c r="A54" s="375">
        <f ca="1">IF(ROWS($1:44)&gt;COUNT(Dong6),"",OFFSET(TH!C$1,SMALL(Dong6,ROWS($1:44)),))</f>
        <v>41208</v>
      </c>
      <c r="B54" s="376" t="str">
        <f ca="1">IF(ROWS($1:44)&gt;COUNT(Dong6),"",OFFSET(TH!D$1,SMALL(Dong6,ROWS($1:44)),))</f>
        <v>N04</v>
      </c>
      <c r="C54" s="375">
        <f ca="1">IF(ROWS($1:44)&gt;COUNT(Dong6),"",OFFSET(TH!E$1,SMALL(Dong6,ROWS($1:44)),))</f>
        <v>41208</v>
      </c>
      <c r="D54" s="377" t="str">
        <f ca="1">IF(ROWS($1:44)&gt;COUNT(Dong6),"",OFFSET(TH!F$1,SMALL(Dong6,ROWS($1:44)),))</f>
        <v xml:space="preserve">VAT Giấy tấm </v>
      </c>
      <c r="E54" s="376">
        <f t="shared" ca="1" si="2"/>
        <v>44</v>
      </c>
      <c r="F54" s="378" t="str">
        <f ca="1">IF(ROWS($1:44)&gt;COUNT(Dong6),"",OFFSET(TH!L$1,SMALL(Dong6,ROWS($1:44)),))</f>
        <v>1331</v>
      </c>
      <c r="G54" s="378" t="str">
        <f ca="1">IF(ROWS($1:44)&gt;COUNT(Dong6),"",OFFSET(TH!M$1,SMALL(Dong6,ROWS($1:44)),))</f>
        <v>331</v>
      </c>
      <c r="H54" s="351">
        <f ca="1">IF(ROWS($1:44)&gt;COUNT(Dong6),"",OFFSET(TH!K$1,SMALL(Dong6,ROWS($1:44)),))</f>
        <v>612262</v>
      </c>
      <c r="I54" s="351">
        <f ca="1">IF(ROWS($1:44)&gt;COUNT(Dong6),"",OFFSET(TH!K$1,SMALL(Dong6,ROWS($1:44)),))</f>
        <v>612262</v>
      </c>
    </row>
    <row r="55" spans="1:9" ht="21" customHeight="1">
      <c r="A55" s="375">
        <f ca="1">IF(ROWS($1:45)&gt;COUNT(Dong6),"",OFFSET(TH!C$1,SMALL(Dong6,ROWS($1:45)),))</f>
        <v>41208</v>
      </c>
      <c r="B55" s="376" t="str">
        <f ca="1">IF(ROWS($1:45)&gt;COUNT(Dong6),"",OFFSET(TH!D$1,SMALL(Dong6,ROWS($1:45)),))</f>
        <v>C07</v>
      </c>
      <c r="C55" s="375">
        <f ca="1">IF(ROWS($1:45)&gt;COUNT(Dong6),"",OFFSET(TH!E$1,SMALL(Dong6,ROWS($1:45)),))</f>
        <v>41208</v>
      </c>
      <c r="D55" s="377" t="str">
        <f ca="1">IF(ROWS($1:45)&gt;COUNT(Dong6),"",OFFSET(TH!F$1,SMALL(Dong6,ROWS($1:45)),))</f>
        <v>Thanh toán tiền hàng</v>
      </c>
      <c r="E55" s="376">
        <f t="shared" ca="1" si="2"/>
        <v>45</v>
      </c>
      <c r="F55" s="378" t="str">
        <f ca="1">IF(ROWS($1:45)&gt;COUNT(Dong6),"",OFFSET(TH!L$1,SMALL(Dong6,ROWS($1:45)),))</f>
        <v>331</v>
      </c>
      <c r="G55" s="378" t="str">
        <f ca="1">IF(ROWS($1:45)&gt;COUNT(Dong6),"",OFFSET(TH!M$1,SMALL(Dong6,ROWS($1:45)),))</f>
        <v>1111</v>
      </c>
      <c r="H55" s="351">
        <f ca="1">IF(ROWS($1:45)&gt;COUNT(Dong6),"",OFFSET(TH!K$1,SMALL(Dong6,ROWS($1:45)),))</f>
        <v>6734882</v>
      </c>
      <c r="I55" s="351">
        <f ca="1">IF(ROWS($1:45)&gt;COUNT(Dong6),"",OFFSET(TH!K$1,SMALL(Dong6,ROWS($1:45)),))</f>
        <v>6734882</v>
      </c>
    </row>
    <row r="56" spans="1:9" ht="21" customHeight="1">
      <c r="A56" s="375">
        <f ca="1">IF(ROWS($1:46)&gt;COUNT(Dong6),"",OFFSET(TH!C$1,SMALL(Dong6,ROWS($1:46)),))</f>
        <v>41209</v>
      </c>
      <c r="B56" s="376" t="str">
        <f ca="1">IF(ROWS($1:46)&gt;COUNT(Dong6),"",OFFSET(TH!D$1,SMALL(Dong6,ROWS($1:46)),))</f>
        <v>N05</v>
      </c>
      <c r="C56" s="375">
        <f ca="1">IF(ROWS($1:46)&gt;COUNT(Dong6),"",OFFSET(TH!E$1,SMALL(Dong6,ROWS($1:46)),))</f>
        <v>41209</v>
      </c>
      <c r="D56" s="377" t="str">
        <f ca="1">IF(ROWS($1:46)&gt;COUNT(Dong6),"",OFFSET(TH!F$1,SMALL(Dong6,ROWS($1:46)),))</f>
        <v>Giấy tấm (144x145)</v>
      </c>
      <c r="E56" s="376">
        <f t="shared" ca="1" si="2"/>
        <v>46</v>
      </c>
      <c r="F56" s="378" t="str">
        <f ca="1">IF(ROWS($1:46)&gt;COUNT(Dong6),"",OFFSET(TH!L$1,SMALL(Dong6,ROWS($1:46)),))</f>
        <v>156</v>
      </c>
      <c r="G56" s="378" t="str">
        <f ca="1">IF(ROWS($1:46)&gt;COUNT(Dong6),"",OFFSET(TH!M$1,SMALL(Dong6,ROWS($1:46)),))</f>
        <v>331</v>
      </c>
      <c r="H56" s="351">
        <f ca="1">IF(ROWS($1:46)&gt;COUNT(Dong6),"",OFFSET(TH!K$1,SMALL(Dong6,ROWS($1:46)),))</f>
        <v>12319000</v>
      </c>
      <c r="I56" s="351">
        <f ca="1">IF(ROWS($1:46)&gt;COUNT(Dong6),"",OFFSET(TH!K$1,SMALL(Dong6,ROWS($1:46)),))</f>
        <v>12319000</v>
      </c>
    </row>
    <row r="57" spans="1:9" ht="21" customHeight="1">
      <c r="A57" s="375">
        <f ca="1">IF(ROWS($1:47)&gt;COUNT(Dong6),"",OFFSET(TH!C$1,SMALL(Dong6,ROWS($1:47)),))</f>
        <v>41209</v>
      </c>
      <c r="B57" s="376" t="str">
        <f ca="1">IF(ROWS($1:47)&gt;COUNT(Dong6),"",OFFSET(TH!D$1,SMALL(Dong6,ROWS($1:47)),))</f>
        <v>N05</v>
      </c>
      <c r="C57" s="375">
        <f ca="1">IF(ROWS($1:47)&gt;COUNT(Dong6),"",OFFSET(TH!E$1,SMALL(Dong6,ROWS($1:47)),))</f>
        <v>41209</v>
      </c>
      <c r="D57" s="377" t="str">
        <f ca="1">IF(ROWS($1:47)&gt;COUNT(Dong6),"",OFFSET(TH!F$1,SMALL(Dong6,ROWS($1:47)),))</f>
        <v>VAT Giấy tấm</v>
      </c>
      <c r="E57" s="376">
        <f t="shared" ca="1" si="2"/>
        <v>47</v>
      </c>
      <c r="F57" s="378" t="str">
        <f ca="1">IF(ROWS($1:47)&gt;COUNT(Dong6),"",OFFSET(TH!L$1,SMALL(Dong6,ROWS($1:47)),))</f>
        <v>1331</v>
      </c>
      <c r="G57" s="378" t="str">
        <f ca="1">IF(ROWS($1:47)&gt;COUNT(Dong6),"",OFFSET(TH!M$1,SMALL(Dong6,ROWS($1:47)),))</f>
        <v>331</v>
      </c>
      <c r="H57" s="351">
        <f ca="1">IF(ROWS($1:47)&gt;COUNT(Dong6),"",OFFSET(TH!K$1,SMALL(Dong6,ROWS($1:47)),))</f>
        <v>1231900</v>
      </c>
      <c r="I57" s="351">
        <f ca="1">IF(ROWS($1:47)&gt;COUNT(Dong6),"",OFFSET(TH!K$1,SMALL(Dong6,ROWS($1:47)),))</f>
        <v>1231900</v>
      </c>
    </row>
    <row r="58" spans="1:9" ht="21" customHeight="1">
      <c r="A58" s="375">
        <f ca="1">IF(ROWS($1:48)&gt;COUNT(Dong6),"",OFFSET(TH!C$1,SMALL(Dong6,ROWS($1:48)),))</f>
        <v>41209</v>
      </c>
      <c r="B58" s="376" t="str">
        <f ca="1">IF(ROWS($1:48)&gt;COUNT(Dong6),"",OFFSET(TH!D$1,SMALL(Dong6,ROWS($1:48)),))</f>
        <v>C08</v>
      </c>
      <c r="C58" s="375">
        <f ca="1">IF(ROWS($1:48)&gt;COUNT(Dong6),"",OFFSET(TH!E$1,SMALL(Dong6,ROWS($1:48)),))</f>
        <v>41209</v>
      </c>
      <c r="D58" s="377" t="str">
        <f ca="1">IF(ROWS($1:48)&gt;COUNT(Dong6),"",OFFSET(TH!F$1,SMALL(Dong6,ROWS($1:48)),))</f>
        <v>Thanh toán tiền hàng</v>
      </c>
      <c r="E58" s="376">
        <f t="shared" ca="1" si="2"/>
        <v>48</v>
      </c>
      <c r="F58" s="378" t="str">
        <f ca="1">IF(ROWS($1:48)&gt;COUNT(Dong6),"",OFFSET(TH!L$1,SMALL(Dong6,ROWS($1:48)),))</f>
        <v>331</v>
      </c>
      <c r="G58" s="378" t="str">
        <f ca="1">IF(ROWS($1:48)&gt;COUNT(Dong6),"",OFFSET(TH!M$1,SMALL(Dong6,ROWS($1:48)),))</f>
        <v>1111</v>
      </c>
      <c r="H58" s="351">
        <f ca="1">IF(ROWS($1:48)&gt;COUNT(Dong6),"",OFFSET(TH!K$1,SMALL(Dong6,ROWS($1:48)),))</f>
        <v>13550900</v>
      </c>
      <c r="I58" s="351">
        <f ca="1">IF(ROWS($1:48)&gt;COUNT(Dong6),"",OFFSET(TH!K$1,SMALL(Dong6,ROWS($1:48)),))</f>
        <v>13550900</v>
      </c>
    </row>
    <row r="59" spans="1:9" ht="21" customHeight="1">
      <c r="A59" s="375">
        <f ca="1">IF(ROWS($1:49)&gt;COUNT(Dong6),"",OFFSET(TH!C$1,SMALL(Dong6,ROWS($1:49)),))</f>
        <v>41211</v>
      </c>
      <c r="B59" s="376" t="str">
        <f ca="1">IF(ROWS($1:49)&gt;COUNT(Dong6),"",OFFSET(TH!D$1,SMALL(Dong6,ROWS($1:49)),))</f>
        <v>C09</v>
      </c>
      <c r="C59" s="375">
        <f ca="1">IF(ROWS($1:49)&gt;COUNT(Dong6),"",OFFSET(TH!E$1,SMALL(Dong6,ROWS($1:49)),))</f>
        <v>41211</v>
      </c>
      <c r="D59" s="377" t="str">
        <f ca="1">IF(ROWS($1:49)&gt;COUNT(Dong6),"",OFFSET(TH!F$1,SMALL(Dong6,ROWS($1:49)),))</f>
        <v>Mực in</v>
      </c>
      <c r="E59" s="376">
        <f t="shared" ca="1" si="2"/>
        <v>49</v>
      </c>
      <c r="F59" s="378" t="str">
        <f ca="1">IF(ROWS($1:49)&gt;COUNT(Dong6),"",OFFSET(TH!L$1,SMALL(Dong6,ROWS($1:49)),))</f>
        <v>154</v>
      </c>
      <c r="G59" s="378" t="str">
        <f ca="1">IF(ROWS($1:49)&gt;COUNT(Dong6),"",OFFSET(TH!M$1,SMALL(Dong6,ROWS($1:49)),))</f>
        <v>1111</v>
      </c>
      <c r="H59" s="351">
        <f ca="1">IF(ROWS($1:49)&gt;COUNT(Dong6),"",OFFSET(TH!K$1,SMALL(Dong6,ROWS($1:49)),))</f>
        <v>1400000</v>
      </c>
      <c r="I59" s="351">
        <f ca="1">IF(ROWS($1:49)&gt;COUNT(Dong6),"",OFFSET(TH!K$1,SMALL(Dong6,ROWS($1:49)),))</f>
        <v>1400000</v>
      </c>
    </row>
    <row r="60" spans="1:9" ht="21" customHeight="1">
      <c r="A60" s="375">
        <f ca="1">IF(ROWS($1:50)&gt;COUNT(Dong6),"",OFFSET(TH!C$1,SMALL(Dong6,ROWS($1:50)),))</f>
        <v>41211</v>
      </c>
      <c r="B60" s="376" t="str">
        <f ca="1">IF(ROWS($1:50)&gt;COUNT(Dong6),"",OFFSET(TH!D$1,SMALL(Dong6,ROWS($1:50)),))</f>
        <v>X05</v>
      </c>
      <c r="C60" s="375">
        <f ca="1">IF(ROWS($1:50)&gt;COUNT(Dong6),"",OFFSET(TH!E$1,SMALL(Dong6,ROWS($1:50)),))</f>
        <v>41211</v>
      </c>
      <c r="D60" s="377" t="str">
        <f ca="1">IF(ROWS($1:50)&gt;COUNT(Dong6),"",OFFSET(TH!F$1,SMALL(Dong6,ROWS($1:50)),))</f>
        <v>Thùng carton (51x51x31,5)</v>
      </c>
      <c r="E60" s="376">
        <f t="shared" ca="1" si="2"/>
        <v>50</v>
      </c>
      <c r="F60" s="378" t="str">
        <f ca="1">IF(ROWS($1:50)&gt;COUNT(Dong6),"",OFFSET(TH!L$1,SMALL(Dong6,ROWS($1:50)),))</f>
        <v>131</v>
      </c>
      <c r="G60" s="378" t="str">
        <f ca="1">IF(ROWS($1:50)&gt;COUNT(Dong6),"",OFFSET(TH!M$1,SMALL(Dong6,ROWS($1:50)),))</f>
        <v>5112</v>
      </c>
      <c r="H60" s="351">
        <f ca="1">IF(ROWS($1:50)&gt;COUNT(Dong6),"",OFFSET(TH!K$1,SMALL(Dong6,ROWS($1:50)),))</f>
        <v>7750000</v>
      </c>
      <c r="I60" s="351">
        <f ca="1">IF(ROWS($1:50)&gt;COUNT(Dong6),"",OFFSET(TH!K$1,SMALL(Dong6,ROWS($1:50)),))</f>
        <v>7750000</v>
      </c>
    </row>
    <row r="61" spans="1:9" ht="21" customHeight="1">
      <c r="A61" s="375">
        <f ca="1">IF(ROWS($1:51)&gt;COUNT(Dong6),"",OFFSET(TH!C$1,SMALL(Dong6,ROWS($1:51)),))</f>
        <v>41211</v>
      </c>
      <c r="B61" s="376" t="str">
        <f ca="1">IF(ROWS($1:51)&gt;COUNT(Dong6),"",OFFSET(TH!D$1,SMALL(Dong6,ROWS($1:51)),))</f>
        <v>X05</v>
      </c>
      <c r="C61" s="375">
        <f ca="1">IF(ROWS($1:51)&gt;COUNT(Dong6),"",OFFSET(TH!E$1,SMALL(Dong6,ROWS($1:51)),))</f>
        <v>41211</v>
      </c>
      <c r="D61" s="377" t="str">
        <f ca="1">IF(ROWS($1:51)&gt;COUNT(Dong6),"",OFFSET(TH!F$1,SMALL(Dong6,ROWS($1:51)),))</f>
        <v>VAT Thùng</v>
      </c>
      <c r="E61" s="376">
        <f t="shared" ca="1" si="2"/>
        <v>51</v>
      </c>
      <c r="F61" s="378" t="str">
        <f ca="1">IF(ROWS($1:51)&gt;COUNT(Dong6),"",OFFSET(TH!L$1,SMALL(Dong6,ROWS($1:51)),))</f>
        <v>131</v>
      </c>
      <c r="G61" s="378" t="str">
        <f ca="1">IF(ROWS($1:51)&gt;COUNT(Dong6),"",OFFSET(TH!M$1,SMALL(Dong6,ROWS($1:51)),))</f>
        <v>3331</v>
      </c>
      <c r="H61" s="351">
        <f ca="1">IF(ROWS($1:51)&gt;COUNT(Dong6),"",OFFSET(TH!K$1,SMALL(Dong6,ROWS($1:51)),))</f>
        <v>775000</v>
      </c>
      <c r="I61" s="351">
        <f ca="1">IF(ROWS($1:51)&gt;COUNT(Dong6),"",OFFSET(TH!K$1,SMALL(Dong6,ROWS($1:51)),))</f>
        <v>775000</v>
      </c>
    </row>
    <row r="62" spans="1:9" ht="21" customHeight="1">
      <c r="A62" s="375">
        <f ca="1">IF(ROWS($1:52)&gt;COUNT(Dong6),"",OFFSET(TH!C$1,SMALL(Dong6,ROWS($1:52)),))</f>
        <v>41213</v>
      </c>
      <c r="B62" s="376" t="str">
        <f ca="1">IF(ROWS($1:52)&gt;COUNT(Dong6),"",OFFSET(TH!D$1,SMALL(Dong6,ROWS($1:52)),))</f>
        <v>X06</v>
      </c>
      <c r="C62" s="375">
        <f ca="1">IF(ROWS($1:52)&gt;COUNT(Dong6),"",OFFSET(TH!E$1,SMALL(Dong6,ROWS($1:52)),))</f>
        <v>41213</v>
      </c>
      <c r="D62" s="377" t="str">
        <f ca="1">IF(ROWS($1:52)&gt;COUNT(Dong6),"",OFFSET(TH!F$1,SMALL(Dong6,ROWS($1:52)),))</f>
        <v>Thùng carton (51,5x34x24)</v>
      </c>
      <c r="E62" s="376">
        <f t="shared" ca="1" si="2"/>
        <v>52</v>
      </c>
      <c r="F62" s="378" t="str">
        <f ca="1">IF(ROWS($1:52)&gt;COUNT(Dong6),"",OFFSET(TH!L$1,SMALL(Dong6,ROWS($1:52)),))</f>
        <v>131</v>
      </c>
      <c r="G62" s="378" t="str">
        <f ca="1">IF(ROWS($1:52)&gt;COUNT(Dong6),"",OFFSET(TH!M$1,SMALL(Dong6,ROWS($1:52)),))</f>
        <v>5112</v>
      </c>
      <c r="H62" s="351">
        <f ca="1">IF(ROWS($1:52)&gt;COUNT(Dong6),"",OFFSET(TH!K$1,SMALL(Dong6,ROWS($1:52)),))</f>
        <v>7880000</v>
      </c>
      <c r="I62" s="351">
        <f ca="1">IF(ROWS($1:52)&gt;COUNT(Dong6),"",OFFSET(TH!K$1,SMALL(Dong6,ROWS($1:52)),))</f>
        <v>7880000</v>
      </c>
    </row>
    <row r="63" spans="1:9" ht="21" customHeight="1">
      <c r="A63" s="375">
        <f ca="1">IF(ROWS($1:53)&gt;COUNT(Dong6),"",OFFSET(TH!C$1,SMALL(Dong6,ROWS($1:53)),))</f>
        <v>41213</v>
      </c>
      <c r="B63" s="376" t="str">
        <f ca="1">IF(ROWS($1:53)&gt;COUNT(Dong6),"",OFFSET(TH!D$1,SMALL(Dong6,ROWS($1:53)),))</f>
        <v>X06</v>
      </c>
      <c r="C63" s="375">
        <f ca="1">IF(ROWS($1:53)&gt;COUNT(Dong6),"",OFFSET(TH!E$1,SMALL(Dong6,ROWS($1:53)),))</f>
        <v>41213</v>
      </c>
      <c r="D63" s="377" t="str">
        <f ca="1">IF(ROWS($1:53)&gt;COUNT(Dong6),"",OFFSET(TH!F$1,SMALL(Dong6,ROWS($1:53)),))</f>
        <v>Thùng carton (51,5x25,5x25,5)</v>
      </c>
      <c r="E63" s="376">
        <f t="shared" ca="1" si="2"/>
        <v>53</v>
      </c>
      <c r="F63" s="378" t="str">
        <f ca="1">IF(ROWS($1:53)&gt;COUNT(Dong6),"",OFFSET(TH!L$1,SMALL(Dong6,ROWS($1:53)),))</f>
        <v>131</v>
      </c>
      <c r="G63" s="378" t="str">
        <f ca="1">IF(ROWS($1:53)&gt;COUNT(Dong6),"",OFFSET(TH!M$1,SMALL(Dong6,ROWS($1:53)),))</f>
        <v>5112</v>
      </c>
      <c r="H63" s="351">
        <f ca="1">IF(ROWS($1:53)&gt;COUNT(Dong6),"",OFFSET(TH!K$1,SMALL(Dong6,ROWS($1:53)),))</f>
        <v>2560000</v>
      </c>
      <c r="I63" s="351">
        <f ca="1">IF(ROWS($1:53)&gt;COUNT(Dong6),"",OFFSET(TH!K$1,SMALL(Dong6,ROWS($1:53)),))</f>
        <v>2560000</v>
      </c>
    </row>
    <row r="64" spans="1:9" ht="21" customHeight="1">
      <c r="A64" s="375">
        <f ca="1">IF(ROWS($1:54)&gt;COUNT(Dong6),"",OFFSET(TH!C$1,SMALL(Dong6,ROWS($1:54)),))</f>
        <v>41213</v>
      </c>
      <c r="B64" s="376" t="str">
        <f ca="1">IF(ROWS($1:54)&gt;COUNT(Dong6),"",OFFSET(TH!D$1,SMALL(Dong6,ROWS($1:54)),))</f>
        <v>X06</v>
      </c>
      <c r="C64" s="375">
        <f ca="1">IF(ROWS($1:54)&gt;COUNT(Dong6),"",OFFSET(TH!E$1,SMALL(Dong6,ROWS($1:54)),))</f>
        <v>41213</v>
      </c>
      <c r="D64" s="377" t="str">
        <f ca="1">IF(ROWS($1:54)&gt;COUNT(Dong6),"",OFFSET(TH!F$1,SMALL(Dong6,ROWS($1:54)),))</f>
        <v>VAT Thùng</v>
      </c>
      <c r="E64" s="376">
        <f t="shared" ca="1" si="2"/>
        <v>54</v>
      </c>
      <c r="F64" s="378" t="str">
        <f ca="1">IF(ROWS($1:54)&gt;COUNT(Dong6),"",OFFSET(TH!L$1,SMALL(Dong6,ROWS($1:54)),))</f>
        <v>131</v>
      </c>
      <c r="G64" s="378" t="str">
        <f ca="1">IF(ROWS($1:54)&gt;COUNT(Dong6),"",OFFSET(TH!M$1,SMALL(Dong6,ROWS($1:54)),))</f>
        <v>3331</v>
      </c>
      <c r="H64" s="351">
        <f ca="1">IF(ROWS($1:54)&gt;COUNT(Dong6),"",OFFSET(TH!K$1,SMALL(Dong6,ROWS($1:54)),))</f>
        <v>1044000</v>
      </c>
      <c r="I64" s="351">
        <f ca="1">IF(ROWS($1:54)&gt;COUNT(Dong6),"",OFFSET(TH!K$1,SMALL(Dong6,ROWS($1:54)),))</f>
        <v>1044000</v>
      </c>
    </row>
    <row r="65" spans="1:9" ht="21" customHeight="1">
      <c r="A65" s="375">
        <f ca="1">IF(ROWS($1:55)&gt;COUNT(Dong6),"",OFFSET(TH!C$1,SMALL(Dong6,ROWS($1:55)),))</f>
        <v>41213</v>
      </c>
      <c r="B65" s="376" t="str">
        <f ca="1">IF(ROWS($1:55)&gt;COUNT(Dong6),"",OFFSET(TH!D$1,SMALL(Dong6,ROWS($1:55)),))</f>
        <v>T04</v>
      </c>
      <c r="C65" s="375">
        <f ca="1">IF(ROWS($1:55)&gt;COUNT(Dong6),"",OFFSET(TH!E$1,SMALL(Dong6,ROWS($1:55)),))</f>
        <v>41213</v>
      </c>
      <c r="D65" s="377" t="str">
        <f ca="1">IF(ROWS($1:55)&gt;COUNT(Dong6),"",OFFSET(TH!F$1,SMALL(Dong6,ROWS($1:55)),))</f>
        <v>Thu tiền hàng</v>
      </c>
      <c r="E65" s="376">
        <f t="shared" ca="1" si="2"/>
        <v>55</v>
      </c>
      <c r="F65" s="378" t="str">
        <f ca="1">IF(ROWS($1:55)&gt;COUNT(Dong6),"",OFFSET(TH!L$1,SMALL(Dong6,ROWS($1:55)),))</f>
        <v>1111</v>
      </c>
      <c r="G65" s="378" t="str">
        <f ca="1">IF(ROWS($1:55)&gt;COUNT(Dong6),"",OFFSET(TH!M$1,SMALL(Dong6,ROWS($1:55)),))</f>
        <v>131</v>
      </c>
      <c r="H65" s="351">
        <f ca="1">IF(ROWS($1:55)&gt;COUNT(Dong6),"",OFFSET(TH!K$1,SMALL(Dong6,ROWS($1:55)),))</f>
        <v>11484000</v>
      </c>
      <c r="I65" s="351">
        <f ca="1">IF(ROWS($1:55)&gt;COUNT(Dong6),"",OFFSET(TH!K$1,SMALL(Dong6,ROWS($1:55)),))</f>
        <v>11484000</v>
      </c>
    </row>
    <row r="66" spans="1:9" ht="21" customHeight="1">
      <c r="A66" s="375">
        <f ca="1">IF(ROWS($1:56)&gt;COUNT(Dong6),"",OFFSET(TH!C$1,SMALL(Dong6,ROWS($1:56)),))</f>
        <v>41213</v>
      </c>
      <c r="B66" s="376" t="str">
        <f ca="1">IF(ROWS($1:56)&gt;COUNT(Dong6),"",OFFSET(TH!D$1,SMALL(Dong6,ROWS($1:56)),))</f>
        <v>CTGS</v>
      </c>
      <c r="C66" s="375">
        <f ca="1">IF(ROWS($1:56)&gt;COUNT(Dong6),"",OFFSET(TH!E$1,SMALL(Dong6,ROWS($1:56)),))</f>
        <v>41213</v>
      </c>
      <c r="D66" s="377" t="str">
        <f ca="1">IF(ROWS($1:56)&gt;COUNT(Dong6),"",OFFSET(TH!F$1,SMALL(Dong6,ROWS($1:56)),))</f>
        <v>Thuế GTGT phải nộp</v>
      </c>
      <c r="E66" s="376">
        <f t="shared" ca="1" si="2"/>
        <v>56</v>
      </c>
      <c r="F66" s="378" t="str">
        <f ca="1">IF(ROWS($1:56)&gt;COUNT(Dong6),"",OFFSET(TH!L$1,SMALL(Dong6,ROWS($1:56)),))</f>
        <v>1331</v>
      </c>
      <c r="G66" s="378" t="str">
        <f ca="1">IF(ROWS($1:56)&gt;COUNT(Dong6),"",OFFSET(TH!M$1,SMALL(Dong6,ROWS($1:56)),))</f>
        <v>3388</v>
      </c>
      <c r="H66" s="351">
        <f ca="1">IF(ROWS($1:56)&gt;COUNT(Dong6),"",OFFSET(TH!K$1,SMALL(Dong6,ROWS($1:56)),))</f>
        <v>515398</v>
      </c>
      <c r="I66" s="351">
        <f ca="1">IF(ROWS($1:56)&gt;COUNT(Dong6),"",OFFSET(TH!K$1,SMALL(Dong6,ROWS($1:56)),))</f>
        <v>515398</v>
      </c>
    </row>
    <row r="67" spans="1:9" ht="21" customHeight="1">
      <c r="A67" s="375">
        <f ca="1">IF(ROWS($1:57)&gt;COUNT(Dong6),"",OFFSET(TH!C$1,SMALL(Dong6,ROWS($1:57)),))</f>
        <v>41213</v>
      </c>
      <c r="B67" s="376" t="str">
        <f ca="1">IF(ROWS($1:57)&gt;COUNT(Dong6),"",OFFSET(TH!D$1,SMALL(Dong6,ROWS($1:57)),))</f>
        <v>CTGS</v>
      </c>
      <c r="C67" s="375">
        <f ca="1">IF(ROWS($1:57)&gt;COUNT(Dong6),"",OFFSET(TH!E$1,SMALL(Dong6,ROWS($1:57)),))</f>
        <v>41213</v>
      </c>
      <c r="D67" s="377" t="str">
        <f ca="1">IF(ROWS($1:57)&gt;COUNT(Dong6),"",OFFSET(TH!F$1,SMALL(Dong6,ROWS($1:57)),))</f>
        <v>Lương bộ phận quản lý</v>
      </c>
      <c r="E67" s="376">
        <f t="shared" ca="1" si="2"/>
        <v>57</v>
      </c>
      <c r="F67" s="378" t="str">
        <f ca="1">IF(ROWS($1:57)&gt;COUNT(Dong6),"",OFFSET(TH!L$1,SMALL(Dong6,ROWS($1:57)),))</f>
        <v>642</v>
      </c>
      <c r="G67" s="378" t="str">
        <f ca="1">IF(ROWS($1:57)&gt;COUNT(Dong6),"",OFFSET(TH!M$1,SMALL(Dong6,ROWS($1:57)),))</f>
        <v>3341</v>
      </c>
      <c r="H67" s="351">
        <f ca="1">IF(ROWS($1:57)&gt;COUNT(Dong6),"",OFFSET(TH!K$1,SMALL(Dong6,ROWS($1:57)),))</f>
        <v>8100000</v>
      </c>
      <c r="I67" s="351">
        <f ca="1">IF(ROWS($1:57)&gt;COUNT(Dong6),"",OFFSET(TH!K$1,SMALL(Dong6,ROWS($1:57)),))</f>
        <v>8100000</v>
      </c>
    </row>
    <row r="68" spans="1:9" ht="21" customHeight="1">
      <c r="A68" s="375">
        <f ca="1">IF(ROWS($1:58)&gt;COUNT(Dong6),"",OFFSET(TH!C$1,SMALL(Dong6,ROWS($1:58)),))</f>
        <v>41213</v>
      </c>
      <c r="B68" s="376" t="str">
        <f ca="1">IF(ROWS($1:58)&gt;COUNT(Dong6),"",OFFSET(TH!D$1,SMALL(Dong6,ROWS($1:58)),))</f>
        <v>CTGS</v>
      </c>
      <c r="C68" s="375">
        <f ca="1">IF(ROWS($1:58)&gt;COUNT(Dong6),"",OFFSET(TH!E$1,SMALL(Dong6,ROWS($1:58)),))</f>
        <v>41213</v>
      </c>
      <c r="D68" s="377" t="str">
        <f ca="1">IF(ROWS($1:58)&gt;COUNT(Dong6),"",OFFSET(TH!F$1,SMALL(Dong6,ROWS($1:58)),))</f>
        <v>Lương bộ phận sản xuất</v>
      </c>
      <c r="E68" s="376">
        <f t="shared" ca="1" si="2"/>
        <v>58</v>
      </c>
      <c r="F68" s="378" t="str">
        <f ca="1">IF(ROWS($1:58)&gt;COUNT(Dong6),"",OFFSET(TH!L$1,SMALL(Dong6,ROWS($1:58)),))</f>
        <v>154</v>
      </c>
      <c r="G68" s="378" t="str">
        <f ca="1">IF(ROWS($1:58)&gt;COUNT(Dong6),"",OFFSET(TH!M$1,SMALL(Dong6,ROWS($1:58)),))</f>
        <v>3341</v>
      </c>
      <c r="H68" s="351">
        <f ca="1">IF(ROWS($1:58)&gt;COUNT(Dong6),"",OFFSET(TH!K$1,SMALL(Dong6,ROWS($1:58)),))</f>
        <v>5685000</v>
      </c>
      <c r="I68" s="351">
        <f ca="1">IF(ROWS($1:58)&gt;COUNT(Dong6),"",OFFSET(TH!K$1,SMALL(Dong6,ROWS($1:58)),))</f>
        <v>5685000</v>
      </c>
    </row>
    <row r="69" spans="1:9" ht="21" customHeight="1">
      <c r="A69" s="375">
        <f ca="1">IF(ROWS($1:59)&gt;COUNT(Dong6),"",OFFSET(TH!C$1,SMALL(Dong6,ROWS($1:59)),))</f>
        <v>41213</v>
      </c>
      <c r="B69" s="376" t="str">
        <f ca="1">IF(ROWS($1:59)&gt;COUNT(Dong6),"",OFFSET(TH!D$1,SMALL(Dong6,ROWS($1:59)),))</f>
        <v>C10</v>
      </c>
      <c r="C69" s="375">
        <f ca="1">IF(ROWS($1:59)&gt;COUNT(Dong6),"",OFFSET(TH!E$1,SMALL(Dong6,ROWS($1:59)),))</f>
        <v>41213</v>
      </c>
      <c r="D69" s="377" t="str">
        <f ca="1">IF(ROWS($1:59)&gt;COUNT(Dong6),"",OFFSET(TH!F$1,SMALL(Dong6,ROWS($1:59)),))</f>
        <v>Thanh toán lương T10/2012</v>
      </c>
      <c r="E69" s="376">
        <f t="shared" ca="1" si="2"/>
        <v>59</v>
      </c>
      <c r="F69" s="378" t="str">
        <f ca="1">IF(ROWS($1:59)&gt;COUNT(Dong6),"",OFFSET(TH!L$1,SMALL(Dong6,ROWS($1:59)),))</f>
        <v>3341</v>
      </c>
      <c r="G69" s="378" t="str">
        <f ca="1">IF(ROWS($1:59)&gt;COUNT(Dong6),"",OFFSET(TH!M$1,SMALL(Dong6,ROWS($1:59)),))</f>
        <v>1111</v>
      </c>
      <c r="H69" s="351">
        <f ca="1">IF(ROWS($1:59)&gt;COUNT(Dong6),"",OFFSET(TH!K$1,SMALL(Dong6,ROWS($1:59)),))</f>
        <v>13785000</v>
      </c>
      <c r="I69" s="351">
        <f ca="1">IF(ROWS($1:59)&gt;COUNT(Dong6),"",OFFSET(TH!K$1,SMALL(Dong6,ROWS($1:59)),))</f>
        <v>13785000</v>
      </c>
    </row>
    <row r="70" spans="1:9" ht="21" customHeight="1">
      <c r="A70" s="375">
        <f ca="1">IF(ROWS($1:60)&gt;COUNT(Dong6),"",OFFSET(TH!C$1,SMALL(Dong6,ROWS($1:60)),))</f>
        <v>41214</v>
      </c>
      <c r="B70" s="376" t="str">
        <f ca="1">IF(ROWS($1:60)&gt;COUNT(Dong6),"",OFFSET(TH!D$1,SMALL(Dong6,ROWS($1:60)),))</f>
        <v>T05</v>
      </c>
      <c r="C70" s="375">
        <f ca="1">IF(ROWS($1:60)&gt;COUNT(Dong6),"",OFFSET(TH!E$1,SMALL(Dong6,ROWS($1:60)),))</f>
        <v>41214</v>
      </c>
      <c r="D70" s="377" t="str">
        <f ca="1">IF(ROWS($1:60)&gt;COUNT(Dong6),"",OFFSET(TH!F$1,SMALL(Dong6,ROWS($1:60)),))</f>
        <v>Rút sec nhập quỹ tiền mặt</v>
      </c>
      <c r="E70" s="376">
        <f t="shared" ca="1" si="2"/>
        <v>60</v>
      </c>
      <c r="F70" s="378" t="str">
        <f ca="1">IF(ROWS($1:60)&gt;COUNT(Dong6),"",OFFSET(TH!L$1,SMALL(Dong6,ROWS($1:60)),))</f>
        <v>1111</v>
      </c>
      <c r="G70" s="378" t="str">
        <f ca="1">IF(ROWS($1:60)&gt;COUNT(Dong6),"",OFFSET(TH!M$1,SMALL(Dong6,ROWS($1:60)),))</f>
        <v>1121</v>
      </c>
      <c r="H70" s="351">
        <f ca="1">IF(ROWS($1:60)&gt;COUNT(Dong6),"",OFFSET(TH!K$1,SMALL(Dong6,ROWS($1:60)),))</f>
        <v>31000000</v>
      </c>
      <c r="I70" s="351">
        <f ca="1">IF(ROWS($1:60)&gt;COUNT(Dong6),"",OFFSET(TH!K$1,SMALL(Dong6,ROWS($1:60)),))</f>
        <v>31000000</v>
      </c>
    </row>
    <row r="71" spans="1:9" ht="21" customHeight="1">
      <c r="A71" s="375">
        <f ca="1">IF(ROWS($1:61)&gt;COUNT(Dong6),"",OFFSET(TH!C$1,SMALL(Dong6,ROWS($1:61)),))</f>
        <v>41214</v>
      </c>
      <c r="B71" s="376" t="str">
        <f ca="1">IF(ROWS($1:61)&gt;COUNT(Dong6),"",OFFSET(TH!D$1,SMALL(Dong6,ROWS($1:61)),))</f>
        <v>X07</v>
      </c>
      <c r="C71" s="375">
        <f ca="1">IF(ROWS($1:61)&gt;COUNT(Dong6),"",OFFSET(TH!E$1,SMALL(Dong6,ROWS($1:61)),))</f>
        <v>41214</v>
      </c>
      <c r="D71" s="377" t="str">
        <f ca="1">IF(ROWS($1:61)&gt;COUNT(Dong6),"",OFFSET(TH!F$1,SMALL(Dong6,ROWS($1:61)),))</f>
        <v>Thùng carton (52x24,5x24,5)</v>
      </c>
      <c r="E71" s="376">
        <f t="shared" ca="1" si="2"/>
        <v>61</v>
      </c>
      <c r="F71" s="378" t="str">
        <f ca="1">IF(ROWS($1:61)&gt;COUNT(Dong6),"",OFFSET(TH!L$1,SMALL(Dong6,ROWS($1:61)),))</f>
        <v>131</v>
      </c>
      <c r="G71" s="378" t="str">
        <f ca="1">IF(ROWS($1:61)&gt;COUNT(Dong6),"",OFFSET(TH!M$1,SMALL(Dong6,ROWS($1:61)),))</f>
        <v>5112</v>
      </c>
      <c r="H71" s="351">
        <f ca="1">IF(ROWS($1:61)&gt;COUNT(Dong6),"",OFFSET(TH!K$1,SMALL(Dong6,ROWS($1:61)),))</f>
        <v>3368750</v>
      </c>
      <c r="I71" s="351">
        <f ca="1">IF(ROWS($1:61)&gt;COUNT(Dong6),"",OFFSET(TH!K$1,SMALL(Dong6,ROWS($1:61)),))</f>
        <v>3368750</v>
      </c>
    </row>
    <row r="72" spans="1:9" ht="21" customHeight="1">
      <c r="A72" s="375">
        <f ca="1">IF(ROWS($1:62)&gt;COUNT(Dong6),"",OFFSET(TH!C$1,SMALL(Dong6,ROWS($1:62)),))</f>
        <v>41214</v>
      </c>
      <c r="B72" s="376" t="str">
        <f ca="1">IF(ROWS($1:62)&gt;COUNT(Dong6),"",OFFSET(TH!D$1,SMALL(Dong6,ROWS($1:62)),))</f>
        <v>X07</v>
      </c>
      <c r="C72" s="375">
        <f ca="1">IF(ROWS($1:62)&gt;COUNT(Dong6),"",OFFSET(TH!E$1,SMALL(Dong6,ROWS($1:62)),))</f>
        <v>41214</v>
      </c>
      <c r="D72" s="377" t="str">
        <f ca="1">IF(ROWS($1:62)&gt;COUNT(Dong6),"",OFFSET(TH!F$1,SMALL(Dong6,ROWS($1:62)),))</f>
        <v>Thùng carton (52x27x27)</v>
      </c>
      <c r="E72" s="376">
        <f t="shared" ca="1" si="2"/>
        <v>62</v>
      </c>
      <c r="F72" s="378" t="str">
        <f ca="1">IF(ROWS($1:62)&gt;COUNT(Dong6),"",OFFSET(TH!L$1,SMALL(Dong6,ROWS($1:62)),))</f>
        <v>131</v>
      </c>
      <c r="G72" s="378" t="str">
        <f ca="1">IF(ROWS($1:62)&gt;COUNT(Dong6),"",OFFSET(TH!M$1,SMALL(Dong6,ROWS($1:62)),))</f>
        <v>5112</v>
      </c>
      <c r="H72" s="351">
        <f ca="1">IF(ROWS($1:62)&gt;COUNT(Dong6),"",OFFSET(TH!K$1,SMALL(Dong6,ROWS($1:62)),))</f>
        <v>7098000</v>
      </c>
      <c r="I72" s="351">
        <f ca="1">IF(ROWS($1:62)&gt;COUNT(Dong6),"",OFFSET(TH!K$1,SMALL(Dong6,ROWS($1:62)),))</f>
        <v>7098000</v>
      </c>
    </row>
    <row r="73" spans="1:9" ht="21" customHeight="1">
      <c r="A73" s="375">
        <f ca="1">IF(ROWS($1:63)&gt;COUNT(Dong6),"",OFFSET(TH!C$1,SMALL(Dong6,ROWS($1:63)),))</f>
        <v>41214</v>
      </c>
      <c r="B73" s="376" t="str">
        <f ca="1">IF(ROWS($1:63)&gt;COUNT(Dong6),"",OFFSET(TH!D$1,SMALL(Dong6,ROWS($1:63)),))</f>
        <v>X07</v>
      </c>
      <c r="C73" s="375">
        <f ca="1">IF(ROWS($1:63)&gt;COUNT(Dong6),"",OFFSET(TH!E$1,SMALL(Dong6,ROWS($1:63)),))</f>
        <v>41214</v>
      </c>
      <c r="D73" s="377" t="str">
        <f ca="1">IF(ROWS($1:63)&gt;COUNT(Dong6),"",OFFSET(TH!F$1,SMALL(Dong6,ROWS($1:63)),))</f>
        <v>VAT Thùng</v>
      </c>
      <c r="E73" s="376">
        <f t="shared" ca="1" si="2"/>
        <v>63</v>
      </c>
      <c r="F73" s="378" t="str">
        <f ca="1">IF(ROWS($1:63)&gt;COUNT(Dong6),"",OFFSET(TH!L$1,SMALL(Dong6,ROWS($1:63)),))</f>
        <v>131</v>
      </c>
      <c r="G73" s="378" t="str">
        <f ca="1">IF(ROWS($1:63)&gt;COUNT(Dong6),"",OFFSET(TH!M$1,SMALL(Dong6,ROWS($1:63)),))</f>
        <v>3331</v>
      </c>
      <c r="H73" s="351">
        <f ca="1">IF(ROWS($1:63)&gt;COUNT(Dong6),"",OFFSET(TH!K$1,SMALL(Dong6,ROWS($1:63)),))</f>
        <v>1046675</v>
      </c>
      <c r="I73" s="351">
        <f ca="1">IF(ROWS($1:63)&gt;COUNT(Dong6),"",OFFSET(TH!K$1,SMALL(Dong6,ROWS($1:63)),))</f>
        <v>1046675</v>
      </c>
    </row>
    <row r="74" spans="1:9" ht="21" customHeight="1">
      <c r="A74" s="375">
        <f ca="1">IF(ROWS($1:64)&gt;COUNT(Dong6),"",OFFSET(TH!C$1,SMALL(Dong6,ROWS($1:64)),))</f>
        <v>41214</v>
      </c>
      <c r="B74" s="376" t="str">
        <f ca="1">IF(ROWS($1:64)&gt;COUNT(Dong6),"",OFFSET(TH!D$1,SMALL(Dong6,ROWS($1:64)),))</f>
        <v>T06</v>
      </c>
      <c r="C74" s="375">
        <f ca="1">IF(ROWS($1:64)&gt;COUNT(Dong6),"",OFFSET(TH!E$1,SMALL(Dong6,ROWS($1:64)),))</f>
        <v>41214</v>
      </c>
      <c r="D74" s="377" t="str">
        <f ca="1">IF(ROWS($1:64)&gt;COUNT(Dong6),"",OFFSET(TH!F$1,SMALL(Dong6,ROWS($1:64)),))</f>
        <v>Thu tiền hàng</v>
      </c>
      <c r="E74" s="376">
        <f t="shared" ca="1" si="2"/>
        <v>64</v>
      </c>
      <c r="F74" s="378" t="str">
        <f ca="1">IF(ROWS($1:64)&gt;COUNT(Dong6),"",OFFSET(TH!L$1,SMALL(Dong6,ROWS($1:64)),))</f>
        <v>1111</v>
      </c>
      <c r="G74" s="378" t="str">
        <f ca="1">IF(ROWS($1:64)&gt;COUNT(Dong6),"",OFFSET(TH!M$1,SMALL(Dong6,ROWS($1:64)),))</f>
        <v>131</v>
      </c>
      <c r="H74" s="351">
        <f ca="1">IF(ROWS($1:64)&gt;COUNT(Dong6),"",OFFSET(TH!K$1,SMALL(Dong6,ROWS($1:64)),))</f>
        <v>11513425</v>
      </c>
      <c r="I74" s="351">
        <f ca="1">IF(ROWS($1:64)&gt;COUNT(Dong6),"",OFFSET(TH!K$1,SMALL(Dong6,ROWS($1:64)),))</f>
        <v>11513425</v>
      </c>
    </row>
    <row r="75" spans="1:9" ht="21" customHeight="1">
      <c r="A75" s="375">
        <f ca="1">IF(ROWS($1:65)&gt;COUNT(Dong6),"",OFFSET(TH!C$1,SMALL(Dong6,ROWS($1:65)),))</f>
        <v>41215</v>
      </c>
      <c r="B75" s="376" t="str">
        <f ca="1">IF(ROWS($1:65)&gt;COUNT(Dong6),"",OFFSET(TH!D$1,SMALL(Dong6,ROWS($1:65)),))</f>
        <v>N06</v>
      </c>
      <c r="C75" s="375">
        <f ca="1">IF(ROWS($1:65)&gt;COUNT(Dong6),"",OFFSET(TH!E$1,SMALL(Dong6,ROWS($1:65)),))</f>
        <v>41215</v>
      </c>
      <c r="D75" s="377" t="str">
        <f ca="1">IF(ROWS($1:65)&gt;COUNT(Dong6),"",OFFSET(TH!F$1,SMALL(Dong6,ROWS($1:65)),))</f>
        <v>Giấy tấm 2N +1X (110x173)</v>
      </c>
      <c r="E75" s="376">
        <f t="shared" ca="1" si="2"/>
        <v>65</v>
      </c>
      <c r="F75" s="378" t="str">
        <f ca="1">IF(ROWS($1:65)&gt;COUNT(Dong6),"",OFFSET(TH!L$1,SMALL(Dong6,ROWS($1:65)),))</f>
        <v>156</v>
      </c>
      <c r="G75" s="378" t="str">
        <f ca="1">IF(ROWS($1:65)&gt;COUNT(Dong6),"",OFFSET(TH!M$1,SMALL(Dong6,ROWS($1:65)),))</f>
        <v>331</v>
      </c>
      <c r="H75" s="351">
        <f ca="1">IF(ROWS($1:65)&gt;COUNT(Dong6),"",OFFSET(TH!K$1,SMALL(Dong6,ROWS($1:65)),))</f>
        <v>12750000</v>
      </c>
      <c r="I75" s="351">
        <f ca="1">IF(ROWS($1:65)&gt;COUNT(Dong6),"",OFFSET(TH!K$1,SMALL(Dong6,ROWS($1:65)),))</f>
        <v>12750000</v>
      </c>
    </row>
    <row r="76" spans="1:9" ht="21" customHeight="1">
      <c r="A76" s="375">
        <f ca="1">IF(ROWS($1:66)&gt;COUNT(Dong6),"",OFFSET(TH!C$1,SMALL(Dong6,ROWS($1:66)),))</f>
        <v>41215</v>
      </c>
      <c r="B76" s="376" t="str">
        <f ca="1">IF(ROWS($1:66)&gt;COUNT(Dong6),"",OFFSET(TH!D$1,SMALL(Dong6,ROWS($1:66)),))</f>
        <v>N06</v>
      </c>
      <c r="C76" s="375">
        <f ca="1">IF(ROWS($1:66)&gt;COUNT(Dong6),"",OFFSET(TH!E$1,SMALL(Dong6,ROWS($1:66)),))</f>
        <v>41215</v>
      </c>
      <c r="D76" s="377" t="str">
        <f ca="1">IF(ROWS($1:66)&gt;COUNT(Dong6),"",OFFSET(TH!F$1,SMALL(Dong6,ROWS($1:66)),))</f>
        <v xml:space="preserve">VAT Giấy tấm </v>
      </c>
      <c r="E76" s="376">
        <f t="shared" ca="1" si="2"/>
        <v>66</v>
      </c>
      <c r="F76" s="378" t="str">
        <f ca="1">IF(ROWS($1:66)&gt;COUNT(Dong6),"",OFFSET(TH!L$1,SMALL(Dong6,ROWS($1:66)),))</f>
        <v>1331</v>
      </c>
      <c r="G76" s="378" t="str">
        <f ca="1">IF(ROWS($1:66)&gt;COUNT(Dong6),"",OFFSET(TH!M$1,SMALL(Dong6,ROWS($1:66)),))</f>
        <v>331</v>
      </c>
      <c r="H76" s="351">
        <f ca="1">IF(ROWS($1:66)&gt;COUNT(Dong6),"",OFFSET(TH!K$1,SMALL(Dong6,ROWS($1:66)),))</f>
        <v>1275000</v>
      </c>
      <c r="I76" s="351">
        <f ca="1">IF(ROWS($1:66)&gt;COUNT(Dong6),"",OFFSET(TH!K$1,SMALL(Dong6,ROWS($1:66)),))</f>
        <v>1275000</v>
      </c>
    </row>
    <row r="77" spans="1:9" ht="21" customHeight="1">
      <c r="A77" s="375">
        <f ca="1">IF(ROWS($1:67)&gt;COUNT(Dong6),"",OFFSET(TH!C$1,SMALL(Dong6,ROWS($1:67)),))</f>
        <v>41215</v>
      </c>
      <c r="B77" s="376" t="str">
        <f ca="1">IF(ROWS($1:67)&gt;COUNT(Dong6),"",OFFSET(TH!D$1,SMALL(Dong6,ROWS($1:67)),))</f>
        <v>C11</v>
      </c>
      <c r="C77" s="375">
        <f ca="1">IF(ROWS($1:67)&gt;COUNT(Dong6),"",OFFSET(TH!E$1,SMALL(Dong6,ROWS($1:67)),))</f>
        <v>41215</v>
      </c>
      <c r="D77" s="377" t="str">
        <f ca="1">IF(ROWS($1:67)&gt;COUNT(Dong6),"",OFFSET(TH!F$1,SMALL(Dong6,ROWS($1:67)),))</f>
        <v>Thanh toán tiền hàng</v>
      </c>
      <c r="E77" s="376">
        <f t="shared" ca="1" si="2"/>
        <v>67</v>
      </c>
      <c r="F77" s="378" t="str">
        <f ca="1">IF(ROWS($1:67)&gt;COUNT(Dong6),"",OFFSET(TH!L$1,SMALL(Dong6,ROWS($1:67)),))</f>
        <v>331</v>
      </c>
      <c r="G77" s="378" t="str">
        <f ca="1">IF(ROWS($1:67)&gt;COUNT(Dong6),"",OFFSET(TH!M$1,SMALL(Dong6,ROWS($1:67)),))</f>
        <v>1111</v>
      </c>
      <c r="H77" s="351">
        <f ca="1">IF(ROWS($1:67)&gt;COUNT(Dong6),"",OFFSET(TH!K$1,SMALL(Dong6,ROWS($1:67)),))</f>
        <v>14025000</v>
      </c>
      <c r="I77" s="351">
        <f ca="1">IF(ROWS($1:67)&gt;COUNT(Dong6),"",OFFSET(TH!K$1,SMALL(Dong6,ROWS($1:67)),))</f>
        <v>14025000</v>
      </c>
    </row>
    <row r="78" spans="1:9" ht="21" customHeight="1">
      <c r="A78" s="375">
        <f ca="1">IF(ROWS($1:68)&gt;COUNT(Dong6),"",OFFSET(TH!C$1,SMALL(Dong6,ROWS($1:68)),))</f>
        <v>41215</v>
      </c>
      <c r="B78" s="376" t="str">
        <f ca="1">IF(ROWS($1:68)&gt;COUNT(Dong6),"",OFFSET(TH!D$1,SMALL(Dong6,ROWS($1:68)),))</f>
        <v>N07</v>
      </c>
      <c r="C78" s="375">
        <f ca="1">IF(ROWS($1:68)&gt;COUNT(Dong6),"",OFFSET(TH!E$1,SMALL(Dong6,ROWS($1:68)),))</f>
        <v>41215</v>
      </c>
      <c r="D78" s="377" t="str">
        <f ca="1">IF(ROWS($1:68)&gt;COUNT(Dong6),"",OFFSET(TH!F$1,SMALL(Dong6,ROWS($1:68)),))</f>
        <v>Giấy tấm 1N +2X (110x151)</v>
      </c>
      <c r="E78" s="376">
        <f t="shared" ca="1" si="2"/>
        <v>68</v>
      </c>
      <c r="F78" s="378" t="str">
        <f ca="1">IF(ROWS($1:68)&gt;COUNT(Dong6),"",OFFSET(TH!L$1,SMALL(Dong6,ROWS($1:68)),))</f>
        <v>156</v>
      </c>
      <c r="G78" s="378" t="str">
        <f ca="1">IF(ROWS($1:68)&gt;COUNT(Dong6),"",OFFSET(TH!M$1,SMALL(Dong6,ROWS($1:68)),))</f>
        <v>331</v>
      </c>
      <c r="H78" s="351">
        <f ca="1">IF(ROWS($1:68)&gt;COUNT(Dong6),"",OFFSET(TH!K$1,SMALL(Dong6,ROWS($1:68)),))</f>
        <v>5149000</v>
      </c>
      <c r="I78" s="351">
        <f ca="1">IF(ROWS($1:68)&gt;COUNT(Dong6),"",OFFSET(TH!K$1,SMALL(Dong6,ROWS($1:68)),))</f>
        <v>5149000</v>
      </c>
    </row>
    <row r="79" spans="1:9" ht="21" customHeight="1">
      <c r="A79" s="375">
        <f ca="1">IF(ROWS($1:69)&gt;COUNT(Dong6),"",OFFSET(TH!C$1,SMALL(Dong6,ROWS($1:69)),))</f>
        <v>41215</v>
      </c>
      <c r="B79" s="376" t="str">
        <f ca="1">IF(ROWS($1:69)&gt;COUNT(Dong6),"",OFFSET(TH!D$1,SMALL(Dong6,ROWS($1:69)),))</f>
        <v>N07</v>
      </c>
      <c r="C79" s="375">
        <f ca="1">IF(ROWS($1:69)&gt;COUNT(Dong6),"",OFFSET(TH!E$1,SMALL(Dong6,ROWS($1:69)),))</f>
        <v>41215</v>
      </c>
      <c r="D79" s="377" t="str">
        <f ca="1">IF(ROWS($1:69)&gt;COUNT(Dong6),"",OFFSET(TH!F$1,SMALL(Dong6,ROWS($1:69)),))</f>
        <v xml:space="preserve">VAT Giấy tấm </v>
      </c>
      <c r="E79" s="376">
        <f t="shared" ca="1" si="2"/>
        <v>69</v>
      </c>
      <c r="F79" s="378" t="str">
        <f ca="1">IF(ROWS($1:69)&gt;COUNT(Dong6),"",OFFSET(TH!L$1,SMALL(Dong6,ROWS($1:69)),))</f>
        <v>1331</v>
      </c>
      <c r="G79" s="378" t="str">
        <f ca="1">IF(ROWS($1:69)&gt;COUNT(Dong6),"",OFFSET(TH!M$1,SMALL(Dong6,ROWS($1:69)),))</f>
        <v>331</v>
      </c>
      <c r="H79" s="351">
        <f ca="1">IF(ROWS($1:69)&gt;COUNT(Dong6),"",OFFSET(TH!K$1,SMALL(Dong6,ROWS($1:69)),))</f>
        <v>514900</v>
      </c>
      <c r="I79" s="351">
        <f ca="1">IF(ROWS($1:69)&gt;COUNT(Dong6),"",OFFSET(TH!K$1,SMALL(Dong6,ROWS($1:69)),))</f>
        <v>514900</v>
      </c>
    </row>
    <row r="80" spans="1:9" ht="21" customHeight="1">
      <c r="A80" s="375">
        <f ca="1">IF(ROWS($1:70)&gt;COUNT(Dong6),"",OFFSET(TH!C$1,SMALL(Dong6,ROWS($1:70)),))</f>
        <v>41215</v>
      </c>
      <c r="B80" s="376" t="str">
        <f ca="1">IF(ROWS($1:70)&gt;COUNT(Dong6),"",OFFSET(TH!D$1,SMALL(Dong6,ROWS($1:70)),))</f>
        <v>C12</v>
      </c>
      <c r="C80" s="375">
        <f ca="1">IF(ROWS($1:70)&gt;COUNT(Dong6),"",OFFSET(TH!E$1,SMALL(Dong6,ROWS($1:70)),))</f>
        <v>41215</v>
      </c>
      <c r="D80" s="377" t="str">
        <f ca="1">IF(ROWS($1:70)&gt;COUNT(Dong6),"",OFFSET(TH!F$1,SMALL(Dong6,ROWS($1:70)),))</f>
        <v>Thanh toán tiền hàng</v>
      </c>
      <c r="E80" s="376">
        <f t="shared" ca="1" si="2"/>
        <v>70</v>
      </c>
      <c r="F80" s="378" t="str">
        <f ca="1">IF(ROWS($1:70)&gt;COUNT(Dong6),"",OFFSET(TH!L$1,SMALL(Dong6,ROWS($1:70)),))</f>
        <v>331</v>
      </c>
      <c r="G80" s="378" t="str">
        <f ca="1">IF(ROWS($1:70)&gt;COUNT(Dong6),"",OFFSET(TH!M$1,SMALL(Dong6,ROWS($1:70)),))</f>
        <v>1111</v>
      </c>
      <c r="H80" s="351">
        <f ca="1">IF(ROWS($1:70)&gt;COUNT(Dong6),"",OFFSET(TH!K$1,SMALL(Dong6,ROWS($1:70)),))</f>
        <v>5663900</v>
      </c>
      <c r="I80" s="351">
        <f ca="1">IF(ROWS($1:70)&gt;COUNT(Dong6),"",OFFSET(TH!K$1,SMALL(Dong6,ROWS($1:70)),))</f>
        <v>5663900</v>
      </c>
    </row>
    <row r="81" spans="1:9" ht="21" customHeight="1">
      <c r="A81" s="375">
        <f ca="1">IF(ROWS($1:71)&gt;COUNT(Dong6),"",OFFSET(TH!C$1,SMALL(Dong6,ROWS($1:71)),))</f>
        <v>41215</v>
      </c>
      <c r="B81" s="376" t="str">
        <f ca="1">IF(ROWS($1:71)&gt;COUNT(Dong6),"",OFFSET(TH!D$1,SMALL(Dong6,ROWS($1:71)),))</f>
        <v>X08</v>
      </c>
      <c r="C81" s="375">
        <f ca="1">IF(ROWS($1:71)&gt;COUNT(Dong6),"",OFFSET(TH!E$1,SMALL(Dong6,ROWS($1:71)),))</f>
        <v>41215</v>
      </c>
      <c r="D81" s="377" t="str">
        <f ca="1">IF(ROWS($1:71)&gt;COUNT(Dong6),"",OFFSET(TH!F$1,SMALL(Dong6,ROWS($1:71)),))</f>
        <v>Tấm lót</v>
      </c>
      <c r="E81" s="376">
        <f t="shared" ca="1" si="2"/>
        <v>71</v>
      </c>
      <c r="F81" s="378" t="str">
        <f ca="1">IF(ROWS($1:71)&gt;COUNT(Dong6),"",OFFSET(TH!L$1,SMALL(Dong6,ROWS($1:71)),))</f>
        <v>131</v>
      </c>
      <c r="G81" s="378" t="str">
        <f ca="1">IF(ROWS($1:71)&gt;COUNT(Dong6),"",OFFSET(TH!M$1,SMALL(Dong6,ROWS($1:71)),))</f>
        <v>5112</v>
      </c>
      <c r="H81" s="351">
        <f ca="1">IF(ROWS($1:71)&gt;COUNT(Dong6),"",OFFSET(TH!K$1,SMALL(Dong6,ROWS($1:71)),))</f>
        <v>9945000</v>
      </c>
      <c r="I81" s="351">
        <f ca="1">IF(ROWS($1:71)&gt;COUNT(Dong6),"",OFFSET(TH!K$1,SMALL(Dong6,ROWS($1:71)),))</f>
        <v>9945000</v>
      </c>
    </row>
    <row r="82" spans="1:9" ht="21" customHeight="1">
      <c r="A82" s="375">
        <f ca="1">IF(ROWS($1:72)&gt;COUNT(Dong6),"",OFFSET(TH!C$1,SMALL(Dong6,ROWS($1:72)),))</f>
        <v>41215</v>
      </c>
      <c r="B82" s="376" t="str">
        <f ca="1">IF(ROWS($1:72)&gt;COUNT(Dong6),"",OFFSET(TH!D$1,SMALL(Dong6,ROWS($1:72)),))</f>
        <v>X08</v>
      </c>
      <c r="C82" s="375">
        <f ca="1">IF(ROWS($1:72)&gt;COUNT(Dong6),"",OFFSET(TH!E$1,SMALL(Dong6,ROWS($1:72)),))</f>
        <v>41215</v>
      </c>
      <c r="D82" s="377" t="str">
        <f ca="1">IF(ROWS($1:72)&gt;COUNT(Dong6),"",OFFSET(TH!F$1,SMALL(Dong6,ROWS($1:72)),))</f>
        <v>VAT Thùng</v>
      </c>
      <c r="E82" s="376">
        <f t="shared" ca="1" si="2"/>
        <v>72</v>
      </c>
      <c r="F82" s="378" t="str">
        <f ca="1">IF(ROWS($1:72)&gt;COUNT(Dong6),"",OFFSET(TH!L$1,SMALL(Dong6,ROWS($1:72)),))</f>
        <v>131</v>
      </c>
      <c r="G82" s="378" t="str">
        <f ca="1">IF(ROWS($1:72)&gt;COUNT(Dong6),"",OFFSET(TH!M$1,SMALL(Dong6,ROWS($1:72)),))</f>
        <v>3331</v>
      </c>
      <c r="H82" s="351">
        <f ca="1">IF(ROWS($1:72)&gt;COUNT(Dong6),"",OFFSET(TH!K$1,SMALL(Dong6,ROWS($1:72)),))</f>
        <v>994500</v>
      </c>
      <c r="I82" s="351">
        <f ca="1">IF(ROWS($1:72)&gt;COUNT(Dong6),"",OFFSET(TH!K$1,SMALL(Dong6,ROWS($1:72)),))</f>
        <v>994500</v>
      </c>
    </row>
    <row r="83" spans="1:9" ht="21" customHeight="1">
      <c r="A83" s="375">
        <f ca="1">IF(ROWS($1:73)&gt;COUNT(Dong6),"",OFFSET(TH!C$1,SMALL(Dong6,ROWS($1:73)),))</f>
        <v>41215</v>
      </c>
      <c r="B83" s="376" t="str">
        <f ca="1">IF(ROWS($1:73)&gt;COUNT(Dong6),"",OFFSET(TH!D$1,SMALL(Dong6,ROWS($1:73)),))</f>
        <v>T07</v>
      </c>
      <c r="C83" s="375">
        <f ca="1">IF(ROWS($1:73)&gt;COUNT(Dong6),"",OFFSET(TH!E$1,SMALL(Dong6,ROWS($1:73)),))</f>
        <v>41215</v>
      </c>
      <c r="D83" s="377" t="str">
        <f ca="1">IF(ROWS($1:73)&gt;COUNT(Dong6),"",OFFSET(TH!F$1,SMALL(Dong6,ROWS($1:73)),))</f>
        <v>Thu tiền hàng</v>
      </c>
      <c r="E83" s="376">
        <f t="shared" ca="1" si="2"/>
        <v>73</v>
      </c>
      <c r="F83" s="378" t="str">
        <f ca="1">IF(ROWS($1:73)&gt;COUNT(Dong6),"",OFFSET(TH!L$1,SMALL(Dong6,ROWS($1:73)),))</f>
        <v>1111</v>
      </c>
      <c r="G83" s="378" t="str">
        <f ca="1">IF(ROWS($1:73)&gt;COUNT(Dong6),"",OFFSET(TH!M$1,SMALL(Dong6,ROWS($1:73)),))</f>
        <v>131</v>
      </c>
      <c r="H83" s="351">
        <f ca="1">IF(ROWS($1:73)&gt;COUNT(Dong6),"",OFFSET(TH!K$1,SMALL(Dong6,ROWS($1:73)),))</f>
        <v>10939500</v>
      </c>
      <c r="I83" s="351">
        <f ca="1">IF(ROWS($1:73)&gt;COUNT(Dong6),"",OFFSET(TH!K$1,SMALL(Dong6,ROWS($1:73)),))</f>
        <v>10939500</v>
      </c>
    </row>
    <row r="84" spans="1:9" ht="21" customHeight="1">
      <c r="A84" s="375">
        <f ca="1">IF(ROWS($1:74)&gt;COUNT(Dong6),"",OFFSET(TH!C$1,SMALL(Dong6,ROWS($1:74)),))</f>
        <v>41219</v>
      </c>
      <c r="B84" s="376" t="str">
        <f ca="1">IF(ROWS($1:74)&gt;COUNT(Dong6),"",OFFSET(TH!D$1,SMALL(Dong6,ROWS($1:74)),))</f>
        <v>X09</v>
      </c>
      <c r="C84" s="375">
        <f ca="1">IF(ROWS($1:74)&gt;COUNT(Dong6),"",OFFSET(TH!E$1,SMALL(Dong6,ROWS($1:74)),))</f>
        <v>41219</v>
      </c>
      <c r="D84" s="377" t="str">
        <f ca="1">IF(ROWS($1:74)&gt;COUNT(Dong6),"",OFFSET(TH!F$1,SMALL(Dong6,ROWS($1:74)),))</f>
        <v>Thùng carton (73x33x31)</v>
      </c>
      <c r="E84" s="376">
        <f t="shared" ca="1" si="2"/>
        <v>74</v>
      </c>
      <c r="F84" s="378" t="str">
        <f ca="1">IF(ROWS($1:74)&gt;COUNT(Dong6),"",OFFSET(TH!L$1,SMALL(Dong6,ROWS($1:74)),))</f>
        <v>131</v>
      </c>
      <c r="G84" s="378" t="str">
        <f ca="1">IF(ROWS($1:74)&gt;COUNT(Dong6),"",OFFSET(TH!M$1,SMALL(Dong6,ROWS($1:74)),))</f>
        <v>5112</v>
      </c>
      <c r="H84" s="351">
        <f ca="1">IF(ROWS($1:74)&gt;COUNT(Dong6),"",OFFSET(TH!K$1,SMALL(Dong6,ROWS($1:74)),))</f>
        <v>5725000</v>
      </c>
      <c r="I84" s="351">
        <f ca="1">IF(ROWS($1:74)&gt;COUNT(Dong6),"",OFFSET(TH!K$1,SMALL(Dong6,ROWS($1:74)),))</f>
        <v>5725000</v>
      </c>
    </row>
    <row r="85" spans="1:9" ht="21" customHeight="1">
      <c r="A85" s="375">
        <f ca="1">IF(ROWS($1:75)&gt;COUNT(Dong6),"",OFFSET(TH!C$1,SMALL(Dong6,ROWS($1:75)),))</f>
        <v>41219</v>
      </c>
      <c r="B85" s="376" t="str">
        <f ca="1">IF(ROWS($1:75)&gt;COUNT(Dong6),"",OFFSET(TH!D$1,SMALL(Dong6,ROWS($1:75)),))</f>
        <v>X09</v>
      </c>
      <c r="C85" s="375">
        <f ca="1">IF(ROWS($1:75)&gt;COUNT(Dong6),"",OFFSET(TH!E$1,SMALL(Dong6,ROWS($1:75)),))</f>
        <v>41219</v>
      </c>
      <c r="D85" s="377" t="str">
        <f ca="1">IF(ROWS($1:75)&gt;COUNT(Dong6),"",OFFSET(TH!F$1,SMALL(Dong6,ROWS($1:75)),))</f>
        <v>VAT Thùng</v>
      </c>
      <c r="E85" s="376">
        <f t="shared" ca="1" si="2"/>
        <v>75</v>
      </c>
      <c r="F85" s="378" t="str">
        <f ca="1">IF(ROWS($1:75)&gt;COUNT(Dong6),"",OFFSET(TH!L$1,SMALL(Dong6,ROWS($1:75)),))</f>
        <v>131</v>
      </c>
      <c r="G85" s="378" t="str">
        <f ca="1">IF(ROWS($1:75)&gt;COUNT(Dong6),"",OFFSET(TH!M$1,SMALL(Dong6,ROWS($1:75)),))</f>
        <v>3331</v>
      </c>
      <c r="H85" s="351">
        <f ca="1">IF(ROWS($1:75)&gt;COUNT(Dong6),"",OFFSET(TH!K$1,SMALL(Dong6,ROWS($1:75)),))</f>
        <v>572500</v>
      </c>
      <c r="I85" s="351">
        <f ca="1">IF(ROWS($1:75)&gt;COUNT(Dong6),"",OFFSET(TH!K$1,SMALL(Dong6,ROWS($1:75)),))</f>
        <v>572500</v>
      </c>
    </row>
    <row r="86" spans="1:9" ht="21" customHeight="1">
      <c r="A86" s="375">
        <f ca="1">IF(ROWS($1:76)&gt;COUNT(Dong6),"",OFFSET(TH!C$1,SMALL(Dong6,ROWS($1:76)),))</f>
        <v>41219</v>
      </c>
      <c r="B86" s="376" t="str">
        <f ca="1">IF(ROWS($1:76)&gt;COUNT(Dong6),"",OFFSET(TH!D$1,SMALL(Dong6,ROWS($1:76)),))</f>
        <v>T08</v>
      </c>
      <c r="C86" s="375">
        <f ca="1">IF(ROWS($1:76)&gt;COUNT(Dong6),"",OFFSET(TH!E$1,SMALL(Dong6,ROWS($1:76)),))</f>
        <v>41219</v>
      </c>
      <c r="D86" s="377" t="str">
        <f ca="1">IF(ROWS($1:76)&gt;COUNT(Dong6),"",OFFSET(TH!F$1,SMALL(Dong6,ROWS($1:76)),))</f>
        <v>Thu tiền hàng</v>
      </c>
      <c r="E86" s="376">
        <f t="shared" ca="1" si="2"/>
        <v>76</v>
      </c>
      <c r="F86" s="378" t="str">
        <f ca="1">IF(ROWS($1:76)&gt;COUNT(Dong6),"",OFFSET(TH!L$1,SMALL(Dong6,ROWS($1:76)),))</f>
        <v>1111</v>
      </c>
      <c r="G86" s="378" t="str">
        <f ca="1">IF(ROWS($1:76)&gt;COUNT(Dong6),"",OFFSET(TH!M$1,SMALL(Dong6,ROWS($1:76)),))</f>
        <v>131</v>
      </c>
      <c r="H86" s="351">
        <f ca="1">IF(ROWS($1:76)&gt;COUNT(Dong6),"",OFFSET(TH!K$1,SMALL(Dong6,ROWS($1:76)),))</f>
        <v>6297500</v>
      </c>
      <c r="I86" s="351">
        <f ca="1">IF(ROWS($1:76)&gt;COUNT(Dong6),"",OFFSET(TH!K$1,SMALL(Dong6,ROWS($1:76)),))</f>
        <v>6297500</v>
      </c>
    </row>
    <row r="87" spans="1:9" ht="21" customHeight="1">
      <c r="A87" s="375">
        <f ca="1">IF(ROWS($1:77)&gt;COUNT(Dong6),"",OFFSET(TH!C$1,SMALL(Dong6,ROWS($1:77)),))</f>
        <v>41220</v>
      </c>
      <c r="B87" s="376" t="str">
        <f ca="1">IF(ROWS($1:77)&gt;COUNT(Dong6),"",OFFSET(TH!D$1,SMALL(Dong6,ROWS($1:77)),))</f>
        <v>GBC</v>
      </c>
      <c r="C87" s="375">
        <f ca="1">IF(ROWS($1:77)&gt;COUNT(Dong6),"",OFFSET(TH!E$1,SMALL(Dong6,ROWS($1:77)),))</f>
        <v>41220</v>
      </c>
      <c r="D87" s="377" t="str">
        <f ca="1">IF(ROWS($1:77)&gt;COUNT(Dong6),"",OFFSET(TH!F$1,SMALL(Dong6,ROWS($1:77)),))</f>
        <v>Thu tiền hàng</v>
      </c>
      <c r="E87" s="376">
        <f t="shared" ca="1" si="2"/>
        <v>77</v>
      </c>
      <c r="F87" s="378" t="str">
        <f ca="1">IF(ROWS($1:77)&gt;COUNT(Dong6),"",OFFSET(TH!L$1,SMALL(Dong6,ROWS($1:77)),))</f>
        <v>1121</v>
      </c>
      <c r="G87" s="378" t="str">
        <f ca="1">IF(ROWS($1:77)&gt;COUNT(Dong6),"",OFFSET(TH!M$1,SMALL(Dong6,ROWS($1:77)),))</f>
        <v>131</v>
      </c>
      <c r="H87" s="351">
        <f ca="1">IF(ROWS($1:77)&gt;COUNT(Dong6),"",OFFSET(TH!K$1,SMALL(Dong6,ROWS($1:77)),))</f>
        <v>6956400</v>
      </c>
      <c r="I87" s="351">
        <f ca="1">IF(ROWS($1:77)&gt;COUNT(Dong6),"",OFFSET(TH!K$1,SMALL(Dong6,ROWS($1:77)),))</f>
        <v>6956400</v>
      </c>
    </row>
    <row r="88" spans="1:9" ht="21" customHeight="1">
      <c r="A88" s="375">
        <f ca="1">IF(ROWS($1:78)&gt;COUNT(Dong6),"",OFFSET(TH!C$1,SMALL(Dong6,ROWS($1:78)),))</f>
        <v>41220</v>
      </c>
      <c r="B88" s="376" t="str">
        <f ca="1">IF(ROWS($1:78)&gt;COUNT(Dong6),"",OFFSET(TH!D$1,SMALL(Dong6,ROWS($1:78)),))</f>
        <v>C13</v>
      </c>
      <c r="C88" s="375">
        <f ca="1">IF(ROWS($1:78)&gt;COUNT(Dong6),"",OFFSET(TH!E$1,SMALL(Dong6,ROWS($1:78)),))</f>
        <v>41220</v>
      </c>
      <c r="D88" s="377" t="str">
        <f ca="1">IF(ROWS($1:78)&gt;COUNT(Dong6),"",OFFSET(TH!F$1,SMALL(Dong6,ROWS($1:78)),))</f>
        <v>Vật dụng phòng khách</v>
      </c>
      <c r="E88" s="376">
        <f t="shared" ca="1" si="2"/>
        <v>78</v>
      </c>
      <c r="F88" s="378" t="str">
        <f ca="1">IF(ROWS($1:78)&gt;COUNT(Dong6),"",OFFSET(TH!L$1,SMALL(Dong6,ROWS($1:78)),))</f>
        <v>642</v>
      </c>
      <c r="G88" s="378" t="str">
        <f ca="1">IF(ROWS($1:78)&gt;COUNT(Dong6),"",OFFSET(TH!M$1,SMALL(Dong6,ROWS($1:78)),))</f>
        <v>1111</v>
      </c>
      <c r="H88" s="351">
        <f ca="1">IF(ROWS($1:78)&gt;COUNT(Dong6),"",OFFSET(TH!K$1,SMALL(Dong6,ROWS($1:78)),))</f>
        <v>4845455</v>
      </c>
      <c r="I88" s="351">
        <f ca="1">IF(ROWS($1:78)&gt;COUNT(Dong6),"",OFFSET(TH!K$1,SMALL(Dong6,ROWS($1:78)),))</f>
        <v>4845455</v>
      </c>
    </row>
    <row r="89" spans="1:9" ht="21" customHeight="1">
      <c r="A89" s="375">
        <f ca="1">IF(ROWS($1:79)&gt;COUNT(Dong6),"",OFFSET(TH!C$1,SMALL(Dong6,ROWS($1:79)),))</f>
        <v>41220</v>
      </c>
      <c r="B89" s="376" t="str">
        <f ca="1">IF(ROWS($1:79)&gt;COUNT(Dong6),"",OFFSET(TH!D$1,SMALL(Dong6,ROWS($1:79)),))</f>
        <v>C13</v>
      </c>
      <c r="C89" s="375">
        <f ca="1">IF(ROWS($1:79)&gt;COUNT(Dong6),"",OFFSET(TH!E$1,SMALL(Dong6,ROWS($1:79)),))</f>
        <v>41220</v>
      </c>
      <c r="D89" s="377" t="str">
        <f ca="1">IF(ROWS($1:79)&gt;COUNT(Dong6),"",OFFSET(TH!F$1,SMALL(Dong6,ROWS($1:79)),))</f>
        <v>VAT Vật dụng phòng khách</v>
      </c>
      <c r="E89" s="376">
        <f t="shared" ca="1" si="2"/>
        <v>79</v>
      </c>
      <c r="F89" s="378" t="str">
        <f ca="1">IF(ROWS($1:79)&gt;COUNT(Dong6),"",OFFSET(TH!L$1,SMALL(Dong6,ROWS($1:79)),))</f>
        <v>1331</v>
      </c>
      <c r="G89" s="378" t="str">
        <f ca="1">IF(ROWS($1:79)&gt;COUNT(Dong6),"",OFFSET(TH!M$1,SMALL(Dong6,ROWS($1:79)),))</f>
        <v>1111</v>
      </c>
      <c r="H89" s="351">
        <f ca="1">IF(ROWS($1:79)&gt;COUNT(Dong6),"",OFFSET(TH!K$1,SMALL(Dong6,ROWS($1:79)),))</f>
        <v>484545</v>
      </c>
      <c r="I89" s="351">
        <f ca="1">IF(ROWS($1:79)&gt;COUNT(Dong6),"",OFFSET(TH!K$1,SMALL(Dong6,ROWS($1:79)),))</f>
        <v>484545</v>
      </c>
    </row>
    <row r="90" spans="1:9" ht="21" customHeight="1">
      <c r="A90" s="375">
        <f ca="1">IF(ROWS($1:80)&gt;COUNT(Dong6),"",OFFSET(TH!C$1,SMALL(Dong6,ROWS($1:80)),))</f>
        <v>41220</v>
      </c>
      <c r="B90" s="376" t="str">
        <f ca="1">IF(ROWS($1:80)&gt;COUNT(Dong6),"",OFFSET(TH!D$1,SMALL(Dong6,ROWS($1:80)),))</f>
        <v>X10</v>
      </c>
      <c r="C90" s="375">
        <f ca="1">IF(ROWS($1:80)&gt;COUNT(Dong6),"",OFFSET(TH!E$1,SMALL(Dong6,ROWS($1:80)),))</f>
        <v>41220</v>
      </c>
      <c r="D90" s="377" t="str">
        <f ca="1">IF(ROWS($1:80)&gt;COUNT(Dong6),"",OFFSET(TH!F$1,SMALL(Dong6,ROWS($1:80)),))</f>
        <v>Thùng carton (52x32,5x21)</v>
      </c>
      <c r="E90" s="376">
        <f t="shared" ca="1" si="2"/>
        <v>80</v>
      </c>
      <c r="F90" s="378" t="str">
        <f ca="1">IF(ROWS($1:80)&gt;COUNT(Dong6),"",OFFSET(TH!L$1,SMALL(Dong6,ROWS($1:80)),))</f>
        <v>131</v>
      </c>
      <c r="G90" s="378" t="str">
        <f ca="1">IF(ROWS($1:80)&gt;COUNT(Dong6),"",OFFSET(TH!M$1,SMALL(Dong6,ROWS($1:80)),))</f>
        <v>5112</v>
      </c>
      <c r="H90" s="351">
        <f ca="1">IF(ROWS($1:80)&gt;COUNT(Dong6),"",OFFSET(TH!K$1,SMALL(Dong6,ROWS($1:80)),))</f>
        <v>7660000</v>
      </c>
      <c r="I90" s="351">
        <f ca="1">IF(ROWS($1:80)&gt;COUNT(Dong6),"",OFFSET(TH!K$1,SMALL(Dong6,ROWS($1:80)),))</f>
        <v>7660000</v>
      </c>
    </row>
    <row r="91" spans="1:9" ht="21" customHeight="1">
      <c r="A91" s="375">
        <f ca="1">IF(ROWS($1:81)&gt;COUNT(Dong6),"",OFFSET(TH!C$1,SMALL(Dong6,ROWS($1:81)),))</f>
        <v>41220</v>
      </c>
      <c r="B91" s="376" t="str">
        <f ca="1">IF(ROWS($1:81)&gt;COUNT(Dong6),"",OFFSET(TH!D$1,SMALL(Dong6,ROWS($1:81)),))</f>
        <v>X10</v>
      </c>
      <c r="C91" s="375">
        <f ca="1">IF(ROWS($1:81)&gt;COUNT(Dong6),"",OFFSET(TH!E$1,SMALL(Dong6,ROWS($1:81)),))</f>
        <v>41220</v>
      </c>
      <c r="D91" s="377" t="str">
        <f ca="1">IF(ROWS($1:81)&gt;COUNT(Dong6),"",OFFSET(TH!F$1,SMALL(Dong6,ROWS($1:81)),))</f>
        <v>VAT Thùng</v>
      </c>
      <c r="E91" s="376">
        <f t="shared" ca="1" si="2"/>
        <v>81</v>
      </c>
      <c r="F91" s="378" t="str">
        <f ca="1">IF(ROWS($1:81)&gt;COUNT(Dong6),"",OFFSET(TH!L$1,SMALL(Dong6,ROWS($1:81)),))</f>
        <v>131</v>
      </c>
      <c r="G91" s="378" t="str">
        <f ca="1">IF(ROWS($1:81)&gt;COUNT(Dong6),"",OFFSET(TH!M$1,SMALL(Dong6,ROWS($1:81)),))</f>
        <v>3331</v>
      </c>
      <c r="H91" s="351">
        <f ca="1">IF(ROWS($1:81)&gt;COUNT(Dong6),"",OFFSET(TH!K$1,SMALL(Dong6,ROWS($1:81)),))</f>
        <v>766000</v>
      </c>
      <c r="I91" s="351">
        <f ca="1">IF(ROWS($1:81)&gt;COUNT(Dong6),"",OFFSET(TH!K$1,SMALL(Dong6,ROWS($1:81)),))</f>
        <v>766000</v>
      </c>
    </row>
    <row r="92" spans="1:9" ht="21" customHeight="1">
      <c r="A92" s="375">
        <f ca="1">IF(ROWS($1:82)&gt;COUNT(Dong6),"",OFFSET(TH!C$1,SMALL(Dong6,ROWS($1:82)),))</f>
        <v>41221</v>
      </c>
      <c r="B92" s="376" t="str">
        <f ca="1">IF(ROWS($1:82)&gt;COUNT(Dong6),"",OFFSET(TH!D$1,SMALL(Dong6,ROWS($1:82)),))</f>
        <v>C14</v>
      </c>
      <c r="C92" s="375">
        <f ca="1">IF(ROWS($1:82)&gt;COUNT(Dong6),"",OFFSET(TH!E$1,SMALL(Dong6,ROWS($1:82)),))</f>
        <v>41221</v>
      </c>
      <c r="D92" s="377" t="str">
        <f ca="1">IF(ROWS($1:82)&gt;COUNT(Dong6),"",OFFSET(TH!F$1,SMALL(Dong6,ROWS($1:82)),))</f>
        <v>Vật liệu xây dựng</v>
      </c>
      <c r="E92" s="376">
        <f t="shared" ca="1" si="2"/>
        <v>82</v>
      </c>
      <c r="F92" s="378" t="str">
        <f ca="1">IF(ROWS($1:82)&gt;COUNT(Dong6),"",OFFSET(TH!L$1,SMALL(Dong6,ROWS($1:82)),))</f>
        <v>642</v>
      </c>
      <c r="G92" s="378" t="str">
        <f ca="1">IF(ROWS($1:82)&gt;COUNT(Dong6),"",OFFSET(TH!M$1,SMALL(Dong6,ROWS($1:82)),))</f>
        <v>1111</v>
      </c>
      <c r="H92" s="351">
        <f ca="1">IF(ROWS($1:82)&gt;COUNT(Dong6),"",OFFSET(TH!K$1,SMALL(Dong6,ROWS($1:82)),))</f>
        <v>4372550</v>
      </c>
      <c r="I92" s="351">
        <f ca="1">IF(ROWS($1:82)&gt;COUNT(Dong6),"",OFFSET(TH!K$1,SMALL(Dong6,ROWS($1:82)),))</f>
        <v>4372550</v>
      </c>
    </row>
    <row r="93" spans="1:9" ht="21" customHeight="1">
      <c r="A93" s="375">
        <f ca="1">IF(ROWS($1:83)&gt;COUNT(Dong6),"",OFFSET(TH!C$1,SMALL(Dong6,ROWS($1:83)),))</f>
        <v>41221</v>
      </c>
      <c r="B93" s="376" t="str">
        <f ca="1">IF(ROWS($1:83)&gt;COUNT(Dong6),"",OFFSET(TH!D$1,SMALL(Dong6,ROWS($1:83)),))</f>
        <v>C14</v>
      </c>
      <c r="C93" s="375">
        <f ca="1">IF(ROWS($1:83)&gt;COUNT(Dong6),"",OFFSET(TH!E$1,SMALL(Dong6,ROWS($1:83)),))</f>
        <v>41221</v>
      </c>
      <c r="D93" s="377" t="str">
        <f ca="1">IF(ROWS($1:83)&gt;COUNT(Dong6),"",OFFSET(TH!F$1,SMALL(Dong6,ROWS($1:83)),))</f>
        <v>VAT Vật liệu xây dựng</v>
      </c>
      <c r="E93" s="376">
        <f t="shared" ca="1" si="2"/>
        <v>83</v>
      </c>
      <c r="F93" s="378" t="str">
        <f ca="1">IF(ROWS($1:83)&gt;COUNT(Dong6),"",OFFSET(TH!L$1,SMALL(Dong6,ROWS($1:83)),))</f>
        <v>1331</v>
      </c>
      <c r="G93" s="378" t="str">
        <f ca="1">IF(ROWS($1:83)&gt;COUNT(Dong6),"",OFFSET(TH!M$1,SMALL(Dong6,ROWS($1:83)),))</f>
        <v>1111</v>
      </c>
      <c r="H93" s="351">
        <f ca="1">IF(ROWS($1:83)&gt;COUNT(Dong6),"",OFFSET(TH!K$1,SMALL(Dong6,ROWS($1:83)),))</f>
        <v>437255</v>
      </c>
      <c r="I93" s="351">
        <f ca="1">IF(ROWS($1:83)&gt;COUNT(Dong6),"",OFFSET(TH!K$1,SMALL(Dong6,ROWS($1:83)),))</f>
        <v>437255</v>
      </c>
    </row>
    <row r="94" spans="1:9" ht="21" customHeight="1">
      <c r="A94" s="375">
        <f ca="1">IF(ROWS($1:84)&gt;COUNT(Dong6),"",OFFSET(TH!C$1,SMALL(Dong6,ROWS($1:84)),))</f>
        <v>41221</v>
      </c>
      <c r="B94" s="376" t="str">
        <f ca="1">IF(ROWS($1:84)&gt;COUNT(Dong6),"",OFFSET(TH!D$1,SMALL(Dong6,ROWS($1:84)),))</f>
        <v>X11</v>
      </c>
      <c r="C94" s="375">
        <f ca="1">IF(ROWS($1:84)&gt;COUNT(Dong6),"",OFFSET(TH!E$1,SMALL(Dong6,ROWS($1:84)),))</f>
        <v>41221</v>
      </c>
      <c r="D94" s="377" t="str">
        <f ca="1">IF(ROWS($1:84)&gt;COUNT(Dong6),"",OFFSET(TH!F$1,SMALL(Dong6,ROWS($1:84)),))</f>
        <v>Thùng carton (51,5x22x32)</v>
      </c>
      <c r="E94" s="376">
        <f t="shared" ca="1" si="2"/>
        <v>84</v>
      </c>
      <c r="F94" s="378" t="str">
        <f ca="1">IF(ROWS($1:84)&gt;COUNT(Dong6),"",OFFSET(TH!L$1,SMALL(Dong6,ROWS($1:84)),))</f>
        <v>131</v>
      </c>
      <c r="G94" s="378" t="str">
        <f ca="1">IF(ROWS($1:84)&gt;COUNT(Dong6),"",OFFSET(TH!M$1,SMALL(Dong6,ROWS($1:84)),))</f>
        <v>5112</v>
      </c>
      <c r="H94" s="351">
        <f ca="1">IF(ROWS($1:84)&gt;COUNT(Dong6),"",OFFSET(TH!K$1,SMALL(Dong6,ROWS($1:84)),))</f>
        <v>6342000</v>
      </c>
      <c r="I94" s="351">
        <f ca="1">IF(ROWS($1:84)&gt;COUNT(Dong6),"",OFFSET(TH!K$1,SMALL(Dong6,ROWS($1:84)),))</f>
        <v>6342000</v>
      </c>
    </row>
    <row r="95" spans="1:9" ht="21" customHeight="1">
      <c r="A95" s="375">
        <f ca="1">IF(ROWS($1:85)&gt;COUNT(Dong6),"",OFFSET(TH!C$1,SMALL(Dong6,ROWS($1:85)),))</f>
        <v>41221</v>
      </c>
      <c r="B95" s="376" t="str">
        <f ca="1">IF(ROWS($1:85)&gt;COUNT(Dong6),"",OFFSET(TH!D$1,SMALL(Dong6,ROWS($1:85)),))</f>
        <v>X11</v>
      </c>
      <c r="C95" s="375">
        <f ca="1">IF(ROWS($1:85)&gt;COUNT(Dong6),"",OFFSET(TH!E$1,SMALL(Dong6,ROWS($1:85)),))</f>
        <v>41221</v>
      </c>
      <c r="D95" s="377" t="str">
        <f ca="1">IF(ROWS($1:85)&gt;COUNT(Dong6),"",OFFSET(TH!F$1,SMALL(Dong6,ROWS($1:85)),))</f>
        <v>VAT Thùng</v>
      </c>
      <c r="E95" s="376">
        <f t="shared" ca="1" si="2"/>
        <v>85</v>
      </c>
      <c r="F95" s="378" t="str">
        <f ca="1">IF(ROWS($1:85)&gt;COUNT(Dong6),"",OFFSET(TH!L$1,SMALL(Dong6,ROWS($1:85)),))</f>
        <v>131</v>
      </c>
      <c r="G95" s="378" t="str">
        <f ca="1">IF(ROWS($1:85)&gt;COUNT(Dong6),"",OFFSET(TH!M$1,SMALL(Dong6,ROWS($1:85)),))</f>
        <v>3331</v>
      </c>
      <c r="H95" s="351">
        <f ca="1">IF(ROWS($1:85)&gt;COUNT(Dong6),"",OFFSET(TH!K$1,SMALL(Dong6,ROWS($1:85)),))</f>
        <v>634200</v>
      </c>
      <c r="I95" s="351">
        <f ca="1">IF(ROWS($1:85)&gt;COUNT(Dong6),"",OFFSET(TH!K$1,SMALL(Dong6,ROWS($1:85)),))</f>
        <v>634200</v>
      </c>
    </row>
    <row r="96" spans="1:9" ht="21" customHeight="1">
      <c r="A96" s="375">
        <f ca="1">IF(ROWS($1:86)&gt;COUNT(Dong6),"",OFFSET(TH!C$1,SMALL(Dong6,ROWS($1:86)),))</f>
        <v>41221</v>
      </c>
      <c r="B96" s="376" t="str">
        <f ca="1">IF(ROWS($1:86)&gt;COUNT(Dong6),"",OFFSET(TH!D$1,SMALL(Dong6,ROWS($1:86)),))</f>
        <v>T09</v>
      </c>
      <c r="C96" s="375">
        <f ca="1">IF(ROWS($1:86)&gt;COUNT(Dong6),"",OFFSET(TH!E$1,SMALL(Dong6,ROWS($1:86)),))</f>
        <v>41221</v>
      </c>
      <c r="D96" s="377" t="str">
        <f ca="1">IF(ROWS($1:86)&gt;COUNT(Dong6),"",OFFSET(TH!F$1,SMALL(Dong6,ROWS($1:86)),))</f>
        <v>Thu tiền hàng</v>
      </c>
      <c r="E96" s="376">
        <f t="shared" ca="1" si="2"/>
        <v>86</v>
      </c>
      <c r="F96" s="378" t="str">
        <f ca="1">IF(ROWS($1:86)&gt;COUNT(Dong6),"",OFFSET(TH!L$1,SMALL(Dong6,ROWS($1:86)),))</f>
        <v>1111</v>
      </c>
      <c r="G96" s="378" t="str">
        <f ca="1">IF(ROWS($1:86)&gt;COUNT(Dong6),"",OFFSET(TH!M$1,SMALL(Dong6,ROWS($1:86)),))</f>
        <v>131</v>
      </c>
      <c r="H96" s="351">
        <f ca="1">IF(ROWS($1:86)&gt;COUNT(Dong6),"",OFFSET(TH!K$1,SMALL(Dong6,ROWS($1:86)),))</f>
        <v>6976200</v>
      </c>
      <c r="I96" s="351">
        <f ca="1">IF(ROWS($1:86)&gt;COUNT(Dong6),"",OFFSET(TH!K$1,SMALL(Dong6,ROWS($1:86)),))</f>
        <v>6976200</v>
      </c>
    </row>
    <row r="97" spans="1:9" ht="21" customHeight="1">
      <c r="A97" s="375">
        <f ca="1">IF(ROWS($1:87)&gt;COUNT(Dong6),"",OFFSET(TH!C$1,SMALL(Dong6,ROWS($1:87)),))</f>
        <v>41222</v>
      </c>
      <c r="B97" s="376" t="str">
        <f ca="1">IF(ROWS($1:87)&gt;COUNT(Dong6),"",OFFSET(TH!D$1,SMALL(Dong6,ROWS($1:87)),))</f>
        <v>C15</v>
      </c>
      <c r="C97" s="375">
        <f ca="1">IF(ROWS($1:87)&gt;COUNT(Dong6),"",OFFSET(TH!E$1,SMALL(Dong6,ROWS($1:87)),))</f>
        <v>41222</v>
      </c>
      <c r="D97" s="377" t="str">
        <f ca="1">IF(ROWS($1:87)&gt;COUNT(Dong6),"",OFFSET(TH!F$1,SMALL(Dong6,ROWS($1:87)),))</f>
        <v>Thuế GTGT hàng sản xuất</v>
      </c>
      <c r="E97" s="376">
        <f t="shared" ca="1" si="2"/>
        <v>87</v>
      </c>
      <c r="F97" s="378" t="str">
        <f ca="1">IF(ROWS($1:87)&gt;COUNT(Dong6),"",OFFSET(TH!L$1,SMALL(Dong6,ROWS($1:87)),))</f>
        <v>3388</v>
      </c>
      <c r="G97" s="378" t="str">
        <f ca="1">IF(ROWS($1:87)&gt;COUNT(Dong6),"",OFFSET(TH!M$1,SMALL(Dong6,ROWS($1:87)),))</f>
        <v>1111</v>
      </c>
      <c r="H97" s="351">
        <f ca="1">IF(ROWS($1:87)&gt;COUNT(Dong6),"",OFFSET(TH!K$1,SMALL(Dong6,ROWS($1:87)),))</f>
        <v>505710</v>
      </c>
      <c r="I97" s="351">
        <f ca="1">IF(ROWS($1:87)&gt;COUNT(Dong6),"",OFFSET(TH!K$1,SMALL(Dong6,ROWS($1:87)),))</f>
        <v>505710</v>
      </c>
    </row>
    <row r="98" spans="1:9" ht="21" customHeight="1">
      <c r="A98" s="375">
        <f ca="1">IF(ROWS($1:88)&gt;COUNT(Dong6),"",OFFSET(TH!C$1,SMALL(Dong6,ROWS($1:88)),))</f>
        <v>41229</v>
      </c>
      <c r="B98" s="376" t="str">
        <f ca="1">IF(ROWS($1:88)&gt;COUNT(Dong6),"",OFFSET(TH!D$1,SMALL(Dong6,ROWS($1:88)),))</f>
        <v>X12</v>
      </c>
      <c r="C98" s="375">
        <f ca="1">IF(ROWS($1:88)&gt;COUNT(Dong6),"",OFFSET(TH!E$1,SMALL(Dong6,ROWS($1:88)),))</f>
        <v>41229</v>
      </c>
      <c r="D98" s="377" t="str">
        <f ca="1">IF(ROWS($1:88)&gt;COUNT(Dong6),"",OFFSET(TH!F$1,SMALL(Dong6,ROWS($1:88)),))</f>
        <v>Thùng carton (51,5x25,5x25,5)</v>
      </c>
      <c r="E98" s="376">
        <f t="shared" ca="1" si="2"/>
        <v>88</v>
      </c>
      <c r="F98" s="378" t="str">
        <f ca="1">IF(ROWS($1:88)&gt;COUNT(Dong6),"",OFFSET(TH!L$1,SMALL(Dong6,ROWS($1:88)),))</f>
        <v>131</v>
      </c>
      <c r="G98" s="378" t="str">
        <f ca="1">IF(ROWS($1:88)&gt;COUNT(Dong6),"",OFFSET(TH!M$1,SMALL(Dong6,ROWS($1:88)),))</f>
        <v>5112</v>
      </c>
      <c r="H98" s="351">
        <f ca="1">IF(ROWS($1:88)&gt;COUNT(Dong6),"",OFFSET(TH!K$1,SMALL(Dong6,ROWS($1:88)),))</f>
        <v>6200000</v>
      </c>
      <c r="I98" s="351">
        <f ca="1">IF(ROWS($1:88)&gt;COUNT(Dong6),"",OFFSET(TH!K$1,SMALL(Dong6,ROWS($1:88)),))</f>
        <v>6200000</v>
      </c>
    </row>
    <row r="99" spans="1:9" ht="21" customHeight="1">
      <c r="A99" s="375">
        <f ca="1">IF(ROWS($1:89)&gt;COUNT(Dong6),"",OFFSET(TH!C$1,SMALL(Dong6,ROWS($1:89)),))</f>
        <v>41229</v>
      </c>
      <c r="B99" s="376" t="str">
        <f ca="1">IF(ROWS($1:89)&gt;COUNT(Dong6),"",OFFSET(TH!D$1,SMALL(Dong6,ROWS($1:89)),))</f>
        <v>X12</v>
      </c>
      <c r="C99" s="375">
        <f ca="1">IF(ROWS($1:89)&gt;COUNT(Dong6),"",OFFSET(TH!E$1,SMALL(Dong6,ROWS($1:89)),))</f>
        <v>41229</v>
      </c>
      <c r="D99" s="377" t="str">
        <f ca="1">IF(ROWS($1:89)&gt;COUNT(Dong6),"",OFFSET(TH!F$1,SMALL(Dong6,ROWS($1:89)),))</f>
        <v>VAT Thùng</v>
      </c>
      <c r="E99" s="376">
        <f t="shared" ca="1" si="2"/>
        <v>89</v>
      </c>
      <c r="F99" s="378" t="str">
        <f ca="1">IF(ROWS($1:89)&gt;COUNT(Dong6),"",OFFSET(TH!L$1,SMALL(Dong6,ROWS($1:89)),))</f>
        <v>131</v>
      </c>
      <c r="G99" s="378" t="str">
        <f ca="1">IF(ROWS($1:89)&gt;COUNT(Dong6),"",OFFSET(TH!M$1,SMALL(Dong6,ROWS($1:89)),))</f>
        <v>3331</v>
      </c>
      <c r="H99" s="351">
        <f ca="1">IF(ROWS($1:89)&gt;COUNT(Dong6),"",OFFSET(TH!K$1,SMALL(Dong6,ROWS($1:89)),))</f>
        <v>620000</v>
      </c>
      <c r="I99" s="351">
        <f ca="1">IF(ROWS($1:89)&gt;COUNT(Dong6),"",OFFSET(TH!K$1,SMALL(Dong6,ROWS($1:89)),))</f>
        <v>620000</v>
      </c>
    </row>
    <row r="100" spans="1:9" ht="21" customHeight="1">
      <c r="A100" s="375">
        <f ca="1">IF(ROWS($1:90)&gt;COUNT(Dong6),"",OFFSET(TH!C$1,SMALL(Dong6,ROWS($1:90)),))</f>
        <v>41229</v>
      </c>
      <c r="B100" s="376" t="str">
        <f ca="1">IF(ROWS($1:90)&gt;COUNT(Dong6),"",OFFSET(TH!D$1,SMALL(Dong6,ROWS($1:90)),))</f>
        <v>T10</v>
      </c>
      <c r="C100" s="375">
        <f ca="1">IF(ROWS($1:90)&gt;COUNT(Dong6),"",OFFSET(TH!E$1,SMALL(Dong6,ROWS($1:90)),))</f>
        <v>41229</v>
      </c>
      <c r="D100" s="377" t="str">
        <f ca="1">IF(ROWS($1:90)&gt;COUNT(Dong6),"",OFFSET(TH!F$1,SMALL(Dong6,ROWS($1:90)),))</f>
        <v>Thu tiền hàng</v>
      </c>
      <c r="E100" s="376">
        <f t="shared" ca="1" si="2"/>
        <v>90</v>
      </c>
      <c r="F100" s="378" t="str">
        <f ca="1">IF(ROWS($1:90)&gt;COUNT(Dong6),"",OFFSET(TH!L$1,SMALL(Dong6,ROWS($1:90)),))</f>
        <v>1111</v>
      </c>
      <c r="G100" s="378" t="str">
        <f ca="1">IF(ROWS($1:90)&gt;COUNT(Dong6),"",OFFSET(TH!M$1,SMALL(Dong6,ROWS($1:90)),))</f>
        <v>131</v>
      </c>
      <c r="H100" s="351">
        <f ca="1">IF(ROWS($1:90)&gt;COUNT(Dong6),"",OFFSET(TH!K$1,SMALL(Dong6,ROWS($1:90)),))</f>
        <v>6820000</v>
      </c>
      <c r="I100" s="351">
        <f ca="1">IF(ROWS($1:90)&gt;COUNT(Dong6),"",OFFSET(TH!K$1,SMALL(Dong6,ROWS($1:90)),))</f>
        <v>6820000</v>
      </c>
    </row>
    <row r="101" spans="1:9" ht="21" customHeight="1">
      <c r="A101" s="375">
        <f ca="1">IF(ROWS($1:91)&gt;COUNT(Dong6),"",OFFSET(TH!C$1,SMALL(Dong6,ROWS($1:91)),))</f>
        <v>41230</v>
      </c>
      <c r="B101" s="376" t="str">
        <f ca="1">IF(ROWS($1:91)&gt;COUNT(Dong6),"",OFFSET(TH!D$1,SMALL(Dong6,ROWS($1:91)),))</f>
        <v>N08</v>
      </c>
      <c r="C101" s="375">
        <f ca="1">IF(ROWS($1:91)&gt;COUNT(Dong6),"",OFFSET(TH!E$1,SMALL(Dong6,ROWS($1:91)),))</f>
        <v>41230</v>
      </c>
      <c r="D101" s="377" t="str">
        <f ca="1">IF(ROWS($1:91)&gt;COUNT(Dong6),"",OFFSET(TH!F$1,SMALL(Dong6,ROWS($1:91)),))</f>
        <v>Giấy tấm 1N +2X (105x158)</v>
      </c>
      <c r="E101" s="376">
        <f t="shared" ca="1" si="2"/>
        <v>91</v>
      </c>
      <c r="F101" s="378" t="str">
        <f ca="1">IF(ROWS($1:91)&gt;COUNT(Dong6),"",OFFSET(TH!L$1,SMALL(Dong6,ROWS($1:91)),))</f>
        <v>156</v>
      </c>
      <c r="G101" s="378" t="str">
        <f ca="1">IF(ROWS($1:91)&gt;COUNT(Dong6),"",OFFSET(TH!M$1,SMALL(Dong6,ROWS($1:91)),))</f>
        <v>331</v>
      </c>
      <c r="H101" s="351">
        <f ca="1">IF(ROWS($1:91)&gt;COUNT(Dong6),"",OFFSET(TH!K$1,SMALL(Dong6,ROWS($1:91)),))</f>
        <v>10286000</v>
      </c>
      <c r="I101" s="351">
        <f ca="1">IF(ROWS($1:91)&gt;COUNT(Dong6),"",OFFSET(TH!K$1,SMALL(Dong6,ROWS($1:91)),))</f>
        <v>10286000</v>
      </c>
    </row>
    <row r="102" spans="1:9" ht="21" customHeight="1">
      <c r="A102" s="375">
        <f ca="1">IF(ROWS($1:92)&gt;COUNT(Dong6),"",OFFSET(TH!C$1,SMALL(Dong6,ROWS($1:92)),))</f>
        <v>41230</v>
      </c>
      <c r="B102" s="376" t="str">
        <f ca="1">IF(ROWS($1:92)&gt;COUNT(Dong6),"",OFFSET(TH!D$1,SMALL(Dong6,ROWS($1:92)),))</f>
        <v>N08</v>
      </c>
      <c r="C102" s="375">
        <f ca="1">IF(ROWS($1:92)&gt;COUNT(Dong6),"",OFFSET(TH!E$1,SMALL(Dong6,ROWS($1:92)),))</f>
        <v>41230</v>
      </c>
      <c r="D102" s="377" t="str">
        <f ca="1">IF(ROWS($1:92)&gt;COUNT(Dong6),"",OFFSET(TH!F$1,SMALL(Dong6,ROWS($1:92)),))</f>
        <v>Giấy tấm 1N +2X (105x162)</v>
      </c>
      <c r="E102" s="376">
        <f t="shared" ca="1" si="2"/>
        <v>92</v>
      </c>
      <c r="F102" s="378" t="str">
        <f ca="1">IF(ROWS($1:92)&gt;COUNT(Dong6),"",OFFSET(TH!L$1,SMALL(Dong6,ROWS($1:92)),))</f>
        <v>156</v>
      </c>
      <c r="G102" s="378" t="str">
        <f ca="1">IF(ROWS($1:92)&gt;COUNT(Dong6),"",OFFSET(TH!M$1,SMALL(Dong6,ROWS($1:92)),))</f>
        <v>331</v>
      </c>
      <c r="H102" s="351">
        <f ca="1">IF(ROWS($1:92)&gt;COUNT(Dong6),"",OFFSET(TH!K$1,SMALL(Dong6,ROWS($1:92)),))</f>
        <v>1845550</v>
      </c>
      <c r="I102" s="351">
        <f ca="1">IF(ROWS($1:92)&gt;COUNT(Dong6),"",OFFSET(TH!K$1,SMALL(Dong6,ROWS($1:92)),))</f>
        <v>1845550</v>
      </c>
    </row>
    <row r="103" spans="1:9" ht="21" customHeight="1">
      <c r="A103" s="375">
        <f ca="1">IF(ROWS($1:93)&gt;COUNT(Dong6),"",OFFSET(TH!C$1,SMALL(Dong6,ROWS($1:93)),))</f>
        <v>41230</v>
      </c>
      <c r="B103" s="376" t="str">
        <f ca="1">IF(ROWS($1:93)&gt;COUNT(Dong6),"",OFFSET(TH!D$1,SMALL(Dong6,ROWS($1:93)),))</f>
        <v>N08</v>
      </c>
      <c r="C103" s="375">
        <f ca="1">IF(ROWS($1:93)&gt;COUNT(Dong6),"",OFFSET(TH!E$1,SMALL(Dong6,ROWS($1:93)),))</f>
        <v>41230</v>
      </c>
      <c r="D103" s="377" t="str">
        <f ca="1">IF(ROWS($1:93)&gt;COUNT(Dong6),"",OFFSET(TH!F$1,SMALL(Dong6,ROWS($1:93)),))</f>
        <v>Giấy tấm 1N +2X (150x92)</v>
      </c>
      <c r="E103" s="376">
        <f t="shared" ca="1" si="2"/>
        <v>93</v>
      </c>
      <c r="F103" s="378" t="str">
        <f ca="1">IF(ROWS($1:93)&gt;COUNT(Dong6),"",OFFSET(TH!L$1,SMALL(Dong6,ROWS($1:93)),))</f>
        <v>156</v>
      </c>
      <c r="G103" s="378" t="str">
        <f ca="1">IF(ROWS($1:93)&gt;COUNT(Dong6),"",OFFSET(TH!M$1,SMALL(Dong6,ROWS($1:93)),))</f>
        <v>331</v>
      </c>
      <c r="H103" s="351">
        <f ca="1">IF(ROWS($1:93)&gt;COUNT(Dong6),"",OFFSET(TH!K$1,SMALL(Dong6,ROWS($1:93)),))</f>
        <v>5133600</v>
      </c>
      <c r="I103" s="351">
        <f ca="1">IF(ROWS($1:93)&gt;COUNT(Dong6),"",OFFSET(TH!K$1,SMALL(Dong6,ROWS($1:93)),))</f>
        <v>5133600</v>
      </c>
    </row>
    <row r="104" spans="1:9" ht="21" customHeight="1">
      <c r="A104" s="375">
        <f ca="1">IF(ROWS($1:94)&gt;COUNT(Dong6),"",OFFSET(TH!C$1,SMALL(Dong6,ROWS($1:94)),))</f>
        <v>41230</v>
      </c>
      <c r="B104" s="376" t="str">
        <f ca="1">IF(ROWS($1:94)&gt;COUNT(Dong6),"",OFFSET(TH!D$1,SMALL(Dong6,ROWS($1:94)),))</f>
        <v>N08</v>
      </c>
      <c r="C104" s="375">
        <f ca="1">IF(ROWS($1:94)&gt;COUNT(Dong6),"",OFFSET(TH!E$1,SMALL(Dong6,ROWS($1:94)),))</f>
        <v>41230</v>
      </c>
      <c r="D104" s="377" t="str">
        <f ca="1">IF(ROWS($1:94)&gt;COUNT(Dong6),"",OFFSET(TH!F$1,SMALL(Dong6,ROWS($1:94)),))</f>
        <v xml:space="preserve">VAT Giấy tấm </v>
      </c>
      <c r="E104" s="376">
        <f t="shared" ca="1" si="2"/>
        <v>94</v>
      </c>
      <c r="F104" s="378" t="str">
        <f ca="1">IF(ROWS($1:94)&gt;COUNT(Dong6),"",OFFSET(TH!L$1,SMALL(Dong6,ROWS($1:94)),))</f>
        <v>1331</v>
      </c>
      <c r="G104" s="378" t="str">
        <f ca="1">IF(ROWS($1:94)&gt;COUNT(Dong6),"",OFFSET(TH!M$1,SMALL(Dong6,ROWS($1:94)),))</f>
        <v>331</v>
      </c>
      <c r="H104" s="351">
        <f ca="1">IF(ROWS($1:94)&gt;COUNT(Dong6),"",OFFSET(TH!K$1,SMALL(Dong6,ROWS($1:94)),))</f>
        <v>1726515</v>
      </c>
      <c r="I104" s="351">
        <f ca="1">IF(ROWS($1:94)&gt;COUNT(Dong6),"",OFFSET(TH!K$1,SMALL(Dong6,ROWS($1:94)),))</f>
        <v>1726515</v>
      </c>
    </row>
    <row r="105" spans="1:9" ht="21" customHeight="1">
      <c r="A105" s="375">
        <f ca="1">IF(ROWS($1:95)&gt;COUNT(Dong6),"",OFFSET(TH!C$1,SMALL(Dong6,ROWS($1:95)),))</f>
        <v>41230</v>
      </c>
      <c r="B105" s="376" t="str">
        <f ca="1">IF(ROWS($1:95)&gt;COUNT(Dong6),"",OFFSET(TH!D$1,SMALL(Dong6,ROWS($1:95)),))</f>
        <v>C16</v>
      </c>
      <c r="C105" s="375">
        <f ca="1">IF(ROWS($1:95)&gt;COUNT(Dong6),"",OFFSET(TH!E$1,SMALL(Dong6,ROWS($1:95)),))</f>
        <v>41230</v>
      </c>
      <c r="D105" s="377" t="str">
        <f ca="1">IF(ROWS($1:95)&gt;COUNT(Dong6),"",OFFSET(TH!F$1,SMALL(Dong6,ROWS($1:95)),))</f>
        <v>Thanh toán tiền hàng</v>
      </c>
      <c r="E105" s="376">
        <f t="shared" ca="1" si="2"/>
        <v>95</v>
      </c>
      <c r="F105" s="378" t="str">
        <f ca="1">IF(ROWS($1:95)&gt;COUNT(Dong6),"",OFFSET(TH!L$1,SMALL(Dong6,ROWS($1:95)),))</f>
        <v>331</v>
      </c>
      <c r="G105" s="378" t="str">
        <f ca="1">IF(ROWS($1:95)&gt;COUNT(Dong6),"",OFFSET(TH!M$1,SMALL(Dong6,ROWS($1:95)),))</f>
        <v>1111</v>
      </c>
      <c r="H105" s="351">
        <f ca="1">IF(ROWS($1:95)&gt;COUNT(Dong6),"",OFFSET(TH!K$1,SMALL(Dong6,ROWS($1:95)),))</f>
        <v>18991665</v>
      </c>
      <c r="I105" s="351">
        <f ca="1">IF(ROWS($1:95)&gt;COUNT(Dong6),"",OFFSET(TH!K$1,SMALL(Dong6,ROWS($1:95)),))</f>
        <v>18991665</v>
      </c>
    </row>
    <row r="106" spans="1:9" ht="21" customHeight="1">
      <c r="A106" s="375">
        <f ca="1">IF(ROWS($1:96)&gt;COUNT(Dong6),"",OFFSET(TH!C$1,SMALL(Dong6,ROWS($1:96)),))</f>
        <v>41233</v>
      </c>
      <c r="B106" s="376" t="str">
        <f ca="1">IF(ROWS($1:96)&gt;COUNT(Dong6),"",OFFSET(TH!D$1,SMALL(Dong6,ROWS($1:96)),))</f>
        <v>C17</v>
      </c>
      <c r="C106" s="375">
        <f ca="1">IF(ROWS($1:96)&gt;COUNT(Dong6),"",OFFSET(TH!E$1,SMALL(Dong6,ROWS($1:96)),))</f>
        <v>41233</v>
      </c>
      <c r="D106" s="377" t="str">
        <f ca="1">IF(ROWS($1:96)&gt;COUNT(Dong6),"",OFFSET(TH!F$1,SMALL(Dong6,ROWS($1:96)),))</f>
        <v>Thanh toán tiền viễn thông</v>
      </c>
      <c r="E106" s="376">
        <f t="shared" ca="1" si="2"/>
        <v>96</v>
      </c>
      <c r="F106" s="378" t="str">
        <f ca="1">IF(ROWS($1:96)&gt;COUNT(Dong6),"",OFFSET(TH!L$1,SMALL(Dong6,ROWS($1:96)),))</f>
        <v>642</v>
      </c>
      <c r="G106" s="378" t="str">
        <f ca="1">IF(ROWS($1:96)&gt;COUNT(Dong6),"",OFFSET(TH!M$1,SMALL(Dong6,ROWS($1:96)),))</f>
        <v>1111</v>
      </c>
      <c r="H106" s="351">
        <f ca="1">IF(ROWS($1:96)&gt;COUNT(Dong6),"",OFFSET(TH!K$1,SMALL(Dong6,ROWS($1:96)),))</f>
        <v>254545</v>
      </c>
      <c r="I106" s="351">
        <f ca="1">IF(ROWS($1:96)&gt;COUNT(Dong6),"",OFFSET(TH!K$1,SMALL(Dong6,ROWS($1:96)),))</f>
        <v>254545</v>
      </c>
    </row>
    <row r="107" spans="1:9" ht="21" customHeight="1">
      <c r="A107" s="375">
        <f ca="1">IF(ROWS($1:97)&gt;COUNT(Dong6),"",OFFSET(TH!C$1,SMALL(Dong6,ROWS($1:97)),))</f>
        <v>41233</v>
      </c>
      <c r="B107" s="376" t="str">
        <f ca="1">IF(ROWS($1:97)&gt;COUNT(Dong6),"",OFFSET(TH!D$1,SMALL(Dong6,ROWS($1:97)),))</f>
        <v>C17</v>
      </c>
      <c r="C107" s="375">
        <f ca="1">IF(ROWS($1:97)&gt;COUNT(Dong6),"",OFFSET(TH!E$1,SMALL(Dong6,ROWS($1:97)),))</f>
        <v>41233</v>
      </c>
      <c r="D107" s="377" t="str">
        <f ca="1">IF(ROWS($1:97)&gt;COUNT(Dong6),"",OFFSET(TH!F$1,SMALL(Dong6,ROWS($1:97)),))</f>
        <v>VAT Thanh toán tiền viễn thông</v>
      </c>
      <c r="E107" s="376">
        <f t="shared" ca="1" si="2"/>
        <v>97</v>
      </c>
      <c r="F107" s="378" t="str">
        <f ca="1">IF(ROWS($1:97)&gt;COUNT(Dong6),"",OFFSET(TH!L$1,SMALL(Dong6,ROWS($1:97)),))</f>
        <v>1331</v>
      </c>
      <c r="G107" s="378" t="str">
        <f ca="1">IF(ROWS($1:97)&gt;COUNT(Dong6),"",OFFSET(TH!M$1,SMALL(Dong6,ROWS($1:97)),))</f>
        <v>1111</v>
      </c>
      <c r="H107" s="351">
        <f ca="1">IF(ROWS($1:97)&gt;COUNT(Dong6),"",OFFSET(TH!K$1,SMALL(Dong6,ROWS($1:97)),))</f>
        <v>25455</v>
      </c>
      <c r="I107" s="351">
        <f ca="1">IF(ROWS($1:97)&gt;COUNT(Dong6),"",OFFSET(TH!K$1,SMALL(Dong6,ROWS($1:97)),))</f>
        <v>25455</v>
      </c>
    </row>
    <row r="108" spans="1:9" ht="21" customHeight="1">
      <c r="A108" s="375">
        <f ca="1">IF(ROWS($1:98)&gt;COUNT(Dong6),"",OFFSET(TH!C$1,SMALL(Dong6,ROWS($1:98)),))</f>
        <v>41235</v>
      </c>
      <c r="B108" s="376" t="str">
        <f ca="1">IF(ROWS($1:98)&gt;COUNT(Dong6),"",OFFSET(TH!D$1,SMALL(Dong6,ROWS($1:98)),))</f>
        <v>N09</v>
      </c>
      <c r="C108" s="375">
        <f ca="1">IF(ROWS($1:98)&gt;COUNT(Dong6),"",OFFSET(TH!E$1,SMALL(Dong6,ROWS($1:98)),))</f>
        <v>41235</v>
      </c>
      <c r="D108" s="377" t="str">
        <f ca="1">IF(ROWS($1:98)&gt;COUNT(Dong6),"",OFFSET(TH!F$1,SMALL(Dong6,ROWS($1:98)),))</f>
        <v>Giấy tấm 1N +2X (115x164)</v>
      </c>
      <c r="E108" s="376">
        <f t="shared" ca="1" si="2"/>
        <v>98</v>
      </c>
      <c r="F108" s="378" t="str">
        <f ca="1">IF(ROWS($1:98)&gt;COUNT(Dong6),"",OFFSET(TH!L$1,SMALL(Dong6,ROWS($1:98)),))</f>
        <v>156</v>
      </c>
      <c r="G108" s="378" t="str">
        <f ca="1">IF(ROWS($1:98)&gt;COUNT(Dong6),"",OFFSET(TH!M$1,SMALL(Dong6,ROWS($1:98)),))</f>
        <v>331</v>
      </c>
      <c r="H108" s="351">
        <f ca="1">IF(ROWS($1:98)&gt;COUNT(Dong6),"",OFFSET(TH!K$1,SMALL(Dong6,ROWS($1:98)),))</f>
        <v>9354400</v>
      </c>
      <c r="I108" s="351">
        <f ca="1">IF(ROWS($1:98)&gt;COUNT(Dong6),"",OFFSET(TH!K$1,SMALL(Dong6,ROWS($1:98)),))</f>
        <v>9354400</v>
      </c>
    </row>
    <row r="109" spans="1:9" ht="21" customHeight="1">
      <c r="A109" s="375">
        <f ca="1">IF(ROWS($1:99)&gt;COUNT(Dong6),"",OFFSET(TH!C$1,SMALL(Dong6,ROWS($1:99)),))</f>
        <v>41235</v>
      </c>
      <c r="B109" s="376" t="str">
        <f ca="1">IF(ROWS($1:99)&gt;COUNT(Dong6),"",OFFSET(TH!D$1,SMALL(Dong6,ROWS($1:99)),))</f>
        <v>N09</v>
      </c>
      <c r="C109" s="375">
        <f ca="1">IF(ROWS($1:99)&gt;COUNT(Dong6),"",OFFSET(TH!E$1,SMALL(Dong6,ROWS($1:99)),))</f>
        <v>41235</v>
      </c>
      <c r="D109" s="377" t="str">
        <f ca="1">IF(ROWS($1:99)&gt;COUNT(Dong6),"",OFFSET(TH!F$1,SMALL(Dong6,ROWS($1:99)),))</f>
        <v>Giấy tấm 2N +3X (105x200)</v>
      </c>
      <c r="E109" s="376">
        <f t="shared" ca="1" si="2"/>
        <v>99</v>
      </c>
      <c r="F109" s="378" t="str">
        <f ca="1">IF(ROWS($1:99)&gt;COUNT(Dong6),"",OFFSET(TH!L$1,SMALL(Dong6,ROWS($1:99)),))</f>
        <v>156</v>
      </c>
      <c r="G109" s="378" t="str">
        <f ca="1">IF(ROWS($1:99)&gt;COUNT(Dong6),"",OFFSET(TH!M$1,SMALL(Dong6,ROWS($1:99)),))</f>
        <v>331</v>
      </c>
      <c r="H109" s="351">
        <f ca="1">IF(ROWS($1:99)&gt;COUNT(Dong6),"",OFFSET(TH!K$1,SMALL(Dong6,ROWS($1:99)),))</f>
        <v>6115200</v>
      </c>
      <c r="I109" s="351">
        <f ca="1">IF(ROWS($1:99)&gt;COUNT(Dong6),"",OFFSET(TH!K$1,SMALL(Dong6,ROWS($1:99)),))</f>
        <v>6115200</v>
      </c>
    </row>
    <row r="110" spans="1:9" ht="21" customHeight="1">
      <c r="A110" s="375">
        <f ca="1">IF(ROWS($1:100)&gt;COUNT(Dong6),"",OFFSET(TH!C$1,SMALL(Dong6,ROWS($1:100)),))</f>
        <v>41235</v>
      </c>
      <c r="B110" s="376" t="str">
        <f ca="1">IF(ROWS($1:100)&gt;COUNT(Dong6),"",OFFSET(TH!D$1,SMALL(Dong6,ROWS($1:100)),))</f>
        <v>N09</v>
      </c>
      <c r="C110" s="375">
        <f ca="1">IF(ROWS($1:100)&gt;COUNT(Dong6),"",OFFSET(TH!E$1,SMALL(Dong6,ROWS($1:100)),))</f>
        <v>41235</v>
      </c>
      <c r="D110" s="377" t="str">
        <f ca="1">IF(ROWS($1:100)&gt;COUNT(Dong6),"",OFFSET(TH!F$1,SMALL(Dong6,ROWS($1:100)),))</f>
        <v xml:space="preserve">VAT Giấy tấm </v>
      </c>
      <c r="E110" s="376">
        <f t="shared" ca="1" si="2"/>
        <v>100</v>
      </c>
      <c r="F110" s="378" t="str">
        <f ca="1">IF(ROWS($1:100)&gt;COUNT(Dong6),"",OFFSET(TH!L$1,SMALL(Dong6,ROWS($1:100)),))</f>
        <v>1331</v>
      </c>
      <c r="G110" s="378" t="str">
        <f ca="1">IF(ROWS($1:100)&gt;COUNT(Dong6),"",OFFSET(TH!M$1,SMALL(Dong6,ROWS($1:100)),))</f>
        <v>331</v>
      </c>
      <c r="H110" s="351">
        <f ca="1">IF(ROWS($1:100)&gt;COUNT(Dong6),"",OFFSET(TH!K$1,SMALL(Dong6,ROWS($1:100)),))</f>
        <v>1546960</v>
      </c>
      <c r="I110" s="351">
        <f ca="1">IF(ROWS($1:100)&gt;COUNT(Dong6),"",OFFSET(TH!K$1,SMALL(Dong6,ROWS($1:100)),))</f>
        <v>1546960</v>
      </c>
    </row>
    <row r="111" spans="1:9" ht="21" customHeight="1">
      <c r="A111" s="375">
        <f ca="1">IF(ROWS($1:101)&gt;COUNT(Dong6),"",OFFSET(TH!C$1,SMALL(Dong6,ROWS($1:101)),))</f>
        <v>41235</v>
      </c>
      <c r="B111" s="376" t="str">
        <f ca="1">IF(ROWS($1:101)&gt;COUNT(Dong6),"",OFFSET(TH!D$1,SMALL(Dong6,ROWS($1:101)),))</f>
        <v>C18</v>
      </c>
      <c r="C111" s="375">
        <f ca="1">IF(ROWS($1:101)&gt;COUNT(Dong6),"",OFFSET(TH!E$1,SMALL(Dong6,ROWS($1:101)),))</f>
        <v>41235</v>
      </c>
      <c r="D111" s="377" t="str">
        <f ca="1">IF(ROWS($1:101)&gt;COUNT(Dong6),"",OFFSET(TH!F$1,SMALL(Dong6,ROWS($1:101)),))</f>
        <v>Thanh toán tiền hàng</v>
      </c>
      <c r="E111" s="376">
        <f t="shared" ca="1" si="2"/>
        <v>101</v>
      </c>
      <c r="F111" s="378" t="str">
        <f ca="1">IF(ROWS($1:101)&gt;COUNT(Dong6),"",OFFSET(TH!L$1,SMALL(Dong6,ROWS($1:101)),))</f>
        <v>331</v>
      </c>
      <c r="G111" s="378" t="str">
        <f ca="1">IF(ROWS($1:101)&gt;COUNT(Dong6),"",OFFSET(TH!M$1,SMALL(Dong6,ROWS($1:101)),))</f>
        <v>1111</v>
      </c>
      <c r="H111" s="351">
        <f ca="1">IF(ROWS($1:101)&gt;COUNT(Dong6),"",OFFSET(TH!K$1,SMALL(Dong6,ROWS($1:101)),))</f>
        <v>17016560</v>
      </c>
      <c r="I111" s="351">
        <f ca="1">IF(ROWS($1:101)&gt;COUNT(Dong6),"",OFFSET(TH!K$1,SMALL(Dong6,ROWS($1:101)),))</f>
        <v>17016560</v>
      </c>
    </row>
    <row r="112" spans="1:9" ht="21" customHeight="1">
      <c r="A112" s="375">
        <f ca="1">IF(ROWS($1:102)&gt;COUNT(Dong6),"",OFFSET(TH!C$1,SMALL(Dong6,ROWS($1:102)),))</f>
        <v>41236</v>
      </c>
      <c r="B112" s="376" t="str">
        <f ca="1">IF(ROWS($1:102)&gt;COUNT(Dong6),"",OFFSET(TH!D$1,SMALL(Dong6,ROWS($1:102)),))</f>
        <v>T11</v>
      </c>
      <c r="C112" s="375">
        <f ca="1">IF(ROWS($1:102)&gt;COUNT(Dong6),"",OFFSET(TH!E$1,SMALL(Dong6,ROWS($1:102)),))</f>
        <v>41236</v>
      </c>
      <c r="D112" s="377" t="str">
        <f ca="1">IF(ROWS($1:102)&gt;COUNT(Dong6),"",OFFSET(TH!F$1,SMALL(Dong6,ROWS($1:102)),))</f>
        <v>Rút sec nhập quỹ tiền mặt</v>
      </c>
      <c r="E112" s="376">
        <f t="shared" ca="1" si="2"/>
        <v>102</v>
      </c>
      <c r="F112" s="378" t="str">
        <f ca="1">IF(ROWS($1:102)&gt;COUNT(Dong6),"",OFFSET(TH!L$1,SMALL(Dong6,ROWS($1:102)),))</f>
        <v>1111</v>
      </c>
      <c r="G112" s="378" t="str">
        <f ca="1">IF(ROWS($1:102)&gt;COUNT(Dong6),"",OFFSET(TH!M$1,SMALL(Dong6,ROWS($1:102)),))</f>
        <v>1121</v>
      </c>
      <c r="H112" s="351">
        <f ca="1">IF(ROWS($1:102)&gt;COUNT(Dong6),"",OFFSET(TH!K$1,SMALL(Dong6,ROWS($1:102)),))</f>
        <v>7500000</v>
      </c>
      <c r="I112" s="351">
        <f ca="1">IF(ROWS($1:102)&gt;COUNT(Dong6),"",OFFSET(TH!K$1,SMALL(Dong6,ROWS($1:102)),))</f>
        <v>7500000</v>
      </c>
    </row>
    <row r="113" spans="1:9" ht="21" customHeight="1">
      <c r="A113" s="375">
        <f ca="1">IF(ROWS($1:103)&gt;COUNT(Dong6),"",OFFSET(TH!C$1,SMALL(Dong6,ROWS($1:103)),))</f>
        <v>41236</v>
      </c>
      <c r="B113" s="376" t="str">
        <f ca="1">IF(ROWS($1:103)&gt;COUNT(Dong6),"",OFFSET(TH!D$1,SMALL(Dong6,ROWS($1:103)),))</f>
        <v>X13</v>
      </c>
      <c r="C113" s="375">
        <f ca="1">IF(ROWS($1:103)&gt;COUNT(Dong6),"",OFFSET(TH!E$1,SMALL(Dong6,ROWS($1:103)),))</f>
        <v>41236</v>
      </c>
      <c r="D113" s="377" t="str">
        <f ca="1">IF(ROWS($1:103)&gt;COUNT(Dong6),"",OFFSET(TH!F$1,SMALL(Dong6,ROWS($1:103)),))</f>
        <v>Thùng carton (22x22x51,5)</v>
      </c>
      <c r="E113" s="376">
        <f t="shared" ca="1" si="2"/>
        <v>103</v>
      </c>
      <c r="F113" s="378" t="str">
        <f ca="1">IF(ROWS($1:103)&gt;COUNT(Dong6),"",OFFSET(TH!L$1,SMALL(Dong6,ROWS($1:103)),))</f>
        <v>131</v>
      </c>
      <c r="G113" s="378" t="str">
        <f ca="1">IF(ROWS($1:103)&gt;COUNT(Dong6),"",OFFSET(TH!M$1,SMALL(Dong6,ROWS($1:103)),))</f>
        <v>5112</v>
      </c>
      <c r="H113" s="351">
        <f ca="1">IF(ROWS($1:103)&gt;COUNT(Dong6),"",OFFSET(TH!K$1,SMALL(Dong6,ROWS($1:103)),))</f>
        <v>5716500</v>
      </c>
      <c r="I113" s="351">
        <f ca="1">IF(ROWS($1:103)&gt;COUNT(Dong6),"",OFFSET(TH!K$1,SMALL(Dong6,ROWS($1:103)),))</f>
        <v>5716500</v>
      </c>
    </row>
    <row r="114" spans="1:9" ht="21" customHeight="1">
      <c r="A114" s="375">
        <f ca="1">IF(ROWS($1:104)&gt;COUNT(Dong6),"",OFFSET(TH!C$1,SMALL(Dong6,ROWS($1:104)),))</f>
        <v>41236</v>
      </c>
      <c r="B114" s="376" t="str">
        <f ca="1">IF(ROWS($1:104)&gt;COUNT(Dong6),"",OFFSET(TH!D$1,SMALL(Dong6,ROWS($1:104)),))</f>
        <v>X13</v>
      </c>
      <c r="C114" s="375">
        <f ca="1">IF(ROWS($1:104)&gt;COUNT(Dong6),"",OFFSET(TH!E$1,SMALL(Dong6,ROWS($1:104)),))</f>
        <v>41236</v>
      </c>
      <c r="D114" s="377" t="str">
        <f ca="1">IF(ROWS($1:104)&gt;COUNT(Dong6),"",OFFSET(TH!F$1,SMALL(Dong6,ROWS($1:104)),))</f>
        <v>Thùng carton (51,5x28x28)</v>
      </c>
      <c r="E114" s="376">
        <f t="shared" ca="1" si="2"/>
        <v>104</v>
      </c>
      <c r="F114" s="378" t="str">
        <f ca="1">IF(ROWS($1:104)&gt;COUNT(Dong6),"",OFFSET(TH!L$1,SMALL(Dong6,ROWS($1:104)),))</f>
        <v>131</v>
      </c>
      <c r="G114" s="378" t="str">
        <f ca="1">IF(ROWS($1:104)&gt;COUNT(Dong6),"",OFFSET(TH!M$1,SMALL(Dong6,ROWS($1:104)),))</f>
        <v>5112</v>
      </c>
      <c r="H114" s="351">
        <f ca="1">IF(ROWS($1:104)&gt;COUNT(Dong6),"",OFFSET(TH!K$1,SMALL(Dong6,ROWS($1:104)),))</f>
        <v>7892100</v>
      </c>
      <c r="I114" s="351">
        <f ca="1">IF(ROWS($1:104)&gt;COUNT(Dong6),"",OFFSET(TH!K$1,SMALL(Dong6,ROWS($1:104)),))</f>
        <v>7892100</v>
      </c>
    </row>
    <row r="115" spans="1:9" ht="21" customHeight="1">
      <c r="A115" s="375">
        <f ca="1">IF(ROWS($1:105)&gt;COUNT(Dong6),"",OFFSET(TH!C$1,SMALL(Dong6,ROWS($1:105)),))</f>
        <v>41236</v>
      </c>
      <c r="B115" s="376" t="str">
        <f ca="1">IF(ROWS($1:105)&gt;COUNT(Dong6),"",OFFSET(TH!D$1,SMALL(Dong6,ROWS($1:105)),))</f>
        <v>X13</v>
      </c>
      <c r="C115" s="375">
        <f ca="1">IF(ROWS($1:105)&gt;COUNT(Dong6),"",OFFSET(TH!E$1,SMALL(Dong6,ROWS($1:105)),))</f>
        <v>41236</v>
      </c>
      <c r="D115" s="377" t="str">
        <f ca="1">IF(ROWS($1:105)&gt;COUNT(Dong6),"",OFFSET(TH!F$1,SMALL(Dong6,ROWS($1:105)),))</f>
        <v>VAT Thùng</v>
      </c>
      <c r="E115" s="376">
        <f t="shared" ref="E115:E164" ca="1" si="3">IF(D115&lt;&gt;"",ROW()-10,"")</f>
        <v>105</v>
      </c>
      <c r="F115" s="378" t="str">
        <f ca="1">IF(ROWS($1:105)&gt;COUNT(Dong6),"",OFFSET(TH!L$1,SMALL(Dong6,ROWS($1:105)),))</f>
        <v>131</v>
      </c>
      <c r="G115" s="378" t="str">
        <f ca="1">IF(ROWS($1:105)&gt;COUNT(Dong6),"",OFFSET(TH!M$1,SMALL(Dong6,ROWS($1:105)),))</f>
        <v>3331</v>
      </c>
      <c r="H115" s="351">
        <f ca="1">IF(ROWS($1:105)&gt;COUNT(Dong6),"",OFFSET(TH!K$1,SMALL(Dong6,ROWS($1:105)),))</f>
        <v>1360860</v>
      </c>
      <c r="I115" s="351">
        <f ca="1">IF(ROWS($1:105)&gt;COUNT(Dong6),"",OFFSET(TH!K$1,SMALL(Dong6,ROWS($1:105)),))</f>
        <v>1360860</v>
      </c>
    </row>
    <row r="116" spans="1:9" ht="21" customHeight="1">
      <c r="A116" s="375">
        <f ca="1">IF(ROWS($1:106)&gt;COUNT(Dong6),"",OFFSET(TH!C$1,SMALL(Dong6,ROWS($1:106)),))</f>
        <v>41236</v>
      </c>
      <c r="B116" s="376" t="str">
        <f ca="1">IF(ROWS($1:106)&gt;COUNT(Dong6),"",OFFSET(TH!D$1,SMALL(Dong6,ROWS($1:106)),))</f>
        <v>T12</v>
      </c>
      <c r="C116" s="375">
        <f ca="1">IF(ROWS($1:106)&gt;COUNT(Dong6),"",OFFSET(TH!E$1,SMALL(Dong6,ROWS($1:106)),))</f>
        <v>41236</v>
      </c>
      <c r="D116" s="377" t="str">
        <f ca="1">IF(ROWS($1:106)&gt;COUNT(Dong6),"",OFFSET(TH!F$1,SMALL(Dong6,ROWS($1:106)),))</f>
        <v>Thu tiền hàng</v>
      </c>
      <c r="E116" s="376">
        <f t="shared" ca="1" si="3"/>
        <v>106</v>
      </c>
      <c r="F116" s="378" t="str">
        <f ca="1">IF(ROWS($1:106)&gt;COUNT(Dong6),"",OFFSET(TH!L$1,SMALL(Dong6,ROWS($1:106)),))</f>
        <v>1111</v>
      </c>
      <c r="G116" s="378" t="str">
        <f ca="1">IF(ROWS($1:106)&gt;COUNT(Dong6),"",OFFSET(TH!M$1,SMALL(Dong6,ROWS($1:106)),))</f>
        <v>131</v>
      </c>
      <c r="H116" s="351">
        <f ca="1">IF(ROWS($1:106)&gt;COUNT(Dong6),"",OFFSET(TH!K$1,SMALL(Dong6,ROWS($1:106)),))</f>
        <v>14969460</v>
      </c>
      <c r="I116" s="351">
        <f ca="1">IF(ROWS($1:106)&gt;COUNT(Dong6),"",OFFSET(TH!K$1,SMALL(Dong6,ROWS($1:106)),))</f>
        <v>14969460</v>
      </c>
    </row>
    <row r="117" spans="1:9" ht="21" customHeight="1">
      <c r="A117" s="375">
        <f ca="1">IF(ROWS($1:107)&gt;COUNT(Dong6),"",OFFSET(TH!C$1,SMALL(Dong6,ROWS($1:107)),))</f>
        <v>41237</v>
      </c>
      <c r="B117" s="376" t="str">
        <f ca="1">IF(ROWS($1:107)&gt;COUNT(Dong6),"",OFFSET(TH!D$1,SMALL(Dong6,ROWS($1:107)),))</f>
        <v>N10</v>
      </c>
      <c r="C117" s="375">
        <f ca="1">IF(ROWS($1:107)&gt;COUNT(Dong6),"",OFFSET(TH!E$1,SMALL(Dong6,ROWS($1:107)),))</f>
        <v>41237</v>
      </c>
      <c r="D117" s="377" t="str">
        <f ca="1">IF(ROWS($1:107)&gt;COUNT(Dong6),"",OFFSET(TH!F$1,SMALL(Dong6,ROWS($1:107)),))</f>
        <v>Giấy tấm 1N +2X (110x150)</v>
      </c>
      <c r="E117" s="376">
        <f t="shared" ca="1" si="3"/>
        <v>107</v>
      </c>
      <c r="F117" s="378" t="str">
        <f ca="1">IF(ROWS($1:107)&gt;COUNT(Dong6),"",OFFSET(TH!L$1,SMALL(Dong6,ROWS($1:107)),))</f>
        <v>156</v>
      </c>
      <c r="G117" s="378" t="str">
        <f ca="1">IF(ROWS($1:107)&gt;COUNT(Dong6),"",OFFSET(TH!M$1,SMALL(Dong6,ROWS($1:107)),))</f>
        <v>331</v>
      </c>
      <c r="H117" s="351">
        <f ca="1">IF(ROWS($1:107)&gt;COUNT(Dong6),"",OFFSET(TH!K$1,SMALL(Dong6,ROWS($1:107)),))</f>
        <v>1534500</v>
      </c>
      <c r="I117" s="351">
        <f ca="1">IF(ROWS($1:107)&gt;COUNT(Dong6),"",OFFSET(TH!K$1,SMALL(Dong6,ROWS($1:107)),))</f>
        <v>1534500</v>
      </c>
    </row>
    <row r="118" spans="1:9" ht="21" customHeight="1">
      <c r="A118" s="375">
        <f ca="1">IF(ROWS($1:108)&gt;COUNT(Dong6),"",OFFSET(TH!C$1,SMALL(Dong6,ROWS($1:108)),))</f>
        <v>41237</v>
      </c>
      <c r="B118" s="376" t="str">
        <f ca="1">IF(ROWS($1:108)&gt;COUNT(Dong6),"",OFFSET(TH!D$1,SMALL(Dong6,ROWS($1:108)),))</f>
        <v>N10</v>
      </c>
      <c r="C118" s="375">
        <f ca="1">IF(ROWS($1:108)&gt;COUNT(Dong6),"",OFFSET(TH!E$1,SMALL(Dong6,ROWS($1:108)),))</f>
        <v>41237</v>
      </c>
      <c r="D118" s="377" t="str">
        <f ca="1">IF(ROWS($1:108)&gt;COUNT(Dong6),"",OFFSET(TH!F$1,SMALL(Dong6,ROWS($1:108)),))</f>
        <v>Giấy tấm 2N +1X (105x159)</v>
      </c>
      <c r="E118" s="376">
        <f t="shared" ca="1" si="3"/>
        <v>108</v>
      </c>
      <c r="F118" s="378" t="str">
        <f ca="1">IF(ROWS($1:108)&gt;COUNT(Dong6),"",OFFSET(TH!L$1,SMALL(Dong6,ROWS($1:108)),))</f>
        <v>156</v>
      </c>
      <c r="G118" s="378" t="str">
        <f ca="1">IF(ROWS($1:108)&gt;COUNT(Dong6),"",OFFSET(TH!M$1,SMALL(Dong6,ROWS($1:108)),))</f>
        <v>331</v>
      </c>
      <c r="H118" s="351">
        <f ca="1">IF(ROWS($1:108)&gt;COUNT(Dong6),"",OFFSET(TH!K$1,SMALL(Dong6,ROWS($1:108)),))</f>
        <v>5615372</v>
      </c>
      <c r="I118" s="351">
        <f ca="1">IF(ROWS($1:108)&gt;COUNT(Dong6),"",OFFSET(TH!K$1,SMALL(Dong6,ROWS($1:108)),))</f>
        <v>5615372</v>
      </c>
    </row>
    <row r="119" spans="1:9" ht="21" customHeight="1">
      <c r="A119" s="375">
        <f ca="1">IF(ROWS($1:109)&gt;COUNT(Dong6),"",OFFSET(TH!C$1,SMALL(Dong6,ROWS($1:109)),))</f>
        <v>41237</v>
      </c>
      <c r="B119" s="376" t="str">
        <f ca="1">IF(ROWS($1:109)&gt;COUNT(Dong6),"",OFFSET(TH!D$1,SMALL(Dong6,ROWS($1:109)),))</f>
        <v>N10</v>
      </c>
      <c r="C119" s="375">
        <f ca="1">IF(ROWS($1:109)&gt;COUNT(Dong6),"",OFFSET(TH!E$1,SMALL(Dong6,ROWS($1:109)),))</f>
        <v>41237</v>
      </c>
      <c r="D119" s="377" t="str">
        <f ca="1">IF(ROWS($1:109)&gt;COUNT(Dong6),"",OFFSET(TH!F$1,SMALL(Dong6,ROWS($1:109)),))</f>
        <v xml:space="preserve">VAT Giấy tấm </v>
      </c>
      <c r="E119" s="376">
        <f t="shared" ca="1" si="3"/>
        <v>109</v>
      </c>
      <c r="F119" s="378" t="str">
        <f ca="1">IF(ROWS($1:109)&gt;COUNT(Dong6),"",OFFSET(TH!L$1,SMALL(Dong6,ROWS($1:109)),))</f>
        <v>1331</v>
      </c>
      <c r="G119" s="378" t="str">
        <f ca="1">IF(ROWS($1:109)&gt;COUNT(Dong6),"",OFFSET(TH!M$1,SMALL(Dong6,ROWS($1:109)),))</f>
        <v>331</v>
      </c>
      <c r="H119" s="351">
        <f ca="1">IF(ROWS($1:109)&gt;COUNT(Dong6),"",OFFSET(TH!K$1,SMALL(Dong6,ROWS($1:109)),))</f>
        <v>714987</v>
      </c>
      <c r="I119" s="351">
        <f ca="1">IF(ROWS($1:109)&gt;COUNT(Dong6),"",OFFSET(TH!K$1,SMALL(Dong6,ROWS($1:109)),))</f>
        <v>714987</v>
      </c>
    </row>
    <row r="120" spans="1:9" ht="21" customHeight="1">
      <c r="A120" s="375">
        <f ca="1">IF(ROWS($1:110)&gt;COUNT(Dong6),"",OFFSET(TH!C$1,SMALL(Dong6,ROWS($1:110)),))</f>
        <v>41237</v>
      </c>
      <c r="B120" s="376" t="str">
        <f ca="1">IF(ROWS($1:110)&gt;COUNT(Dong6),"",OFFSET(TH!D$1,SMALL(Dong6,ROWS($1:110)),))</f>
        <v>C19</v>
      </c>
      <c r="C120" s="375">
        <f ca="1">IF(ROWS($1:110)&gt;COUNT(Dong6),"",OFFSET(TH!E$1,SMALL(Dong6,ROWS($1:110)),))</f>
        <v>41237</v>
      </c>
      <c r="D120" s="377" t="str">
        <f ca="1">IF(ROWS($1:110)&gt;COUNT(Dong6),"",OFFSET(TH!F$1,SMALL(Dong6,ROWS($1:110)),))</f>
        <v>Thanh toán tiền hàng</v>
      </c>
      <c r="E120" s="376">
        <f t="shared" ca="1" si="3"/>
        <v>110</v>
      </c>
      <c r="F120" s="378" t="str">
        <f ca="1">IF(ROWS($1:110)&gt;COUNT(Dong6),"",OFFSET(TH!L$1,SMALL(Dong6,ROWS($1:110)),))</f>
        <v>331</v>
      </c>
      <c r="G120" s="378" t="str">
        <f ca="1">IF(ROWS($1:110)&gt;COUNT(Dong6),"",OFFSET(TH!M$1,SMALL(Dong6,ROWS($1:110)),))</f>
        <v>1111</v>
      </c>
      <c r="H120" s="351">
        <f ca="1">IF(ROWS($1:110)&gt;COUNT(Dong6),"",OFFSET(TH!K$1,SMALL(Dong6,ROWS($1:110)),))</f>
        <v>7864859</v>
      </c>
      <c r="I120" s="351">
        <f ca="1">IF(ROWS($1:110)&gt;COUNT(Dong6),"",OFFSET(TH!K$1,SMALL(Dong6,ROWS($1:110)),))</f>
        <v>7864859</v>
      </c>
    </row>
    <row r="121" spans="1:9" ht="21" customHeight="1">
      <c r="A121" s="375">
        <f ca="1">IF(ROWS($1:111)&gt;COUNT(Dong6),"",OFFSET(TH!C$1,SMALL(Dong6,ROWS($1:111)),))</f>
        <v>41237</v>
      </c>
      <c r="B121" s="376" t="str">
        <f ca="1">IF(ROWS($1:111)&gt;COUNT(Dong6),"",OFFSET(TH!D$1,SMALL(Dong6,ROWS($1:111)),))</f>
        <v>C20</v>
      </c>
      <c r="C121" s="375">
        <f ca="1">IF(ROWS($1:111)&gt;COUNT(Dong6),"",OFFSET(TH!E$1,SMALL(Dong6,ROWS($1:111)),))</f>
        <v>41237</v>
      </c>
      <c r="D121" s="377" t="str">
        <f ca="1">IF(ROWS($1:111)&gt;COUNT(Dong6),"",OFFSET(TH!F$1,SMALL(Dong6,ROWS($1:111)),))</f>
        <v>Dây mạ kẽm</v>
      </c>
      <c r="E121" s="376">
        <f t="shared" ca="1" si="3"/>
        <v>111</v>
      </c>
      <c r="F121" s="378" t="str">
        <f ca="1">IF(ROWS($1:111)&gt;COUNT(Dong6),"",OFFSET(TH!L$1,SMALL(Dong6,ROWS($1:111)),))</f>
        <v>154</v>
      </c>
      <c r="G121" s="378" t="str">
        <f ca="1">IF(ROWS($1:111)&gt;COUNT(Dong6),"",OFFSET(TH!M$1,SMALL(Dong6,ROWS($1:111)),))</f>
        <v>1111</v>
      </c>
      <c r="H121" s="351">
        <f ca="1">IF(ROWS($1:111)&gt;COUNT(Dong6),"",OFFSET(TH!K$1,SMALL(Dong6,ROWS($1:111)),))</f>
        <v>2520000</v>
      </c>
      <c r="I121" s="351">
        <f ca="1">IF(ROWS($1:111)&gt;COUNT(Dong6),"",OFFSET(TH!K$1,SMALL(Dong6,ROWS($1:111)),))</f>
        <v>2520000</v>
      </c>
    </row>
    <row r="122" spans="1:9" ht="21" customHeight="1">
      <c r="A122" s="375">
        <f ca="1">IF(ROWS($1:112)&gt;COUNT(Dong6),"",OFFSET(TH!C$1,SMALL(Dong6,ROWS($1:112)),))</f>
        <v>41237</v>
      </c>
      <c r="B122" s="376" t="str">
        <f ca="1">IF(ROWS($1:112)&gt;COUNT(Dong6),"",OFFSET(TH!D$1,SMALL(Dong6,ROWS($1:112)),))</f>
        <v>C20</v>
      </c>
      <c r="C122" s="375">
        <f ca="1">IF(ROWS($1:112)&gt;COUNT(Dong6),"",OFFSET(TH!E$1,SMALL(Dong6,ROWS($1:112)),))</f>
        <v>41237</v>
      </c>
      <c r="D122" s="377" t="str">
        <f ca="1">IF(ROWS($1:112)&gt;COUNT(Dong6),"",OFFSET(TH!F$1,SMALL(Dong6,ROWS($1:112)),))</f>
        <v>VAT Dây mạ kẽm</v>
      </c>
      <c r="E122" s="376">
        <f t="shared" ca="1" si="3"/>
        <v>112</v>
      </c>
      <c r="F122" s="378" t="str">
        <f ca="1">IF(ROWS($1:112)&gt;COUNT(Dong6),"",OFFSET(TH!L$1,SMALL(Dong6,ROWS($1:112)),))</f>
        <v>1331</v>
      </c>
      <c r="G122" s="378" t="str">
        <f ca="1">IF(ROWS($1:112)&gt;COUNT(Dong6),"",OFFSET(TH!M$1,SMALL(Dong6,ROWS($1:112)),))</f>
        <v>1111</v>
      </c>
      <c r="H122" s="351">
        <f ca="1">IF(ROWS($1:112)&gt;COUNT(Dong6),"",OFFSET(TH!K$1,SMALL(Dong6,ROWS($1:112)),))</f>
        <v>252000</v>
      </c>
      <c r="I122" s="351">
        <f ca="1">IF(ROWS($1:112)&gt;COUNT(Dong6),"",OFFSET(TH!K$1,SMALL(Dong6,ROWS($1:112)),))</f>
        <v>252000</v>
      </c>
    </row>
    <row r="123" spans="1:9" ht="21" customHeight="1">
      <c r="A123" s="375">
        <f ca="1">IF(ROWS($1:113)&gt;COUNT(Dong6),"",OFFSET(TH!C$1,SMALL(Dong6,ROWS($1:113)),))</f>
        <v>41238</v>
      </c>
      <c r="B123" s="376" t="str">
        <f ca="1">IF(ROWS($1:113)&gt;COUNT(Dong6),"",OFFSET(TH!D$1,SMALL(Dong6,ROWS($1:113)),))</f>
        <v>GBC</v>
      </c>
      <c r="C123" s="375">
        <f ca="1">IF(ROWS($1:113)&gt;COUNT(Dong6),"",OFFSET(TH!E$1,SMALL(Dong6,ROWS($1:113)),))</f>
        <v>41238</v>
      </c>
      <c r="D123" s="377" t="str">
        <f ca="1">IF(ROWS($1:113)&gt;COUNT(Dong6),"",OFFSET(TH!F$1,SMALL(Dong6,ROWS($1:113)),))</f>
        <v>Lãi tiền gửi</v>
      </c>
      <c r="E123" s="376">
        <f t="shared" ca="1" si="3"/>
        <v>113</v>
      </c>
      <c r="F123" s="378" t="str">
        <f ca="1">IF(ROWS($1:113)&gt;COUNT(Dong6),"",OFFSET(TH!L$1,SMALL(Dong6,ROWS($1:113)),))</f>
        <v>1121</v>
      </c>
      <c r="G123" s="378" t="str">
        <f ca="1">IF(ROWS($1:113)&gt;COUNT(Dong6),"",OFFSET(TH!M$1,SMALL(Dong6,ROWS($1:113)),))</f>
        <v>515</v>
      </c>
      <c r="H123" s="351">
        <f ca="1">IF(ROWS($1:113)&gt;COUNT(Dong6),"",OFFSET(TH!K$1,SMALL(Dong6,ROWS($1:113)),))</f>
        <v>15290</v>
      </c>
      <c r="I123" s="351">
        <f ca="1">IF(ROWS($1:113)&gt;COUNT(Dong6),"",OFFSET(TH!K$1,SMALL(Dong6,ROWS($1:113)),))</f>
        <v>15290</v>
      </c>
    </row>
    <row r="124" spans="1:9" ht="21" customHeight="1">
      <c r="A124" s="375">
        <f ca="1">IF(ROWS($1:114)&gt;COUNT(Dong6),"",OFFSET(TH!C$1,SMALL(Dong6,ROWS($1:114)),))</f>
        <v>41238</v>
      </c>
      <c r="B124" s="376" t="str">
        <f ca="1">IF(ROWS($1:114)&gt;COUNT(Dong6),"",OFFSET(TH!D$1,SMALL(Dong6,ROWS($1:114)),))</f>
        <v>GBN</v>
      </c>
      <c r="C124" s="375">
        <f ca="1">IF(ROWS($1:114)&gt;COUNT(Dong6),"",OFFSET(TH!E$1,SMALL(Dong6,ROWS($1:114)),))</f>
        <v>41238</v>
      </c>
      <c r="D124" s="377" t="str">
        <f ca="1">IF(ROWS($1:114)&gt;COUNT(Dong6),"",OFFSET(TH!F$1,SMALL(Dong6,ROWS($1:114)),))</f>
        <v>Thu phí quản lý tài khoản</v>
      </c>
      <c r="E124" s="376">
        <f t="shared" ca="1" si="3"/>
        <v>114</v>
      </c>
      <c r="F124" s="378" t="str">
        <f ca="1">IF(ROWS($1:114)&gt;COUNT(Dong6),"",OFFSET(TH!L$1,SMALL(Dong6,ROWS($1:114)),))</f>
        <v>642</v>
      </c>
      <c r="G124" s="378" t="str">
        <f ca="1">IF(ROWS($1:114)&gt;COUNT(Dong6),"",OFFSET(TH!M$1,SMALL(Dong6,ROWS($1:114)),))</f>
        <v>1121</v>
      </c>
      <c r="H124" s="351">
        <f ca="1">IF(ROWS($1:114)&gt;COUNT(Dong6),"",OFFSET(TH!K$1,SMALL(Dong6,ROWS($1:114)),))</f>
        <v>11000</v>
      </c>
      <c r="I124" s="351">
        <f ca="1">IF(ROWS($1:114)&gt;COUNT(Dong6),"",OFFSET(TH!K$1,SMALL(Dong6,ROWS($1:114)),))</f>
        <v>11000</v>
      </c>
    </row>
    <row r="125" spans="1:9" ht="21" customHeight="1">
      <c r="A125" s="375">
        <f ca="1">IF(ROWS($1:115)&gt;COUNT(Dong6),"",OFFSET(TH!C$1,SMALL(Dong6,ROWS($1:115)),))</f>
        <v>41240</v>
      </c>
      <c r="B125" s="376" t="str">
        <f ca="1">IF(ROWS($1:115)&gt;COUNT(Dong6),"",OFFSET(TH!D$1,SMALL(Dong6,ROWS($1:115)),))</f>
        <v>X14</v>
      </c>
      <c r="C125" s="375">
        <f ca="1">IF(ROWS($1:115)&gt;COUNT(Dong6),"",OFFSET(TH!E$1,SMALL(Dong6,ROWS($1:115)),))</f>
        <v>41240</v>
      </c>
      <c r="D125" s="377" t="str">
        <f ca="1">IF(ROWS($1:115)&gt;COUNT(Dong6),"",OFFSET(TH!F$1,SMALL(Dong6,ROWS($1:115)),))</f>
        <v>Thùng carton (22x22x52)</v>
      </c>
      <c r="E125" s="376">
        <f t="shared" ca="1" si="3"/>
        <v>115</v>
      </c>
      <c r="F125" s="378" t="str">
        <f ca="1">IF(ROWS($1:115)&gt;COUNT(Dong6),"",OFFSET(TH!L$1,SMALL(Dong6,ROWS($1:115)),))</f>
        <v>131</v>
      </c>
      <c r="G125" s="378" t="str">
        <f ca="1">IF(ROWS($1:115)&gt;COUNT(Dong6),"",OFFSET(TH!M$1,SMALL(Dong6,ROWS($1:115)),))</f>
        <v>5112</v>
      </c>
      <c r="H125" s="351">
        <f ca="1">IF(ROWS($1:115)&gt;COUNT(Dong6),"",OFFSET(TH!K$1,SMALL(Dong6,ROWS($1:115)),))</f>
        <v>4256000</v>
      </c>
      <c r="I125" s="351">
        <f ca="1">IF(ROWS($1:115)&gt;COUNT(Dong6),"",OFFSET(TH!K$1,SMALL(Dong6,ROWS($1:115)),))</f>
        <v>4256000</v>
      </c>
    </row>
    <row r="126" spans="1:9" ht="21" customHeight="1">
      <c r="A126" s="375">
        <f ca="1">IF(ROWS($1:116)&gt;COUNT(Dong6),"",OFFSET(TH!C$1,SMALL(Dong6,ROWS($1:116)),))</f>
        <v>41240</v>
      </c>
      <c r="B126" s="376" t="str">
        <f ca="1">IF(ROWS($1:116)&gt;COUNT(Dong6),"",OFFSET(TH!D$1,SMALL(Dong6,ROWS($1:116)),))</f>
        <v>X14</v>
      </c>
      <c r="C126" s="375">
        <f ca="1">IF(ROWS($1:116)&gt;COUNT(Dong6),"",OFFSET(TH!E$1,SMALL(Dong6,ROWS($1:116)),))</f>
        <v>41240</v>
      </c>
      <c r="D126" s="377" t="str">
        <f ca="1">IF(ROWS($1:116)&gt;COUNT(Dong6),"",OFFSET(TH!F$1,SMALL(Dong6,ROWS($1:116)),))</f>
        <v>Thùng carton (52x21x31,5)</v>
      </c>
      <c r="E126" s="376">
        <f t="shared" ca="1" si="3"/>
        <v>116</v>
      </c>
      <c r="F126" s="378" t="str">
        <f ca="1">IF(ROWS($1:116)&gt;COUNT(Dong6),"",OFFSET(TH!L$1,SMALL(Dong6,ROWS($1:116)),))</f>
        <v>131</v>
      </c>
      <c r="G126" s="378" t="str">
        <f ca="1">IF(ROWS($1:116)&gt;COUNT(Dong6),"",OFFSET(TH!M$1,SMALL(Dong6,ROWS($1:116)),))</f>
        <v>5112</v>
      </c>
      <c r="H126" s="351">
        <f ca="1">IF(ROWS($1:116)&gt;COUNT(Dong6),"",OFFSET(TH!K$1,SMALL(Dong6,ROWS($1:116)),))</f>
        <v>1902000</v>
      </c>
      <c r="I126" s="351">
        <f ca="1">IF(ROWS($1:116)&gt;COUNT(Dong6),"",OFFSET(TH!K$1,SMALL(Dong6,ROWS($1:116)),))</f>
        <v>1902000</v>
      </c>
    </row>
    <row r="127" spans="1:9" ht="21" customHeight="1">
      <c r="A127" s="375">
        <f ca="1">IF(ROWS($1:117)&gt;COUNT(Dong6),"",OFFSET(TH!C$1,SMALL(Dong6,ROWS($1:117)),))</f>
        <v>41240</v>
      </c>
      <c r="B127" s="376" t="str">
        <f ca="1">IF(ROWS($1:117)&gt;COUNT(Dong6),"",OFFSET(TH!D$1,SMALL(Dong6,ROWS($1:117)),))</f>
        <v>X14</v>
      </c>
      <c r="C127" s="375">
        <f ca="1">IF(ROWS($1:117)&gt;COUNT(Dong6),"",OFFSET(TH!E$1,SMALL(Dong6,ROWS($1:117)),))</f>
        <v>41240</v>
      </c>
      <c r="D127" s="377" t="str">
        <f ca="1">IF(ROWS($1:117)&gt;COUNT(Dong6),"",OFFSET(TH!F$1,SMALL(Dong6,ROWS($1:117)),))</f>
        <v>Thùng carton (54x25x25)</v>
      </c>
      <c r="E127" s="376">
        <f t="shared" ca="1" si="3"/>
        <v>117</v>
      </c>
      <c r="F127" s="378" t="str">
        <f ca="1">IF(ROWS($1:117)&gt;COUNT(Dong6),"",OFFSET(TH!L$1,SMALL(Dong6,ROWS($1:117)),))</f>
        <v>131</v>
      </c>
      <c r="G127" s="378" t="str">
        <f ca="1">IF(ROWS($1:117)&gt;COUNT(Dong6),"",OFFSET(TH!M$1,SMALL(Dong6,ROWS($1:117)),))</f>
        <v>5112</v>
      </c>
      <c r="H127" s="351">
        <f ca="1">IF(ROWS($1:117)&gt;COUNT(Dong6),"",OFFSET(TH!K$1,SMALL(Dong6,ROWS($1:117)),))</f>
        <v>2310000</v>
      </c>
      <c r="I127" s="351">
        <f ca="1">IF(ROWS($1:117)&gt;COUNT(Dong6),"",OFFSET(TH!K$1,SMALL(Dong6,ROWS($1:117)),))</f>
        <v>2310000</v>
      </c>
    </row>
    <row r="128" spans="1:9" ht="21" customHeight="1">
      <c r="A128" s="375">
        <f ca="1">IF(ROWS($1:118)&gt;COUNT(Dong6),"",OFFSET(TH!C$1,SMALL(Dong6,ROWS($1:118)),))</f>
        <v>41240</v>
      </c>
      <c r="B128" s="376" t="str">
        <f ca="1">IF(ROWS($1:118)&gt;COUNT(Dong6),"",OFFSET(TH!D$1,SMALL(Dong6,ROWS($1:118)),))</f>
        <v>X14</v>
      </c>
      <c r="C128" s="375">
        <f ca="1">IF(ROWS($1:118)&gt;COUNT(Dong6),"",OFFSET(TH!E$1,SMALL(Dong6,ROWS($1:118)),))</f>
        <v>41240</v>
      </c>
      <c r="D128" s="377" t="str">
        <f ca="1">IF(ROWS($1:118)&gt;COUNT(Dong6),"",OFFSET(TH!F$1,SMALL(Dong6,ROWS($1:118)),))</f>
        <v>Thùng carton (52x28x28)</v>
      </c>
      <c r="E128" s="376">
        <f t="shared" ca="1" si="3"/>
        <v>118</v>
      </c>
      <c r="F128" s="378" t="str">
        <f ca="1">IF(ROWS($1:118)&gt;COUNT(Dong6),"",OFFSET(TH!L$1,SMALL(Dong6,ROWS($1:118)),))</f>
        <v>131</v>
      </c>
      <c r="G128" s="378" t="str">
        <f ca="1">IF(ROWS($1:118)&gt;COUNT(Dong6),"",OFFSET(TH!M$1,SMALL(Dong6,ROWS($1:118)),))</f>
        <v>5112</v>
      </c>
      <c r="H128" s="351">
        <f ca="1">IF(ROWS($1:118)&gt;COUNT(Dong6),"",OFFSET(TH!K$1,SMALL(Dong6,ROWS($1:118)),))</f>
        <v>3710000</v>
      </c>
      <c r="I128" s="351">
        <f ca="1">IF(ROWS($1:118)&gt;COUNT(Dong6),"",OFFSET(TH!K$1,SMALL(Dong6,ROWS($1:118)),))</f>
        <v>3710000</v>
      </c>
    </row>
    <row r="129" spans="1:9" ht="21" customHeight="1">
      <c r="A129" s="375">
        <f ca="1">IF(ROWS($1:119)&gt;COUNT(Dong6),"",OFFSET(TH!C$1,SMALL(Dong6,ROWS($1:119)),))</f>
        <v>41240</v>
      </c>
      <c r="B129" s="376" t="str">
        <f ca="1">IF(ROWS($1:119)&gt;COUNT(Dong6),"",OFFSET(TH!D$1,SMALL(Dong6,ROWS($1:119)),))</f>
        <v>X14</v>
      </c>
      <c r="C129" s="375">
        <f ca="1">IF(ROWS($1:119)&gt;COUNT(Dong6),"",OFFSET(TH!E$1,SMALL(Dong6,ROWS($1:119)),))</f>
        <v>41240</v>
      </c>
      <c r="D129" s="377" t="str">
        <f ca="1">IF(ROWS($1:119)&gt;COUNT(Dong6),"",OFFSET(TH!F$1,SMALL(Dong6,ROWS($1:119)),))</f>
        <v>VAT Thùng</v>
      </c>
      <c r="E129" s="376">
        <f t="shared" ca="1" si="3"/>
        <v>119</v>
      </c>
      <c r="F129" s="378" t="str">
        <f ca="1">IF(ROWS($1:119)&gt;COUNT(Dong6),"",OFFSET(TH!L$1,SMALL(Dong6,ROWS($1:119)),))</f>
        <v>131</v>
      </c>
      <c r="G129" s="378" t="str">
        <f ca="1">IF(ROWS($1:119)&gt;COUNT(Dong6),"",OFFSET(TH!M$1,SMALL(Dong6,ROWS($1:119)),))</f>
        <v>3331</v>
      </c>
      <c r="H129" s="351">
        <f ca="1">IF(ROWS($1:119)&gt;COUNT(Dong6),"",OFFSET(TH!K$1,SMALL(Dong6,ROWS($1:119)),))</f>
        <v>1217800</v>
      </c>
      <c r="I129" s="351">
        <f ca="1">IF(ROWS($1:119)&gt;COUNT(Dong6),"",OFFSET(TH!K$1,SMALL(Dong6,ROWS($1:119)),))</f>
        <v>1217800</v>
      </c>
    </row>
    <row r="130" spans="1:9" ht="21" customHeight="1">
      <c r="A130" s="375">
        <f ca="1">IF(ROWS($1:120)&gt;COUNT(Dong6),"",OFFSET(TH!C$1,SMALL(Dong6,ROWS($1:120)),))</f>
        <v>41240</v>
      </c>
      <c r="B130" s="376" t="str">
        <f ca="1">IF(ROWS($1:120)&gt;COUNT(Dong6),"",OFFSET(TH!D$1,SMALL(Dong6,ROWS($1:120)),))</f>
        <v>T13</v>
      </c>
      <c r="C130" s="375">
        <f ca="1">IF(ROWS($1:120)&gt;COUNT(Dong6),"",OFFSET(TH!E$1,SMALL(Dong6,ROWS($1:120)),))</f>
        <v>41240</v>
      </c>
      <c r="D130" s="377" t="str">
        <f ca="1">IF(ROWS($1:120)&gt;COUNT(Dong6),"",OFFSET(TH!F$1,SMALL(Dong6,ROWS($1:120)),))</f>
        <v>Thu tiền hàng</v>
      </c>
      <c r="E130" s="376">
        <f t="shared" ca="1" si="3"/>
        <v>120</v>
      </c>
      <c r="F130" s="378" t="str">
        <f ca="1">IF(ROWS($1:120)&gt;COUNT(Dong6),"",OFFSET(TH!L$1,SMALL(Dong6,ROWS($1:120)),))</f>
        <v>1111</v>
      </c>
      <c r="G130" s="378" t="str">
        <f ca="1">IF(ROWS($1:120)&gt;COUNT(Dong6),"",OFFSET(TH!M$1,SMALL(Dong6,ROWS($1:120)),))</f>
        <v>131</v>
      </c>
      <c r="H130" s="351">
        <f ca="1">IF(ROWS($1:120)&gt;COUNT(Dong6),"",OFFSET(TH!K$1,SMALL(Dong6,ROWS($1:120)),))</f>
        <v>13395800</v>
      </c>
      <c r="I130" s="351">
        <f ca="1">IF(ROWS($1:120)&gt;COUNT(Dong6),"",OFFSET(TH!K$1,SMALL(Dong6,ROWS($1:120)),))</f>
        <v>13395800</v>
      </c>
    </row>
    <row r="131" spans="1:9" ht="21" customHeight="1">
      <c r="A131" s="375">
        <f ca="1">IF(ROWS($1:121)&gt;COUNT(Dong6),"",OFFSET(TH!C$1,SMALL(Dong6,ROWS($1:121)),))</f>
        <v>41242</v>
      </c>
      <c r="B131" s="376" t="str">
        <f ca="1">IF(ROWS($1:121)&gt;COUNT(Dong6),"",OFFSET(TH!D$1,SMALL(Dong6,ROWS($1:121)),))</f>
        <v>GBC</v>
      </c>
      <c r="C131" s="375">
        <f ca="1">IF(ROWS($1:121)&gt;COUNT(Dong6),"",OFFSET(TH!E$1,SMALL(Dong6,ROWS($1:121)),))</f>
        <v>41242</v>
      </c>
      <c r="D131" s="377" t="str">
        <f ca="1">IF(ROWS($1:121)&gt;COUNT(Dong6),"",OFFSET(TH!F$1,SMALL(Dong6,ROWS($1:121)),))</f>
        <v>Thu tiền hàng</v>
      </c>
      <c r="E131" s="376">
        <f t="shared" ca="1" si="3"/>
        <v>121</v>
      </c>
      <c r="F131" s="378" t="str">
        <f ca="1">IF(ROWS($1:121)&gt;COUNT(Dong6),"",OFFSET(TH!L$1,SMALL(Dong6,ROWS($1:121)),))</f>
        <v>1121</v>
      </c>
      <c r="G131" s="378" t="str">
        <f ca="1">IF(ROWS($1:121)&gt;COUNT(Dong6),"",OFFSET(TH!M$1,SMALL(Dong6,ROWS($1:121)),))</f>
        <v>131</v>
      </c>
      <c r="H131" s="351">
        <f ca="1">IF(ROWS($1:121)&gt;COUNT(Dong6),"",OFFSET(TH!K$1,SMALL(Dong6,ROWS($1:121)),))</f>
        <v>8415000</v>
      </c>
      <c r="I131" s="351">
        <f ca="1">IF(ROWS($1:121)&gt;COUNT(Dong6),"",OFFSET(TH!K$1,SMALL(Dong6,ROWS($1:121)),))</f>
        <v>8415000</v>
      </c>
    </row>
    <row r="132" spans="1:9" ht="21" customHeight="1">
      <c r="A132" s="375">
        <f ca="1">IF(ROWS($1:122)&gt;COUNT(Dong6),"",OFFSET(TH!C$1,SMALL(Dong6,ROWS($1:122)),))</f>
        <v>41242</v>
      </c>
      <c r="B132" s="376" t="str">
        <f ca="1">IF(ROWS($1:122)&gt;COUNT(Dong6),"",OFFSET(TH!D$1,SMALL(Dong6,ROWS($1:122)),))</f>
        <v>C21</v>
      </c>
      <c r="C132" s="375">
        <f ca="1">IF(ROWS($1:122)&gt;COUNT(Dong6),"",OFFSET(TH!E$1,SMALL(Dong6,ROWS($1:122)),))</f>
        <v>41242</v>
      </c>
      <c r="D132" s="377" t="str">
        <f ca="1">IF(ROWS($1:122)&gt;COUNT(Dong6),"",OFFSET(TH!F$1,SMALL(Dong6,ROWS($1:122)),))</f>
        <v>Cước vận chuyển</v>
      </c>
      <c r="E132" s="376">
        <f t="shared" ca="1" si="3"/>
        <v>122</v>
      </c>
      <c r="F132" s="378" t="str">
        <f ca="1">IF(ROWS($1:122)&gt;COUNT(Dong6),"",OFFSET(TH!L$1,SMALL(Dong6,ROWS($1:122)),))</f>
        <v>642</v>
      </c>
      <c r="G132" s="378" t="str">
        <f ca="1">IF(ROWS($1:122)&gt;COUNT(Dong6),"",OFFSET(TH!M$1,SMALL(Dong6,ROWS($1:122)),))</f>
        <v>1111</v>
      </c>
      <c r="H132" s="351">
        <f ca="1">IF(ROWS($1:122)&gt;COUNT(Dong6),"",OFFSET(TH!K$1,SMALL(Dong6,ROWS($1:122)),))</f>
        <v>3000000</v>
      </c>
      <c r="I132" s="351">
        <f ca="1">IF(ROWS($1:122)&gt;COUNT(Dong6),"",OFFSET(TH!K$1,SMALL(Dong6,ROWS($1:122)),))</f>
        <v>3000000</v>
      </c>
    </row>
    <row r="133" spans="1:9" ht="21" customHeight="1">
      <c r="A133" s="375">
        <f ca="1">IF(ROWS($1:123)&gt;COUNT(Dong6),"",OFFSET(TH!C$1,SMALL(Dong6,ROWS($1:123)),))</f>
        <v>41242</v>
      </c>
      <c r="B133" s="376" t="str">
        <f ca="1">IF(ROWS($1:123)&gt;COUNT(Dong6),"",OFFSET(TH!D$1,SMALL(Dong6,ROWS($1:123)),))</f>
        <v>C21</v>
      </c>
      <c r="C133" s="375">
        <f ca="1">IF(ROWS($1:123)&gt;COUNT(Dong6),"",OFFSET(TH!E$1,SMALL(Dong6,ROWS($1:123)),))</f>
        <v>41242</v>
      </c>
      <c r="D133" s="377" t="str">
        <f ca="1">IF(ROWS($1:123)&gt;COUNT(Dong6),"",OFFSET(TH!F$1,SMALL(Dong6,ROWS($1:123)),))</f>
        <v>VAT Cước vận chuyển</v>
      </c>
      <c r="E133" s="376">
        <f t="shared" ca="1" si="3"/>
        <v>123</v>
      </c>
      <c r="F133" s="378" t="str">
        <f ca="1">IF(ROWS($1:123)&gt;COUNT(Dong6),"",OFFSET(TH!L$1,SMALL(Dong6,ROWS($1:123)),))</f>
        <v>1331</v>
      </c>
      <c r="G133" s="378" t="str">
        <f ca="1">IF(ROWS($1:123)&gt;COUNT(Dong6),"",OFFSET(TH!M$1,SMALL(Dong6,ROWS($1:123)),))</f>
        <v>1111</v>
      </c>
      <c r="H133" s="351">
        <f ca="1">IF(ROWS($1:123)&gt;COUNT(Dong6),"",OFFSET(TH!K$1,SMALL(Dong6,ROWS($1:123)),))</f>
        <v>300000</v>
      </c>
      <c r="I133" s="351">
        <f ca="1">IF(ROWS($1:123)&gt;COUNT(Dong6),"",OFFSET(TH!K$1,SMALL(Dong6,ROWS($1:123)),))</f>
        <v>300000</v>
      </c>
    </row>
    <row r="134" spans="1:9" ht="21" customHeight="1">
      <c r="A134" s="375">
        <f ca="1">IF(ROWS($1:124)&gt;COUNT(Dong6),"",OFFSET(TH!C$1,SMALL(Dong6,ROWS($1:124)),))</f>
        <v>41243</v>
      </c>
      <c r="B134" s="376" t="str">
        <f ca="1">IF(ROWS($1:124)&gt;COUNT(Dong6),"",OFFSET(TH!D$1,SMALL(Dong6,ROWS($1:124)),))</f>
        <v>CTGS</v>
      </c>
      <c r="C134" s="375">
        <f ca="1">IF(ROWS($1:124)&gt;COUNT(Dong6),"",OFFSET(TH!E$1,SMALL(Dong6,ROWS($1:124)),))</f>
        <v>41243</v>
      </c>
      <c r="D134" s="377" t="str">
        <f ca="1">IF(ROWS($1:124)&gt;COUNT(Dong6),"",OFFSET(TH!F$1,SMALL(Dong6,ROWS($1:124)),))</f>
        <v>Lương bộ phận quản lý</v>
      </c>
      <c r="E134" s="376">
        <f t="shared" ca="1" si="3"/>
        <v>124</v>
      </c>
      <c r="F134" s="378" t="str">
        <f ca="1">IF(ROWS($1:124)&gt;COUNT(Dong6),"",OFFSET(TH!L$1,SMALL(Dong6,ROWS($1:124)),))</f>
        <v>642</v>
      </c>
      <c r="G134" s="378" t="str">
        <f ca="1">IF(ROWS($1:124)&gt;COUNT(Dong6),"",OFFSET(TH!M$1,SMALL(Dong6,ROWS($1:124)),))</f>
        <v>3341</v>
      </c>
      <c r="H134" s="351">
        <f ca="1">IF(ROWS($1:124)&gt;COUNT(Dong6),"",OFFSET(TH!K$1,SMALL(Dong6,ROWS($1:124)),))</f>
        <v>9600000</v>
      </c>
      <c r="I134" s="351">
        <f ca="1">IF(ROWS($1:124)&gt;COUNT(Dong6),"",OFFSET(TH!K$1,SMALL(Dong6,ROWS($1:124)),))</f>
        <v>9600000</v>
      </c>
    </row>
    <row r="135" spans="1:9" ht="21" customHeight="1">
      <c r="A135" s="375">
        <f ca="1">IF(ROWS($1:125)&gt;COUNT(Dong6),"",OFFSET(TH!C$1,SMALL(Dong6,ROWS($1:125)),))</f>
        <v>41243</v>
      </c>
      <c r="B135" s="376" t="str">
        <f ca="1">IF(ROWS($1:125)&gt;COUNT(Dong6),"",OFFSET(TH!D$1,SMALL(Dong6,ROWS($1:125)),))</f>
        <v>CTGS</v>
      </c>
      <c r="C135" s="375">
        <f ca="1">IF(ROWS($1:125)&gt;COUNT(Dong6),"",OFFSET(TH!E$1,SMALL(Dong6,ROWS($1:125)),))</f>
        <v>41243</v>
      </c>
      <c r="D135" s="377" t="str">
        <f ca="1">IF(ROWS($1:125)&gt;COUNT(Dong6),"",OFFSET(TH!F$1,SMALL(Dong6,ROWS($1:125)),))</f>
        <v>Lương bộ phận sản xuất</v>
      </c>
      <c r="E135" s="376">
        <f t="shared" ca="1" si="3"/>
        <v>125</v>
      </c>
      <c r="F135" s="378" t="str">
        <f ca="1">IF(ROWS($1:125)&gt;COUNT(Dong6),"",OFFSET(TH!L$1,SMALL(Dong6,ROWS($1:125)),))</f>
        <v>154</v>
      </c>
      <c r="G135" s="378" t="str">
        <f ca="1">IF(ROWS($1:125)&gt;COUNT(Dong6),"",OFFSET(TH!M$1,SMALL(Dong6,ROWS($1:125)),))</f>
        <v>3341</v>
      </c>
      <c r="H135" s="351">
        <f ca="1">IF(ROWS($1:125)&gt;COUNT(Dong6),"",OFFSET(TH!K$1,SMALL(Dong6,ROWS($1:125)),))</f>
        <v>5685000</v>
      </c>
      <c r="I135" s="351">
        <f ca="1">IF(ROWS($1:125)&gt;COUNT(Dong6),"",OFFSET(TH!K$1,SMALL(Dong6,ROWS($1:125)),))</f>
        <v>5685000</v>
      </c>
    </row>
    <row r="136" spans="1:9" ht="21" customHeight="1">
      <c r="A136" s="375">
        <f ca="1">IF(ROWS($1:126)&gt;COUNT(Dong6),"",OFFSET(TH!C$1,SMALL(Dong6,ROWS($1:126)),))</f>
        <v>41243</v>
      </c>
      <c r="B136" s="376" t="str">
        <f ca="1">IF(ROWS($1:126)&gt;COUNT(Dong6),"",OFFSET(TH!D$1,SMALL(Dong6,ROWS($1:126)),))</f>
        <v>C22</v>
      </c>
      <c r="C136" s="375">
        <f ca="1">IF(ROWS($1:126)&gt;COUNT(Dong6),"",OFFSET(TH!E$1,SMALL(Dong6,ROWS($1:126)),))</f>
        <v>41243</v>
      </c>
      <c r="D136" s="377" t="str">
        <f ca="1">IF(ROWS($1:126)&gt;COUNT(Dong6),"",OFFSET(TH!F$1,SMALL(Dong6,ROWS($1:126)),))</f>
        <v>Thanh toán lương T11/2012</v>
      </c>
      <c r="E136" s="376">
        <f t="shared" ca="1" si="3"/>
        <v>126</v>
      </c>
      <c r="F136" s="378" t="str">
        <f ca="1">IF(ROWS($1:126)&gt;COUNT(Dong6),"",OFFSET(TH!L$1,SMALL(Dong6,ROWS($1:126)),))</f>
        <v>3341</v>
      </c>
      <c r="G136" s="378" t="str">
        <f ca="1">IF(ROWS($1:126)&gt;COUNT(Dong6),"",OFFSET(TH!M$1,SMALL(Dong6,ROWS($1:126)),))</f>
        <v>1111</v>
      </c>
      <c r="H136" s="351">
        <f ca="1">IF(ROWS($1:126)&gt;COUNT(Dong6),"",OFFSET(TH!K$1,SMALL(Dong6,ROWS($1:126)),))</f>
        <v>15285000</v>
      </c>
      <c r="I136" s="351">
        <f ca="1">IF(ROWS($1:126)&gt;COUNT(Dong6),"",OFFSET(TH!K$1,SMALL(Dong6,ROWS($1:126)),))</f>
        <v>15285000</v>
      </c>
    </row>
    <row r="137" spans="1:9" ht="21" customHeight="1">
      <c r="A137" s="375">
        <f ca="1">IF(ROWS($1:127)&gt;COUNT(Dong6),"",OFFSET(TH!C$1,SMALL(Dong6,ROWS($1:127)),))</f>
        <v>41244</v>
      </c>
      <c r="B137" s="376" t="str">
        <f ca="1">IF(ROWS($1:127)&gt;COUNT(Dong6),"",OFFSET(TH!D$1,SMALL(Dong6,ROWS($1:127)),))</f>
        <v>C23</v>
      </c>
      <c r="C137" s="375">
        <f ca="1">IF(ROWS($1:127)&gt;COUNT(Dong6),"",OFFSET(TH!E$1,SMALL(Dong6,ROWS($1:127)),))</f>
        <v>41244</v>
      </c>
      <c r="D137" s="377" t="str">
        <f ca="1">IF(ROWS($1:127)&gt;COUNT(Dong6),"",OFFSET(TH!F$1,SMALL(Dong6,ROWS($1:127)),))</f>
        <v>Khung gỗ, mực in</v>
      </c>
      <c r="E137" s="376">
        <f t="shared" ca="1" si="3"/>
        <v>127</v>
      </c>
      <c r="F137" s="378" t="str">
        <f ca="1">IF(ROWS($1:127)&gt;COUNT(Dong6),"",OFFSET(TH!L$1,SMALL(Dong6,ROWS($1:127)),))</f>
        <v>154</v>
      </c>
      <c r="G137" s="378" t="str">
        <f ca="1">IF(ROWS($1:127)&gt;COUNT(Dong6),"",OFFSET(TH!M$1,SMALL(Dong6,ROWS($1:127)),))</f>
        <v>1111</v>
      </c>
      <c r="H137" s="351">
        <f ca="1">IF(ROWS($1:127)&gt;COUNT(Dong6),"",OFFSET(TH!K$1,SMALL(Dong6,ROWS($1:127)),))</f>
        <v>1713000</v>
      </c>
      <c r="I137" s="351">
        <f ca="1">IF(ROWS($1:127)&gt;COUNT(Dong6),"",OFFSET(TH!K$1,SMALL(Dong6,ROWS($1:127)),))</f>
        <v>1713000</v>
      </c>
    </row>
    <row r="138" spans="1:9" ht="21" customHeight="1">
      <c r="A138" s="375">
        <f ca="1">IF(ROWS($1:128)&gt;COUNT(Dong6),"",OFFSET(TH!C$1,SMALL(Dong6,ROWS($1:128)),))</f>
        <v>41246</v>
      </c>
      <c r="B138" s="376" t="str">
        <f ca="1">IF(ROWS($1:128)&gt;COUNT(Dong6),"",OFFSET(TH!D$1,SMALL(Dong6,ROWS($1:128)),))</f>
        <v>N11</v>
      </c>
      <c r="C138" s="375">
        <f ca="1">IF(ROWS($1:128)&gt;COUNT(Dong6),"",OFFSET(TH!E$1,SMALL(Dong6,ROWS($1:128)),))</f>
        <v>41246</v>
      </c>
      <c r="D138" s="377" t="str">
        <f ca="1">IF(ROWS($1:128)&gt;COUNT(Dong6),"",OFFSET(TH!F$1,SMALL(Dong6,ROWS($1:128)),))</f>
        <v>Giấy tấm 2N +1X (87.5x208)</v>
      </c>
      <c r="E138" s="376">
        <f t="shared" ca="1" si="3"/>
        <v>128</v>
      </c>
      <c r="F138" s="378" t="str">
        <f ca="1">IF(ROWS($1:128)&gt;COUNT(Dong6),"",OFFSET(TH!L$1,SMALL(Dong6,ROWS($1:128)),))</f>
        <v>156</v>
      </c>
      <c r="G138" s="378" t="str">
        <f ca="1">IF(ROWS($1:128)&gt;COUNT(Dong6),"",OFFSET(TH!M$1,SMALL(Dong6,ROWS($1:128)),))</f>
        <v>331</v>
      </c>
      <c r="H138" s="351">
        <f ca="1">IF(ROWS($1:128)&gt;COUNT(Dong6),"",OFFSET(TH!K$1,SMALL(Dong6,ROWS($1:128)),))</f>
        <v>6097000</v>
      </c>
      <c r="I138" s="351">
        <f ca="1">IF(ROWS($1:128)&gt;COUNT(Dong6),"",OFFSET(TH!K$1,SMALL(Dong6,ROWS($1:128)),))</f>
        <v>6097000</v>
      </c>
    </row>
    <row r="139" spans="1:9" ht="21" customHeight="1">
      <c r="A139" s="375">
        <f ca="1">IF(ROWS($1:129)&gt;COUNT(Dong6),"",OFFSET(TH!C$1,SMALL(Dong6,ROWS($1:129)),))</f>
        <v>41246</v>
      </c>
      <c r="B139" s="376" t="str">
        <f ca="1">IF(ROWS($1:129)&gt;COUNT(Dong6),"",OFFSET(TH!D$1,SMALL(Dong6,ROWS($1:129)),))</f>
        <v>N11</v>
      </c>
      <c r="C139" s="375">
        <f ca="1">IF(ROWS($1:129)&gt;COUNT(Dong6),"",OFFSET(TH!E$1,SMALL(Dong6,ROWS($1:129)),))</f>
        <v>41246</v>
      </c>
      <c r="D139" s="377" t="str">
        <f ca="1">IF(ROWS($1:129)&gt;COUNT(Dong6),"",OFFSET(TH!F$1,SMALL(Dong6,ROWS($1:129)),))</f>
        <v>Giấy tấm 1N +2X (100x156)</v>
      </c>
      <c r="E139" s="376">
        <f t="shared" ca="1" si="3"/>
        <v>129</v>
      </c>
      <c r="F139" s="378" t="str">
        <f ca="1">IF(ROWS($1:129)&gt;COUNT(Dong6),"",OFFSET(TH!L$1,SMALL(Dong6,ROWS($1:129)),))</f>
        <v>156</v>
      </c>
      <c r="G139" s="378" t="str">
        <f ca="1">IF(ROWS($1:129)&gt;COUNT(Dong6),"",OFFSET(TH!M$1,SMALL(Dong6,ROWS($1:129)),))</f>
        <v>331</v>
      </c>
      <c r="H139" s="351">
        <f ca="1">IF(ROWS($1:129)&gt;COUNT(Dong6),"",OFFSET(TH!K$1,SMALL(Dong6,ROWS($1:129)),))</f>
        <v>7254000</v>
      </c>
      <c r="I139" s="351">
        <f ca="1">IF(ROWS($1:129)&gt;COUNT(Dong6),"",OFFSET(TH!K$1,SMALL(Dong6,ROWS($1:129)),))</f>
        <v>7254000</v>
      </c>
    </row>
    <row r="140" spans="1:9" ht="21" customHeight="1">
      <c r="A140" s="375">
        <f ca="1">IF(ROWS($1:130)&gt;COUNT(Dong6),"",OFFSET(TH!C$1,SMALL(Dong6,ROWS($1:130)),))</f>
        <v>41246</v>
      </c>
      <c r="B140" s="376" t="str">
        <f ca="1">IF(ROWS($1:130)&gt;COUNT(Dong6),"",OFFSET(TH!D$1,SMALL(Dong6,ROWS($1:130)),))</f>
        <v>N11</v>
      </c>
      <c r="C140" s="375">
        <f ca="1">IF(ROWS($1:130)&gt;COUNT(Dong6),"",OFFSET(TH!E$1,SMALL(Dong6,ROWS($1:130)),))</f>
        <v>41246</v>
      </c>
      <c r="D140" s="377" t="str">
        <f ca="1">IF(ROWS($1:130)&gt;COUNT(Dong6),"",OFFSET(TH!F$1,SMALL(Dong6,ROWS($1:130)),))</f>
        <v xml:space="preserve">VAT Giấy tấm </v>
      </c>
      <c r="E140" s="376">
        <f t="shared" ca="1" si="3"/>
        <v>130</v>
      </c>
      <c r="F140" s="378" t="str">
        <f ca="1">IF(ROWS($1:130)&gt;COUNT(Dong6),"",OFFSET(TH!L$1,SMALL(Dong6,ROWS($1:130)),))</f>
        <v>1331</v>
      </c>
      <c r="G140" s="378" t="str">
        <f ca="1">IF(ROWS($1:130)&gt;COUNT(Dong6),"",OFFSET(TH!M$1,SMALL(Dong6,ROWS($1:130)),))</f>
        <v>331</v>
      </c>
      <c r="H140" s="351">
        <f ca="1">IF(ROWS($1:130)&gt;COUNT(Dong6),"",OFFSET(TH!K$1,SMALL(Dong6,ROWS($1:130)),))</f>
        <v>1335100</v>
      </c>
      <c r="I140" s="351">
        <f ca="1">IF(ROWS($1:130)&gt;COUNT(Dong6),"",OFFSET(TH!K$1,SMALL(Dong6,ROWS($1:130)),))</f>
        <v>1335100</v>
      </c>
    </row>
    <row r="141" spans="1:9" ht="21" customHeight="1">
      <c r="A141" s="375">
        <f ca="1">IF(ROWS($1:131)&gt;COUNT(Dong6),"",OFFSET(TH!C$1,SMALL(Dong6,ROWS($1:131)),))</f>
        <v>41246</v>
      </c>
      <c r="B141" s="376" t="str">
        <f ca="1">IF(ROWS($1:131)&gt;COUNT(Dong6),"",OFFSET(TH!D$1,SMALL(Dong6,ROWS($1:131)),))</f>
        <v>C24</v>
      </c>
      <c r="C141" s="375">
        <f ca="1">IF(ROWS($1:131)&gt;COUNT(Dong6),"",OFFSET(TH!E$1,SMALL(Dong6,ROWS($1:131)),))</f>
        <v>41246</v>
      </c>
      <c r="D141" s="377" t="str">
        <f ca="1">IF(ROWS($1:131)&gt;COUNT(Dong6),"",OFFSET(TH!F$1,SMALL(Dong6,ROWS($1:131)),))</f>
        <v>Thanh toán tiền hàng</v>
      </c>
      <c r="E141" s="376">
        <f t="shared" ca="1" si="3"/>
        <v>131</v>
      </c>
      <c r="F141" s="378" t="str">
        <f ca="1">IF(ROWS($1:131)&gt;COUNT(Dong6),"",OFFSET(TH!L$1,SMALL(Dong6,ROWS($1:131)),))</f>
        <v>331</v>
      </c>
      <c r="G141" s="378" t="str">
        <f ca="1">IF(ROWS($1:131)&gt;COUNT(Dong6),"",OFFSET(TH!M$1,SMALL(Dong6,ROWS($1:131)),))</f>
        <v>1111</v>
      </c>
      <c r="H141" s="351">
        <f ca="1">IF(ROWS($1:131)&gt;COUNT(Dong6),"",OFFSET(TH!K$1,SMALL(Dong6,ROWS($1:131)),))</f>
        <v>14686100</v>
      </c>
      <c r="I141" s="351">
        <f ca="1">IF(ROWS($1:131)&gt;COUNT(Dong6),"",OFFSET(TH!K$1,SMALL(Dong6,ROWS($1:131)),))</f>
        <v>14686100</v>
      </c>
    </row>
    <row r="142" spans="1:9" ht="21" customHeight="1">
      <c r="A142" s="375">
        <f ca="1">IF(ROWS($1:132)&gt;COUNT(Dong6),"",OFFSET(TH!C$1,SMALL(Dong6,ROWS($1:132)),))</f>
        <v>41247</v>
      </c>
      <c r="B142" s="376" t="str">
        <f ca="1">IF(ROWS($1:132)&gt;COUNT(Dong6),"",OFFSET(TH!D$1,SMALL(Dong6,ROWS($1:132)),))</f>
        <v>X15</v>
      </c>
      <c r="C142" s="375">
        <f ca="1">IF(ROWS($1:132)&gt;COUNT(Dong6),"",OFFSET(TH!E$1,SMALL(Dong6,ROWS($1:132)),))</f>
        <v>41247</v>
      </c>
      <c r="D142" s="377" t="str">
        <f ca="1">IF(ROWS($1:132)&gt;COUNT(Dong6),"",OFFSET(TH!F$1,SMALL(Dong6,ROWS($1:132)),))</f>
        <v>Thùng carton (52,5x25x25)</v>
      </c>
      <c r="E142" s="376">
        <f t="shared" ca="1" si="3"/>
        <v>132</v>
      </c>
      <c r="F142" s="378" t="str">
        <f ca="1">IF(ROWS($1:132)&gt;COUNT(Dong6),"",OFFSET(TH!L$1,SMALL(Dong6,ROWS($1:132)),))</f>
        <v>131</v>
      </c>
      <c r="G142" s="378" t="str">
        <f ca="1">IF(ROWS($1:132)&gt;COUNT(Dong6),"",OFFSET(TH!M$1,SMALL(Dong6,ROWS($1:132)),))</f>
        <v>5112</v>
      </c>
      <c r="H142" s="351">
        <f ca="1">IF(ROWS($1:132)&gt;COUNT(Dong6),"",OFFSET(TH!K$1,SMALL(Dong6,ROWS($1:132)),))</f>
        <v>7425000</v>
      </c>
      <c r="I142" s="351">
        <f ca="1">IF(ROWS($1:132)&gt;COUNT(Dong6),"",OFFSET(TH!K$1,SMALL(Dong6,ROWS($1:132)),))</f>
        <v>7425000</v>
      </c>
    </row>
    <row r="143" spans="1:9" ht="21" customHeight="1">
      <c r="A143" s="375">
        <f ca="1">IF(ROWS($1:133)&gt;COUNT(Dong6),"",OFFSET(TH!C$1,SMALL(Dong6,ROWS($1:133)),))</f>
        <v>41247</v>
      </c>
      <c r="B143" s="376" t="str">
        <f ca="1">IF(ROWS($1:133)&gt;COUNT(Dong6),"",OFFSET(TH!D$1,SMALL(Dong6,ROWS($1:133)),))</f>
        <v>X15</v>
      </c>
      <c r="C143" s="375">
        <f ca="1">IF(ROWS($1:133)&gt;COUNT(Dong6),"",OFFSET(TH!E$1,SMALL(Dong6,ROWS($1:133)),))</f>
        <v>41247</v>
      </c>
      <c r="D143" s="377" t="str">
        <f ca="1">IF(ROWS($1:133)&gt;COUNT(Dong6),"",OFFSET(TH!F$1,SMALL(Dong6,ROWS($1:133)),))</f>
        <v>Thùng carton (51x51x31,5)</v>
      </c>
      <c r="E143" s="376">
        <f t="shared" ca="1" si="3"/>
        <v>133</v>
      </c>
      <c r="F143" s="378" t="str">
        <f ca="1">IF(ROWS($1:133)&gt;COUNT(Dong6),"",OFFSET(TH!L$1,SMALL(Dong6,ROWS($1:133)),))</f>
        <v>131</v>
      </c>
      <c r="G143" s="378" t="str">
        <f ca="1">IF(ROWS($1:133)&gt;COUNT(Dong6),"",OFFSET(TH!M$1,SMALL(Dong6,ROWS($1:133)),))</f>
        <v>5112</v>
      </c>
      <c r="H143" s="351">
        <f ca="1">IF(ROWS($1:133)&gt;COUNT(Dong6),"",OFFSET(TH!K$1,SMALL(Dong6,ROWS($1:133)),))</f>
        <v>7750000</v>
      </c>
      <c r="I143" s="351">
        <f ca="1">IF(ROWS($1:133)&gt;COUNT(Dong6),"",OFFSET(TH!K$1,SMALL(Dong6,ROWS($1:133)),))</f>
        <v>7750000</v>
      </c>
    </row>
    <row r="144" spans="1:9" ht="21" customHeight="1">
      <c r="A144" s="375">
        <f ca="1">IF(ROWS($1:134)&gt;COUNT(Dong6),"",OFFSET(TH!C$1,SMALL(Dong6,ROWS($1:134)),))</f>
        <v>41247</v>
      </c>
      <c r="B144" s="376" t="str">
        <f ca="1">IF(ROWS($1:134)&gt;COUNT(Dong6),"",OFFSET(TH!D$1,SMALL(Dong6,ROWS($1:134)),))</f>
        <v>X15</v>
      </c>
      <c r="C144" s="375">
        <f ca="1">IF(ROWS($1:134)&gt;COUNT(Dong6),"",OFFSET(TH!E$1,SMALL(Dong6,ROWS($1:134)),))</f>
        <v>41247</v>
      </c>
      <c r="D144" s="377" t="str">
        <f ca="1">IF(ROWS($1:134)&gt;COUNT(Dong6),"",OFFSET(TH!F$1,SMALL(Dong6,ROWS($1:134)),))</f>
        <v>VAT Thùng</v>
      </c>
      <c r="E144" s="376">
        <f t="shared" ca="1" si="3"/>
        <v>134</v>
      </c>
      <c r="F144" s="378" t="str">
        <f ca="1">IF(ROWS($1:134)&gt;COUNT(Dong6),"",OFFSET(TH!L$1,SMALL(Dong6,ROWS($1:134)),))</f>
        <v>131</v>
      </c>
      <c r="G144" s="378" t="str">
        <f ca="1">IF(ROWS($1:134)&gt;COUNT(Dong6),"",OFFSET(TH!M$1,SMALL(Dong6,ROWS($1:134)),))</f>
        <v>3331</v>
      </c>
      <c r="H144" s="351">
        <f ca="1">IF(ROWS($1:134)&gt;COUNT(Dong6),"",OFFSET(TH!K$1,SMALL(Dong6,ROWS($1:134)),))</f>
        <v>1517500</v>
      </c>
      <c r="I144" s="351">
        <f ca="1">IF(ROWS($1:134)&gt;COUNT(Dong6),"",OFFSET(TH!K$1,SMALL(Dong6,ROWS($1:134)),))</f>
        <v>1517500</v>
      </c>
    </row>
    <row r="145" spans="1:9" ht="21" customHeight="1">
      <c r="A145" s="375">
        <f ca="1">IF(ROWS($1:135)&gt;COUNT(Dong6),"",OFFSET(TH!C$1,SMALL(Dong6,ROWS($1:135)),))</f>
        <v>41250</v>
      </c>
      <c r="B145" s="376" t="str">
        <f ca="1">IF(ROWS($1:135)&gt;COUNT(Dong6),"",OFFSET(TH!D$1,SMALL(Dong6,ROWS($1:135)),))</f>
        <v>T14</v>
      </c>
      <c r="C145" s="375">
        <f ca="1">IF(ROWS($1:135)&gt;COUNT(Dong6),"",OFFSET(TH!E$1,SMALL(Dong6,ROWS($1:135)),))</f>
        <v>41250</v>
      </c>
      <c r="D145" s="377" t="str">
        <f ca="1">IF(ROWS($1:135)&gt;COUNT(Dong6),"",OFFSET(TH!F$1,SMALL(Dong6,ROWS($1:135)),))</f>
        <v>Rút sec nhập quỹ tiền mặt</v>
      </c>
      <c r="E145" s="376">
        <f t="shared" ca="1" si="3"/>
        <v>135</v>
      </c>
      <c r="F145" s="378" t="str">
        <f ca="1">IF(ROWS($1:135)&gt;COUNT(Dong6),"",OFFSET(TH!L$1,SMALL(Dong6,ROWS($1:135)),))</f>
        <v>1111</v>
      </c>
      <c r="G145" s="378" t="str">
        <f ca="1">IF(ROWS($1:135)&gt;COUNT(Dong6),"",OFFSET(TH!M$1,SMALL(Dong6,ROWS($1:135)),))</f>
        <v>1121</v>
      </c>
      <c r="H145" s="351">
        <f ca="1">IF(ROWS($1:135)&gt;COUNT(Dong6),"",OFFSET(TH!K$1,SMALL(Dong6,ROWS($1:135)),))</f>
        <v>8400000</v>
      </c>
      <c r="I145" s="351">
        <f ca="1">IF(ROWS($1:135)&gt;COUNT(Dong6),"",OFFSET(TH!K$1,SMALL(Dong6,ROWS($1:135)),))</f>
        <v>8400000</v>
      </c>
    </row>
    <row r="146" spans="1:9" ht="21" customHeight="1">
      <c r="A146" s="375">
        <f ca="1">IF(ROWS($1:136)&gt;COUNT(Dong6),"",OFFSET(TH!C$1,SMALL(Dong6,ROWS($1:136)),))</f>
        <v>41250</v>
      </c>
      <c r="B146" s="376" t="str">
        <f ca="1">IF(ROWS($1:136)&gt;COUNT(Dong6),"",OFFSET(TH!D$1,SMALL(Dong6,ROWS($1:136)),))</f>
        <v>X16</v>
      </c>
      <c r="C146" s="375">
        <f ca="1">IF(ROWS($1:136)&gt;COUNT(Dong6),"",OFFSET(TH!E$1,SMALL(Dong6,ROWS($1:136)),))</f>
        <v>41250</v>
      </c>
      <c r="D146" s="377" t="str">
        <f ca="1">IF(ROWS($1:136)&gt;COUNT(Dong6),"",OFFSET(TH!F$1,SMALL(Dong6,ROWS($1:136)),))</f>
        <v>Thùng carton (51,5x24,5x24,5)</v>
      </c>
      <c r="E146" s="376">
        <f t="shared" ca="1" si="3"/>
        <v>136</v>
      </c>
      <c r="F146" s="378" t="str">
        <f ca="1">IF(ROWS($1:136)&gt;COUNT(Dong6),"",OFFSET(TH!L$1,SMALL(Dong6,ROWS($1:136)),))</f>
        <v>131</v>
      </c>
      <c r="G146" s="378" t="str">
        <f ca="1">IF(ROWS($1:136)&gt;COUNT(Dong6),"",OFFSET(TH!M$1,SMALL(Dong6,ROWS($1:136)),))</f>
        <v>5112</v>
      </c>
      <c r="H146" s="351">
        <f ca="1">IF(ROWS($1:136)&gt;COUNT(Dong6),"",OFFSET(TH!K$1,SMALL(Dong6,ROWS($1:136)),))</f>
        <v>8816000</v>
      </c>
      <c r="I146" s="351">
        <f ca="1">IF(ROWS($1:136)&gt;COUNT(Dong6),"",OFFSET(TH!K$1,SMALL(Dong6,ROWS($1:136)),))</f>
        <v>8816000</v>
      </c>
    </row>
    <row r="147" spans="1:9" ht="21" customHeight="1">
      <c r="A147" s="375">
        <f ca="1">IF(ROWS($1:137)&gt;COUNT(Dong6),"",OFFSET(TH!C$1,SMALL(Dong6,ROWS($1:137)),))</f>
        <v>41250</v>
      </c>
      <c r="B147" s="376" t="str">
        <f ca="1">IF(ROWS($1:137)&gt;COUNT(Dong6),"",OFFSET(TH!D$1,SMALL(Dong6,ROWS($1:137)),))</f>
        <v>X16</v>
      </c>
      <c r="C147" s="375">
        <f ca="1">IF(ROWS($1:137)&gt;COUNT(Dong6),"",OFFSET(TH!E$1,SMALL(Dong6,ROWS($1:137)),))</f>
        <v>41250</v>
      </c>
      <c r="D147" s="377" t="str">
        <f ca="1">IF(ROWS($1:137)&gt;COUNT(Dong6),"",OFFSET(TH!F$1,SMALL(Dong6,ROWS($1:137)),))</f>
        <v>VAT Thùng</v>
      </c>
      <c r="E147" s="376">
        <f t="shared" ca="1" si="3"/>
        <v>137</v>
      </c>
      <c r="F147" s="378" t="str">
        <f ca="1">IF(ROWS($1:137)&gt;COUNT(Dong6),"",OFFSET(TH!L$1,SMALL(Dong6,ROWS($1:137)),))</f>
        <v>131</v>
      </c>
      <c r="G147" s="378" t="str">
        <f ca="1">IF(ROWS($1:137)&gt;COUNT(Dong6),"",OFFSET(TH!M$1,SMALL(Dong6,ROWS($1:137)),))</f>
        <v>3331</v>
      </c>
      <c r="H147" s="351">
        <f ca="1">IF(ROWS($1:137)&gt;COUNT(Dong6),"",OFFSET(TH!K$1,SMALL(Dong6,ROWS($1:137)),))</f>
        <v>881600</v>
      </c>
      <c r="I147" s="351">
        <f ca="1">IF(ROWS($1:137)&gt;COUNT(Dong6),"",OFFSET(TH!K$1,SMALL(Dong6,ROWS($1:137)),))</f>
        <v>881600</v>
      </c>
    </row>
    <row r="148" spans="1:9" ht="21" customHeight="1">
      <c r="A148" s="375">
        <f ca="1">IF(ROWS($1:138)&gt;COUNT(Dong6),"",OFFSET(TH!C$1,SMALL(Dong6,ROWS($1:138)),))</f>
        <v>41251</v>
      </c>
      <c r="B148" s="376" t="str">
        <f ca="1">IF(ROWS($1:138)&gt;COUNT(Dong6),"",OFFSET(TH!D$1,SMALL(Dong6,ROWS($1:138)),))</f>
        <v>N12</v>
      </c>
      <c r="C148" s="375">
        <f ca="1">IF(ROWS($1:138)&gt;COUNT(Dong6),"",OFFSET(TH!E$1,SMALL(Dong6,ROWS($1:138)),))</f>
        <v>41251</v>
      </c>
      <c r="D148" s="377" t="str">
        <f ca="1">IF(ROWS($1:138)&gt;COUNT(Dong6),"",OFFSET(TH!F$1,SMALL(Dong6,ROWS($1:138)),))</f>
        <v>Giấy tấm 1N +2X (105x158)</v>
      </c>
      <c r="E148" s="376">
        <f t="shared" ca="1" si="3"/>
        <v>138</v>
      </c>
      <c r="F148" s="378" t="str">
        <f ca="1">IF(ROWS($1:138)&gt;COUNT(Dong6),"",OFFSET(TH!L$1,SMALL(Dong6,ROWS($1:138)),))</f>
        <v>156</v>
      </c>
      <c r="G148" s="378" t="str">
        <f ca="1">IF(ROWS($1:138)&gt;COUNT(Dong6),"",OFFSET(TH!M$1,SMALL(Dong6,ROWS($1:138)),))</f>
        <v>331</v>
      </c>
      <c r="H148" s="351">
        <f ca="1">IF(ROWS($1:138)&gt;COUNT(Dong6),"",OFFSET(TH!K$1,SMALL(Dong6,ROWS($1:138)),))</f>
        <v>5143000</v>
      </c>
      <c r="I148" s="351">
        <f ca="1">IF(ROWS($1:138)&gt;COUNT(Dong6),"",OFFSET(TH!K$1,SMALL(Dong6,ROWS($1:138)),))</f>
        <v>5143000</v>
      </c>
    </row>
    <row r="149" spans="1:9" ht="21" customHeight="1">
      <c r="A149" s="375">
        <f ca="1">IF(ROWS($1:139)&gt;COUNT(Dong6),"",OFFSET(TH!C$1,SMALL(Dong6,ROWS($1:139)),))</f>
        <v>41251</v>
      </c>
      <c r="B149" s="376" t="str">
        <f ca="1">IF(ROWS($1:139)&gt;COUNT(Dong6),"",OFFSET(TH!D$1,SMALL(Dong6,ROWS($1:139)),))</f>
        <v>N12</v>
      </c>
      <c r="C149" s="375">
        <f ca="1">IF(ROWS($1:139)&gt;COUNT(Dong6),"",OFFSET(TH!E$1,SMALL(Dong6,ROWS($1:139)),))</f>
        <v>41251</v>
      </c>
      <c r="D149" s="377" t="str">
        <f ca="1">IF(ROWS($1:139)&gt;COUNT(Dong6),"",OFFSET(TH!F$1,SMALL(Dong6,ROWS($1:139)),))</f>
        <v>Giấy tấm 1N +2X (110x151)</v>
      </c>
      <c r="E149" s="376">
        <f t="shared" ca="1" si="3"/>
        <v>139</v>
      </c>
      <c r="F149" s="378" t="str">
        <f ca="1">IF(ROWS($1:139)&gt;COUNT(Dong6),"",OFFSET(TH!L$1,SMALL(Dong6,ROWS($1:139)),))</f>
        <v>156</v>
      </c>
      <c r="G149" s="378" t="str">
        <f ca="1">IF(ROWS($1:139)&gt;COUNT(Dong6),"",OFFSET(TH!M$1,SMALL(Dong6,ROWS($1:139)),))</f>
        <v>331</v>
      </c>
      <c r="H149" s="351">
        <f ca="1">IF(ROWS($1:139)&gt;COUNT(Dong6),"",OFFSET(TH!K$1,SMALL(Dong6,ROWS($1:139)),))</f>
        <v>5149000</v>
      </c>
      <c r="I149" s="351">
        <f ca="1">IF(ROWS($1:139)&gt;COUNT(Dong6),"",OFFSET(TH!K$1,SMALL(Dong6,ROWS($1:139)),))</f>
        <v>5149000</v>
      </c>
    </row>
    <row r="150" spans="1:9" ht="21" customHeight="1">
      <c r="A150" s="375">
        <f ca="1">IF(ROWS($1:140)&gt;COUNT(Dong6),"",OFFSET(TH!C$1,SMALL(Dong6,ROWS($1:140)),))</f>
        <v>41251</v>
      </c>
      <c r="B150" s="376" t="str">
        <f ca="1">IF(ROWS($1:140)&gt;COUNT(Dong6),"",OFFSET(TH!D$1,SMALL(Dong6,ROWS($1:140)),))</f>
        <v>N12</v>
      </c>
      <c r="C150" s="375">
        <f ca="1">IF(ROWS($1:140)&gt;COUNT(Dong6),"",OFFSET(TH!E$1,SMALL(Dong6,ROWS($1:140)),))</f>
        <v>41251</v>
      </c>
      <c r="D150" s="377" t="str">
        <f ca="1">IF(ROWS($1:140)&gt;COUNT(Dong6),"",OFFSET(TH!F$1,SMALL(Dong6,ROWS($1:140)),))</f>
        <v xml:space="preserve">VAT Giấy tấm </v>
      </c>
      <c r="E150" s="376">
        <f t="shared" ca="1" si="3"/>
        <v>140</v>
      </c>
      <c r="F150" s="378" t="str">
        <f ca="1">IF(ROWS($1:140)&gt;COUNT(Dong6),"",OFFSET(TH!L$1,SMALL(Dong6,ROWS($1:140)),))</f>
        <v>1331</v>
      </c>
      <c r="G150" s="378" t="str">
        <f ca="1">IF(ROWS($1:140)&gt;COUNT(Dong6),"",OFFSET(TH!M$1,SMALL(Dong6,ROWS($1:140)),))</f>
        <v>331</v>
      </c>
      <c r="H150" s="351">
        <f ca="1">IF(ROWS($1:140)&gt;COUNT(Dong6),"",OFFSET(TH!K$1,SMALL(Dong6,ROWS($1:140)),))</f>
        <v>1029200</v>
      </c>
      <c r="I150" s="351">
        <f ca="1">IF(ROWS($1:140)&gt;COUNT(Dong6),"",OFFSET(TH!K$1,SMALL(Dong6,ROWS($1:140)),))</f>
        <v>1029200</v>
      </c>
    </row>
    <row r="151" spans="1:9" ht="21" customHeight="1">
      <c r="A151" s="375">
        <f ca="1">IF(ROWS($1:141)&gt;COUNT(Dong6),"",OFFSET(TH!C$1,SMALL(Dong6,ROWS($1:141)),))</f>
        <v>41251</v>
      </c>
      <c r="B151" s="376" t="str">
        <f ca="1">IF(ROWS($1:141)&gt;COUNT(Dong6),"",OFFSET(TH!D$1,SMALL(Dong6,ROWS($1:141)),))</f>
        <v>C25</v>
      </c>
      <c r="C151" s="375">
        <f ca="1">IF(ROWS($1:141)&gt;COUNT(Dong6),"",OFFSET(TH!E$1,SMALL(Dong6,ROWS($1:141)),))</f>
        <v>41251</v>
      </c>
      <c r="D151" s="377" t="str">
        <f ca="1">IF(ROWS($1:141)&gt;COUNT(Dong6),"",OFFSET(TH!F$1,SMALL(Dong6,ROWS($1:141)),))</f>
        <v>Thanh toán tiền hàng</v>
      </c>
      <c r="E151" s="376">
        <f t="shared" ca="1" si="3"/>
        <v>141</v>
      </c>
      <c r="F151" s="378" t="str">
        <f ca="1">IF(ROWS($1:141)&gt;COUNT(Dong6),"",OFFSET(TH!L$1,SMALL(Dong6,ROWS($1:141)),))</f>
        <v>331</v>
      </c>
      <c r="G151" s="378" t="str">
        <f ca="1">IF(ROWS($1:141)&gt;COUNT(Dong6),"",OFFSET(TH!M$1,SMALL(Dong6,ROWS($1:141)),))</f>
        <v>1111</v>
      </c>
      <c r="H151" s="351">
        <f ca="1">IF(ROWS($1:141)&gt;COUNT(Dong6),"",OFFSET(TH!K$1,SMALL(Dong6,ROWS($1:141)),))</f>
        <v>11321200</v>
      </c>
      <c r="I151" s="351">
        <f ca="1">IF(ROWS($1:141)&gt;COUNT(Dong6),"",OFFSET(TH!K$1,SMALL(Dong6,ROWS($1:141)),))</f>
        <v>11321200</v>
      </c>
    </row>
    <row r="152" spans="1:9" ht="21" customHeight="1">
      <c r="A152" s="375">
        <f ca="1">IF(ROWS($1:142)&gt;COUNT(Dong6),"",OFFSET(TH!C$1,SMALL(Dong6,ROWS($1:142)),))</f>
        <v>41253</v>
      </c>
      <c r="B152" s="376" t="str">
        <f ca="1">IF(ROWS($1:142)&gt;COUNT(Dong6),"",OFFSET(TH!D$1,SMALL(Dong6,ROWS($1:142)),))</f>
        <v>X17</v>
      </c>
      <c r="C152" s="375">
        <f ca="1">IF(ROWS($1:142)&gt;COUNT(Dong6),"",OFFSET(TH!E$1,SMALL(Dong6,ROWS($1:142)),))</f>
        <v>41253</v>
      </c>
      <c r="D152" s="377" t="str">
        <f ca="1">IF(ROWS($1:142)&gt;COUNT(Dong6),"",OFFSET(TH!F$1,SMALL(Dong6,ROWS($1:142)),))</f>
        <v>Thùng carton (51,5x25,5x25,5)</v>
      </c>
      <c r="E152" s="376">
        <f t="shared" ca="1" si="3"/>
        <v>142</v>
      </c>
      <c r="F152" s="378" t="str">
        <f ca="1">IF(ROWS($1:142)&gt;COUNT(Dong6),"",OFFSET(TH!L$1,SMALL(Dong6,ROWS($1:142)),))</f>
        <v>131</v>
      </c>
      <c r="G152" s="378" t="str">
        <f ca="1">IF(ROWS($1:142)&gt;COUNT(Dong6),"",OFFSET(TH!M$1,SMALL(Dong6,ROWS($1:142)),))</f>
        <v>5112</v>
      </c>
      <c r="H152" s="351">
        <f ca="1">IF(ROWS($1:142)&gt;COUNT(Dong6),"",OFFSET(TH!K$1,SMALL(Dong6,ROWS($1:142)),))</f>
        <v>7657000</v>
      </c>
      <c r="I152" s="351">
        <f ca="1">IF(ROWS($1:142)&gt;COUNT(Dong6),"",OFFSET(TH!K$1,SMALL(Dong6,ROWS($1:142)),))</f>
        <v>7657000</v>
      </c>
    </row>
    <row r="153" spans="1:9" ht="21" customHeight="1">
      <c r="A153" s="375">
        <f ca="1">IF(ROWS($1:143)&gt;COUNT(Dong6),"",OFFSET(TH!C$1,SMALL(Dong6,ROWS($1:143)),))</f>
        <v>41253</v>
      </c>
      <c r="B153" s="376" t="str">
        <f ca="1">IF(ROWS($1:143)&gt;COUNT(Dong6),"",OFFSET(TH!D$1,SMALL(Dong6,ROWS($1:143)),))</f>
        <v>X17</v>
      </c>
      <c r="C153" s="375">
        <f ca="1">IF(ROWS($1:143)&gt;COUNT(Dong6),"",OFFSET(TH!E$1,SMALL(Dong6,ROWS($1:143)),))</f>
        <v>41253</v>
      </c>
      <c r="D153" s="377" t="str">
        <f ca="1">IF(ROWS($1:143)&gt;COUNT(Dong6),"",OFFSET(TH!F$1,SMALL(Dong6,ROWS($1:143)),))</f>
        <v>Thùng carton (51,5x22x32)</v>
      </c>
      <c r="E153" s="376">
        <f t="shared" ca="1" si="3"/>
        <v>143</v>
      </c>
      <c r="F153" s="378" t="str">
        <f ca="1">IF(ROWS($1:143)&gt;COUNT(Dong6),"",OFFSET(TH!L$1,SMALL(Dong6,ROWS($1:143)),))</f>
        <v>131</v>
      </c>
      <c r="G153" s="378" t="str">
        <f ca="1">IF(ROWS($1:143)&gt;COUNT(Dong6),"",OFFSET(TH!M$1,SMALL(Dong6,ROWS($1:143)),))</f>
        <v>5112</v>
      </c>
      <c r="H153" s="351">
        <f ca="1">IF(ROWS($1:143)&gt;COUNT(Dong6),"",OFFSET(TH!K$1,SMALL(Dong6,ROWS($1:143)),))</f>
        <v>6403400</v>
      </c>
      <c r="I153" s="351">
        <f ca="1">IF(ROWS($1:143)&gt;COUNT(Dong6),"",OFFSET(TH!K$1,SMALL(Dong6,ROWS($1:143)),))</f>
        <v>6403400</v>
      </c>
    </row>
    <row r="154" spans="1:9" ht="21" customHeight="1">
      <c r="A154" s="375">
        <f ca="1">IF(ROWS($1:144)&gt;COUNT(Dong6),"",OFFSET(TH!C$1,SMALL(Dong6,ROWS($1:144)),))</f>
        <v>41253</v>
      </c>
      <c r="B154" s="376" t="str">
        <f ca="1">IF(ROWS($1:144)&gt;COUNT(Dong6),"",OFFSET(TH!D$1,SMALL(Dong6,ROWS($1:144)),))</f>
        <v>X17</v>
      </c>
      <c r="C154" s="375">
        <f ca="1">IF(ROWS($1:144)&gt;COUNT(Dong6),"",OFFSET(TH!E$1,SMALL(Dong6,ROWS($1:144)),))</f>
        <v>41253</v>
      </c>
      <c r="D154" s="377" t="str">
        <f ca="1">IF(ROWS($1:144)&gt;COUNT(Dong6),"",OFFSET(TH!F$1,SMALL(Dong6,ROWS($1:144)),))</f>
        <v>VAT Thùng</v>
      </c>
      <c r="E154" s="376">
        <f t="shared" ca="1" si="3"/>
        <v>144</v>
      </c>
      <c r="F154" s="378" t="str">
        <f ca="1">IF(ROWS($1:144)&gt;COUNT(Dong6),"",OFFSET(TH!L$1,SMALL(Dong6,ROWS($1:144)),))</f>
        <v>131</v>
      </c>
      <c r="G154" s="378" t="str">
        <f ca="1">IF(ROWS($1:144)&gt;COUNT(Dong6),"",OFFSET(TH!M$1,SMALL(Dong6,ROWS($1:144)),))</f>
        <v>3331</v>
      </c>
      <c r="H154" s="351">
        <f ca="1">IF(ROWS($1:144)&gt;COUNT(Dong6),"",OFFSET(TH!K$1,SMALL(Dong6,ROWS($1:144)),))</f>
        <v>1406040</v>
      </c>
      <c r="I154" s="351">
        <f ca="1">IF(ROWS($1:144)&gt;COUNT(Dong6),"",OFFSET(TH!K$1,SMALL(Dong6,ROWS($1:144)),))</f>
        <v>1406040</v>
      </c>
    </row>
    <row r="155" spans="1:9" ht="21" customHeight="1">
      <c r="A155" s="375">
        <f ca="1">IF(ROWS($1:145)&gt;COUNT(Dong6),"",OFFSET(TH!C$1,SMALL(Dong6,ROWS($1:145)),))</f>
        <v>41253</v>
      </c>
      <c r="B155" s="376" t="str">
        <f ca="1">IF(ROWS($1:145)&gt;COUNT(Dong6),"",OFFSET(TH!D$1,SMALL(Dong6,ROWS($1:145)),))</f>
        <v>T15</v>
      </c>
      <c r="C155" s="375">
        <f ca="1">IF(ROWS($1:145)&gt;COUNT(Dong6),"",OFFSET(TH!E$1,SMALL(Dong6,ROWS($1:145)),))</f>
        <v>41253</v>
      </c>
      <c r="D155" s="377" t="str">
        <f ca="1">IF(ROWS($1:145)&gt;COUNT(Dong6),"",OFFSET(TH!F$1,SMALL(Dong6,ROWS($1:145)),))</f>
        <v>Thu tiền hàng</v>
      </c>
      <c r="E155" s="376">
        <f t="shared" ca="1" si="3"/>
        <v>145</v>
      </c>
      <c r="F155" s="378" t="str">
        <f ca="1">IF(ROWS($1:145)&gt;COUNT(Dong6),"",OFFSET(TH!L$1,SMALL(Dong6,ROWS($1:145)),))</f>
        <v>1111</v>
      </c>
      <c r="G155" s="378" t="str">
        <f ca="1">IF(ROWS($1:145)&gt;COUNT(Dong6),"",OFFSET(TH!M$1,SMALL(Dong6,ROWS($1:145)),))</f>
        <v>131</v>
      </c>
      <c r="H155" s="351">
        <f ca="1">IF(ROWS($1:145)&gt;COUNT(Dong6),"",OFFSET(TH!K$1,SMALL(Dong6,ROWS($1:145)),))</f>
        <v>15466440</v>
      </c>
      <c r="I155" s="351">
        <f ca="1">IF(ROWS($1:145)&gt;COUNT(Dong6),"",OFFSET(TH!K$1,SMALL(Dong6,ROWS($1:145)),))</f>
        <v>15466440</v>
      </c>
    </row>
    <row r="156" spans="1:9" ht="21" customHeight="1">
      <c r="A156" s="375">
        <f ca="1">IF(ROWS($1:146)&gt;COUNT(Dong6),"",OFFSET(TH!C$1,SMALL(Dong6,ROWS($1:146)),))</f>
        <v>41255</v>
      </c>
      <c r="B156" s="376" t="str">
        <f ca="1">IF(ROWS($1:146)&gt;COUNT(Dong6),"",OFFSET(TH!D$1,SMALL(Dong6,ROWS($1:146)),))</f>
        <v>C26</v>
      </c>
      <c r="C156" s="375">
        <f ca="1">IF(ROWS($1:146)&gt;COUNT(Dong6),"",OFFSET(TH!E$1,SMALL(Dong6,ROWS($1:146)),))</f>
        <v>41255</v>
      </c>
      <c r="D156" s="377" t="str">
        <f ca="1">IF(ROWS($1:146)&gt;COUNT(Dong6),"",OFFSET(TH!F$1,SMALL(Dong6,ROWS($1:146)),))</f>
        <v>Văn phòng phẩm</v>
      </c>
      <c r="E156" s="376">
        <f t="shared" ca="1" si="3"/>
        <v>146</v>
      </c>
      <c r="F156" s="378" t="str">
        <f ca="1">IF(ROWS($1:146)&gt;COUNT(Dong6),"",OFFSET(TH!L$1,SMALL(Dong6,ROWS($1:146)),))</f>
        <v>642</v>
      </c>
      <c r="G156" s="378" t="str">
        <f ca="1">IF(ROWS($1:146)&gt;COUNT(Dong6),"",OFFSET(TH!M$1,SMALL(Dong6,ROWS($1:146)),))</f>
        <v>1111</v>
      </c>
      <c r="H156" s="351">
        <f ca="1">IF(ROWS($1:146)&gt;COUNT(Dong6),"",OFFSET(TH!K$1,SMALL(Dong6,ROWS($1:146)),))</f>
        <v>262000</v>
      </c>
      <c r="I156" s="351">
        <f ca="1">IF(ROWS($1:146)&gt;COUNT(Dong6),"",OFFSET(TH!K$1,SMALL(Dong6,ROWS($1:146)),))</f>
        <v>262000</v>
      </c>
    </row>
    <row r="157" spans="1:9" ht="21" customHeight="1">
      <c r="A157" s="375">
        <f ca="1">IF(ROWS($1:147)&gt;COUNT(Dong6),"",OFFSET(TH!C$1,SMALL(Dong6,ROWS($1:147)),))</f>
        <v>41260</v>
      </c>
      <c r="B157" s="376" t="str">
        <f ca="1">IF(ROWS($1:147)&gt;COUNT(Dong6),"",OFFSET(TH!D$1,SMALL(Dong6,ROWS($1:147)),))</f>
        <v>C27</v>
      </c>
      <c r="C157" s="375">
        <f ca="1">IF(ROWS($1:147)&gt;COUNT(Dong6),"",OFFSET(TH!E$1,SMALL(Dong6,ROWS($1:147)),))</f>
        <v>41260</v>
      </c>
      <c r="D157" s="377" t="str">
        <f ca="1">IF(ROWS($1:147)&gt;COUNT(Dong6),"",OFFSET(TH!F$1,SMALL(Dong6,ROWS($1:147)),))</f>
        <v>Thanh toán tiền viễn thông</v>
      </c>
      <c r="E157" s="376">
        <f t="shared" ca="1" si="3"/>
        <v>147</v>
      </c>
      <c r="F157" s="378" t="str">
        <f ca="1">IF(ROWS($1:147)&gt;COUNT(Dong6),"",OFFSET(TH!L$1,SMALL(Dong6,ROWS($1:147)),))</f>
        <v>642</v>
      </c>
      <c r="G157" s="378" t="str">
        <f ca="1">IF(ROWS($1:147)&gt;COUNT(Dong6),"",OFFSET(TH!M$1,SMALL(Dong6,ROWS($1:147)),))</f>
        <v>1111</v>
      </c>
      <c r="H157" s="351">
        <f ca="1">IF(ROWS($1:147)&gt;COUNT(Dong6),"",OFFSET(TH!K$1,SMALL(Dong6,ROWS($1:147)),))</f>
        <v>277272</v>
      </c>
      <c r="I157" s="351">
        <f ca="1">IF(ROWS($1:147)&gt;COUNT(Dong6),"",OFFSET(TH!K$1,SMALL(Dong6,ROWS($1:147)),))</f>
        <v>277272</v>
      </c>
    </row>
    <row r="158" spans="1:9" ht="21" customHeight="1">
      <c r="A158" s="375">
        <f ca="1">IF(ROWS($1:148)&gt;COUNT(Dong6),"",OFFSET(TH!C$1,SMALL(Dong6,ROWS($1:148)),))</f>
        <v>41260</v>
      </c>
      <c r="B158" s="376" t="str">
        <f ca="1">IF(ROWS($1:148)&gt;COUNT(Dong6),"",OFFSET(TH!D$1,SMALL(Dong6,ROWS($1:148)),))</f>
        <v>C27</v>
      </c>
      <c r="C158" s="375">
        <f ca="1">IF(ROWS($1:148)&gt;COUNT(Dong6),"",OFFSET(TH!E$1,SMALL(Dong6,ROWS($1:148)),))</f>
        <v>41260</v>
      </c>
      <c r="D158" s="377" t="str">
        <f ca="1">IF(ROWS($1:148)&gt;COUNT(Dong6),"",OFFSET(TH!F$1,SMALL(Dong6,ROWS($1:148)),))</f>
        <v>VAT Thanh toán tiền viễn thông</v>
      </c>
      <c r="E158" s="376">
        <f t="shared" ca="1" si="3"/>
        <v>148</v>
      </c>
      <c r="F158" s="378" t="str">
        <f ca="1">IF(ROWS($1:148)&gt;COUNT(Dong6),"",OFFSET(TH!L$1,SMALL(Dong6,ROWS($1:148)),))</f>
        <v>1331</v>
      </c>
      <c r="G158" s="378" t="str">
        <f ca="1">IF(ROWS($1:148)&gt;COUNT(Dong6),"",OFFSET(TH!M$1,SMALL(Dong6,ROWS($1:148)),))</f>
        <v>1111</v>
      </c>
      <c r="H158" s="351">
        <f ca="1">IF(ROWS($1:148)&gt;COUNT(Dong6),"",OFFSET(TH!K$1,SMALL(Dong6,ROWS($1:148)),))</f>
        <v>7728</v>
      </c>
      <c r="I158" s="351">
        <f ca="1">IF(ROWS($1:148)&gt;COUNT(Dong6),"",OFFSET(TH!K$1,SMALL(Dong6,ROWS($1:148)),))</f>
        <v>7728</v>
      </c>
    </row>
    <row r="159" spans="1:9" ht="21" customHeight="1">
      <c r="A159" s="375">
        <f ca="1">IF(ROWS($1:149)&gt;COUNT(Dong6),"",OFFSET(TH!C$1,SMALL(Dong6,ROWS($1:149)),))</f>
        <v>41267</v>
      </c>
      <c r="B159" s="376" t="str">
        <f ca="1">IF(ROWS($1:149)&gt;COUNT(Dong6),"",OFFSET(TH!D$1,SMALL(Dong6,ROWS($1:149)),))</f>
        <v>X18</v>
      </c>
      <c r="C159" s="375">
        <f ca="1">IF(ROWS($1:149)&gt;COUNT(Dong6),"",OFFSET(TH!E$1,SMALL(Dong6,ROWS($1:149)),))</f>
        <v>41267</v>
      </c>
      <c r="D159" s="377" t="str">
        <f ca="1">IF(ROWS($1:149)&gt;COUNT(Dong6),"",OFFSET(TH!F$1,SMALL(Dong6,ROWS($1:149)),))</f>
        <v>Thùng carton (48x48x55)</v>
      </c>
      <c r="E159" s="376">
        <f t="shared" ca="1" si="3"/>
        <v>149</v>
      </c>
      <c r="F159" s="378" t="str">
        <f ca="1">IF(ROWS($1:149)&gt;COUNT(Dong6),"",OFFSET(TH!L$1,SMALL(Dong6,ROWS($1:149)),))</f>
        <v>131</v>
      </c>
      <c r="G159" s="378" t="str">
        <f ca="1">IF(ROWS($1:149)&gt;COUNT(Dong6),"",OFFSET(TH!M$1,SMALL(Dong6,ROWS($1:149)),))</f>
        <v>5112</v>
      </c>
      <c r="H159" s="351">
        <f ca="1">IF(ROWS($1:149)&gt;COUNT(Dong6),"",OFFSET(TH!K$1,SMALL(Dong6,ROWS($1:149)),))</f>
        <v>4356180</v>
      </c>
      <c r="I159" s="351">
        <f ca="1">IF(ROWS($1:149)&gt;COUNT(Dong6),"",OFFSET(TH!K$1,SMALL(Dong6,ROWS($1:149)),))</f>
        <v>4356180</v>
      </c>
    </row>
    <row r="160" spans="1:9" ht="21" customHeight="1">
      <c r="A160" s="375">
        <f ca="1">IF(ROWS($1:150)&gt;COUNT(Dong6),"",OFFSET(TH!C$1,SMALL(Dong6,ROWS($1:150)),))</f>
        <v>41267</v>
      </c>
      <c r="B160" s="376" t="str">
        <f ca="1">IF(ROWS($1:150)&gt;COUNT(Dong6),"",OFFSET(TH!D$1,SMALL(Dong6,ROWS($1:150)),))</f>
        <v>X18</v>
      </c>
      <c r="C160" s="375">
        <f ca="1">IF(ROWS($1:150)&gt;COUNT(Dong6),"",OFFSET(TH!E$1,SMALL(Dong6,ROWS($1:150)),))</f>
        <v>41267</v>
      </c>
      <c r="D160" s="377" t="str">
        <f ca="1">IF(ROWS($1:150)&gt;COUNT(Dong6),"",OFFSET(TH!F$1,SMALL(Dong6,ROWS($1:150)),))</f>
        <v>Thùng carton (36,5x36,5x63)</v>
      </c>
      <c r="E160" s="376">
        <f t="shared" ca="1" si="3"/>
        <v>150</v>
      </c>
      <c r="F160" s="378" t="str">
        <f ca="1">IF(ROWS($1:150)&gt;COUNT(Dong6),"",OFFSET(TH!L$1,SMALL(Dong6,ROWS($1:150)),))</f>
        <v>131</v>
      </c>
      <c r="G160" s="378" t="str">
        <f ca="1">IF(ROWS($1:150)&gt;COUNT(Dong6),"",OFFSET(TH!M$1,SMALL(Dong6,ROWS($1:150)),))</f>
        <v>5112</v>
      </c>
      <c r="H160" s="351">
        <f ca="1">IF(ROWS($1:150)&gt;COUNT(Dong6),"",OFFSET(TH!K$1,SMALL(Dong6,ROWS($1:150)),))</f>
        <v>1855000</v>
      </c>
      <c r="I160" s="351">
        <f ca="1">IF(ROWS($1:150)&gt;COUNT(Dong6),"",OFFSET(TH!K$1,SMALL(Dong6,ROWS($1:150)),))</f>
        <v>1855000</v>
      </c>
    </row>
    <row r="161" spans="1:9" ht="21" customHeight="1">
      <c r="A161" s="375">
        <f ca="1">IF(ROWS($1:151)&gt;COUNT(Dong6),"",OFFSET(TH!C$1,SMALL(Dong6,ROWS($1:151)),))</f>
        <v>41267</v>
      </c>
      <c r="B161" s="376" t="str">
        <f ca="1">IF(ROWS($1:151)&gt;COUNT(Dong6),"",OFFSET(TH!D$1,SMALL(Dong6,ROWS($1:151)),))</f>
        <v>X18</v>
      </c>
      <c r="C161" s="375">
        <f ca="1">IF(ROWS($1:151)&gt;COUNT(Dong6),"",OFFSET(TH!E$1,SMALL(Dong6,ROWS($1:151)),))</f>
        <v>41267</v>
      </c>
      <c r="D161" s="377" t="str">
        <f ca="1">IF(ROWS($1:151)&gt;COUNT(Dong6),"",OFFSET(TH!F$1,SMALL(Dong6,ROWS($1:151)),))</f>
        <v>Thùng carton (47,5x47,5x55)</v>
      </c>
      <c r="E161" s="376">
        <f t="shared" ca="1" si="3"/>
        <v>151</v>
      </c>
      <c r="F161" s="378" t="str">
        <f ca="1">IF(ROWS($1:151)&gt;COUNT(Dong6),"",OFFSET(TH!L$1,SMALL(Dong6,ROWS($1:151)),))</f>
        <v>131</v>
      </c>
      <c r="G161" s="378" t="str">
        <f ca="1">IF(ROWS($1:151)&gt;COUNT(Dong6),"",OFFSET(TH!M$1,SMALL(Dong6,ROWS($1:151)),))</f>
        <v>5112</v>
      </c>
      <c r="H161" s="351">
        <f ca="1">IF(ROWS($1:151)&gt;COUNT(Dong6),"",OFFSET(TH!K$1,SMALL(Dong6,ROWS($1:151)),))</f>
        <v>4320000</v>
      </c>
      <c r="I161" s="351">
        <f ca="1">IF(ROWS($1:151)&gt;COUNT(Dong6),"",OFFSET(TH!K$1,SMALL(Dong6,ROWS($1:151)),))</f>
        <v>4320000</v>
      </c>
    </row>
    <row r="162" spans="1:9" ht="21" customHeight="1">
      <c r="A162" s="375">
        <f ca="1">IF(ROWS($1:152)&gt;COUNT(Dong6),"",OFFSET(TH!C$1,SMALL(Dong6,ROWS($1:152)),))</f>
        <v>41267</v>
      </c>
      <c r="B162" s="376" t="str">
        <f ca="1">IF(ROWS($1:152)&gt;COUNT(Dong6),"",OFFSET(TH!D$1,SMALL(Dong6,ROWS($1:152)),))</f>
        <v>X18</v>
      </c>
      <c r="C162" s="375">
        <f ca="1">IF(ROWS($1:152)&gt;COUNT(Dong6),"",OFFSET(TH!E$1,SMALL(Dong6,ROWS($1:152)),))</f>
        <v>41267</v>
      </c>
      <c r="D162" s="377" t="str">
        <f ca="1">IF(ROWS($1:152)&gt;COUNT(Dong6),"",OFFSET(TH!F$1,SMALL(Dong6,ROWS($1:152)),))</f>
        <v>Thùng carton (58,5x58,5x30)</v>
      </c>
      <c r="E162" s="376">
        <f t="shared" ca="1" si="3"/>
        <v>152</v>
      </c>
      <c r="F162" s="378" t="str">
        <f ca="1">IF(ROWS($1:152)&gt;COUNT(Dong6),"",OFFSET(TH!L$1,SMALL(Dong6,ROWS($1:152)),))</f>
        <v>131</v>
      </c>
      <c r="G162" s="378" t="str">
        <f ca="1">IF(ROWS($1:152)&gt;COUNT(Dong6),"",OFFSET(TH!M$1,SMALL(Dong6,ROWS($1:152)),))</f>
        <v>5112</v>
      </c>
      <c r="H162" s="351">
        <f ca="1">IF(ROWS($1:152)&gt;COUNT(Dong6),"",OFFSET(TH!K$1,SMALL(Dong6,ROWS($1:152)),))</f>
        <v>6812260</v>
      </c>
      <c r="I162" s="351">
        <f ca="1">IF(ROWS($1:152)&gt;COUNT(Dong6),"",OFFSET(TH!K$1,SMALL(Dong6,ROWS($1:152)),))</f>
        <v>6812260</v>
      </c>
    </row>
    <row r="163" spans="1:9" ht="21" customHeight="1">
      <c r="A163" s="375">
        <f ca="1">IF(ROWS($1:153)&gt;COUNT(Dong6),"",OFFSET(TH!C$1,SMALL(Dong6,ROWS($1:153)),))</f>
        <v>41267</v>
      </c>
      <c r="B163" s="376" t="str">
        <f ca="1">IF(ROWS($1:153)&gt;COUNT(Dong6),"",OFFSET(TH!D$1,SMALL(Dong6,ROWS($1:153)),))</f>
        <v>X18</v>
      </c>
      <c r="C163" s="375">
        <f ca="1">IF(ROWS($1:153)&gt;COUNT(Dong6),"",OFFSET(TH!E$1,SMALL(Dong6,ROWS($1:153)),))</f>
        <v>41267</v>
      </c>
      <c r="D163" s="377" t="str">
        <f ca="1">IF(ROWS($1:153)&gt;COUNT(Dong6),"",OFFSET(TH!F$1,SMALL(Dong6,ROWS($1:153)),))</f>
        <v>VAT Thùng</v>
      </c>
      <c r="E163" s="376">
        <f t="shared" ca="1" si="3"/>
        <v>153</v>
      </c>
      <c r="F163" s="378" t="str">
        <f ca="1">IF(ROWS($1:153)&gt;COUNT(Dong6),"",OFFSET(TH!L$1,SMALL(Dong6,ROWS($1:153)),))</f>
        <v>131</v>
      </c>
      <c r="G163" s="378" t="str">
        <f ca="1">IF(ROWS($1:153)&gt;COUNT(Dong6),"",OFFSET(TH!M$1,SMALL(Dong6,ROWS($1:153)),))</f>
        <v>3331</v>
      </c>
      <c r="H163" s="351">
        <f ca="1">IF(ROWS($1:153)&gt;COUNT(Dong6),"",OFFSET(TH!K$1,SMALL(Dong6,ROWS($1:153)),))</f>
        <v>1734344</v>
      </c>
      <c r="I163" s="351">
        <f ca="1">IF(ROWS($1:153)&gt;COUNT(Dong6),"",OFFSET(TH!K$1,SMALL(Dong6,ROWS($1:153)),))</f>
        <v>1734344</v>
      </c>
    </row>
    <row r="164" spans="1:9" ht="21" customHeight="1">
      <c r="A164" s="375">
        <f ca="1">IF(ROWS($1:154)&gt;COUNT(Dong6),"",OFFSET(TH!C$1,SMALL(Dong6,ROWS($1:154)),))</f>
        <v>41268</v>
      </c>
      <c r="B164" s="376" t="str">
        <f ca="1">IF(ROWS($1:154)&gt;COUNT(Dong6),"",OFFSET(TH!D$1,SMALL(Dong6,ROWS($1:154)),))</f>
        <v>GBC</v>
      </c>
      <c r="C164" s="375">
        <f ca="1">IF(ROWS($1:154)&gt;COUNT(Dong6),"",OFFSET(TH!E$1,SMALL(Dong6,ROWS($1:154)),))</f>
        <v>41268</v>
      </c>
      <c r="D164" s="377" t="str">
        <f ca="1">IF(ROWS($1:154)&gt;COUNT(Dong6),"",OFFSET(TH!F$1,SMALL(Dong6,ROWS($1:154)),))</f>
        <v>Thu tiền hàng</v>
      </c>
      <c r="E164" s="376">
        <f t="shared" ca="1" si="3"/>
        <v>154</v>
      </c>
      <c r="F164" s="378" t="str">
        <f ca="1">IF(ROWS($1:154)&gt;COUNT(Dong6),"",OFFSET(TH!L$1,SMALL(Dong6,ROWS($1:154)),))</f>
        <v>1121</v>
      </c>
      <c r="G164" s="378" t="str">
        <f ca="1">IF(ROWS($1:154)&gt;COUNT(Dong6),"",OFFSET(TH!M$1,SMALL(Dong6,ROWS($1:154)),))</f>
        <v>131</v>
      </c>
      <c r="H164" s="351">
        <f ca="1">IF(ROWS($1:154)&gt;COUNT(Dong6),"",OFFSET(TH!K$1,SMALL(Dong6,ROWS($1:154)),))</f>
        <v>19077784</v>
      </c>
      <c r="I164" s="351">
        <f ca="1">IF(ROWS($1:154)&gt;COUNT(Dong6),"",OFFSET(TH!K$1,SMALL(Dong6,ROWS($1:154)),))</f>
        <v>19077784</v>
      </c>
    </row>
    <row r="165" spans="1:9" ht="21" customHeight="1">
      <c r="A165" s="375">
        <f ca="1">IF(ROWS($1:155)&gt;COUNT(Dong6),"",OFFSET(TH!C$1,SMALL(Dong6,ROWS($1:155)),))</f>
        <v>41268</v>
      </c>
      <c r="B165" s="376" t="str">
        <f ca="1">IF(ROWS($1:155)&gt;COUNT(Dong6),"",OFFSET(TH!D$1,SMALL(Dong6,ROWS($1:155)),))</f>
        <v>X19</v>
      </c>
      <c r="C165" s="375">
        <f ca="1">IF(ROWS($1:155)&gt;COUNT(Dong6),"",OFFSET(TH!E$1,SMALL(Dong6,ROWS($1:155)),))</f>
        <v>41268</v>
      </c>
      <c r="D165" s="377" t="str">
        <f ca="1">IF(ROWS($1:155)&gt;COUNT(Dong6),"",OFFSET(TH!F$1,SMALL(Dong6,ROWS($1:155)),))</f>
        <v>Thùng carton (43,5x43,5x75)</v>
      </c>
      <c r="E165" s="376">
        <f t="shared" ref="E165:E182" ca="1" si="4">IF(D165&lt;&gt;"",ROW()-10,"")</f>
        <v>155</v>
      </c>
      <c r="F165" s="378" t="str">
        <f ca="1">IF(ROWS($1:155)&gt;COUNT(Dong6),"",OFFSET(TH!L$1,SMALL(Dong6,ROWS($1:155)),))</f>
        <v>131</v>
      </c>
      <c r="G165" s="378" t="str">
        <f ca="1">IF(ROWS($1:155)&gt;COUNT(Dong6),"",OFFSET(TH!M$1,SMALL(Dong6,ROWS($1:155)),))</f>
        <v>5112</v>
      </c>
      <c r="H165" s="351">
        <f ca="1">IF(ROWS($1:155)&gt;COUNT(Dong6),"",OFFSET(TH!K$1,SMALL(Dong6,ROWS($1:155)),))</f>
        <v>1526000</v>
      </c>
      <c r="I165" s="351">
        <f ca="1">IF(ROWS($1:155)&gt;COUNT(Dong6),"",OFFSET(TH!K$1,SMALL(Dong6,ROWS($1:155)),))</f>
        <v>1526000</v>
      </c>
    </row>
    <row r="166" spans="1:9" ht="21" customHeight="1">
      <c r="A166" s="375">
        <f ca="1">IF(ROWS($1:156)&gt;COUNT(Dong6),"",OFFSET(TH!C$1,SMALL(Dong6,ROWS($1:156)),))</f>
        <v>41268</v>
      </c>
      <c r="B166" s="376" t="str">
        <f ca="1">IF(ROWS($1:156)&gt;COUNT(Dong6),"",OFFSET(TH!D$1,SMALL(Dong6,ROWS($1:156)),))</f>
        <v>X19</v>
      </c>
      <c r="C166" s="375">
        <f ca="1">IF(ROWS($1:156)&gt;COUNT(Dong6),"",OFFSET(TH!E$1,SMALL(Dong6,ROWS($1:156)),))</f>
        <v>41268</v>
      </c>
      <c r="D166" s="377" t="str">
        <f ca="1">IF(ROWS($1:156)&gt;COUNT(Dong6),"",OFFSET(TH!F$1,SMALL(Dong6,ROWS($1:156)),))</f>
        <v>VAT Thùng</v>
      </c>
      <c r="E166" s="376">
        <f t="shared" ca="1" si="4"/>
        <v>156</v>
      </c>
      <c r="F166" s="378" t="str">
        <f ca="1">IF(ROWS($1:156)&gt;COUNT(Dong6),"",OFFSET(TH!L$1,SMALL(Dong6,ROWS($1:156)),))</f>
        <v>131</v>
      </c>
      <c r="G166" s="378" t="str">
        <f ca="1">IF(ROWS($1:156)&gt;COUNT(Dong6),"",OFFSET(TH!M$1,SMALL(Dong6,ROWS($1:156)),))</f>
        <v>3331</v>
      </c>
      <c r="H166" s="351">
        <f ca="1">IF(ROWS($1:156)&gt;COUNT(Dong6),"",OFFSET(TH!K$1,SMALL(Dong6,ROWS($1:156)),))</f>
        <v>152600</v>
      </c>
      <c r="I166" s="351">
        <f ca="1">IF(ROWS($1:156)&gt;COUNT(Dong6),"",OFFSET(TH!K$1,SMALL(Dong6,ROWS($1:156)),))</f>
        <v>152600</v>
      </c>
    </row>
    <row r="167" spans="1:9" ht="21" customHeight="1">
      <c r="A167" s="375">
        <f ca="1">IF(ROWS($1:157)&gt;COUNT(Dong6),"",OFFSET(TH!C$1,SMALL(Dong6,ROWS($1:157)),))</f>
        <v>41268</v>
      </c>
      <c r="B167" s="376" t="str">
        <f ca="1">IF(ROWS($1:157)&gt;COUNT(Dong6),"",OFFSET(TH!D$1,SMALL(Dong6,ROWS($1:157)),))</f>
        <v>T16</v>
      </c>
      <c r="C167" s="375">
        <f ca="1">IF(ROWS($1:157)&gt;COUNT(Dong6),"",OFFSET(TH!E$1,SMALL(Dong6,ROWS($1:157)),))</f>
        <v>41268</v>
      </c>
      <c r="D167" s="377" t="str">
        <f ca="1">IF(ROWS($1:157)&gt;COUNT(Dong6),"",OFFSET(TH!F$1,SMALL(Dong6,ROWS($1:157)),))</f>
        <v>Thu tiền hàng</v>
      </c>
      <c r="E167" s="376">
        <f t="shared" ca="1" si="4"/>
        <v>157</v>
      </c>
      <c r="F167" s="378" t="str">
        <f ca="1">IF(ROWS($1:157)&gt;COUNT(Dong6),"",OFFSET(TH!L$1,SMALL(Dong6,ROWS($1:157)),))</f>
        <v>1111</v>
      </c>
      <c r="G167" s="378" t="str">
        <f ca="1">IF(ROWS($1:157)&gt;COUNT(Dong6),"",OFFSET(TH!M$1,SMALL(Dong6,ROWS($1:157)),))</f>
        <v>131</v>
      </c>
      <c r="H167" s="351">
        <f ca="1">IF(ROWS($1:157)&gt;COUNT(Dong6),"",OFFSET(TH!K$1,SMALL(Dong6,ROWS($1:157)),))</f>
        <v>1678600</v>
      </c>
      <c r="I167" s="351">
        <f ca="1">IF(ROWS($1:157)&gt;COUNT(Dong6),"",OFFSET(TH!K$1,SMALL(Dong6,ROWS($1:157)),))</f>
        <v>1678600</v>
      </c>
    </row>
    <row r="168" spans="1:9" ht="21" customHeight="1">
      <c r="A168" s="375">
        <f ca="1">IF(ROWS($1:158)&gt;COUNT(Dong6),"",OFFSET(TH!C$1,SMALL(Dong6,ROWS($1:158)),))</f>
        <v>41269</v>
      </c>
      <c r="B168" s="376" t="str">
        <f ca="1">IF(ROWS($1:158)&gt;COUNT(Dong6),"",OFFSET(TH!D$1,SMALL(Dong6,ROWS($1:158)),))</f>
        <v>C28</v>
      </c>
      <c r="C168" s="375">
        <f ca="1">IF(ROWS($1:158)&gt;COUNT(Dong6),"",OFFSET(TH!E$1,SMALL(Dong6,ROWS($1:158)),))</f>
        <v>41269</v>
      </c>
      <c r="D168" s="377" t="str">
        <f ca="1">IF(ROWS($1:158)&gt;COUNT(Dong6),"",OFFSET(TH!F$1,SMALL(Dong6,ROWS($1:158)),))</f>
        <v>Chi phí tiếp khách</v>
      </c>
      <c r="E168" s="376">
        <f t="shared" ca="1" si="4"/>
        <v>158</v>
      </c>
      <c r="F168" s="378" t="str">
        <f ca="1">IF(ROWS($1:158)&gt;COUNT(Dong6),"",OFFSET(TH!L$1,SMALL(Dong6,ROWS($1:158)),))</f>
        <v>642</v>
      </c>
      <c r="G168" s="378" t="str">
        <f ca="1">IF(ROWS($1:158)&gt;COUNT(Dong6),"",OFFSET(TH!M$1,SMALL(Dong6,ROWS($1:158)),))</f>
        <v>1111</v>
      </c>
      <c r="H168" s="351">
        <f ca="1">IF(ROWS($1:158)&gt;COUNT(Dong6),"",OFFSET(TH!K$1,SMALL(Dong6,ROWS($1:158)),))</f>
        <v>3181818</v>
      </c>
      <c r="I168" s="351">
        <f ca="1">IF(ROWS($1:158)&gt;COUNT(Dong6),"",OFFSET(TH!K$1,SMALL(Dong6,ROWS($1:158)),))</f>
        <v>3181818</v>
      </c>
    </row>
    <row r="169" spans="1:9" ht="21" customHeight="1">
      <c r="A169" s="375">
        <f ca="1">IF(ROWS($1:159)&gt;COUNT(Dong6),"",OFFSET(TH!C$1,SMALL(Dong6,ROWS($1:159)),))</f>
        <v>41269</v>
      </c>
      <c r="B169" s="376" t="str">
        <f ca="1">IF(ROWS($1:159)&gt;COUNT(Dong6),"",OFFSET(TH!D$1,SMALL(Dong6,ROWS($1:159)),))</f>
        <v>C28</v>
      </c>
      <c r="C169" s="375">
        <f ca="1">IF(ROWS($1:159)&gt;COUNT(Dong6),"",OFFSET(TH!E$1,SMALL(Dong6,ROWS($1:159)),))</f>
        <v>41269</v>
      </c>
      <c r="D169" s="377" t="str">
        <f ca="1">IF(ROWS($1:159)&gt;COUNT(Dong6),"",OFFSET(TH!F$1,SMALL(Dong6,ROWS($1:159)),))</f>
        <v>VAT Chi phí tiếp khách</v>
      </c>
      <c r="E169" s="376">
        <f t="shared" ca="1" si="4"/>
        <v>159</v>
      </c>
      <c r="F169" s="378" t="str">
        <f ca="1">IF(ROWS($1:159)&gt;COUNT(Dong6),"",OFFSET(TH!L$1,SMALL(Dong6,ROWS($1:159)),))</f>
        <v>1331</v>
      </c>
      <c r="G169" s="378" t="str">
        <f ca="1">IF(ROWS($1:159)&gt;COUNT(Dong6),"",OFFSET(TH!M$1,SMALL(Dong6,ROWS($1:159)),))</f>
        <v>1111</v>
      </c>
      <c r="H169" s="351">
        <f ca="1">IF(ROWS($1:159)&gt;COUNT(Dong6),"",OFFSET(TH!K$1,SMALL(Dong6,ROWS($1:159)),))</f>
        <v>318182</v>
      </c>
      <c r="I169" s="351">
        <f ca="1">IF(ROWS($1:159)&gt;COUNT(Dong6),"",OFFSET(TH!K$1,SMALL(Dong6,ROWS($1:159)),))</f>
        <v>318182</v>
      </c>
    </row>
    <row r="170" spans="1:9" ht="21" customHeight="1">
      <c r="A170" s="375">
        <f ca="1">IF(ROWS($1:160)&gt;COUNT(Dong6),"",OFFSET(TH!C$1,SMALL(Dong6,ROWS($1:160)),))</f>
        <v>41270</v>
      </c>
      <c r="B170" s="376" t="str">
        <f ca="1">IF(ROWS($1:160)&gt;COUNT(Dong6),"",OFFSET(TH!D$1,SMALL(Dong6,ROWS($1:160)),))</f>
        <v>X20</v>
      </c>
      <c r="C170" s="375">
        <f ca="1">IF(ROWS($1:160)&gt;COUNT(Dong6),"",OFFSET(TH!E$1,SMALL(Dong6,ROWS($1:160)),))</f>
        <v>41270</v>
      </c>
      <c r="D170" s="377" t="str">
        <f ca="1">IF(ROWS($1:160)&gt;COUNT(Dong6),"",OFFSET(TH!F$1,SMALL(Dong6,ROWS($1:160)),))</f>
        <v xml:space="preserve">Thùng carton </v>
      </c>
      <c r="E170" s="376">
        <f t="shared" ca="1" si="4"/>
        <v>160</v>
      </c>
      <c r="F170" s="378" t="str">
        <f ca="1">IF(ROWS($1:160)&gt;COUNT(Dong6),"",OFFSET(TH!L$1,SMALL(Dong6,ROWS($1:160)),))</f>
        <v>131</v>
      </c>
      <c r="G170" s="378" t="str">
        <f ca="1">IF(ROWS($1:160)&gt;COUNT(Dong6),"",OFFSET(TH!M$1,SMALL(Dong6,ROWS($1:160)),))</f>
        <v>5112</v>
      </c>
      <c r="H170" s="351">
        <f ca="1">IF(ROWS($1:160)&gt;COUNT(Dong6),"",OFFSET(TH!K$1,SMALL(Dong6,ROWS($1:160)),))</f>
        <v>5331600</v>
      </c>
      <c r="I170" s="351">
        <f ca="1">IF(ROWS($1:160)&gt;COUNT(Dong6),"",OFFSET(TH!K$1,SMALL(Dong6,ROWS($1:160)),))</f>
        <v>5331600</v>
      </c>
    </row>
    <row r="171" spans="1:9" ht="21" customHeight="1">
      <c r="A171" s="375">
        <f ca="1">IF(ROWS($1:161)&gt;COUNT(Dong6),"",OFFSET(TH!C$1,SMALL(Dong6,ROWS($1:161)),))</f>
        <v>41270</v>
      </c>
      <c r="B171" s="376" t="str">
        <f ca="1">IF(ROWS($1:161)&gt;COUNT(Dong6),"",OFFSET(TH!D$1,SMALL(Dong6,ROWS($1:161)),))</f>
        <v>X20</v>
      </c>
      <c r="C171" s="375">
        <f ca="1">IF(ROWS($1:161)&gt;COUNT(Dong6),"",OFFSET(TH!E$1,SMALL(Dong6,ROWS($1:161)),))</f>
        <v>41270</v>
      </c>
      <c r="D171" s="377" t="str">
        <f ca="1">IF(ROWS($1:161)&gt;COUNT(Dong6),"",OFFSET(TH!F$1,SMALL(Dong6,ROWS($1:161)),))</f>
        <v>VAT Thùng</v>
      </c>
      <c r="E171" s="376">
        <f t="shared" ca="1" si="4"/>
        <v>161</v>
      </c>
      <c r="F171" s="378" t="str">
        <f ca="1">IF(ROWS($1:161)&gt;COUNT(Dong6),"",OFFSET(TH!L$1,SMALL(Dong6,ROWS($1:161)),))</f>
        <v>131</v>
      </c>
      <c r="G171" s="378" t="str">
        <f ca="1">IF(ROWS($1:161)&gt;COUNT(Dong6),"",OFFSET(TH!M$1,SMALL(Dong6,ROWS($1:161)),))</f>
        <v>3331</v>
      </c>
      <c r="H171" s="351">
        <f ca="1">IF(ROWS($1:161)&gt;COUNT(Dong6),"",OFFSET(TH!K$1,SMALL(Dong6,ROWS($1:161)),))</f>
        <v>533160</v>
      </c>
      <c r="I171" s="351">
        <f ca="1">IF(ROWS($1:161)&gt;COUNT(Dong6),"",OFFSET(TH!K$1,SMALL(Dong6,ROWS($1:161)),))</f>
        <v>533160</v>
      </c>
    </row>
    <row r="172" spans="1:9" ht="21" customHeight="1">
      <c r="A172" s="375">
        <f ca="1">IF(ROWS($1:162)&gt;COUNT(Dong6),"",OFFSET(TH!C$1,SMALL(Dong6,ROWS($1:162)),))</f>
        <v>41270</v>
      </c>
      <c r="B172" s="376" t="str">
        <f ca="1">IF(ROWS($1:162)&gt;COUNT(Dong6),"",OFFSET(TH!D$1,SMALL(Dong6,ROWS($1:162)),))</f>
        <v>T17</v>
      </c>
      <c r="C172" s="375">
        <f ca="1">IF(ROWS($1:162)&gt;COUNT(Dong6),"",OFFSET(TH!E$1,SMALL(Dong6,ROWS($1:162)),))</f>
        <v>41270</v>
      </c>
      <c r="D172" s="377" t="str">
        <f ca="1">IF(ROWS($1:162)&gt;COUNT(Dong6),"",OFFSET(TH!F$1,SMALL(Dong6,ROWS($1:162)),))</f>
        <v>Thu tiền hàng</v>
      </c>
      <c r="E172" s="376">
        <f t="shared" ca="1" si="4"/>
        <v>162</v>
      </c>
      <c r="F172" s="378" t="str">
        <f ca="1">IF(ROWS($1:162)&gt;COUNT(Dong6),"",OFFSET(TH!L$1,SMALL(Dong6,ROWS($1:162)),))</f>
        <v>1111</v>
      </c>
      <c r="G172" s="378" t="str">
        <f ca="1">IF(ROWS($1:162)&gt;COUNT(Dong6),"",OFFSET(TH!M$1,SMALL(Dong6,ROWS($1:162)),))</f>
        <v>131</v>
      </c>
      <c r="H172" s="351">
        <f ca="1">IF(ROWS($1:162)&gt;COUNT(Dong6),"",OFFSET(TH!K$1,SMALL(Dong6,ROWS($1:162)),))</f>
        <v>5864760</v>
      </c>
      <c r="I172" s="351">
        <f ca="1">IF(ROWS($1:162)&gt;COUNT(Dong6),"",OFFSET(TH!K$1,SMALL(Dong6,ROWS($1:162)),))</f>
        <v>5864760</v>
      </c>
    </row>
    <row r="173" spans="1:9" ht="21" customHeight="1">
      <c r="A173" s="375">
        <f ca="1">IF(ROWS($1:163)&gt;COUNT(Dong6),"",OFFSET(TH!C$1,SMALL(Dong6,ROWS($1:163)),))</f>
        <v>41271</v>
      </c>
      <c r="B173" s="376" t="str">
        <f ca="1">IF(ROWS($1:163)&gt;COUNT(Dong6),"",OFFSET(TH!D$1,SMALL(Dong6,ROWS($1:163)),))</f>
        <v>T18</v>
      </c>
      <c r="C173" s="375">
        <f ca="1">IF(ROWS($1:163)&gt;COUNT(Dong6),"",OFFSET(TH!E$1,SMALL(Dong6,ROWS($1:163)),))</f>
        <v>41271</v>
      </c>
      <c r="D173" s="377" t="str">
        <f ca="1">IF(ROWS($1:163)&gt;COUNT(Dong6),"",OFFSET(TH!F$1,SMALL(Dong6,ROWS($1:163)),))</f>
        <v>Rút sec nhập quỹ tiền mặt</v>
      </c>
      <c r="E173" s="376">
        <f t="shared" ca="1" si="4"/>
        <v>163</v>
      </c>
      <c r="F173" s="378" t="str">
        <f ca="1">IF(ROWS($1:163)&gt;COUNT(Dong6),"",OFFSET(TH!L$1,SMALL(Dong6,ROWS($1:163)),))</f>
        <v>1111</v>
      </c>
      <c r="G173" s="378" t="str">
        <f ca="1">IF(ROWS($1:163)&gt;COUNT(Dong6),"",OFFSET(TH!M$1,SMALL(Dong6,ROWS($1:163)),))</f>
        <v>1121</v>
      </c>
      <c r="H173" s="351">
        <f ca="1">IF(ROWS($1:163)&gt;COUNT(Dong6),"",OFFSET(TH!K$1,SMALL(Dong6,ROWS($1:163)),))</f>
        <v>19000000</v>
      </c>
      <c r="I173" s="351">
        <f ca="1">IF(ROWS($1:163)&gt;COUNT(Dong6),"",OFFSET(TH!K$1,SMALL(Dong6,ROWS($1:163)),))</f>
        <v>19000000</v>
      </c>
    </row>
    <row r="174" spans="1:9" ht="21" customHeight="1">
      <c r="A174" s="375">
        <f ca="1">IF(ROWS($1:164)&gt;COUNT(Dong6),"",OFFSET(TH!C$1,SMALL(Dong6,ROWS($1:164)),))</f>
        <v>41271</v>
      </c>
      <c r="B174" s="376" t="str">
        <f ca="1">IF(ROWS($1:164)&gt;COUNT(Dong6),"",OFFSET(TH!D$1,SMALL(Dong6,ROWS($1:164)),))</f>
        <v>C29</v>
      </c>
      <c r="C174" s="375">
        <f ca="1">IF(ROWS($1:164)&gt;COUNT(Dong6),"",OFFSET(TH!E$1,SMALL(Dong6,ROWS($1:164)),))</f>
        <v>41271</v>
      </c>
      <c r="D174" s="377" t="str">
        <f ca="1">IF(ROWS($1:164)&gt;COUNT(Dong6),"",OFFSET(TH!F$1,SMALL(Dong6,ROWS($1:164)),))</f>
        <v>Chi phí tiếp khách</v>
      </c>
      <c r="E174" s="376">
        <f t="shared" ca="1" si="4"/>
        <v>164</v>
      </c>
      <c r="F174" s="378" t="str">
        <f ca="1">IF(ROWS($1:164)&gt;COUNT(Dong6),"",OFFSET(TH!L$1,SMALL(Dong6,ROWS($1:164)),))</f>
        <v>642</v>
      </c>
      <c r="G174" s="378" t="str">
        <f ca="1">IF(ROWS($1:164)&gt;COUNT(Dong6),"",OFFSET(TH!M$1,SMALL(Dong6,ROWS($1:164)),))</f>
        <v>1111</v>
      </c>
      <c r="H174" s="351">
        <f ca="1">IF(ROWS($1:164)&gt;COUNT(Dong6),"",OFFSET(TH!K$1,SMALL(Dong6,ROWS($1:164)),))</f>
        <v>3363636</v>
      </c>
      <c r="I174" s="351">
        <f ca="1">IF(ROWS($1:164)&gt;COUNT(Dong6),"",OFFSET(TH!K$1,SMALL(Dong6,ROWS($1:164)),))</f>
        <v>3363636</v>
      </c>
    </row>
    <row r="175" spans="1:9" ht="21" customHeight="1">
      <c r="A175" s="375">
        <f ca="1">IF(ROWS($1:165)&gt;COUNT(Dong6),"",OFFSET(TH!C$1,SMALL(Dong6,ROWS($1:165)),))</f>
        <v>41271</v>
      </c>
      <c r="B175" s="376" t="str">
        <f ca="1">IF(ROWS($1:165)&gt;COUNT(Dong6),"",OFFSET(TH!D$1,SMALL(Dong6,ROWS($1:165)),))</f>
        <v>C29</v>
      </c>
      <c r="C175" s="375">
        <f ca="1">IF(ROWS($1:165)&gt;COUNT(Dong6),"",OFFSET(TH!E$1,SMALL(Dong6,ROWS($1:165)),))</f>
        <v>41271</v>
      </c>
      <c r="D175" s="377" t="str">
        <f ca="1">IF(ROWS($1:165)&gt;COUNT(Dong6),"",OFFSET(TH!F$1,SMALL(Dong6,ROWS($1:165)),))</f>
        <v>VAT Chi phí tiếp khách</v>
      </c>
      <c r="E175" s="376">
        <f t="shared" ca="1" si="4"/>
        <v>165</v>
      </c>
      <c r="F175" s="378" t="str">
        <f ca="1">IF(ROWS($1:165)&gt;COUNT(Dong6),"",OFFSET(TH!L$1,SMALL(Dong6,ROWS($1:165)),))</f>
        <v>1331</v>
      </c>
      <c r="G175" s="378" t="str">
        <f ca="1">IF(ROWS($1:165)&gt;COUNT(Dong6),"",OFFSET(TH!M$1,SMALL(Dong6,ROWS($1:165)),))</f>
        <v>1111</v>
      </c>
      <c r="H175" s="351">
        <f ca="1">IF(ROWS($1:165)&gt;COUNT(Dong6),"",OFFSET(TH!K$1,SMALL(Dong6,ROWS($1:165)),))</f>
        <v>336364</v>
      </c>
      <c r="I175" s="351">
        <f ca="1">IF(ROWS($1:165)&gt;COUNT(Dong6),"",OFFSET(TH!K$1,SMALL(Dong6,ROWS($1:165)),))</f>
        <v>336364</v>
      </c>
    </row>
    <row r="176" spans="1:9" ht="21" customHeight="1">
      <c r="A176" s="375">
        <f ca="1">IF(ROWS($1:166)&gt;COUNT(Dong6),"",OFFSET(TH!C$1,SMALL(Dong6,ROWS($1:166)),))</f>
        <v>41273</v>
      </c>
      <c r="B176" s="376" t="str">
        <f ca="1">IF(ROWS($1:166)&gt;COUNT(Dong6),"",OFFSET(TH!D$1,SMALL(Dong6,ROWS($1:166)),))</f>
        <v>N13</v>
      </c>
      <c r="C176" s="375">
        <f ca="1">IF(ROWS($1:166)&gt;COUNT(Dong6),"",OFFSET(TH!E$1,SMALL(Dong6,ROWS($1:166)),))</f>
        <v>41273</v>
      </c>
      <c r="D176" s="377" t="str">
        <f ca="1">IF(ROWS($1:166)&gt;COUNT(Dong6),"",OFFSET(TH!F$1,SMALL(Dong6,ROWS($1:166)),))</f>
        <v>Giấy tấm 1N +2X (150x92)</v>
      </c>
      <c r="E176" s="376">
        <f t="shared" ca="1" si="4"/>
        <v>166</v>
      </c>
      <c r="F176" s="378" t="str">
        <f ca="1">IF(ROWS($1:166)&gt;COUNT(Dong6),"",OFFSET(TH!L$1,SMALL(Dong6,ROWS($1:166)),))</f>
        <v>156</v>
      </c>
      <c r="G176" s="378" t="str">
        <f ca="1">IF(ROWS($1:166)&gt;COUNT(Dong6),"",OFFSET(TH!M$1,SMALL(Dong6,ROWS($1:166)),))</f>
        <v>331</v>
      </c>
      <c r="H176" s="351">
        <f ca="1">IF(ROWS($1:166)&gt;COUNT(Dong6),"",OFFSET(TH!K$1,SMALL(Dong6,ROWS($1:166)),))</f>
        <v>4705800</v>
      </c>
      <c r="I176" s="351">
        <f ca="1">IF(ROWS($1:166)&gt;COUNT(Dong6),"",OFFSET(TH!K$1,SMALL(Dong6,ROWS($1:166)),))</f>
        <v>4705800</v>
      </c>
    </row>
    <row r="177" spans="1:9" ht="21" customHeight="1">
      <c r="A177" s="375">
        <f ca="1">IF(ROWS($1:167)&gt;COUNT(Dong6),"",OFFSET(TH!C$1,SMALL(Dong6,ROWS($1:167)),))</f>
        <v>41273</v>
      </c>
      <c r="B177" s="376" t="str">
        <f ca="1">IF(ROWS($1:167)&gt;COUNT(Dong6),"",OFFSET(TH!D$1,SMALL(Dong6,ROWS($1:167)),))</f>
        <v>N13</v>
      </c>
      <c r="C177" s="375">
        <f ca="1">IF(ROWS($1:167)&gt;COUNT(Dong6),"",OFFSET(TH!E$1,SMALL(Dong6,ROWS($1:167)),))</f>
        <v>41273</v>
      </c>
      <c r="D177" s="377" t="str">
        <f ca="1">IF(ROWS($1:167)&gt;COUNT(Dong6),"",OFFSET(TH!F$1,SMALL(Dong6,ROWS($1:167)),))</f>
        <v>Giấy tấm 1N +2X (120x155)</v>
      </c>
      <c r="E177" s="376">
        <f t="shared" ca="1" si="4"/>
        <v>167</v>
      </c>
      <c r="F177" s="378" t="str">
        <f ca="1">IF(ROWS($1:167)&gt;COUNT(Dong6),"",OFFSET(TH!L$1,SMALL(Dong6,ROWS($1:167)),))</f>
        <v>156</v>
      </c>
      <c r="G177" s="378" t="str">
        <f ca="1">IF(ROWS($1:167)&gt;COUNT(Dong6),"",OFFSET(TH!M$1,SMALL(Dong6,ROWS($1:167)),))</f>
        <v>331</v>
      </c>
      <c r="H177" s="351">
        <f ca="1">IF(ROWS($1:167)&gt;COUNT(Dong6),"",OFFSET(TH!K$1,SMALL(Dong6,ROWS($1:167)),))</f>
        <v>6342600</v>
      </c>
      <c r="I177" s="351">
        <f ca="1">IF(ROWS($1:167)&gt;COUNT(Dong6),"",OFFSET(TH!K$1,SMALL(Dong6,ROWS($1:167)),))</f>
        <v>6342600</v>
      </c>
    </row>
    <row r="178" spans="1:9" ht="21" customHeight="1">
      <c r="A178" s="375">
        <f ca="1">IF(ROWS($1:168)&gt;COUNT(Dong6),"",OFFSET(TH!C$1,SMALL(Dong6,ROWS($1:168)),))</f>
        <v>41273</v>
      </c>
      <c r="B178" s="376" t="str">
        <f ca="1">IF(ROWS($1:168)&gt;COUNT(Dong6),"",OFFSET(TH!D$1,SMALL(Dong6,ROWS($1:168)),))</f>
        <v>N13</v>
      </c>
      <c r="C178" s="375">
        <f ca="1">IF(ROWS($1:168)&gt;COUNT(Dong6),"",OFFSET(TH!E$1,SMALL(Dong6,ROWS($1:168)),))</f>
        <v>41273</v>
      </c>
      <c r="D178" s="377" t="str">
        <f ca="1">IF(ROWS($1:168)&gt;COUNT(Dong6),"",OFFSET(TH!F$1,SMALL(Dong6,ROWS($1:168)),))</f>
        <v>Giấy tấm 1N +2X (110x151)</v>
      </c>
      <c r="E178" s="376">
        <f t="shared" ca="1" si="4"/>
        <v>168</v>
      </c>
      <c r="F178" s="378" t="str">
        <f ca="1">IF(ROWS($1:168)&gt;COUNT(Dong6),"",OFFSET(TH!L$1,SMALL(Dong6,ROWS($1:168)),))</f>
        <v>156</v>
      </c>
      <c r="G178" s="378" t="str">
        <f ca="1">IF(ROWS($1:168)&gt;COUNT(Dong6),"",OFFSET(TH!M$1,SMALL(Dong6,ROWS($1:168)),))</f>
        <v>331</v>
      </c>
      <c r="H178" s="351">
        <f ca="1">IF(ROWS($1:168)&gt;COUNT(Dong6),"",OFFSET(TH!K$1,SMALL(Dong6,ROWS($1:168)),))</f>
        <v>5149000</v>
      </c>
      <c r="I178" s="351">
        <f ca="1">IF(ROWS($1:168)&gt;COUNT(Dong6),"",OFFSET(TH!K$1,SMALL(Dong6,ROWS($1:168)),))</f>
        <v>5149000</v>
      </c>
    </row>
    <row r="179" spans="1:9" ht="21" customHeight="1">
      <c r="A179" s="375">
        <f ca="1">IF(ROWS($1:169)&gt;COUNT(Dong6),"",OFFSET(TH!C$1,SMALL(Dong6,ROWS($1:169)),))</f>
        <v>41273</v>
      </c>
      <c r="B179" s="376" t="str">
        <f ca="1">IF(ROWS($1:169)&gt;COUNT(Dong6),"",OFFSET(TH!D$1,SMALL(Dong6,ROWS($1:169)),))</f>
        <v>N13</v>
      </c>
      <c r="C179" s="375">
        <f ca="1">IF(ROWS($1:169)&gt;COUNT(Dong6),"",OFFSET(TH!E$1,SMALL(Dong6,ROWS($1:169)),))</f>
        <v>41273</v>
      </c>
      <c r="D179" s="377" t="str">
        <f ca="1">IF(ROWS($1:169)&gt;COUNT(Dong6),"",OFFSET(TH!F$1,SMALL(Dong6,ROWS($1:169)),))</f>
        <v xml:space="preserve">VAT Giấy tấm </v>
      </c>
      <c r="E179" s="376">
        <f t="shared" ca="1" si="4"/>
        <v>169</v>
      </c>
      <c r="F179" s="378" t="str">
        <f ca="1">IF(ROWS($1:169)&gt;COUNT(Dong6),"",OFFSET(TH!L$1,SMALL(Dong6,ROWS($1:169)),))</f>
        <v>1331</v>
      </c>
      <c r="G179" s="378" t="str">
        <f ca="1">IF(ROWS($1:169)&gt;COUNT(Dong6),"",OFFSET(TH!M$1,SMALL(Dong6,ROWS($1:169)),))</f>
        <v>331</v>
      </c>
      <c r="H179" s="351">
        <f ca="1">IF(ROWS($1:169)&gt;COUNT(Dong6),"",OFFSET(TH!K$1,SMALL(Dong6,ROWS($1:169)),))</f>
        <v>1619740</v>
      </c>
      <c r="I179" s="351">
        <f ca="1">IF(ROWS($1:169)&gt;COUNT(Dong6),"",OFFSET(TH!K$1,SMALL(Dong6,ROWS($1:169)),))</f>
        <v>1619740</v>
      </c>
    </row>
    <row r="180" spans="1:9" ht="21" customHeight="1">
      <c r="A180" s="375">
        <f ca="1">IF(ROWS($1:170)&gt;COUNT(Dong6),"",OFFSET(TH!C$1,SMALL(Dong6,ROWS($1:170)),))</f>
        <v>41273</v>
      </c>
      <c r="B180" s="376" t="str">
        <f ca="1">IF(ROWS($1:170)&gt;COUNT(Dong6),"",OFFSET(TH!D$1,SMALL(Dong6,ROWS($1:170)),))</f>
        <v>C30</v>
      </c>
      <c r="C180" s="375">
        <f ca="1">IF(ROWS($1:170)&gt;COUNT(Dong6),"",OFFSET(TH!E$1,SMALL(Dong6,ROWS($1:170)),))</f>
        <v>41273</v>
      </c>
      <c r="D180" s="377" t="str">
        <f ca="1">IF(ROWS($1:170)&gt;COUNT(Dong6),"",OFFSET(TH!F$1,SMALL(Dong6,ROWS($1:170)),))</f>
        <v>Thanh toán tiền hàng</v>
      </c>
      <c r="E180" s="376">
        <f t="shared" ca="1" si="4"/>
        <v>170</v>
      </c>
      <c r="F180" s="378" t="str">
        <f ca="1">IF(ROWS($1:170)&gt;COUNT(Dong6),"",OFFSET(TH!L$1,SMALL(Dong6,ROWS($1:170)),))</f>
        <v>331</v>
      </c>
      <c r="G180" s="378" t="str">
        <f ca="1">IF(ROWS($1:170)&gt;COUNT(Dong6),"",OFFSET(TH!M$1,SMALL(Dong6,ROWS($1:170)),))</f>
        <v>1111</v>
      </c>
      <c r="H180" s="351">
        <f ca="1">IF(ROWS($1:170)&gt;COUNT(Dong6),"",OFFSET(TH!K$1,SMALL(Dong6,ROWS($1:170)),))</f>
        <v>17817140</v>
      </c>
      <c r="I180" s="351">
        <f ca="1">IF(ROWS($1:170)&gt;COUNT(Dong6),"",OFFSET(TH!K$1,SMALL(Dong6,ROWS($1:170)),))</f>
        <v>17817140</v>
      </c>
    </row>
    <row r="181" spans="1:9" ht="21" customHeight="1">
      <c r="A181" s="375">
        <f ca="1">IF(ROWS($1:171)&gt;COUNT(Dong6),"",OFFSET(TH!C$1,SMALL(Dong6,ROWS($1:171)),))</f>
        <v>41273</v>
      </c>
      <c r="B181" s="376" t="str">
        <f ca="1">IF(ROWS($1:171)&gt;COUNT(Dong6),"",OFFSET(TH!D$1,SMALL(Dong6,ROWS($1:171)),))</f>
        <v>C31</v>
      </c>
      <c r="C181" s="375">
        <f ca="1">IF(ROWS($1:171)&gt;COUNT(Dong6),"",OFFSET(TH!E$1,SMALL(Dong6,ROWS($1:171)),))</f>
        <v>41273</v>
      </c>
      <c r="D181" s="377" t="str">
        <f ca="1">IF(ROWS($1:171)&gt;COUNT(Dong6),"",OFFSET(TH!F$1,SMALL(Dong6,ROWS($1:171)),))</f>
        <v>Chi phí tiếp khách</v>
      </c>
      <c r="E181" s="376">
        <f t="shared" ca="1" si="4"/>
        <v>171</v>
      </c>
      <c r="F181" s="378" t="str">
        <f ca="1">IF(ROWS($1:171)&gt;COUNT(Dong6),"",OFFSET(TH!L$1,SMALL(Dong6,ROWS($1:171)),))</f>
        <v>642</v>
      </c>
      <c r="G181" s="378" t="str">
        <f ca="1">IF(ROWS($1:171)&gt;COUNT(Dong6),"",OFFSET(TH!M$1,SMALL(Dong6,ROWS($1:171)),))</f>
        <v>1111</v>
      </c>
      <c r="H181" s="351">
        <f ca="1">IF(ROWS($1:171)&gt;COUNT(Dong6),"",OFFSET(TH!K$1,SMALL(Dong6,ROWS($1:171)),))</f>
        <v>2545455</v>
      </c>
      <c r="I181" s="351">
        <f ca="1">IF(ROWS($1:171)&gt;COUNT(Dong6),"",OFFSET(TH!K$1,SMALL(Dong6,ROWS($1:171)),))</f>
        <v>2545455</v>
      </c>
    </row>
    <row r="182" spans="1:9" ht="21" customHeight="1">
      <c r="A182" s="375">
        <f ca="1">IF(ROWS($1:172)&gt;COUNT(Dong6),"",OFFSET(TH!C$1,SMALL(Dong6,ROWS($1:172)),))</f>
        <v>41273</v>
      </c>
      <c r="B182" s="376" t="str">
        <f ca="1">IF(ROWS($1:172)&gt;COUNT(Dong6),"",OFFSET(TH!D$1,SMALL(Dong6,ROWS($1:172)),))</f>
        <v>C31</v>
      </c>
      <c r="C182" s="375">
        <f ca="1">IF(ROWS($1:172)&gt;COUNT(Dong6),"",OFFSET(TH!E$1,SMALL(Dong6,ROWS($1:172)),))</f>
        <v>41273</v>
      </c>
      <c r="D182" s="377" t="str">
        <f ca="1">IF(ROWS($1:172)&gt;COUNT(Dong6),"",OFFSET(TH!F$1,SMALL(Dong6,ROWS($1:172)),))</f>
        <v>VAT Chi phí tiếp khách</v>
      </c>
      <c r="E182" s="376">
        <f t="shared" ca="1" si="4"/>
        <v>172</v>
      </c>
      <c r="F182" s="378" t="str">
        <f ca="1">IF(ROWS($1:172)&gt;COUNT(Dong6),"",OFFSET(TH!L$1,SMALL(Dong6,ROWS($1:172)),))</f>
        <v>1331</v>
      </c>
      <c r="G182" s="378" t="str">
        <f ca="1">IF(ROWS($1:172)&gt;COUNT(Dong6),"",OFFSET(TH!M$1,SMALL(Dong6,ROWS($1:172)),))</f>
        <v>1111</v>
      </c>
      <c r="H182" s="351">
        <f ca="1">IF(ROWS($1:172)&gt;COUNT(Dong6),"",OFFSET(TH!K$1,SMALL(Dong6,ROWS($1:172)),))</f>
        <v>254545</v>
      </c>
      <c r="I182" s="351">
        <f ca="1">IF(ROWS($1:172)&gt;COUNT(Dong6),"",OFFSET(TH!K$1,SMALL(Dong6,ROWS($1:172)),))</f>
        <v>254545</v>
      </c>
    </row>
    <row r="183" spans="1:9" ht="21" customHeight="1">
      <c r="A183" s="375">
        <f ca="1">IF(ROWS($1:173)&gt;COUNT(Dong6),"",OFFSET(TH!C$1,SMALL(Dong6,ROWS($1:173)),))</f>
        <v>41274</v>
      </c>
      <c r="B183" s="376" t="str">
        <f ca="1">IF(ROWS($1:173)&gt;COUNT(Dong6),"",OFFSET(TH!D$1,SMALL(Dong6,ROWS($1:173)),))</f>
        <v>GBC</v>
      </c>
      <c r="C183" s="375">
        <f ca="1">IF(ROWS($1:173)&gt;COUNT(Dong6),"",OFFSET(TH!E$1,SMALL(Dong6,ROWS($1:173)),))</f>
        <v>41274</v>
      </c>
      <c r="D183" s="377" t="str">
        <f ca="1">IF(ROWS($1:173)&gt;COUNT(Dong6),"",OFFSET(TH!F$1,SMALL(Dong6,ROWS($1:173)),))</f>
        <v>Lãi tiền gửi</v>
      </c>
      <c r="E183" s="376">
        <f t="shared" ref="E183:E203" ca="1" si="5">IF(D183&lt;&gt;"",ROW()-10,"")</f>
        <v>173</v>
      </c>
      <c r="F183" s="378" t="str">
        <f ca="1">IF(ROWS($1:173)&gt;COUNT(Dong6),"",OFFSET(TH!L$1,SMALL(Dong6,ROWS($1:173)),))</f>
        <v>1121</v>
      </c>
      <c r="G183" s="378" t="str">
        <f ca="1">IF(ROWS($1:173)&gt;COUNT(Dong6),"",OFFSET(TH!M$1,SMALL(Dong6,ROWS($1:173)),))</f>
        <v>515</v>
      </c>
      <c r="H183" s="351">
        <f ca="1">IF(ROWS($1:173)&gt;COUNT(Dong6),"",OFFSET(TH!K$1,SMALL(Dong6,ROWS($1:173)),))</f>
        <v>7199</v>
      </c>
      <c r="I183" s="351">
        <f ca="1">IF(ROWS($1:173)&gt;COUNT(Dong6),"",OFFSET(TH!K$1,SMALL(Dong6,ROWS($1:173)),))</f>
        <v>7199</v>
      </c>
    </row>
    <row r="184" spans="1:9" ht="21" customHeight="1">
      <c r="A184" s="375">
        <f ca="1">IF(ROWS($1:174)&gt;COUNT(Dong6),"",OFFSET(TH!C$1,SMALL(Dong6,ROWS($1:174)),))</f>
        <v>41274</v>
      </c>
      <c r="B184" s="376" t="str">
        <f ca="1">IF(ROWS($1:174)&gt;COUNT(Dong6),"",OFFSET(TH!D$1,SMALL(Dong6,ROWS($1:174)),))</f>
        <v>GBN</v>
      </c>
      <c r="C184" s="375">
        <f ca="1">IF(ROWS($1:174)&gt;COUNT(Dong6),"",OFFSET(TH!E$1,SMALL(Dong6,ROWS($1:174)),))</f>
        <v>41274</v>
      </c>
      <c r="D184" s="377" t="str">
        <f ca="1">IF(ROWS($1:174)&gt;COUNT(Dong6),"",OFFSET(TH!F$1,SMALL(Dong6,ROWS($1:174)),))</f>
        <v>Thu phí quản lý tài khoản</v>
      </c>
      <c r="E184" s="376">
        <f t="shared" ca="1" si="5"/>
        <v>174</v>
      </c>
      <c r="F184" s="378" t="str">
        <f ca="1">IF(ROWS($1:174)&gt;COUNT(Dong6),"",OFFSET(TH!L$1,SMALL(Dong6,ROWS($1:174)),))</f>
        <v>642</v>
      </c>
      <c r="G184" s="378" t="str">
        <f ca="1">IF(ROWS($1:174)&gt;COUNT(Dong6),"",OFFSET(TH!M$1,SMALL(Dong6,ROWS($1:174)),))</f>
        <v>1121</v>
      </c>
      <c r="H184" s="351">
        <f ca="1">IF(ROWS($1:174)&gt;COUNT(Dong6),"",OFFSET(TH!K$1,SMALL(Dong6,ROWS($1:174)),))</f>
        <v>11000</v>
      </c>
      <c r="I184" s="351">
        <f ca="1">IF(ROWS($1:174)&gt;COUNT(Dong6),"",OFFSET(TH!K$1,SMALL(Dong6,ROWS($1:174)),))</f>
        <v>11000</v>
      </c>
    </row>
    <row r="185" spans="1:9" ht="21" customHeight="1">
      <c r="A185" s="375">
        <f ca="1">IF(ROWS($1:175)&gt;COUNT(Dong6),"",OFFSET(TH!C$1,SMALL(Dong6,ROWS($1:175)),))</f>
        <v>41274</v>
      </c>
      <c r="B185" s="376" t="str">
        <f ca="1">IF(ROWS($1:175)&gt;COUNT(Dong6),"",OFFSET(TH!D$1,SMALL(Dong6,ROWS($1:175)),))</f>
        <v>C32</v>
      </c>
      <c r="C185" s="375">
        <f ca="1">IF(ROWS($1:175)&gt;COUNT(Dong6),"",OFFSET(TH!E$1,SMALL(Dong6,ROWS($1:175)),))</f>
        <v>41274</v>
      </c>
      <c r="D185" s="377" t="str">
        <f ca="1">IF(ROWS($1:175)&gt;COUNT(Dong6),"",OFFSET(TH!F$1,SMALL(Dong6,ROWS($1:175)),))</f>
        <v>Cước vận chuyển</v>
      </c>
      <c r="E185" s="376">
        <f t="shared" ca="1" si="5"/>
        <v>175</v>
      </c>
      <c r="F185" s="378" t="str">
        <f ca="1">IF(ROWS($1:175)&gt;COUNT(Dong6),"",OFFSET(TH!L$1,SMALL(Dong6,ROWS($1:175)),))</f>
        <v>642</v>
      </c>
      <c r="G185" s="378" t="str">
        <f ca="1">IF(ROWS($1:175)&gt;COUNT(Dong6),"",OFFSET(TH!M$1,SMALL(Dong6,ROWS($1:175)),))</f>
        <v>1111</v>
      </c>
      <c r="H185" s="351">
        <f ca="1">IF(ROWS($1:175)&gt;COUNT(Dong6),"",OFFSET(TH!K$1,SMALL(Dong6,ROWS($1:175)),))</f>
        <v>3000000</v>
      </c>
      <c r="I185" s="351">
        <f ca="1">IF(ROWS($1:175)&gt;COUNT(Dong6),"",OFFSET(TH!K$1,SMALL(Dong6,ROWS($1:175)),))</f>
        <v>3000000</v>
      </c>
    </row>
    <row r="186" spans="1:9" ht="21" customHeight="1">
      <c r="A186" s="375">
        <f ca="1">IF(ROWS($1:176)&gt;COUNT(Dong6),"",OFFSET(TH!C$1,SMALL(Dong6,ROWS($1:176)),))</f>
        <v>41274</v>
      </c>
      <c r="B186" s="376" t="str">
        <f ca="1">IF(ROWS($1:176)&gt;COUNT(Dong6),"",OFFSET(TH!D$1,SMALL(Dong6,ROWS($1:176)),))</f>
        <v>C32</v>
      </c>
      <c r="C186" s="375">
        <f ca="1">IF(ROWS($1:176)&gt;COUNT(Dong6),"",OFFSET(TH!E$1,SMALL(Dong6,ROWS($1:176)),))</f>
        <v>41274</v>
      </c>
      <c r="D186" s="377" t="str">
        <f ca="1">IF(ROWS($1:176)&gt;COUNT(Dong6),"",OFFSET(TH!F$1,SMALL(Dong6,ROWS($1:176)),))</f>
        <v>VAT Cước vận chuyển</v>
      </c>
      <c r="E186" s="376">
        <f t="shared" ca="1" si="5"/>
        <v>176</v>
      </c>
      <c r="F186" s="378" t="str">
        <f ca="1">IF(ROWS($1:176)&gt;COUNT(Dong6),"",OFFSET(TH!L$1,SMALL(Dong6,ROWS($1:176)),))</f>
        <v>1331</v>
      </c>
      <c r="G186" s="378" t="str">
        <f ca="1">IF(ROWS($1:176)&gt;COUNT(Dong6),"",OFFSET(TH!M$1,SMALL(Dong6,ROWS($1:176)),))</f>
        <v>1111</v>
      </c>
      <c r="H186" s="351">
        <f ca="1">IF(ROWS($1:176)&gt;COUNT(Dong6),"",OFFSET(TH!K$1,SMALL(Dong6,ROWS($1:176)),))</f>
        <v>300000</v>
      </c>
      <c r="I186" s="351">
        <f ca="1">IF(ROWS($1:176)&gt;COUNT(Dong6),"",OFFSET(TH!K$1,SMALL(Dong6,ROWS($1:176)),))</f>
        <v>300000</v>
      </c>
    </row>
    <row r="187" spans="1:9" ht="21" customHeight="1">
      <c r="A187" s="375">
        <f ca="1">IF(ROWS($1:177)&gt;COUNT(Dong6),"",OFFSET(TH!C$1,SMALL(Dong6,ROWS($1:177)),))</f>
        <v>41274</v>
      </c>
      <c r="B187" s="376" t="str">
        <f ca="1">IF(ROWS($1:177)&gt;COUNT(Dong6),"",OFFSET(TH!D$1,SMALL(Dong6,ROWS($1:177)),))</f>
        <v>C33</v>
      </c>
      <c r="C187" s="375">
        <f ca="1">IF(ROWS($1:177)&gt;COUNT(Dong6),"",OFFSET(TH!E$1,SMALL(Dong6,ROWS($1:177)),))</f>
        <v>41274</v>
      </c>
      <c r="D187" s="377" t="str">
        <f ca="1">IF(ROWS($1:177)&gt;COUNT(Dong6),"",OFFSET(TH!F$1,SMALL(Dong6,ROWS($1:177)),))</f>
        <v>Mực in</v>
      </c>
      <c r="E187" s="376">
        <f t="shared" ca="1" si="5"/>
        <v>177</v>
      </c>
      <c r="F187" s="378" t="str">
        <f ca="1">IF(ROWS($1:177)&gt;COUNT(Dong6),"",OFFSET(TH!L$1,SMALL(Dong6,ROWS($1:177)),))</f>
        <v>154</v>
      </c>
      <c r="G187" s="378" t="str">
        <f ca="1">IF(ROWS($1:177)&gt;COUNT(Dong6),"",OFFSET(TH!M$1,SMALL(Dong6,ROWS($1:177)),))</f>
        <v>1111</v>
      </c>
      <c r="H187" s="351">
        <f ca="1">IF(ROWS($1:177)&gt;COUNT(Dong6),"",OFFSET(TH!K$1,SMALL(Dong6,ROWS($1:177)),))</f>
        <v>1137500</v>
      </c>
      <c r="I187" s="351">
        <f ca="1">IF(ROWS($1:177)&gt;COUNT(Dong6),"",OFFSET(TH!K$1,SMALL(Dong6,ROWS($1:177)),))</f>
        <v>1137500</v>
      </c>
    </row>
    <row r="188" spans="1:9" ht="21" customHeight="1">
      <c r="A188" s="375">
        <f ca="1">IF(ROWS($1:178)&gt;COUNT(Dong6),"",OFFSET(TH!C$1,SMALL(Dong6,ROWS($1:178)),))</f>
        <v>41274</v>
      </c>
      <c r="B188" s="376" t="str">
        <f ca="1">IF(ROWS($1:178)&gt;COUNT(Dong6),"",OFFSET(TH!D$1,SMALL(Dong6,ROWS($1:178)),))</f>
        <v>CTGS</v>
      </c>
      <c r="C188" s="375">
        <f ca="1">IF(ROWS($1:178)&gt;COUNT(Dong6),"",OFFSET(TH!E$1,SMALL(Dong6,ROWS($1:178)),))</f>
        <v>41274</v>
      </c>
      <c r="D188" s="377" t="str">
        <f ca="1">IF(ROWS($1:178)&gt;COUNT(Dong6),"",OFFSET(TH!F$1,SMALL(Dong6,ROWS($1:178)),))</f>
        <v>Thuế GTGT phải nộp</v>
      </c>
      <c r="E188" s="376">
        <f t="shared" ca="1" si="5"/>
        <v>178</v>
      </c>
      <c r="F188" s="378" t="str">
        <f ca="1">IF(ROWS($1:178)&gt;COUNT(Dong6),"",OFFSET(TH!L$1,SMALL(Dong6,ROWS($1:178)),))</f>
        <v>1331</v>
      </c>
      <c r="G188" s="378" t="str">
        <f ca="1">IF(ROWS($1:178)&gt;COUNT(Dong6),"",OFFSET(TH!M$1,SMALL(Dong6,ROWS($1:178)),))</f>
        <v>3388</v>
      </c>
      <c r="H188" s="351">
        <f ca="1">IF(ROWS($1:178)&gt;COUNT(Dong6),"",OFFSET(TH!K$1,SMALL(Dong6,ROWS($1:178)),))</f>
        <v>959303</v>
      </c>
      <c r="I188" s="351">
        <f ca="1">IF(ROWS($1:178)&gt;COUNT(Dong6),"",OFFSET(TH!K$1,SMALL(Dong6,ROWS($1:178)),))</f>
        <v>959303</v>
      </c>
    </row>
    <row r="189" spans="1:9" ht="21" customHeight="1">
      <c r="A189" s="375">
        <f ca="1">IF(ROWS($1:179)&gt;COUNT(Dong6),"",OFFSET(TH!C$1,SMALL(Dong6,ROWS($1:179)),))</f>
        <v>41274</v>
      </c>
      <c r="B189" s="376" t="str">
        <f ca="1">IF(ROWS($1:179)&gt;COUNT(Dong6),"",OFFSET(TH!D$1,SMALL(Dong6,ROWS($1:179)),))</f>
        <v>CTGS</v>
      </c>
      <c r="C189" s="375">
        <f ca="1">IF(ROWS($1:179)&gt;COUNT(Dong6),"",OFFSET(TH!E$1,SMALL(Dong6,ROWS($1:179)),))</f>
        <v>41274</v>
      </c>
      <c r="D189" s="377" t="str">
        <f ca="1">IF(ROWS($1:179)&gt;COUNT(Dong6),"",OFFSET(TH!F$1,SMALL(Dong6,ROWS($1:179)),))</f>
        <v>Lương bộ phận quản lý</v>
      </c>
      <c r="E189" s="376">
        <f t="shared" ca="1" si="5"/>
        <v>179</v>
      </c>
      <c r="F189" s="378" t="str">
        <f ca="1">IF(ROWS($1:179)&gt;COUNT(Dong6),"",OFFSET(TH!L$1,SMALL(Dong6,ROWS($1:179)),))</f>
        <v>642</v>
      </c>
      <c r="G189" s="378" t="str">
        <f ca="1">IF(ROWS($1:179)&gt;COUNT(Dong6),"",OFFSET(TH!M$1,SMALL(Dong6,ROWS($1:179)),))</f>
        <v>3341</v>
      </c>
      <c r="H189" s="351">
        <f ca="1">IF(ROWS($1:179)&gt;COUNT(Dong6),"",OFFSET(TH!K$1,SMALL(Dong6,ROWS($1:179)),))</f>
        <v>9600000</v>
      </c>
      <c r="I189" s="351">
        <f ca="1">IF(ROWS($1:179)&gt;COUNT(Dong6),"",OFFSET(TH!K$1,SMALL(Dong6,ROWS($1:179)),))</f>
        <v>9600000</v>
      </c>
    </row>
    <row r="190" spans="1:9" ht="21" customHeight="1">
      <c r="A190" s="375">
        <f ca="1">IF(ROWS($1:180)&gt;COUNT(Dong6),"",OFFSET(TH!C$1,SMALL(Dong6,ROWS($1:180)),))</f>
        <v>41274</v>
      </c>
      <c r="B190" s="376" t="str">
        <f ca="1">IF(ROWS($1:180)&gt;COUNT(Dong6),"",OFFSET(TH!D$1,SMALL(Dong6,ROWS($1:180)),))</f>
        <v>CTGS</v>
      </c>
      <c r="C190" s="375">
        <f ca="1">IF(ROWS($1:180)&gt;COUNT(Dong6),"",OFFSET(TH!E$1,SMALL(Dong6,ROWS($1:180)),))</f>
        <v>41274</v>
      </c>
      <c r="D190" s="377" t="str">
        <f ca="1">IF(ROWS($1:180)&gt;COUNT(Dong6),"",OFFSET(TH!F$1,SMALL(Dong6,ROWS($1:180)),))</f>
        <v>Lương bộ phận sản xuất</v>
      </c>
      <c r="E190" s="376">
        <f t="shared" ca="1" si="5"/>
        <v>180</v>
      </c>
      <c r="F190" s="378" t="str">
        <f ca="1">IF(ROWS($1:180)&gt;COUNT(Dong6),"",OFFSET(TH!L$1,SMALL(Dong6,ROWS($1:180)),))</f>
        <v>154</v>
      </c>
      <c r="G190" s="378" t="str">
        <f ca="1">IF(ROWS($1:180)&gt;COUNT(Dong6),"",OFFSET(TH!M$1,SMALL(Dong6,ROWS($1:180)),))</f>
        <v>3341</v>
      </c>
      <c r="H190" s="351">
        <f ca="1">IF(ROWS($1:180)&gt;COUNT(Dong6),"",OFFSET(TH!K$1,SMALL(Dong6,ROWS($1:180)),))</f>
        <v>5685000</v>
      </c>
      <c r="I190" s="351">
        <f ca="1">IF(ROWS($1:180)&gt;COUNT(Dong6),"",OFFSET(TH!K$1,SMALL(Dong6,ROWS($1:180)),))</f>
        <v>5685000</v>
      </c>
    </row>
    <row r="191" spans="1:9" ht="21" customHeight="1">
      <c r="A191" s="375">
        <f ca="1">IF(ROWS($1:181)&gt;COUNT(Dong6),"",OFFSET(TH!C$1,SMALL(Dong6,ROWS($1:181)),))</f>
        <v>41274</v>
      </c>
      <c r="B191" s="376" t="str">
        <f ca="1">IF(ROWS($1:181)&gt;COUNT(Dong6),"",OFFSET(TH!D$1,SMALL(Dong6,ROWS($1:181)),))</f>
        <v>C34</v>
      </c>
      <c r="C191" s="375">
        <f ca="1">IF(ROWS($1:181)&gt;COUNT(Dong6),"",OFFSET(TH!E$1,SMALL(Dong6,ROWS($1:181)),))</f>
        <v>41274</v>
      </c>
      <c r="D191" s="377" t="str">
        <f ca="1">IF(ROWS($1:181)&gt;COUNT(Dong6),"",OFFSET(TH!F$1,SMALL(Dong6,ROWS($1:181)),))</f>
        <v>Thanh toán lương T12/2012</v>
      </c>
      <c r="E191" s="376">
        <f t="shared" ca="1" si="5"/>
        <v>181</v>
      </c>
      <c r="F191" s="378" t="str">
        <f ca="1">IF(ROWS($1:181)&gt;COUNT(Dong6),"",OFFSET(TH!L$1,SMALL(Dong6,ROWS($1:181)),))</f>
        <v>3341</v>
      </c>
      <c r="G191" s="378" t="str">
        <f ca="1">IF(ROWS($1:181)&gt;COUNT(Dong6),"",OFFSET(TH!M$1,SMALL(Dong6,ROWS($1:181)),))</f>
        <v>1111</v>
      </c>
      <c r="H191" s="351">
        <f ca="1">IF(ROWS($1:181)&gt;COUNT(Dong6),"",OFFSET(TH!K$1,SMALL(Dong6,ROWS($1:181)),))</f>
        <v>15285000</v>
      </c>
      <c r="I191" s="351">
        <f ca="1">IF(ROWS($1:181)&gt;COUNT(Dong6),"",OFFSET(TH!K$1,SMALL(Dong6,ROWS($1:181)),))</f>
        <v>15285000</v>
      </c>
    </row>
    <row r="192" spans="1:9" ht="21" customHeight="1">
      <c r="A192" s="375">
        <f ca="1">IF(ROWS($1:182)&gt;COUNT(Dong6),"",OFFSET(TH!C$1,SMALL(Dong6,ROWS($1:182)),))</f>
        <v>41274</v>
      </c>
      <c r="B192" s="376" t="str">
        <f ca="1">IF(ROWS($1:182)&gt;COUNT(Dong6),"",OFFSET(TH!D$1,SMALL(Dong6,ROWS($1:182)),))</f>
        <v>XSX</v>
      </c>
      <c r="C192" s="375">
        <f ca="1">IF(ROWS($1:182)&gt;COUNT(Dong6),"",OFFSET(TH!E$1,SMALL(Dong6,ROWS($1:182)),))</f>
        <v>41274</v>
      </c>
      <c r="D192" s="377" t="str">
        <f ca="1">IF(ROWS($1:182)&gt;COUNT(Dong6),"",OFFSET(TH!F$1,SMALL(Dong6,ROWS($1:182)),))</f>
        <v>Giấy tấm 1N +2X (115x164)</v>
      </c>
      <c r="E192" s="376">
        <f t="shared" ca="1" si="5"/>
        <v>182</v>
      </c>
      <c r="F192" s="378" t="str">
        <f ca="1">IF(ROWS($1:182)&gt;COUNT(Dong6),"",OFFSET(TH!L$1,SMALL(Dong6,ROWS($1:182)),))</f>
        <v>154</v>
      </c>
      <c r="G192" s="378" t="str">
        <f ca="1">IF(ROWS($1:182)&gt;COUNT(Dong6),"",OFFSET(TH!M$1,SMALL(Dong6,ROWS($1:182)),))</f>
        <v>156</v>
      </c>
      <c r="H192" s="351">
        <f ca="1">IF(ROWS($1:182)&gt;COUNT(Dong6),"",OFFSET(TH!K$1,SMALL(Dong6,ROWS($1:182)),))</f>
        <v>9354400</v>
      </c>
      <c r="I192" s="351">
        <f ca="1">IF(ROWS($1:182)&gt;COUNT(Dong6),"",OFFSET(TH!K$1,SMALL(Dong6,ROWS($1:182)),))</f>
        <v>9354400</v>
      </c>
    </row>
    <row r="193" spans="1:9" ht="21" customHeight="1">
      <c r="A193" s="375">
        <f ca="1">IF(ROWS($1:183)&gt;COUNT(Dong6),"",OFFSET(TH!C$1,SMALL(Dong6,ROWS($1:183)),))</f>
        <v>41274</v>
      </c>
      <c r="B193" s="376" t="str">
        <f ca="1">IF(ROWS($1:183)&gt;COUNT(Dong6),"",OFFSET(TH!D$1,SMALL(Dong6,ROWS($1:183)),))</f>
        <v>XSX</v>
      </c>
      <c r="C193" s="375">
        <f ca="1">IF(ROWS($1:183)&gt;COUNT(Dong6),"",OFFSET(TH!E$1,SMALL(Dong6,ROWS($1:183)),))</f>
        <v>41274</v>
      </c>
      <c r="D193" s="377" t="str">
        <f ca="1">IF(ROWS($1:183)&gt;COUNT(Dong6),"",OFFSET(TH!F$1,SMALL(Dong6,ROWS($1:183)),))</f>
        <v>Giấy tấm 2N +3X (105x200)</v>
      </c>
      <c r="E193" s="376">
        <f t="shared" ca="1" si="5"/>
        <v>183</v>
      </c>
      <c r="F193" s="378" t="str">
        <f ca="1">IF(ROWS($1:183)&gt;COUNT(Dong6),"",OFFSET(TH!L$1,SMALL(Dong6,ROWS($1:183)),))</f>
        <v>154</v>
      </c>
      <c r="G193" s="378" t="str">
        <f ca="1">IF(ROWS($1:183)&gt;COUNT(Dong6),"",OFFSET(TH!M$1,SMALL(Dong6,ROWS($1:183)),))</f>
        <v>156</v>
      </c>
      <c r="H193" s="351">
        <f ca="1">IF(ROWS($1:183)&gt;COUNT(Dong6),"",OFFSET(TH!K$1,SMALL(Dong6,ROWS($1:183)),))</f>
        <v>1146600</v>
      </c>
      <c r="I193" s="351">
        <f ca="1">IF(ROWS($1:183)&gt;COUNT(Dong6),"",OFFSET(TH!K$1,SMALL(Dong6,ROWS($1:183)),))</f>
        <v>1146600</v>
      </c>
    </row>
    <row r="194" spans="1:9" ht="21" customHeight="1">
      <c r="A194" s="375">
        <f ca="1">IF(ROWS($1:184)&gt;COUNT(Dong6),"",OFFSET(TH!C$1,SMALL(Dong6,ROWS($1:184)),))</f>
        <v>41274</v>
      </c>
      <c r="B194" s="376" t="str">
        <f ca="1">IF(ROWS($1:184)&gt;COUNT(Dong6),"",OFFSET(TH!D$1,SMALL(Dong6,ROWS($1:184)),))</f>
        <v>XSX</v>
      </c>
      <c r="C194" s="375">
        <f ca="1">IF(ROWS($1:184)&gt;COUNT(Dong6),"",OFFSET(TH!E$1,SMALL(Dong6,ROWS($1:184)),))</f>
        <v>41274</v>
      </c>
      <c r="D194" s="377" t="str">
        <f ca="1">IF(ROWS($1:184)&gt;COUNT(Dong6),"",OFFSET(TH!F$1,SMALL(Dong6,ROWS($1:184)),))</f>
        <v>Giấy tấm 2N +1X (110x173)</v>
      </c>
      <c r="E194" s="376">
        <f t="shared" ca="1" si="5"/>
        <v>184</v>
      </c>
      <c r="F194" s="378" t="str">
        <f ca="1">IF(ROWS($1:184)&gt;COUNT(Dong6),"",OFFSET(TH!L$1,SMALL(Dong6,ROWS($1:184)),))</f>
        <v>154</v>
      </c>
      <c r="G194" s="378" t="str">
        <f ca="1">IF(ROWS($1:184)&gt;COUNT(Dong6),"",OFFSET(TH!M$1,SMALL(Dong6,ROWS($1:184)),))</f>
        <v>156</v>
      </c>
      <c r="H194" s="351">
        <f ca="1">IF(ROWS($1:184)&gt;COUNT(Dong6),"",OFFSET(TH!K$1,SMALL(Dong6,ROWS($1:184)),))</f>
        <v>14037750</v>
      </c>
      <c r="I194" s="351">
        <f ca="1">IF(ROWS($1:184)&gt;COUNT(Dong6),"",OFFSET(TH!K$1,SMALL(Dong6,ROWS($1:184)),))</f>
        <v>14037750</v>
      </c>
    </row>
    <row r="195" spans="1:9" ht="21" customHeight="1">
      <c r="A195" s="375">
        <f ca="1">IF(ROWS($1:185)&gt;COUNT(Dong6),"",OFFSET(TH!C$1,SMALL(Dong6,ROWS($1:185)),))</f>
        <v>41274</v>
      </c>
      <c r="B195" s="376" t="str">
        <f ca="1">IF(ROWS($1:185)&gt;COUNT(Dong6),"",OFFSET(TH!D$1,SMALL(Dong6,ROWS($1:185)),))</f>
        <v>XSX</v>
      </c>
      <c r="C195" s="375">
        <f ca="1">IF(ROWS($1:185)&gt;COUNT(Dong6),"",OFFSET(TH!E$1,SMALL(Dong6,ROWS($1:185)),))</f>
        <v>41274</v>
      </c>
      <c r="D195" s="377" t="str">
        <f ca="1">IF(ROWS($1:185)&gt;COUNT(Dong6),"",OFFSET(TH!F$1,SMALL(Dong6,ROWS($1:185)),))</f>
        <v>Giấy tấm 1N +2X (120x155)</v>
      </c>
      <c r="E195" s="376">
        <f t="shared" ca="1" si="5"/>
        <v>185</v>
      </c>
      <c r="F195" s="378" t="str">
        <f ca="1">IF(ROWS($1:185)&gt;COUNT(Dong6),"",OFFSET(TH!L$1,SMALL(Dong6,ROWS($1:185)),))</f>
        <v>154</v>
      </c>
      <c r="G195" s="378" t="str">
        <f ca="1">IF(ROWS($1:185)&gt;COUNT(Dong6),"",OFFSET(TH!M$1,SMALL(Dong6,ROWS($1:185)),))</f>
        <v>156</v>
      </c>
      <c r="H195" s="351">
        <f ca="1">IF(ROWS($1:185)&gt;COUNT(Dong6),"",OFFSET(TH!K$1,SMALL(Dong6,ROWS($1:185)),))</f>
        <v>4612800</v>
      </c>
      <c r="I195" s="351">
        <f ca="1">IF(ROWS($1:185)&gt;COUNT(Dong6),"",OFFSET(TH!K$1,SMALL(Dong6,ROWS($1:185)),))</f>
        <v>4612800</v>
      </c>
    </row>
    <row r="196" spans="1:9" ht="21" customHeight="1">
      <c r="A196" s="375">
        <f ca="1">IF(ROWS($1:186)&gt;COUNT(Dong6),"",OFFSET(TH!C$1,SMALL(Dong6,ROWS($1:186)),))</f>
        <v>41274</v>
      </c>
      <c r="B196" s="376" t="str">
        <f ca="1">IF(ROWS($1:186)&gt;COUNT(Dong6),"",OFFSET(TH!D$1,SMALL(Dong6,ROWS($1:186)),))</f>
        <v>XSX</v>
      </c>
      <c r="C196" s="375">
        <f ca="1">IF(ROWS($1:186)&gt;COUNT(Dong6),"",OFFSET(TH!E$1,SMALL(Dong6,ROWS($1:186)),))</f>
        <v>41274</v>
      </c>
      <c r="D196" s="377" t="str">
        <f ca="1">IF(ROWS($1:186)&gt;COUNT(Dong6),"",OFFSET(TH!F$1,SMALL(Dong6,ROWS($1:186)),))</f>
        <v>Giấy tấm 1N +2X (120x175)</v>
      </c>
      <c r="E196" s="376">
        <f t="shared" ca="1" si="5"/>
        <v>186</v>
      </c>
      <c r="F196" s="378" t="str">
        <f ca="1">IF(ROWS($1:186)&gt;COUNT(Dong6),"",OFFSET(TH!L$1,SMALL(Dong6,ROWS($1:186)),))</f>
        <v>154</v>
      </c>
      <c r="G196" s="378" t="str">
        <f ca="1">IF(ROWS($1:186)&gt;COUNT(Dong6),"",OFFSET(TH!M$1,SMALL(Dong6,ROWS($1:186)),))</f>
        <v>156</v>
      </c>
      <c r="H196" s="351">
        <f ca="1">IF(ROWS($1:186)&gt;COUNT(Dong6),"",OFFSET(TH!K$1,SMALL(Dong6,ROWS($1:186)),))</f>
        <v>1302000</v>
      </c>
      <c r="I196" s="351">
        <f ca="1">IF(ROWS($1:186)&gt;COUNT(Dong6),"",OFFSET(TH!K$1,SMALL(Dong6,ROWS($1:186)),))</f>
        <v>1302000</v>
      </c>
    </row>
    <row r="197" spans="1:9" ht="21" customHeight="1">
      <c r="A197" s="375">
        <f ca="1">IF(ROWS($1:187)&gt;COUNT(Dong6),"",OFFSET(TH!C$1,SMALL(Dong6,ROWS($1:187)),))</f>
        <v>41274</v>
      </c>
      <c r="B197" s="376" t="str">
        <f ca="1">IF(ROWS($1:187)&gt;COUNT(Dong6),"",OFFSET(TH!D$1,SMALL(Dong6,ROWS($1:187)),))</f>
        <v>XSX</v>
      </c>
      <c r="C197" s="375">
        <f ca="1">IF(ROWS($1:187)&gt;COUNT(Dong6),"",OFFSET(TH!E$1,SMALL(Dong6,ROWS($1:187)),))</f>
        <v>41274</v>
      </c>
      <c r="D197" s="377" t="str">
        <f ca="1">IF(ROWS($1:187)&gt;COUNT(Dong6),"",OFFSET(TH!F$1,SMALL(Dong6,ROWS($1:187)),))</f>
        <v>Giấy tấm 1N +2X (120x175)</v>
      </c>
      <c r="E197" s="376">
        <f t="shared" ca="1" si="5"/>
        <v>187</v>
      </c>
      <c r="F197" s="378" t="str">
        <f ca="1">IF(ROWS($1:187)&gt;COUNT(Dong6),"",OFFSET(TH!L$1,SMALL(Dong6,ROWS($1:187)),))</f>
        <v>154</v>
      </c>
      <c r="G197" s="378" t="str">
        <f ca="1">IF(ROWS($1:187)&gt;COUNT(Dong6),"",OFFSET(TH!M$1,SMALL(Dong6,ROWS($1:187)),))</f>
        <v>156</v>
      </c>
      <c r="H197" s="351">
        <f ca="1">IF(ROWS($1:187)&gt;COUNT(Dong6),"",OFFSET(TH!K$1,SMALL(Dong6,ROWS($1:187)),))</f>
        <v>520800</v>
      </c>
      <c r="I197" s="351">
        <f ca="1">IF(ROWS($1:187)&gt;COUNT(Dong6),"",OFFSET(TH!K$1,SMALL(Dong6,ROWS($1:187)),))</f>
        <v>520800</v>
      </c>
    </row>
    <row r="198" spans="1:9" ht="21" customHeight="1">
      <c r="A198" s="375">
        <f ca="1">IF(ROWS($1:188)&gt;COUNT(Dong6),"",OFFSET(TH!C$1,SMALL(Dong6,ROWS($1:188)),))</f>
        <v>41274</v>
      </c>
      <c r="B198" s="376" t="str">
        <f ca="1">IF(ROWS($1:188)&gt;COUNT(Dong6),"",OFFSET(TH!D$1,SMALL(Dong6,ROWS($1:188)),))</f>
        <v>XSX</v>
      </c>
      <c r="C198" s="375">
        <f ca="1">IF(ROWS($1:188)&gt;COUNT(Dong6),"",OFFSET(TH!E$1,SMALL(Dong6,ROWS($1:188)),))</f>
        <v>41274</v>
      </c>
      <c r="D198" s="377" t="str">
        <f ca="1">IF(ROWS($1:188)&gt;COUNT(Dong6),"",OFFSET(TH!F$1,SMALL(Dong6,ROWS($1:188)),))</f>
        <v>Giấy tấm 1N +2X (120x175)</v>
      </c>
      <c r="E198" s="376">
        <f t="shared" ca="1" si="5"/>
        <v>188</v>
      </c>
      <c r="F198" s="378" t="str">
        <f ca="1">IF(ROWS($1:188)&gt;COUNT(Dong6),"",OFFSET(TH!L$1,SMALL(Dong6,ROWS($1:188)),))</f>
        <v>154</v>
      </c>
      <c r="G198" s="378" t="str">
        <f ca="1">IF(ROWS($1:188)&gt;COUNT(Dong6),"",OFFSET(TH!M$1,SMALL(Dong6,ROWS($1:188)),))</f>
        <v>156</v>
      </c>
      <c r="H198" s="351">
        <f ca="1">IF(ROWS($1:188)&gt;COUNT(Dong6),"",OFFSET(TH!K$1,SMALL(Dong6,ROWS($1:188)),))</f>
        <v>2343600</v>
      </c>
      <c r="I198" s="351">
        <f ca="1">IF(ROWS($1:188)&gt;COUNT(Dong6),"",OFFSET(TH!K$1,SMALL(Dong6,ROWS($1:188)),))</f>
        <v>2343600</v>
      </c>
    </row>
    <row r="199" spans="1:9" ht="21" customHeight="1">
      <c r="A199" s="375">
        <f ca="1">IF(ROWS($1:189)&gt;COUNT(Dong6),"",OFFSET(TH!C$1,SMALL(Dong6,ROWS($1:189)),))</f>
        <v>41274</v>
      </c>
      <c r="B199" s="376" t="str">
        <f ca="1">IF(ROWS($1:189)&gt;COUNT(Dong6),"",OFFSET(TH!D$1,SMALL(Dong6,ROWS($1:189)),))</f>
        <v>XSX</v>
      </c>
      <c r="C199" s="375">
        <f ca="1">IF(ROWS($1:189)&gt;COUNT(Dong6),"",OFFSET(TH!E$1,SMALL(Dong6,ROWS($1:189)),))</f>
        <v>41274</v>
      </c>
      <c r="D199" s="377" t="str">
        <f ca="1">IF(ROWS($1:189)&gt;COUNT(Dong6),"",OFFSET(TH!F$1,SMALL(Dong6,ROWS($1:189)),))</f>
        <v>Giấy tấm 1N +2X (120x175)</v>
      </c>
      <c r="E199" s="376">
        <f t="shared" ca="1" si="5"/>
        <v>189</v>
      </c>
      <c r="F199" s="378" t="str">
        <f ca="1">IF(ROWS($1:189)&gt;COUNT(Dong6),"",OFFSET(TH!L$1,SMALL(Dong6,ROWS($1:189)),))</f>
        <v>154</v>
      </c>
      <c r="G199" s="378" t="str">
        <f ca="1">IF(ROWS($1:189)&gt;COUNT(Dong6),"",OFFSET(TH!M$1,SMALL(Dong6,ROWS($1:189)),))</f>
        <v>156</v>
      </c>
      <c r="H199" s="351">
        <f ca="1">IF(ROWS($1:189)&gt;COUNT(Dong6),"",OFFSET(TH!K$1,SMALL(Dong6,ROWS($1:189)),))</f>
        <v>2343600</v>
      </c>
      <c r="I199" s="351">
        <f ca="1">IF(ROWS($1:189)&gt;COUNT(Dong6),"",OFFSET(TH!K$1,SMALL(Dong6,ROWS($1:189)),))</f>
        <v>2343600</v>
      </c>
    </row>
    <row r="200" spans="1:9" ht="21" customHeight="1">
      <c r="A200" s="375">
        <f ca="1">IF(ROWS($1:190)&gt;COUNT(Dong6),"",OFFSET(TH!C$1,SMALL(Dong6,ROWS($1:190)),))</f>
        <v>41274</v>
      </c>
      <c r="B200" s="376" t="str">
        <f ca="1">IF(ROWS($1:190)&gt;COUNT(Dong6),"",OFFSET(TH!D$1,SMALL(Dong6,ROWS($1:190)),))</f>
        <v>XSX</v>
      </c>
      <c r="C200" s="375">
        <f ca="1">IF(ROWS($1:190)&gt;COUNT(Dong6),"",OFFSET(TH!E$1,SMALL(Dong6,ROWS($1:190)),))</f>
        <v>41274</v>
      </c>
      <c r="D200" s="377" t="str">
        <f ca="1">IF(ROWS($1:190)&gt;COUNT(Dong6),"",OFFSET(TH!F$1,SMALL(Dong6,ROWS($1:190)),))</f>
        <v>Giấy tấm 2N +1X (87x208)</v>
      </c>
      <c r="E200" s="376">
        <f t="shared" ca="1" si="5"/>
        <v>190</v>
      </c>
      <c r="F200" s="378" t="str">
        <f ca="1">IF(ROWS($1:190)&gt;COUNT(Dong6),"",OFFSET(TH!L$1,SMALL(Dong6,ROWS($1:190)),))</f>
        <v>154</v>
      </c>
      <c r="G200" s="378" t="str">
        <f ca="1">IF(ROWS($1:190)&gt;COUNT(Dong6),"",OFFSET(TH!M$1,SMALL(Dong6,ROWS($1:190)),))</f>
        <v>156</v>
      </c>
      <c r="H200" s="351">
        <f ca="1">IF(ROWS($1:190)&gt;COUNT(Dong6),"",OFFSET(TH!K$1,SMALL(Dong6,ROWS($1:190)),))</f>
        <v>6122620</v>
      </c>
      <c r="I200" s="351">
        <f ca="1">IF(ROWS($1:190)&gt;COUNT(Dong6),"",OFFSET(TH!K$1,SMALL(Dong6,ROWS($1:190)),))</f>
        <v>6122620</v>
      </c>
    </row>
    <row r="201" spans="1:9" ht="21" customHeight="1">
      <c r="A201" s="375">
        <f ca="1">IF(ROWS($1:191)&gt;COUNT(Dong6),"",OFFSET(TH!C$1,SMALL(Dong6,ROWS($1:191)),))</f>
        <v>41274</v>
      </c>
      <c r="B201" s="376" t="str">
        <f ca="1">IF(ROWS($1:191)&gt;COUNT(Dong6),"",OFFSET(TH!D$1,SMALL(Dong6,ROWS($1:191)),))</f>
        <v>XSX</v>
      </c>
      <c r="C201" s="375">
        <f ca="1">IF(ROWS($1:191)&gt;COUNT(Dong6),"",OFFSET(TH!E$1,SMALL(Dong6,ROWS($1:191)),))</f>
        <v>41274</v>
      </c>
      <c r="D201" s="377" t="str">
        <f ca="1">IF(ROWS($1:191)&gt;COUNT(Dong6),"",OFFSET(TH!F$1,SMALL(Dong6,ROWS($1:191)),))</f>
        <v>Giấy tấm 1N +2X (100x156)</v>
      </c>
      <c r="E201" s="376">
        <f t="shared" ca="1" si="5"/>
        <v>191</v>
      </c>
      <c r="F201" s="378" t="str">
        <f ca="1">IF(ROWS($1:191)&gt;COUNT(Dong6),"",OFFSET(TH!L$1,SMALL(Dong6,ROWS($1:191)),))</f>
        <v>154</v>
      </c>
      <c r="G201" s="378" t="str">
        <f ca="1">IF(ROWS($1:191)&gt;COUNT(Dong6),"",OFFSET(TH!M$1,SMALL(Dong6,ROWS($1:191)),))</f>
        <v>156</v>
      </c>
      <c r="H201" s="351">
        <f ca="1">IF(ROWS($1:191)&gt;COUNT(Dong6),"",OFFSET(TH!K$1,SMALL(Dong6,ROWS($1:191)),))</f>
        <v>7254000</v>
      </c>
      <c r="I201" s="351">
        <f ca="1">IF(ROWS($1:191)&gt;COUNT(Dong6),"",OFFSET(TH!K$1,SMALL(Dong6,ROWS($1:191)),))</f>
        <v>7254000</v>
      </c>
    </row>
    <row r="202" spans="1:9" ht="21" customHeight="1">
      <c r="A202" s="375">
        <f ca="1">IF(ROWS($1:192)&gt;COUNT(Dong6),"",OFFSET(TH!C$1,SMALL(Dong6,ROWS($1:192)),))</f>
        <v>41274</v>
      </c>
      <c r="B202" s="376" t="str">
        <f ca="1">IF(ROWS($1:192)&gt;COUNT(Dong6),"",OFFSET(TH!D$1,SMALL(Dong6,ROWS($1:192)),))</f>
        <v>XSX</v>
      </c>
      <c r="C202" s="375">
        <f ca="1">IF(ROWS($1:192)&gt;COUNT(Dong6),"",OFFSET(TH!E$1,SMALL(Dong6,ROWS($1:192)),))</f>
        <v>41274</v>
      </c>
      <c r="D202" s="377" t="str">
        <f ca="1">IF(ROWS($1:192)&gt;COUNT(Dong6),"",OFFSET(TH!F$1,SMALL(Dong6,ROWS($1:192)),))</f>
        <v>Giấy tấm 1N +2X (105x158)</v>
      </c>
      <c r="E202" s="376">
        <f t="shared" ca="1" si="5"/>
        <v>192</v>
      </c>
      <c r="F202" s="378" t="str">
        <f ca="1">IF(ROWS($1:192)&gt;COUNT(Dong6),"",OFFSET(TH!L$1,SMALL(Dong6,ROWS($1:192)),))</f>
        <v>154</v>
      </c>
      <c r="G202" s="378" t="str">
        <f ca="1">IF(ROWS($1:192)&gt;COUNT(Dong6),"",OFFSET(TH!M$1,SMALL(Dong6,ROWS($1:192)),))</f>
        <v>156</v>
      </c>
      <c r="H202" s="351">
        <f ca="1">IF(ROWS($1:192)&gt;COUNT(Dong6),"",OFFSET(TH!K$1,SMALL(Dong6,ROWS($1:192)),))</f>
        <v>4237832</v>
      </c>
      <c r="I202" s="351">
        <f ca="1">IF(ROWS($1:192)&gt;COUNT(Dong6),"",OFFSET(TH!K$1,SMALL(Dong6,ROWS($1:192)),))</f>
        <v>4237832</v>
      </c>
    </row>
    <row r="203" spans="1:9" ht="21" customHeight="1">
      <c r="A203" s="375">
        <f ca="1">IF(ROWS($1:193)&gt;COUNT(Dong6),"",OFFSET(TH!C$1,SMALL(Dong6,ROWS($1:193)),))</f>
        <v>41274</v>
      </c>
      <c r="B203" s="376" t="str">
        <f ca="1">IF(ROWS($1:193)&gt;COUNT(Dong6),"",OFFSET(TH!D$1,SMALL(Dong6,ROWS($1:193)),))</f>
        <v>XSX</v>
      </c>
      <c r="C203" s="375">
        <f ca="1">IF(ROWS($1:193)&gt;COUNT(Dong6),"",OFFSET(TH!E$1,SMALL(Dong6,ROWS($1:193)),))</f>
        <v>41274</v>
      </c>
      <c r="D203" s="377" t="str">
        <f ca="1">IF(ROWS($1:193)&gt;COUNT(Dong6),"",OFFSET(TH!F$1,SMALL(Dong6,ROWS($1:193)),))</f>
        <v>Giấy tấm 2N +1X (110x173)</v>
      </c>
      <c r="E203" s="376">
        <f t="shared" ca="1" si="5"/>
        <v>193</v>
      </c>
      <c r="F203" s="378" t="str">
        <f ca="1">IF(ROWS($1:193)&gt;COUNT(Dong6),"",OFFSET(TH!L$1,SMALL(Dong6,ROWS($1:193)),))</f>
        <v>154</v>
      </c>
      <c r="G203" s="378" t="str">
        <f ca="1">IF(ROWS($1:193)&gt;COUNT(Dong6),"",OFFSET(TH!M$1,SMALL(Dong6,ROWS($1:193)),))</f>
        <v>156</v>
      </c>
      <c r="H203" s="351">
        <f ca="1">IF(ROWS($1:193)&gt;COUNT(Dong6),"",OFFSET(TH!K$1,SMALL(Dong6,ROWS($1:193)),))</f>
        <v>5087250</v>
      </c>
      <c r="I203" s="351">
        <f ca="1">IF(ROWS($1:193)&gt;COUNT(Dong6),"",OFFSET(TH!K$1,SMALL(Dong6,ROWS($1:193)),))</f>
        <v>5087250</v>
      </c>
    </row>
    <row r="204" spans="1:9" ht="21" customHeight="1">
      <c r="A204" s="375">
        <f ca="1">IF(ROWS($1:194)&gt;COUNT(Dong6),"",OFFSET(TH!C$1,SMALL(Dong6,ROWS($1:194)),))</f>
        <v>41274</v>
      </c>
      <c r="B204" s="376" t="str">
        <f ca="1">IF(ROWS($1:194)&gt;COUNT(Dong6),"",OFFSET(TH!D$1,SMALL(Dong6,ROWS($1:194)),))</f>
        <v>XSX</v>
      </c>
      <c r="C204" s="375">
        <f ca="1">IF(ROWS($1:194)&gt;COUNT(Dong6),"",OFFSET(TH!E$1,SMALL(Dong6,ROWS($1:194)),))</f>
        <v>41274</v>
      </c>
      <c r="D204" s="377" t="str">
        <f ca="1">IF(ROWS($1:194)&gt;COUNT(Dong6),"",OFFSET(TH!F$1,SMALL(Dong6,ROWS($1:194)),))</f>
        <v>Giấy tấm 1N +2X (120x155)</v>
      </c>
      <c r="E204" s="376">
        <f t="shared" ref="E204:E267" ca="1" si="6">IF(D204&lt;&gt;"",ROW()-10,"")</f>
        <v>194</v>
      </c>
      <c r="F204" s="378" t="str">
        <f ca="1">IF(ROWS($1:194)&gt;COUNT(Dong6),"",OFFSET(TH!L$1,SMALL(Dong6,ROWS($1:194)),))</f>
        <v>154</v>
      </c>
      <c r="G204" s="378" t="str">
        <f ca="1">IF(ROWS($1:194)&gt;COUNT(Dong6),"",OFFSET(TH!M$1,SMALL(Dong6,ROWS($1:194)),))</f>
        <v>156</v>
      </c>
      <c r="H204" s="351">
        <f ca="1">IF(ROWS($1:194)&gt;COUNT(Dong6),"",OFFSET(TH!K$1,SMALL(Dong6,ROWS($1:194)),))</f>
        <v>1729800</v>
      </c>
      <c r="I204" s="351">
        <f ca="1">IF(ROWS($1:194)&gt;COUNT(Dong6),"",OFFSET(TH!K$1,SMALL(Dong6,ROWS($1:194)),))</f>
        <v>1729800</v>
      </c>
    </row>
    <row r="205" spans="1:9" ht="21" customHeight="1">
      <c r="A205" s="375">
        <f ca="1">IF(ROWS($1:195)&gt;COUNT(Dong6),"",OFFSET(TH!C$1,SMALL(Dong6,ROWS($1:195)),))</f>
        <v>41274</v>
      </c>
      <c r="B205" s="376" t="str">
        <f ca="1">IF(ROWS($1:195)&gt;COUNT(Dong6),"",OFFSET(TH!D$1,SMALL(Dong6,ROWS($1:195)),))</f>
        <v>XSX</v>
      </c>
      <c r="C205" s="375">
        <f ca="1">IF(ROWS($1:195)&gt;COUNT(Dong6),"",OFFSET(TH!E$1,SMALL(Dong6,ROWS($1:195)),))</f>
        <v>41274</v>
      </c>
      <c r="D205" s="377" t="str">
        <f ca="1">IF(ROWS($1:195)&gt;COUNT(Dong6),"",OFFSET(TH!F$1,SMALL(Dong6,ROWS($1:195)),))</f>
        <v>Giấy tấm 1N +2X (145x144)</v>
      </c>
      <c r="E205" s="376">
        <f t="shared" ca="1" si="6"/>
        <v>195</v>
      </c>
      <c r="F205" s="378" t="str">
        <f ca="1">IF(ROWS($1:195)&gt;COUNT(Dong6),"",OFFSET(TH!L$1,SMALL(Dong6,ROWS($1:195)),))</f>
        <v>154</v>
      </c>
      <c r="G205" s="378" t="str">
        <f ca="1">IF(ROWS($1:195)&gt;COUNT(Dong6),"",OFFSET(TH!M$1,SMALL(Dong6,ROWS($1:195)),))</f>
        <v>156</v>
      </c>
      <c r="H205" s="351">
        <f ca="1">IF(ROWS($1:195)&gt;COUNT(Dong6),"",OFFSET(TH!K$1,SMALL(Dong6,ROWS($1:195)),))</f>
        <v>13677960</v>
      </c>
      <c r="I205" s="351">
        <f ca="1">IF(ROWS($1:195)&gt;COUNT(Dong6),"",OFFSET(TH!K$1,SMALL(Dong6,ROWS($1:195)),))</f>
        <v>13677960</v>
      </c>
    </row>
    <row r="206" spans="1:9" ht="21" customHeight="1">
      <c r="A206" s="375">
        <f ca="1">IF(ROWS($1:196)&gt;COUNT(Dong6),"",OFFSET(TH!C$1,SMALL(Dong6,ROWS($1:196)),))</f>
        <v>41274</v>
      </c>
      <c r="B206" s="376" t="str">
        <f ca="1">IF(ROWS($1:196)&gt;COUNT(Dong6),"",OFFSET(TH!D$1,SMALL(Dong6,ROWS($1:196)),))</f>
        <v>XSX</v>
      </c>
      <c r="C206" s="375">
        <f ca="1">IF(ROWS($1:196)&gt;COUNT(Dong6),"",OFFSET(TH!E$1,SMALL(Dong6,ROWS($1:196)),))</f>
        <v>41274</v>
      </c>
      <c r="D206" s="377" t="str">
        <f ca="1">IF(ROWS($1:196)&gt;COUNT(Dong6),"",OFFSET(TH!F$1,SMALL(Dong6,ROWS($1:196)),))</f>
        <v>Giấy tấm 1N +2X (110x159)</v>
      </c>
      <c r="E206" s="376">
        <f t="shared" ca="1" si="6"/>
        <v>196</v>
      </c>
      <c r="F206" s="378" t="str">
        <f ca="1">IF(ROWS($1:196)&gt;COUNT(Dong6),"",OFFSET(TH!L$1,SMALL(Dong6,ROWS($1:196)),))</f>
        <v>154</v>
      </c>
      <c r="G206" s="378" t="str">
        <f ca="1">IF(ROWS($1:196)&gt;COUNT(Dong6),"",OFFSET(TH!M$1,SMALL(Dong6,ROWS($1:196)),))</f>
        <v>156</v>
      </c>
      <c r="H206" s="351">
        <f ca="1">IF(ROWS($1:196)&gt;COUNT(Dong6),"",OFFSET(TH!K$1,SMALL(Dong6,ROWS($1:196)),))</f>
        <v>3068852</v>
      </c>
      <c r="I206" s="351">
        <f ca="1">IF(ROWS($1:196)&gt;COUNT(Dong6),"",OFFSET(TH!K$1,SMALL(Dong6,ROWS($1:196)),))</f>
        <v>3068852</v>
      </c>
    </row>
    <row r="207" spans="1:9" ht="21" customHeight="1">
      <c r="A207" s="375">
        <f ca="1">IF(ROWS($1:197)&gt;COUNT(Dong6),"",OFFSET(TH!C$1,SMALL(Dong6,ROWS($1:197)),))</f>
        <v>41274</v>
      </c>
      <c r="B207" s="376" t="str">
        <f ca="1">IF(ROWS($1:197)&gt;COUNT(Dong6),"",OFFSET(TH!D$1,SMALL(Dong6,ROWS($1:197)),))</f>
        <v>XSX</v>
      </c>
      <c r="C207" s="375">
        <f ca="1">IF(ROWS($1:197)&gt;COUNT(Dong6),"",OFFSET(TH!E$1,SMALL(Dong6,ROWS($1:197)),))</f>
        <v>41274</v>
      </c>
      <c r="D207" s="377" t="str">
        <f ca="1">IF(ROWS($1:197)&gt;COUNT(Dong6),"",OFFSET(TH!F$1,SMALL(Dong6,ROWS($1:197)),))</f>
        <v>Giấy tấm 1N +2X (110x151)</v>
      </c>
      <c r="E207" s="376">
        <f t="shared" ca="1" si="6"/>
        <v>197</v>
      </c>
      <c r="F207" s="378" t="str">
        <f ca="1">IF(ROWS($1:197)&gt;COUNT(Dong6),"",OFFSET(TH!L$1,SMALL(Dong6,ROWS($1:197)),))</f>
        <v>154</v>
      </c>
      <c r="G207" s="378" t="str">
        <f ca="1">IF(ROWS($1:197)&gt;COUNT(Dong6),"",OFFSET(TH!M$1,SMALL(Dong6,ROWS($1:197)),))</f>
        <v>156</v>
      </c>
      <c r="H207" s="351">
        <f ca="1">IF(ROWS($1:197)&gt;COUNT(Dong6),"",OFFSET(TH!K$1,SMALL(Dong6,ROWS($1:197)),))</f>
        <v>21110900</v>
      </c>
      <c r="I207" s="351">
        <f ca="1">IF(ROWS($1:197)&gt;COUNT(Dong6),"",OFFSET(TH!K$1,SMALL(Dong6,ROWS($1:197)),))</f>
        <v>21110900</v>
      </c>
    </row>
    <row r="208" spans="1:9" ht="21" customHeight="1">
      <c r="A208" s="375">
        <f ca="1">IF(ROWS($1:198)&gt;COUNT(Dong6),"",OFFSET(TH!C$1,SMALL(Dong6,ROWS($1:198)),))</f>
        <v>41274</v>
      </c>
      <c r="B208" s="376" t="str">
        <f ca="1">IF(ROWS($1:198)&gt;COUNT(Dong6),"",OFFSET(TH!D$1,SMALL(Dong6,ROWS($1:198)),))</f>
        <v>XSX</v>
      </c>
      <c r="C208" s="375">
        <f ca="1">IF(ROWS($1:198)&gt;COUNT(Dong6),"",OFFSET(TH!E$1,SMALL(Dong6,ROWS($1:198)),))</f>
        <v>41274</v>
      </c>
      <c r="D208" s="377" t="str">
        <f ca="1">IF(ROWS($1:198)&gt;COUNT(Dong6),"",OFFSET(TH!F$1,SMALL(Dong6,ROWS($1:198)),))</f>
        <v>Giấy tấm 1N +2X (110x162)</v>
      </c>
      <c r="E208" s="376">
        <f t="shared" ca="1" si="6"/>
        <v>198</v>
      </c>
      <c r="F208" s="378" t="str">
        <f ca="1">IF(ROWS($1:198)&gt;COUNT(Dong6),"",OFFSET(TH!L$1,SMALL(Dong6,ROWS($1:198)),))</f>
        <v>154</v>
      </c>
      <c r="G208" s="378" t="str">
        <f ca="1">IF(ROWS($1:198)&gt;COUNT(Dong6),"",OFFSET(TH!M$1,SMALL(Dong6,ROWS($1:198)),))</f>
        <v>156</v>
      </c>
      <c r="H208" s="351">
        <f ca="1">IF(ROWS($1:198)&gt;COUNT(Dong6),"",OFFSET(TH!K$1,SMALL(Dong6,ROWS($1:198)),))</f>
        <v>6341552</v>
      </c>
      <c r="I208" s="351">
        <f ca="1">IF(ROWS($1:198)&gt;COUNT(Dong6),"",OFFSET(TH!K$1,SMALL(Dong6,ROWS($1:198)),))</f>
        <v>6341552</v>
      </c>
    </row>
    <row r="209" spans="1:9" ht="21" customHeight="1">
      <c r="A209" s="375">
        <f ca="1">IF(ROWS($1:199)&gt;COUNT(Dong6),"",OFFSET(TH!C$1,SMALL(Dong6,ROWS($1:199)),))</f>
        <v>41274</v>
      </c>
      <c r="B209" s="376" t="str">
        <f ca="1">IF(ROWS($1:199)&gt;COUNT(Dong6),"",OFFSET(TH!D$1,SMALL(Dong6,ROWS($1:199)),))</f>
        <v>XSX</v>
      </c>
      <c r="C209" s="375">
        <f ca="1">IF(ROWS($1:199)&gt;COUNT(Dong6),"",OFFSET(TH!E$1,SMALL(Dong6,ROWS($1:199)),))</f>
        <v>41274</v>
      </c>
      <c r="D209" s="377" t="str">
        <f ca="1">IF(ROWS($1:199)&gt;COUNT(Dong6),"",OFFSET(TH!F$1,SMALL(Dong6,ROWS($1:199)),))</f>
        <v>Giấy tấm 1N +2X (105x158)</v>
      </c>
      <c r="E209" s="376">
        <f t="shared" ca="1" si="6"/>
        <v>199</v>
      </c>
      <c r="F209" s="378" t="str">
        <f ca="1">IF(ROWS($1:199)&gt;COUNT(Dong6),"",OFFSET(TH!L$1,SMALL(Dong6,ROWS($1:199)),))</f>
        <v>154</v>
      </c>
      <c r="G209" s="378" t="str">
        <f ca="1">IF(ROWS($1:199)&gt;COUNT(Dong6),"",OFFSET(TH!M$1,SMALL(Dong6,ROWS($1:199)),))</f>
        <v>156</v>
      </c>
      <c r="H209" s="351">
        <f ca="1">IF(ROWS($1:199)&gt;COUNT(Dong6),"",OFFSET(TH!K$1,SMALL(Dong6,ROWS($1:199)),))</f>
        <v>16334168</v>
      </c>
      <c r="I209" s="351">
        <f ca="1">IF(ROWS($1:199)&gt;COUNT(Dong6),"",OFFSET(TH!K$1,SMALL(Dong6,ROWS($1:199)),))</f>
        <v>16334168</v>
      </c>
    </row>
    <row r="210" spans="1:9" ht="21" customHeight="1">
      <c r="A210" s="375">
        <f ca="1">IF(ROWS($1:200)&gt;COUNT(Dong6),"",OFFSET(TH!C$1,SMALL(Dong6,ROWS($1:200)),))</f>
        <v>41274</v>
      </c>
      <c r="B210" s="376" t="str">
        <f ca="1">IF(ROWS($1:200)&gt;COUNT(Dong6),"",OFFSET(TH!D$1,SMALL(Dong6,ROWS($1:200)),))</f>
        <v>XSX</v>
      </c>
      <c r="C210" s="375">
        <f ca="1">IF(ROWS($1:200)&gt;COUNT(Dong6),"",OFFSET(TH!E$1,SMALL(Dong6,ROWS($1:200)),))</f>
        <v>41274</v>
      </c>
      <c r="D210" s="377" t="str">
        <f ca="1">IF(ROWS($1:200)&gt;COUNT(Dong6),"",OFFSET(TH!F$1,SMALL(Dong6,ROWS($1:200)),))</f>
        <v>Giấy tấm 2N +1X (87.5x208)</v>
      </c>
      <c r="E210" s="376">
        <f t="shared" ca="1" si="6"/>
        <v>200</v>
      </c>
      <c r="F210" s="378" t="str">
        <f ca="1">IF(ROWS($1:200)&gt;COUNT(Dong6),"",OFFSET(TH!L$1,SMALL(Dong6,ROWS($1:200)),))</f>
        <v>154</v>
      </c>
      <c r="G210" s="378" t="str">
        <f ca="1">IF(ROWS($1:200)&gt;COUNT(Dong6),"",OFFSET(TH!M$1,SMALL(Dong6,ROWS($1:200)),))</f>
        <v>156</v>
      </c>
      <c r="H210" s="351">
        <f ca="1">IF(ROWS($1:200)&gt;COUNT(Dong6),"",OFFSET(TH!K$1,SMALL(Dong6,ROWS($1:200)),))</f>
        <v>6097000</v>
      </c>
      <c r="I210" s="351">
        <f ca="1">IF(ROWS($1:200)&gt;COUNT(Dong6),"",OFFSET(TH!K$1,SMALL(Dong6,ROWS($1:200)),))</f>
        <v>6097000</v>
      </c>
    </row>
    <row r="211" spans="1:9" ht="21" customHeight="1">
      <c r="A211" s="375">
        <f ca="1">IF(ROWS($1:201)&gt;COUNT(Dong6),"",OFFSET(TH!C$1,SMALL(Dong6,ROWS($1:201)),))</f>
        <v>41274</v>
      </c>
      <c r="B211" s="376" t="str">
        <f ca="1">IF(ROWS($1:201)&gt;COUNT(Dong6),"",OFFSET(TH!D$1,SMALL(Dong6,ROWS($1:201)),))</f>
        <v>XSX</v>
      </c>
      <c r="C211" s="375">
        <f ca="1">IF(ROWS($1:201)&gt;COUNT(Dong6),"",OFFSET(TH!E$1,SMALL(Dong6,ROWS($1:201)),))</f>
        <v>41274</v>
      </c>
      <c r="D211" s="377" t="str">
        <f ca="1">IF(ROWS($1:201)&gt;COUNT(Dong6),"",OFFSET(TH!F$1,SMALL(Dong6,ROWS($1:201)),))</f>
        <v>Giấy tấm (144x145)</v>
      </c>
      <c r="E211" s="376">
        <f t="shared" ca="1" si="6"/>
        <v>201</v>
      </c>
      <c r="F211" s="378" t="str">
        <f ca="1">IF(ROWS($1:201)&gt;COUNT(Dong6),"",OFFSET(TH!L$1,SMALL(Dong6,ROWS($1:201)),))</f>
        <v>154</v>
      </c>
      <c r="G211" s="378" t="str">
        <f ca="1">IF(ROWS($1:201)&gt;COUNT(Dong6),"",OFFSET(TH!M$1,SMALL(Dong6,ROWS($1:201)),))</f>
        <v>156</v>
      </c>
      <c r="H211" s="351">
        <f ca="1">IF(ROWS($1:201)&gt;COUNT(Dong6),"",OFFSET(TH!K$1,SMALL(Dong6,ROWS($1:201)),))</f>
        <v>12319000</v>
      </c>
      <c r="I211" s="351">
        <f ca="1">IF(ROWS($1:201)&gt;COUNT(Dong6),"",OFFSET(TH!K$1,SMALL(Dong6,ROWS($1:201)),))</f>
        <v>12319000</v>
      </c>
    </row>
    <row r="212" spans="1:9" ht="21" customHeight="1">
      <c r="A212" s="375">
        <f ca="1">IF(ROWS($1:202)&gt;COUNT(Dong6),"",OFFSET(TH!C$1,SMALL(Dong6,ROWS($1:202)),))</f>
        <v>41274</v>
      </c>
      <c r="B212" s="376" t="str">
        <f ca="1">IF(ROWS($1:202)&gt;COUNT(Dong6),"",OFFSET(TH!D$1,SMALL(Dong6,ROWS($1:202)),))</f>
        <v>XSX</v>
      </c>
      <c r="C212" s="375">
        <f ca="1">IF(ROWS($1:202)&gt;COUNT(Dong6),"",OFFSET(TH!E$1,SMALL(Dong6,ROWS($1:202)),))</f>
        <v>41274</v>
      </c>
      <c r="D212" s="377" t="str">
        <f ca="1">IF(ROWS($1:202)&gt;COUNT(Dong6),"",OFFSET(TH!F$1,SMALL(Dong6,ROWS($1:202)),))</f>
        <v>Giấy tấm 2N +1X (105x159)</v>
      </c>
      <c r="E212" s="376">
        <f t="shared" ca="1" si="6"/>
        <v>202</v>
      </c>
      <c r="F212" s="378" t="str">
        <f ca="1">IF(ROWS($1:202)&gt;COUNT(Dong6),"",OFFSET(TH!L$1,SMALL(Dong6,ROWS($1:202)),))</f>
        <v>154</v>
      </c>
      <c r="G212" s="378" t="str">
        <f ca="1">IF(ROWS($1:202)&gt;COUNT(Dong6),"",OFFSET(TH!M$1,SMALL(Dong6,ROWS($1:202)),))</f>
        <v>156</v>
      </c>
      <c r="H212" s="351">
        <f ca="1">IF(ROWS($1:202)&gt;COUNT(Dong6),"",OFFSET(TH!K$1,SMALL(Dong6,ROWS($1:202)),))</f>
        <v>5615372</v>
      </c>
      <c r="I212" s="351">
        <f ca="1">IF(ROWS($1:202)&gt;COUNT(Dong6),"",OFFSET(TH!K$1,SMALL(Dong6,ROWS($1:202)),))</f>
        <v>5615372</v>
      </c>
    </row>
    <row r="213" spans="1:9" ht="21" customHeight="1">
      <c r="A213" s="375">
        <f ca="1">IF(ROWS($1:203)&gt;COUNT(Dong6),"",OFFSET(TH!C$1,SMALL(Dong6,ROWS($1:203)),))</f>
        <v>41274</v>
      </c>
      <c r="B213" s="376" t="str">
        <f ca="1">IF(ROWS($1:203)&gt;COUNT(Dong6),"",OFFSET(TH!D$1,SMALL(Dong6,ROWS($1:203)),))</f>
        <v>XSX</v>
      </c>
      <c r="C213" s="375">
        <f ca="1">IF(ROWS($1:203)&gt;COUNT(Dong6),"",OFFSET(TH!E$1,SMALL(Dong6,ROWS($1:203)),))</f>
        <v>41274</v>
      </c>
      <c r="D213" s="377" t="str">
        <f ca="1">IF(ROWS($1:203)&gt;COUNT(Dong6),"",OFFSET(TH!F$1,SMALL(Dong6,ROWS($1:203)),))</f>
        <v>Giấy tấm 1N +2X (110x150)</v>
      </c>
      <c r="E213" s="376">
        <f t="shared" ca="1" si="6"/>
        <v>203</v>
      </c>
      <c r="F213" s="378" t="str">
        <f ca="1">IF(ROWS($1:203)&gt;COUNT(Dong6),"",OFFSET(TH!L$1,SMALL(Dong6,ROWS($1:203)),))</f>
        <v>154</v>
      </c>
      <c r="G213" s="378" t="str">
        <f ca="1">IF(ROWS($1:203)&gt;COUNT(Dong6),"",OFFSET(TH!M$1,SMALL(Dong6,ROWS($1:203)),))</f>
        <v>156</v>
      </c>
      <c r="H213" s="351">
        <f ca="1">IF(ROWS($1:203)&gt;COUNT(Dong6),"",OFFSET(TH!K$1,SMALL(Dong6,ROWS($1:203)),))</f>
        <v>1534500</v>
      </c>
      <c r="I213" s="351">
        <f ca="1">IF(ROWS($1:203)&gt;COUNT(Dong6),"",OFFSET(TH!K$1,SMALL(Dong6,ROWS($1:203)),))</f>
        <v>1534500</v>
      </c>
    </row>
    <row r="214" spans="1:9" ht="21" customHeight="1">
      <c r="A214" s="375">
        <f ca="1">IF(ROWS($1:204)&gt;COUNT(Dong6),"",OFFSET(TH!C$1,SMALL(Dong6,ROWS($1:204)),))</f>
        <v>41274</v>
      </c>
      <c r="B214" s="376" t="str">
        <f ca="1">IF(ROWS($1:204)&gt;COUNT(Dong6),"",OFFSET(TH!D$1,SMALL(Dong6,ROWS($1:204)),))</f>
        <v>XSX</v>
      </c>
      <c r="C214" s="375">
        <f ca="1">IF(ROWS($1:204)&gt;COUNT(Dong6),"",OFFSET(TH!E$1,SMALL(Dong6,ROWS($1:204)),))</f>
        <v>41274</v>
      </c>
      <c r="D214" s="377" t="str">
        <f ca="1">IF(ROWS($1:204)&gt;COUNT(Dong6),"",OFFSET(TH!F$1,SMALL(Dong6,ROWS($1:204)),))</f>
        <v>Giấy tấm 1N +2X (150x92)</v>
      </c>
      <c r="E214" s="376">
        <f t="shared" ca="1" si="6"/>
        <v>204</v>
      </c>
      <c r="F214" s="378" t="str">
        <f ca="1">IF(ROWS($1:204)&gt;COUNT(Dong6),"",OFFSET(TH!L$1,SMALL(Dong6,ROWS($1:204)),))</f>
        <v>154</v>
      </c>
      <c r="G214" s="378" t="str">
        <f ca="1">IF(ROWS($1:204)&gt;COUNT(Dong6),"",OFFSET(TH!M$1,SMALL(Dong6,ROWS($1:204)),))</f>
        <v>156</v>
      </c>
      <c r="H214" s="351">
        <f ca="1">IF(ROWS($1:204)&gt;COUNT(Dong6),"",OFFSET(TH!K$1,SMALL(Dong6,ROWS($1:204)),))</f>
        <v>2352900</v>
      </c>
      <c r="I214" s="351">
        <f ca="1">IF(ROWS($1:204)&gt;COUNT(Dong6),"",OFFSET(TH!K$1,SMALL(Dong6,ROWS($1:204)),))</f>
        <v>2352900</v>
      </c>
    </row>
    <row r="215" spans="1:9" ht="21" customHeight="1">
      <c r="A215" s="375">
        <f ca="1">IF(ROWS($1:205)&gt;COUNT(Dong6),"",OFFSET(TH!C$1,SMALL(Dong6,ROWS($1:205)),))</f>
        <v>41274</v>
      </c>
      <c r="B215" s="376" t="str">
        <f ca="1">IF(ROWS($1:205)&gt;COUNT(Dong6),"",OFFSET(TH!D$1,SMALL(Dong6,ROWS($1:205)),))</f>
        <v>XSX</v>
      </c>
      <c r="C215" s="375">
        <f ca="1">IF(ROWS($1:205)&gt;COUNT(Dong6),"",OFFSET(TH!E$1,SMALL(Dong6,ROWS($1:205)),))</f>
        <v>41274</v>
      </c>
      <c r="D215" s="377" t="str">
        <f ca="1">IF(ROWS($1:205)&gt;COUNT(Dong6),"",OFFSET(TH!F$1,SMALL(Dong6,ROWS($1:205)),))</f>
        <v>Giấy tấm 1N +2X (150x92)</v>
      </c>
      <c r="E215" s="376">
        <f t="shared" ca="1" si="6"/>
        <v>205</v>
      </c>
      <c r="F215" s="378" t="str">
        <f ca="1">IF(ROWS($1:205)&gt;COUNT(Dong6),"",OFFSET(TH!L$1,SMALL(Dong6,ROWS($1:205)),))</f>
        <v>154</v>
      </c>
      <c r="G215" s="378" t="str">
        <f ca="1">IF(ROWS($1:205)&gt;COUNT(Dong6),"",OFFSET(TH!M$1,SMALL(Dong6,ROWS($1:205)),))</f>
        <v>156</v>
      </c>
      <c r="H215" s="351">
        <f ca="1">IF(ROWS($1:205)&gt;COUNT(Dong6),"",OFFSET(TH!K$1,SMALL(Dong6,ROWS($1:205)),))</f>
        <v>9625500</v>
      </c>
      <c r="I215" s="351">
        <f ca="1">IF(ROWS($1:205)&gt;COUNT(Dong6),"",OFFSET(TH!K$1,SMALL(Dong6,ROWS($1:205)),))</f>
        <v>9625500</v>
      </c>
    </row>
    <row r="216" spans="1:9" ht="21" customHeight="1">
      <c r="A216" s="375">
        <f ca="1">IF(ROWS($1:206)&gt;COUNT(Dong6),"",OFFSET(TH!C$1,SMALL(Dong6,ROWS($1:206)),))</f>
        <v>41274</v>
      </c>
      <c r="B216" s="376" t="str">
        <f ca="1">IF(ROWS($1:206)&gt;COUNT(Dong6),"",OFFSET(TH!D$1,SMALL(Dong6,ROWS($1:206)),))</f>
        <v>XSX</v>
      </c>
      <c r="C216" s="375">
        <f ca="1">IF(ROWS($1:206)&gt;COUNT(Dong6),"",OFFSET(TH!E$1,SMALL(Dong6,ROWS($1:206)),))</f>
        <v>41274</v>
      </c>
      <c r="D216" s="377" t="str">
        <f ca="1">IF(ROWS($1:206)&gt;COUNT(Dong6),"",OFFSET(TH!F$1,SMALL(Dong6,ROWS($1:206)),))</f>
        <v>Giấy tấm 1N +2X (150x92)</v>
      </c>
      <c r="E216" s="376">
        <f t="shared" ca="1" si="6"/>
        <v>206</v>
      </c>
      <c r="F216" s="378" t="str">
        <f ca="1">IF(ROWS($1:206)&gt;COUNT(Dong6),"",OFFSET(TH!L$1,SMALL(Dong6,ROWS($1:206)),))</f>
        <v>154</v>
      </c>
      <c r="G216" s="378" t="str">
        <f ca="1">IF(ROWS($1:206)&gt;COUNT(Dong6),"",OFFSET(TH!M$1,SMALL(Dong6,ROWS($1:206)),))</f>
        <v>156</v>
      </c>
      <c r="H216" s="351">
        <f ca="1">IF(ROWS($1:206)&gt;COUNT(Dong6),"",OFFSET(TH!K$1,SMALL(Dong6,ROWS($1:206)),))</f>
        <v>2139000</v>
      </c>
      <c r="I216" s="351">
        <f ca="1">IF(ROWS($1:206)&gt;COUNT(Dong6),"",OFFSET(TH!K$1,SMALL(Dong6,ROWS($1:206)),))</f>
        <v>2139000</v>
      </c>
    </row>
    <row r="217" spans="1:9" ht="21" customHeight="1">
      <c r="A217" s="375">
        <f ca="1">IF(ROWS($1:207)&gt;COUNT(Dong6),"",OFFSET(TH!C$1,SMALL(Dong6,ROWS($1:207)),))</f>
        <v>41274</v>
      </c>
      <c r="B217" s="376" t="str">
        <f ca="1">IF(ROWS($1:207)&gt;COUNT(Dong6),"",OFFSET(TH!D$1,SMALL(Dong6,ROWS($1:207)),))</f>
        <v>XSX</v>
      </c>
      <c r="C217" s="375">
        <f ca="1">IF(ROWS($1:207)&gt;COUNT(Dong6),"",OFFSET(TH!E$1,SMALL(Dong6,ROWS($1:207)),))</f>
        <v>41274</v>
      </c>
      <c r="D217" s="377" t="str">
        <f ca="1">IF(ROWS($1:207)&gt;COUNT(Dong6),"",OFFSET(TH!F$1,SMALL(Dong6,ROWS($1:207)),))</f>
        <v>Giấy tấm 1N +2X (115x163)</v>
      </c>
      <c r="E217" s="376">
        <f t="shared" ca="1" si="6"/>
        <v>207</v>
      </c>
      <c r="F217" s="378" t="str">
        <f ca="1">IF(ROWS($1:207)&gt;COUNT(Dong6),"",OFFSET(TH!L$1,SMALL(Dong6,ROWS($1:207)),))</f>
        <v>154</v>
      </c>
      <c r="G217" s="378" t="str">
        <f ca="1">IF(ROWS($1:207)&gt;COUNT(Dong6),"",OFFSET(TH!M$1,SMALL(Dong6,ROWS($1:207)),))</f>
        <v>156</v>
      </c>
      <c r="H217" s="351">
        <f ca="1">IF(ROWS($1:207)&gt;COUNT(Dong6),"",OFFSET(TH!K$1,SMALL(Dong6,ROWS($1:207)),))</f>
        <v>11622000</v>
      </c>
      <c r="I217" s="351">
        <f ca="1">IF(ROWS($1:207)&gt;COUNT(Dong6),"",OFFSET(TH!K$1,SMALL(Dong6,ROWS($1:207)),))</f>
        <v>11622000</v>
      </c>
    </row>
    <row r="218" spans="1:9" ht="21" customHeight="1">
      <c r="A218" s="375">
        <f ca="1">IF(ROWS($1:208)&gt;COUNT(Dong6),"",OFFSET(TH!C$1,SMALL(Dong6,ROWS($1:208)),))</f>
        <v>41274</v>
      </c>
      <c r="B218" s="376" t="str">
        <f ca="1">IF(ROWS($1:208)&gt;COUNT(Dong6),"",OFFSET(TH!D$1,SMALL(Dong6,ROWS($1:208)),))</f>
        <v>XSX</v>
      </c>
      <c r="C218" s="375">
        <f ca="1">IF(ROWS($1:208)&gt;COUNT(Dong6),"",OFFSET(TH!E$1,SMALL(Dong6,ROWS($1:208)),))</f>
        <v>41274</v>
      </c>
      <c r="D218" s="377" t="str">
        <f ca="1">IF(ROWS($1:208)&gt;COUNT(Dong6),"",OFFSET(TH!F$1,SMALL(Dong6,ROWS($1:208)),))</f>
        <v>Giấy tấm 1N +2X (105x162)</v>
      </c>
      <c r="E218" s="376">
        <f t="shared" ca="1" si="6"/>
        <v>208</v>
      </c>
      <c r="F218" s="378" t="str">
        <f ca="1">IF(ROWS($1:208)&gt;COUNT(Dong6),"",OFFSET(TH!L$1,SMALL(Dong6,ROWS($1:208)),))</f>
        <v>154</v>
      </c>
      <c r="G218" s="378" t="str">
        <f ca="1">IF(ROWS($1:208)&gt;COUNT(Dong6),"",OFFSET(TH!M$1,SMALL(Dong6,ROWS($1:208)),))</f>
        <v>156</v>
      </c>
      <c r="H218" s="351">
        <f ca="1">IF(ROWS($1:208)&gt;COUNT(Dong6),"",OFFSET(TH!K$1,SMALL(Dong6,ROWS($1:208)),))</f>
        <v>1845550</v>
      </c>
      <c r="I218" s="351">
        <f ca="1">IF(ROWS($1:208)&gt;COUNT(Dong6),"",OFFSET(TH!K$1,SMALL(Dong6,ROWS($1:208)),))</f>
        <v>1845550</v>
      </c>
    </row>
    <row r="219" spans="1:9" ht="21" customHeight="1">
      <c r="A219" s="375">
        <f ca="1">IF(ROWS($1:209)&gt;COUNT(Dong6),"",OFFSET(TH!C$1,SMALL(Dong6,ROWS($1:209)),))</f>
        <v>41274</v>
      </c>
      <c r="B219" s="376" t="str">
        <f ca="1">IF(ROWS($1:209)&gt;COUNT(Dong6),"",OFFSET(TH!D$1,SMALL(Dong6,ROWS($1:209)),))</f>
        <v>XSX</v>
      </c>
      <c r="C219" s="375">
        <f ca="1">IF(ROWS($1:209)&gt;COUNT(Dong6),"",OFFSET(TH!E$1,SMALL(Dong6,ROWS($1:209)),))</f>
        <v>41274</v>
      </c>
      <c r="D219" s="377" t="str">
        <f ca="1">IF(ROWS($1:209)&gt;COUNT(Dong6),"",OFFSET(TH!F$1,SMALL(Dong6,ROWS($1:209)),))</f>
        <v>Giấy tấm 2N +3X (105x200)</v>
      </c>
      <c r="E219" s="376">
        <f t="shared" ca="1" si="6"/>
        <v>209</v>
      </c>
      <c r="F219" s="378" t="str">
        <f ca="1">IF(ROWS($1:209)&gt;COUNT(Dong6),"",OFFSET(TH!L$1,SMALL(Dong6,ROWS($1:209)),))</f>
        <v>154</v>
      </c>
      <c r="G219" s="378" t="str">
        <f ca="1">IF(ROWS($1:209)&gt;COUNT(Dong6),"",OFFSET(TH!M$1,SMALL(Dong6,ROWS($1:209)),))</f>
        <v>156</v>
      </c>
      <c r="H219" s="351">
        <f ca="1">IF(ROWS($1:209)&gt;COUNT(Dong6),"",OFFSET(TH!K$1,SMALL(Dong6,ROWS($1:209)),))</f>
        <v>4968600</v>
      </c>
      <c r="I219" s="351">
        <f ca="1">IF(ROWS($1:209)&gt;COUNT(Dong6),"",OFFSET(TH!K$1,SMALL(Dong6,ROWS($1:209)),))</f>
        <v>4968600</v>
      </c>
    </row>
    <row r="220" spans="1:9" ht="21" customHeight="1">
      <c r="A220" s="375">
        <f ca="1">IF(ROWS($1:210)&gt;COUNT(Dong6),"",OFFSET(TH!C$1,SMALL(Dong6,ROWS($1:210)),))</f>
        <v>41274</v>
      </c>
      <c r="B220" s="376" t="str">
        <f ca="1">IF(ROWS($1:210)&gt;COUNT(Dong6),"",OFFSET(TH!D$1,SMALL(Dong6,ROWS($1:210)),))</f>
        <v>XSX</v>
      </c>
      <c r="C220" s="375">
        <f ca="1">IF(ROWS($1:210)&gt;COUNT(Dong6),"",OFFSET(TH!E$1,SMALL(Dong6,ROWS($1:210)),))</f>
        <v>41274</v>
      </c>
      <c r="D220" s="377" t="str">
        <f ca="1">IF(ROWS($1:210)&gt;COUNT(Dong6),"",OFFSET(TH!F$1,SMALL(Dong6,ROWS($1:210)),))</f>
        <v>Giấy tấm 1N +2X (105x159)</v>
      </c>
      <c r="E220" s="376">
        <f t="shared" ca="1" si="6"/>
        <v>210</v>
      </c>
      <c r="F220" s="378" t="str">
        <f ca="1">IF(ROWS($1:210)&gt;COUNT(Dong6),"",OFFSET(TH!L$1,SMALL(Dong6,ROWS($1:210)),))</f>
        <v>154</v>
      </c>
      <c r="G220" s="378" t="str">
        <f ca="1">IF(ROWS($1:210)&gt;COUNT(Dong6),"",OFFSET(TH!M$1,SMALL(Dong6,ROWS($1:210)),))</f>
        <v>156</v>
      </c>
      <c r="H220" s="351">
        <f ca="1">IF(ROWS($1:210)&gt;COUNT(Dong6),"",OFFSET(TH!K$1,SMALL(Dong6,ROWS($1:210)),))</f>
        <v>5143000</v>
      </c>
      <c r="I220" s="351">
        <f ca="1">IF(ROWS($1:210)&gt;COUNT(Dong6),"",OFFSET(TH!K$1,SMALL(Dong6,ROWS($1:210)),))</f>
        <v>5143000</v>
      </c>
    </row>
    <row r="221" spans="1:9" ht="21" customHeight="1">
      <c r="A221" s="375">
        <f ca="1">IF(ROWS($1:211)&gt;COUNT(Dong6),"",OFFSET(TH!C$1,SMALL(Dong6,ROWS($1:211)),))</f>
        <v>41274</v>
      </c>
      <c r="B221" s="376" t="str">
        <f ca="1">IF(ROWS($1:211)&gt;COUNT(Dong6),"",OFFSET(TH!D$1,SMALL(Dong6,ROWS($1:211)),))</f>
        <v>NTP</v>
      </c>
      <c r="C221" s="375">
        <f ca="1">IF(ROWS($1:211)&gt;COUNT(Dong6),"",OFFSET(TH!E$1,SMALL(Dong6,ROWS($1:211)),))</f>
        <v>41274</v>
      </c>
      <c r="D221" s="377" t="str">
        <f ca="1">IF(ROWS($1:211)&gt;COUNT(Dong6),"",OFFSET(TH!F$1,SMALL(Dong6,ROWS($1:211)),))</f>
        <v>Tấm lót</v>
      </c>
      <c r="E221" s="376">
        <f t="shared" ca="1" si="6"/>
        <v>211</v>
      </c>
      <c r="F221" s="378" t="str">
        <f ca="1">IF(ROWS($1:211)&gt;COUNT(Dong6),"",OFFSET(TH!L$1,SMALL(Dong6,ROWS($1:211)),))</f>
        <v>156</v>
      </c>
      <c r="G221" s="378" t="str">
        <f ca="1">IF(ROWS($1:211)&gt;COUNT(Dong6),"",OFFSET(TH!M$1,SMALL(Dong6,ROWS($1:211)),))</f>
        <v>154</v>
      </c>
      <c r="H221" s="351">
        <f ca="1">IF(ROWS($1:211)&gt;COUNT(Dong6),"",OFFSET(TH!K$1,SMALL(Dong6,ROWS($1:211)),))</f>
        <v>23117670</v>
      </c>
      <c r="I221" s="351">
        <f ca="1">IF(ROWS($1:211)&gt;COUNT(Dong6),"",OFFSET(TH!K$1,SMALL(Dong6,ROWS($1:211)),))</f>
        <v>23117670</v>
      </c>
    </row>
    <row r="222" spans="1:9" ht="21" customHeight="1">
      <c r="A222" s="375">
        <f ca="1">IF(ROWS($1:212)&gt;COUNT(Dong6),"",OFFSET(TH!C$1,SMALL(Dong6,ROWS($1:212)),))</f>
        <v>41274</v>
      </c>
      <c r="B222" s="376" t="str">
        <f ca="1">IF(ROWS($1:212)&gt;COUNT(Dong6),"",OFFSET(TH!D$1,SMALL(Dong6,ROWS($1:212)),))</f>
        <v>NTP</v>
      </c>
      <c r="C222" s="375">
        <f ca="1">IF(ROWS($1:212)&gt;COUNT(Dong6),"",OFFSET(TH!E$1,SMALL(Dong6,ROWS($1:212)),))</f>
        <v>41274</v>
      </c>
      <c r="D222" s="377" t="str">
        <f ca="1">IF(ROWS($1:212)&gt;COUNT(Dong6),"",OFFSET(TH!F$1,SMALL(Dong6,ROWS($1:212)),))</f>
        <v xml:space="preserve">Thùng carton </v>
      </c>
      <c r="E222" s="376">
        <f t="shared" ca="1" si="6"/>
        <v>212</v>
      </c>
      <c r="F222" s="378" t="str">
        <f ca="1">IF(ROWS($1:212)&gt;COUNT(Dong6),"",OFFSET(TH!L$1,SMALL(Dong6,ROWS($1:212)),))</f>
        <v>156</v>
      </c>
      <c r="G222" s="378" t="str">
        <f ca="1">IF(ROWS($1:212)&gt;COUNT(Dong6),"",OFFSET(TH!M$1,SMALL(Dong6,ROWS($1:212)),))</f>
        <v>154</v>
      </c>
      <c r="H222" s="351">
        <f ca="1">IF(ROWS($1:212)&gt;COUNT(Dong6),"",OFFSET(TH!K$1,SMALL(Dong6,ROWS($1:212)),))</f>
        <v>1182899</v>
      </c>
      <c r="I222" s="351">
        <f ca="1">IF(ROWS($1:212)&gt;COUNT(Dong6),"",OFFSET(TH!K$1,SMALL(Dong6,ROWS($1:212)),))</f>
        <v>1182899</v>
      </c>
    </row>
    <row r="223" spans="1:9" ht="21" customHeight="1">
      <c r="A223" s="375">
        <f ca="1">IF(ROWS($1:213)&gt;COUNT(Dong6),"",OFFSET(TH!C$1,SMALL(Dong6,ROWS($1:213)),))</f>
        <v>41274</v>
      </c>
      <c r="B223" s="376" t="str">
        <f ca="1">IF(ROWS($1:213)&gt;COUNT(Dong6),"",OFFSET(TH!D$1,SMALL(Dong6,ROWS($1:213)),))</f>
        <v>NTP</v>
      </c>
      <c r="C223" s="375">
        <f ca="1">IF(ROWS($1:213)&gt;COUNT(Dong6),"",OFFSET(TH!E$1,SMALL(Dong6,ROWS($1:213)),))</f>
        <v>41274</v>
      </c>
      <c r="D223" s="377" t="str">
        <f ca="1">IF(ROWS($1:213)&gt;COUNT(Dong6),"",OFFSET(TH!F$1,SMALL(Dong6,ROWS($1:213)),))</f>
        <v>Thùng carton (22x22x51,5)</v>
      </c>
      <c r="E223" s="376">
        <f t="shared" ca="1" si="6"/>
        <v>213</v>
      </c>
      <c r="F223" s="378" t="str">
        <f ca="1">IF(ROWS($1:213)&gt;COUNT(Dong6),"",OFFSET(TH!L$1,SMALL(Dong6,ROWS($1:213)),))</f>
        <v>156</v>
      </c>
      <c r="G223" s="378" t="str">
        <f ca="1">IF(ROWS($1:213)&gt;COUNT(Dong6),"",OFFSET(TH!M$1,SMALL(Dong6,ROWS($1:213)),))</f>
        <v>154</v>
      </c>
      <c r="H223" s="351">
        <f ca="1">IF(ROWS($1:213)&gt;COUNT(Dong6),"",OFFSET(TH!K$1,SMALL(Dong6,ROWS($1:213)),))</f>
        <v>16035995</v>
      </c>
      <c r="I223" s="351">
        <f ca="1">IF(ROWS($1:213)&gt;COUNT(Dong6),"",OFFSET(TH!K$1,SMALL(Dong6,ROWS($1:213)),))</f>
        <v>16035995</v>
      </c>
    </row>
    <row r="224" spans="1:9" ht="21" customHeight="1">
      <c r="A224" s="375">
        <f ca="1">IF(ROWS($1:214)&gt;COUNT(Dong6),"",OFFSET(TH!C$1,SMALL(Dong6,ROWS($1:214)),))</f>
        <v>41274</v>
      </c>
      <c r="B224" s="376" t="str">
        <f ca="1">IF(ROWS($1:214)&gt;COUNT(Dong6),"",OFFSET(TH!D$1,SMALL(Dong6,ROWS($1:214)),))</f>
        <v>NTP</v>
      </c>
      <c r="C224" s="375">
        <f ca="1">IF(ROWS($1:214)&gt;COUNT(Dong6),"",OFFSET(TH!E$1,SMALL(Dong6,ROWS($1:214)),))</f>
        <v>41274</v>
      </c>
      <c r="D224" s="377" t="str">
        <f ca="1">IF(ROWS($1:214)&gt;COUNT(Dong6),"",OFFSET(TH!F$1,SMALL(Dong6,ROWS($1:214)),))</f>
        <v>Thùng carton (22x22x52)</v>
      </c>
      <c r="E224" s="376">
        <f t="shared" ca="1" si="6"/>
        <v>214</v>
      </c>
      <c r="F224" s="378" t="str">
        <f ca="1">IF(ROWS($1:214)&gt;COUNT(Dong6),"",OFFSET(TH!L$1,SMALL(Dong6,ROWS($1:214)),))</f>
        <v>156</v>
      </c>
      <c r="G224" s="378" t="str">
        <f ca="1">IF(ROWS($1:214)&gt;COUNT(Dong6),"",OFFSET(TH!M$1,SMALL(Dong6,ROWS($1:214)),))</f>
        <v>154</v>
      </c>
      <c r="H224" s="351">
        <f ca="1">IF(ROWS($1:214)&gt;COUNT(Dong6),"",OFFSET(TH!K$1,SMALL(Dong6,ROWS($1:214)),))</f>
        <v>5096783</v>
      </c>
      <c r="I224" s="351">
        <f ca="1">IF(ROWS($1:214)&gt;COUNT(Dong6),"",OFFSET(TH!K$1,SMALL(Dong6,ROWS($1:214)),))</f>
        <v>5096783</v>
      </c>
    </row>
    <row r="225" spans="1:9" ht="21" customHeight="1">
      <c r="A225" s="375">
        <f ca="1">IF(ROWS($1:215)&gt;COUNT(Dong6),"",OFFSET(TH!C$1,SMALL(Dong6,ROWS($1:215)),))</f>
        <v>41274</v>
      </c>
      <c r="B225" s="376" t="str">
        <f ca="1">IF(ROWS($1:215)&gt;COUNT(Dong6),"",OFFSET(TH!D$1,SMALL(Dong6,ROWS($1:215)),))</f>
        <v>NTP</v>
      </c>
      <c r="C225" s="375">
        <f ca="1">IF(ROWS($1:215)&gt;COUNT(Dong6),"",OFFSET(TH!E$1,SMALL(Dong6,ROWS($1:215)),))</f>
        <v>41274</v>
      </c>
      <c r="D225" s="377" t="str">
        <f ca="1">IF(ROWS($1:215)&gt;COUNT(Dong6),"",OFFSET(TH!F$1,SMALL(Dong6,ROWS($1:215)),))</f>
        <v>Thùng carton (36,5x36,5x63)</v>
      </c>
      <c r="E225" s="376">
        <f t="shared" ca="1" si="6"/>
        <v>215</v>
      </c>
      <c r="F225" s="378" t="str">
        <f ca="1">IF(ROWS($1:215)&gt;COUNT(Dong6),"",OFFSET(TH!L$1,SMALL(Dong6,ROWS($1:215)),))</f>
        <v>156</v>
      </c>
      <c r="G225" s="378" t="str">
        <f ca="1">IF(ROWS($1:215)&gt;COUNT(Dong6),"",OFFSET(TH!M$1,SMALL(Dong6,ROWS($1:215)),))</f>
        <v>154</v>
      </c>
      <c r="H225" s="351">
        <f ca="1">IF(ROWS($1:215)&gt;COUNT(Dong6),"",OFFSET(TH!K$1,SMALL(Dong6,ROWS($1:215)),))</f>
        <v>1362498</v>
      </c>
      <c r="I225" s="351">
        <f ca="1">IF(ROWS($1:215)&gt;COUNT(Dong6),"",OFFSET(TH!K$1,SMALL(Dong6,ROWS($1:215)),))</f>
        <v>1362498</v>
      </c>
    </row>
    <row r="226" spans="1:9" ht="21" customHeight="1">
      <c r="A226" s="375">
        <f ca="1">IF(ROWS($1:216)&gt;COUNT(Dong6),"",OFFSET(TH!C$1,SMALL(Dong6,ROWS($1:216)),))</f>
        <v>41274</v>
      </c>
      <c r="B226" s="376" t="str">
        <f ca="1">IF(ROWS($1:216)&gt;COUNT(Dong6),"",OFFSET(TH!D$1,SMALL(Dong6,ROWS($1:216)),))</f>
        <v>NTP</v>
      </c>
      <c r="C226" s="375">
        <f ca="1">IF(ROWS($1:216)&gt;COUNT(Dong6),"",OFFSET(TH!E$1,SMALL(Dong6,ROWS($1:216)),))</f>
        <v>41274</v>
      </c>
      <c r="D226" s="377" t="str">
        <f ca="1">IF(ROWS($1:216)&gt;COUNT(Dong6),"",OFFSET(TH!F$1,SMALL(Dong6,ROWS($1:216)),))</f>
        <v>Thùng carton (43,5x43,5x75)</v>
      </c>
      <c r="E226" s="376">
        <f t="shared" ca="1" si="6"/>
        <v>216</v>
      </c>
      <c r="F226" s="378" t="str">
        <f ca="1">IF(ROWS($1:216)&gt;COUNT(Dong6),"",OFFSET(TH!L$1,SMALL(Dong6,ROWS($1:216)),))</f>
        <v>156</v>
      </c>
      <c r="G226" s="378" t="str">
        <f ca="1">IF(ROWS($1:216)&gt;COUNT(Dong6),"",OFFSET(TH!M$1,SMALL(Dong6,ROWS($1:216)),))</f>
        <v>154</v>
      </c>
      <c r="H226" s="351">
        <f ca="1">IF(ROWS($1:216)&gt;COUNT(Dong6),"",OFFSET(TH!K$1,SMALL(Dong6,ROWS($1:216)),))</f>
        <v>544999</v>
      </c>
      <c r="I226" s="351">
        <f ca="1">IF(ROWS($1:216)&gt;COUNT(Dong6),"",OFFSET(TH!K$1,SMALL(Dong6,ROWS($1:216)),))</f>
        <v>544999</v>
      </c>
    </row>
    <row r="227" spans="1:9" ht="21" customHeight="1">
      <c r="A227" s="375">
        <f ca="1">IF(ROWS($1:217)&gt;COUNT(Dong6),"",OFFSET(TH!C$1,SMALL(Dong6,ROWS($1:217)),))</f>
        <v>41274</v>
      </c>
      <c r="B227" s="376" t="str">
        <f ca="1">IF(ROWS($1:217)&gt;COUNT(Dong6),"",OFFSET(TH!D$1,SMALL(Dong6,ROWS($1:217)),))</f>
        <v>NTP</v>
      </c>
      <c r="C227" s="375">
        <f ca="1">IF(ROWS($1:217)&gt;COUNT(Dong6),"",OFFSET(TH!E$1,SMALL(Dong6,ROWS($1:217)),))</f>
        <v>41274</v>
      </c>
      <c r="D227" s="377" t="str">
        <f ca="1">IF(ROWS($1:217)&gt;COUNT(Dong6),"",OFFSET(TH!F$1,SMALL(Dong6,ROWS($1:217)),))</f>
        <v>Thùng carton (47,5x47,5x55)</v>
      </c>
      <c r="E227" s="376">
        <f t="shared" ca="1" si="6"/>
        <v>217</v>
      </c>
      <c r="F227" s="378" t="str">
        <f ca="1">IF(ROWS($1:217)&gt;COUNT(Dong6),"",OFFSET(TH!L$1,SMALL(Dong6,ROWS($1:217)),))</f>
        <v>156</v>
      </c>
      <c r="G227" s="378" t="str">
        <f ca="1">IF(ROWS($1:217)&gt;COUNT(Dong6),"",OFFSET(TH!M$1,SMALL(Dong6,ROWS($1:217)),))</f>
        <v>154</v>
      </c>
      <c r="H227" s="351">
        <f ca="1">IF(ROWS($1:217)&gt;COUNT(Dong6),"",OFFSET(TH!K$1,SMALL(Dong6,ROWS($1:217)),))</f>
        <v>2452496</v>
      </c>
      <c r="I227" s="351">
        <f ca="1">IF(ROWS($1:217)&gt;COUNT(Dong6),"",OFFSET(TH!K$1,SMALL(Dong6,ROWS($1:217)),))</f>
        <v>2452496</v>
      </c>
    </row>
    <row r="228" spans="1:9" ht="21" customHeight="1">
      <c r="A228" s="375">
        <f ca="1">IF(ROWS($1:218)&gt;COUNT(Dong6),"",OFFSET(TH!C$1,SMALL(Dong6,ROWS($1:218)),))</f>
        <v>41274</v>
      </c>
      <c r="B228" s="376" t="str">
        <f ca="1">IF(ROWS($1:218)&gt;COUNT(Dong6),"",OFFSET(TH!D$1,SMALL(Dong6,ROWS($1:218)),))</f>
        <v>NTP</v>
      </c>
      <c r="C228" s="375">
        <f ca="1">IF(ROWS($1:218)&gt;COUNT(Dong6),"",OFFSET(TH!E$1,SMALL(Dong6,ROWS($1:218)),))</f>
        <v>41274</v>
      </c>
      <c r="D228" s="377" t="str">
        <f ca="1">IF(ROWS($1:218)&gt;COUNT(Dong6),"",OFFSET(TH!F$1,SMALL(Dong6,ROWS($1:218)),))</f>
        <v>Thùng carton (48x48x55)</v>
      </c>
      <c r="E228" s="376">
        <f t="shared" ca="1" si="6"/>
        <v>218</v>
      </c>
      <c r="F228" s="378" t="str">
        <f ca="1">IF(ROWS($1:218)&gt;COUNT(Dong6),"",OFFSET(TH!L$1,SMALL(Dong6,ROWS($1:218)),))</f>
        <v>156</v>
      </c>
      <c r="G228" s="378" t="str">
        <f ca="1">IF(ROWS($1:218)&gt;COUNT(Dong6),"",OFFSET(TH!M$1,SMALL(Dong6,ROWS($1:218)),))</f>
        <v>154</v>
      </c>
      <c r="H228" s="351">
        <f ca="1">IF(ROWS($1:218)&gt;COUNT(Dong6),"",OFFSET(TH!K$1,SMALL(Dong6,ROWS($1:218)),))</f>
        <v>2452496</v>
      </c>
      <c r="I228" s="351">
        <f ca="1">IF(ROWS($1:218)&gt;COUNT(Dong6),"",OFFSET(TH!K$1,SMALL(Dong6,ROWS($1:218)),))</f>
        <v>2452496</v>
      </c>
    </row>
    <row r="229" spans="1:9" ht="21" customHeight="1">
      <c r="A229" s="375">
        <f ca="1">IF(ROWS($1:219)&gt;COUNT(Dong6),"",OFFSET(TH!C$1,SMALL(Dong6,ROWS($1:219)),))</f>
        <v>41274</v>
      </c>
      <c r="B229" s="376" t="str">
        <f ca="1">IF(ROWS($1:219)&gt;COUNT(Dong6),"",OFFSET(TH!D$1,SMALL(Dong6,ROWS($1:219)),))</f>
        <v>NTP</v>
      </c>
      <c r="C229" s="375">
        <f ca="1">IF(ROWS($1:219)&gt;COUNT(Dong6),"",OFFSET(TH!E$1,SMALL(Dong6,ROWS($1:219)),))</f>
        <v>41274</v>
      </c>
      <c r="D229" s="377" t="str">
        <f ca="1">IF(ROWS($1:219)&gt;COUNT(Dong6),"",OFFSET(TH!F$1,SMALL(Dong6,ROWS($1:219)),))</f>
        <v>Thùng carton (51,5x22,5x22,5)</v>
      </c>
      <c r="E229" s="376">
        <f t="shared" ca="1" si="6"/>
        <v>219</v>
      </c>
      <c r="F229" s="378" t="str">
        <f ca="1">IF(ROWS($1:219)&gt;COUNT(Dong6),"",OFFSET(TH!L$1,SMALL(Dong6,ROWS($1:219)),))</f>
        <v>156</v>
      </c>
      <c r="G229" s="378" t="str">
        <f ca="1">IF(ROWS($1:219)&gt;COUNT(Dong6),"",OFFSET(TH!M$1,SMALL(Dong6,ROWS($1:219)),))</f>
        <v>154</v>
      </c>
      <c r="H229" s="351">
        <f ca="1">IF(ROWS($1:219)&gt;COUNT(Dong6),"",OFFSET(TH!K$1,SMALL(Dong6,ROWS($1:219)),))</f>
        <v>6733649</v>
      </c>
      <c r="I229" s="351">
        <f ca="1">IF(ROWS($1:219)&gt;COUNT(Dong6),"",OFFSET(TH!K$1,SMALL(Dong6,ROWS($1:219)),))</f>
        <v>6733649</v>
      </c>
    </row>
    <row r="230" spans="1:9" ht="21" customHeight="1">
      <c r="A230" s="375">
        <f ca="1">IF(ROWS($1:220)&gt;COUNT(Dong6),"",OFFSET(TH!C$1,SMALL(Dong6,ROWS($1:220)),))</f>
        <v>41274</v>
      </c>
      <c r="B230" s="376" t="str">
        <f ca="1">IF(ROWS($1:220)&gt;COUNT(Dong6),"",OFFSET(TH!D$1,SMALL(Dong6,ROWS($1:220)),))</f>
        <v>NTP</v>
      </c>
      <c r="C230" s="375">
        <f ca="1">IF(ROWS($1:220)&gt;COUNT(Dong6),"",OFFSET(TH!E$1,SMALL(Dong6,ROWS($1:220)),))</f>
        <v>41274</v>
      </c>
      <c r="D230" s="377" t="str">
        <f ca="1">IF(ROWS($1:220)&gt;COUNT(Dong6),"",OFFSET(TH!F$1,SMALL(Dong6,ROWS($1:220)),))</f>
        <v>Thùng carton (51,5x22x32)</v>
      </c>
      <c r="E230" s="376">
        <f t="shared" ca="1" si="6"/>
        <v>220</v>
      </c>
      <c r="F230" s="378" t="str">
        <f ca="1">IF(ROWS($1:220)&gt;COUNT(Dong6),"",OFFSET(TH!L$1,SMALL(Dong6,ROWS($1:220)),))</f>
        <v>156</v>
      </c>
      <c r="G230" s="378" t="str">
        <f ca="1">IF(ROWS($1:220)&gt;COUNT(Dong6),"",OFFSET(TH!M$1,SMALL(Dong6,ROWS($1:220)),))</f>
        <v>154</v>
      </c>
      <c r="H230" s="351">
        <f ca="1">IF(ROWS($1:220)&gt;COUNT(Dong6),"",OFFSET(TH!K$1,SMALL(Dong6,ROWS($1:220)),))</f>
        <v>18456936</v>
      </c>
      <c r="I230" s="351">
        <f ca="1">IF(ROWS($1:220)&gt;COUNT(Dong6),"",OFFSET(TH!K$1,SMALL(Dong6,ROWS($1:220)),))</f>
        <v>18456936</v>
      </c>
    </row>
    <row r="231" spans="1:9" ht="21" customHeight="1">
      <c r="A231" s="375">
        <f ca="1">IF(ROWS($1:221)&gt;COUNT(Dong6),"",OFFSET(TH!C$1,SMALL(Dong6,ROWS($1:221)),))</f>
        <v>41274</v>
      </c>
      <c r="B231" s="376" t="str">
        <f ca="1">IF(ROWS($1:221)&gt;COUNT(Dong6),"",OFFSET(TH!D$1,SMALL(Dong6,ROWS($1:221)),))</f>
        <v>NTP</v>
      </c>
      <c r="C231" s="375">
        <f ca="1">IF(ROWS($1:221)&gt;COUNT(Dong6),"",OFFSET(TH!E$1,SMALL(Dong6,ROWS($1:221)),))</f>
        <v>41274</v>
      </c>
      <c r="D231" s="377" t="str">
        <f ca="1">IF(ROWS($1:221)&gt;COUNT(Dong6),"",OFFSET(TH!F$1,SMALL(Dong6,ROWS($1:221)),))</f>
        <v>Thùng carton (51,5x24,5x24,5)</v>
      </c>
      <c r="E231" s="376">
        <f t="shared" ca="1" si="6"/>
        <v>221</v>
      </c>
      <c r="F231" s="378" t="str">
        <f ca="1">IF(ROWS($1:221)&gt;COUNT(Dong6),"",OFFSET(TH!L$1,SMALL(Dong6,ROWS($1:221)),))</f>
        <v>156</v>
      </c>
      <c r="G231" s="378" t="str">
        <f ca="1">IF(ROWS($1:221)&gt;COUNT(Dong6),"",OFFSET(TH!M$1,SMALL(Dong6,ROWS($1:221)),))</f>
        <v>154</v>
      </c>
      <c r="H231" s="351">
        <f ca="1">IF(ROWS($1:221)&gt;COUNT(Dong6),"",OFFSET(TH!K$1,SMALL(Dong6,ROWS($1:221)),))</f>
        <v>17113800</v>
      </c>
      <c r="I231" s="351">
        <f ca="1">IF(ROWS($1:221)&gt;COUNT(Dong6),"",OFFSET(TH!K$1,SMALL(Dong6,ROWS($1:221)),))</f>
        <v>17113800</v>
      </c>
    </row>
    <row r="232" spans="1:9" ht="21" customHeight="1">
      <c r="A232" s="375">
        <f ca="1">IF(ROWS($1:222)&gt;COUNT(Dong6),"",OFFSET(TH!C$1,SMALL(Dong6,ROWS($1:222)),))</f>
        <v>41274</v>
      </c>
      <c r="B232" s="376" t="str">
        <f ca="1">IF(ROWS($1:222)&gt;COUNT(Dong6),"",OFFSET(TH!D$1,SMALL(Dong6,ROWS($1:222)),))</f>
        <v>NTP</v>
      </c>
      <c r="C232" s="375">
        <f ca="1">IF(ROWS($1:222)&gt;COUNT(Dong6),"",OFFSET(TH!E$1,SMALL(Dong6,ROWS($1:222)),))</f>
        <v>41274</v>
      </c>
      <c r="D232" s="377" t="str">
        <f ca="1">IF(ROWS($1:222)&gt;COUNT(Dong6),"",OFFSET(TH!F$1,SMALL(Dong6,ROWS($1:222)),))</f>
        <v>Thùng carton (51,5x25,5x25,5)</v>
      </c>
      <c r="E232" s="376">
        <f t="shared" ca="1" si="6"/>
        <v>222</v>
      </c>
      <c r="F232" s="378" t="str">
        <f ca="1">IF(ROWS($1:222)&gt;COUNT(Dong6),"",OFFSET(TH!L$1,SMALL(Dong6,ROWS($1:222)),))</f>
        <v>156</v>
      </c>
      <c r="G232" s="378" t="str">
        <f ca="1">IF(ROWS($1:222)&gt;COUNT(Dong6),"",OFFSET(TH!M$1,SMALL(Dong6,ROWS($1:222)),))</f>
        <v>154</v>
      </c>
      <c r="H232" s="351">
        <f ca="1">IF(ROWS($1:222)&gt;COUNT(Dong6),"",OFFSET(TH!K$1,SMALL(Dong6,ROWS($1:222)),))</f>
        <v>27001979</v>
      </c>
      <c r="I232" s="351">
        <f ca="1">IF(ROWS($1:222)&gt;COUNT(Dong6),"",OFFSET(TH!K$1,SMALL(Dong6,ROWS($1:222)),))</f>
        <v>27001979</v>
      </c>
    </row>
    <row r="233" spans="1:9" ht="21" customHeight="1">
      <c r="A233" s="375">
        <f ca="1">IF(ROWS($1:223)&gt;COUNT(Dong6),"",OFFSET(TH!C$1,SMALL(Dong6,ROWS($1:223)),))</f>
        <v>41274</v>
      </c>
      <c r="B233" s="376" t="str">
        <f ca="1">IF(ROWS($1:223)&gt;COUNT(Dong6),"",OFFSET(TH!D$1,SMALL(Dong6,ROWS($1:223)),))</f>
        <v>NTP</v>
      </c>
      <c r="C233" s="375">
        <f ca="1">IF(ROWS($1:223)&gt;COUNT(Dong6),"",OFFSET(TH!E$1,SMALL(Dong6,ROWS($1:223)),))</f>
        <v>41274</v>
      </c>
      <c r="D233" s="377" t="str">
        <f ca="1">IF(ROWS($1:223)&gt;COUNT(Dong6),"",OFFSET(TH!F$1,SMALL(Dong6,ROWS($1:223)),))</f>
        <v>Thùng carton (51,5x26x26)</v>
      </c>
      <c r="E233" s="376">
        <f t="shared" ca="1" si="6"/>
        <v>223</v>
      </c>
      <c r="F233" s="378" t="str">
        <f ca="1">IF(ROWS($1:223)&gt;COUNT(Dong6),"",OFFSET(TH!L$1,SMALL(Dong6,ROWS($1:223)),))</f>
        <v>156</v>
      </c>
      <c r="G233" s="378" t="str">
        <f ca="1">IF(ROWS($1:223)&gt;COUNT(Dong6),"",OFFSET(TH!M$1,SMALL(Dong6,ROWS($1:223)),))</f>
        <v>154</v>
      </c>
      <c r="H233" s="351">
        <f ca="1">IF(ROWS($1:223)&gt;COUNT(Dong6),"",OFFSET(TH!K$1,SMALL(Dong6,ROWS($1:223)),))</f>
        <v>7035463</v>
      </c>
      <c r="I233" s="351">
        <f ca="1">IF(ROWS($1:223)&gt;COUNT(Dong6),"",OFFSET(TH!K$1,SMALL(Dong6,ROWS($1:223)),))</f>
        <v>7035463</v>
      </c>
    </row>
    <row r="234" spans="1:9" ht="21" customHeight="1">
      <c r="A234" s="375">
        <f ca="1">IF(ROWS($1:224)&gt;COUNT(Dong6),"",OFFSET(TH!C$1,SMALL(Dong6,ROWS($1:224)),))</f>
        <v>41274</v>
      </c>
      <c r="B234" s="376" t="str">
        <f ca="1">IF(ROWS($1:224)&gt;COUNT(Dong6),"",OFFSET(TH!D$1,SMALL(Dong6,ROWS($1:224)),))</f>
        <v>NTP</v>
      </c>
      <c r="C234" s="375">
        <f ca="1">IF(ROWS($1:224)&gt;COUNT(Dong6),"",OFFSET(TH!E$1,SMALL(Dong6,ROWS($1:224)),))</f>
        <v>41274</v>
      </c>
      <c r="D234" s="377" t="str">
        <f ca="1">IF(ROWS($1:224)&gt;COUNT(Dong6),"",OFFSET(TH!F$1,SMALL(Dong6,ROWS($1:224)),))</f>
        <v>Thùng carton (51,5x28x28)</v>
      </c>
      <c r="E234" s="376">
        <f t="shared" ca="1" si="6"/>
        <v>224</v>
      </c>
      <c r="F234" s="378" t="str">
        <f ca="1">IF(ROWS($1:224)&gt;COUNT(Dong6),"",OFFSET(TH!L$1,SMALL(Dong6,ROWS($1:224)),))</f>
        <v>156</v>
      </c>
      <c r="G234" s="378" t="str">
        <f ca="1">IF(ROWS($1:224)&gt;COUNT(Dong6),"",OFFSET(TH!M$1,SMALL(Dong6,ROWS($1:224)),))</f>
        <v>154</v>
      </c>
      <c r="H234" s="351">
        <f ca="1">IF(ROWS($1:224)&gt;COUNT(Dong6),"",OFFSET(TH!K$1,SMALL(Dong6,ROWS($1:224)),))</f>
        <v>18254976</v>
      </c>
      <c r="I234" s="351">
        <f ca="1">IF(ROWS($1:224)&gt;COUNT(Dong6),"",OFFSET(TH!K$1,SMALL(Dong6,ROWS($1:224)),))</f>
        <v>18254976</v>
      </c>
    </row>
    <row r="235" spans="1:9" ht="21" customHeight="1">
      <c r="A235" s="375">
        <f ca="1">IF(ROWS($1:225)&gt;COUNT(Dong6),"",OFFSET(TH!C$1,SMALL(Dong6,ROWS($1:225)),))</f>
        <v>41274</v>
      </c>
      <c r="B235" s="376" t="str">
        <f ca="1">IF(ROWS($1:225)&gt;COUNT(Dong6),"",OFFSET(TH!D$1,SMALL(Dong6,ROWS($1:225)),))</f>
        <v>NTP</v>
      </c>
      <c r="C235" s="375">
        <f ca="1">IF(ROWS($1:225)&gt;COUNT(Dong6),"",OFFSET(TH!E$1,SMALL(Dong6,ROWS($1:225)),))</f>
        <v>41274</v>
      </c>
      <c r="D235" s="377" t="str">
        <f ca="1">IF(ROWS($1:225)&gt;COUNT(Dong6),"",OFFSET(TH!F$1,SMALL(Dong6,ROWS($1:225)),))</f>
        <v>Thùng carton (51,5x34x24)</v>
      </c>
      <c r="E235" s="376">
        <f t="shared" ca="1" si="6"/>
        <v>225</v>
      </c>
      <c r="F235" s="378" t="str">
        <f ca="1">IF(ROWS($1:225)&gt;COUNT(Dong6),"",OFFSET(TH!L$1,SMALL(Dong6,ROWS($1:225)),))</f>
        <v>156</v>
      </c>
      <c r="G235" s="378" t="str">
        <f ca="1">IF(ROWS($1:225)&gt;COUNT(Dong6),"",OFFSET(TH!M$1,SMALL(Dong6,ROWS($1:225)),))</f>
        <v>154</v>
      </c>
      <c r="H235" s="351">
        <f ca="1">IF(ROWS($1:225)&gt;COUNT(Dong6),"",OFFSET(TH!K$1,SMALL(Dong6,ROWS($1:225)),))</f>
        <v>6701979</v>
      </c>
      <c r="I235" s="351">
        <f ca="1">IF(ROWS($1:225)&gt;COUNT(Dong6),"",OFFSET(TH!K$1,SMALL(Dong6,ROWS($1:225)),))</f>
        <v>6701979</v>
      </c>
    </row>
    <row r="236" spans="1:9" ht="21" customHeight="1">
      <c r="A236" s="375">
        <f ca="1">IF(ROWS($1:226)&gt;COUNT(Dong6),"",OFFSET(TH!C$1,SMALL(Dong6,ROWS($1:226)),))</f>
        <v>41274</v>
      </c>
      <c r="B236" s="376" t="str">
        <f ca="1">IF(ROWS($1:226)&gt;COUNT(Dong6),"",OFFSET(TH!D$1,SMALL(Dong6,ROWS($1:226)),))</f>
        <v>NTP</v>
      </c>
      <c r="C236" s="375">
        <f ca="1">IF(ROWS($1:226)&gt;COUNT(Dong6),"",OFFSET(TH!E$1,SMALL(Dong6,ROWS($1:226)),))</f>
        <v>41274</v>
      </c>
      <c r="D236" s="377" t="str">
        <f ca="1">IF(ROWS($1:226)&gt;COUNT(Dong6),"",OFFSET(TH!F$1,SMALL(Dong6,ROWS($1:226)),))</f>
        <v>Thùng carton (51x51x31,5)</v>
      </c>
      <c r="E236" s="376">
        <f t="shared" ca="1" si="6"/>
        <v>226</v>
      </c>
      <c r="F236" s="378" t="str">
        <f ca="1">IF(ROWS($1:226)&gt;COUNT(Dong6),"",OFFSET(TH!L$1,SMALL(Dong6,ROWS($1:226)),))</f>
        <v>156</v>
      </c>
      <c r="G236" s="378" t="str">
        <f ca="1">IF(ROWS($1:226)&gt;COUNT(Dong6),"",OFFSET(TH!M$1,SMALL(Dong6,ROWS($1:226)),))</f>
        <v>154</v>
      </c>
      <c r="H236" s="351">
        <f ca="1">IF(ROWS($1:226)&gt;COUNT(Dong6),"",OFFSET(TH!K$1,SMALL(Dong6,ROWS($1:226)),))</f>
        <v>12923979</v>
      </c>
      <c r="I236" s="351">
        <f ca="1">IF(ROWS($1:226)&gt;COUNT(Dong6),"",OFFSET(TH!K$1,SMALL(Dong6,ROWS($1:226)),))</f>
        <v>12923979</v>
      </c>
    </row>
    <row r="237" spans="1:9" ht="21" customHeight="1">
      <c r="A237" s="375">
        <f ca="1">IF(ROWS($1:227)&gt;COUNT(Dong6),"",OFFSET(TH!C$1,SMALL(Dong6,ROWS($1:227)),))</f>
        <v>41274</v>
      </c>
      <c r="B237" s="376" t="str">
        <f ca="1">IF(ROWS($1:227)&gt;COUNT(Dong6),"",OFFSET(TH!D$1,SMALL(Dong6,ROWS($1:227)),))</f>
        <v>NTP</v>
      </c>
      <c r="C237" s="375">
        <f ca="1">IF(ROWS($1:227)&gt;COUNT(Dong6),"",OFFSET(TH!E$1,SMALL(Dong6,ROWS($1:227)),))</f>
        <v>41274</v>
      </c>
      <c r="D237" s="377" t="str">
        <f ca="1">IF(ROWS($1:227)&gt;COUNT(Dong6),"",OFFSET(TH!F$1,SMALL(Dong6,ROWS($1:227)),))</f>
        <v>Thùng carton (52,5x25x25)</v>
      </c>
      <c r="E237" s="376">
        <f t="shared" ca="1" si="6"/>
        <v>227</v>
      </c>
      <c r="F237" s="378" t="str">
        <f ca="1">IF(ROWS($1:227)&gt;COUNT(Dong6),"",OFFSET(TH!L$1,SMALL(Dong6,ROWS($1:227)),))</f>
        <v>156</v>
      </c>
      <c r="G237" s="378" t="str">
        <f ca="1">IF(ROWS($1:227)&gt;COUNT(Dong6),"",OFFSET(TH!M$1,SMALL(Dong6,ROWS($1:227)),))</f>
        <v>154</v>
      </c>
      <c r="H237" s="351">
        <f ca="1">IF(ROWS($1:227)&gt;COUNT(Dong6),"",OFFSET(TH!K$1,SMALL(Dong6,ROWS($1:227)),))</f>
        <v>6220351</v>
      </c>
      <c r="I237" s="351">
        <f ca="1">IF(ROWS($1:227)&gt;COUNT(Dong6),"",OFFSET(TH!K$1,SMALL(Dong6,ROWS($1:227)),))</f>
        <v>6220351</v>
      </c>
    </row>
    <row r="238" spans="1:9" ht="21" customHeight="1">
      <c r="A238" s="375">
        <f ca="1">IF(ROWS($1:228)&gt;COUNT(Dong6),"",OFFSET(TH!C$1,SMALL(Dong6,ROWS($1:228)),))</f>
        <v>41274</v>
      </c>
      <c r="B238" s="376" t="str">
        <f ca="1">IF(ROWS($1:228)&gt;COUNT(Dong6),"",OFFSET(TH!D$1,SMALL(Dong6,ROWS($1:228)),))</f>
        <v>NTP</v>
      </c>
      <c r="C238" s="375">
        <f ca="1">IF(ROWS($1:228)&gt;COUNT(Dong6),"",OFFSET(TH!E$1,SMALL(Dong6,ROWS($1:228)),))</f>
        <v>41274</v>
      </c>
      <c r="D238" s="377" t="str">
        <f ca="1">IF(ROWS($1:228)&gt;COUNT(Dong6),"",OFFSET(TH!F$1,SMALL(Dong6,ROWS($1:228)),))</f>
        <v>Thùng carton (52x21x31,5)</v>
      </c>
      <c r="E238" s="376">
        <f t="shared" ca="1" si="6"/>
        <v>228</v>
      </c>
      <c r="F238" s="378" t="str">
        <f ca="1">IF(ROWS($1:228)&gt;COUNT(Dong6),"",OFFSET(TH!L$1,SMALL(Dong6,ROWS($1:228)),))</f>
        <v>156</v>
      </c>
      <c r="G238" s="378" t="str">
        <f ca="1">IF(ROWS($1:228)&gt;COUNT(Dong6),"",OFFSET(TH!M$1,SMALL(Dong6,ROWS($1:228)),))</f>
        <v>154</v>
      </c>
      <c r="H238" s="351">
        <f ca="1">IF(ROWS($1:228)&gt;COUNT(Dong6),"",OFFSET(TH!K$1,SMALL(Dong6,ROWS($1:228)),))</f>
        <v>1715994</v>
      </c>
      <c r="I238" s="351">
        <f ca="1">IF(ROWS($1:228)&gt;COUNT(Dong6),"",OFFSET(TH!K$1,SMALL(Dong6,ROWS($1:228)),))</f>
        <v>1715994</v>
      </c>
    </row>
    <row r="239" spans="1:9" ht="21" customHeight="1">
      <c r="A239" s="375">
        <f ca="1">IF(ROWS($1:229)&gt;COUNT(Dong6),"",OFFSET(TH!C$1,SMALL(Dong6,ROWS($1:229)),))</f>
        <v>41274</v>
      </c>
      <c r="B239" s="376" t="str">
        <f ca="1">IF(ROWS($1:229)&gt;COUNT(Dong6),"",OFFSET(TH!D$1,SMALL(Dong6,ROWS($1:229)),))</f>
        <v>NTP</v>
      </c>
      <c r="C239" s="375">
        <f ca="1">IF(ROWS($1:229)&gt;COUNT(Dong6),"",OFFSET(TH!E$1,SMALL(Dong6,ROWS($1:229)),))</f>
        <v>41274</v>
      </c>
      <c r="D239" s="377" t="str">
        <f ca="1">IF(ROWS($1:229)&gt;COUNT(Dong6),"",OFFSET(TH!F$1,SMALL(Dong6,ROWS($1:229)),))</f>
        <v>Thùng carton (52x24,5x24,5)</v>
      </c>
      <c r="E239" s="376">
        <f t="shared" ca="1" si="6"/>
        <v>229</v>
      </c>
      <c r="F239" s="378" t="str">
        <f ca="1">IF(ROWS($1:229)&gt;COUNT(Dong6),"",OFFSET(TH!L$1,SMALL(Dong6,ROWS($1:229)),))</f>
        <v>156</v>
      </c>
      <c r="G239" s="378" t="str">
        <f ca="1">IF(ROWS($1:229)&gt;COUNT(Dong6),"",OFFSET(TH!M$1,SMALL(Dong6,ROWS($1:229)),))</f>
        <v>154</v>
      </c>
      <c r="H239" s="351">
        <f ca="1">IF(ROWS($1:229)&gt;COUNT(Dong6),"",OFFSET(TH!K$1,SMALL(Dong6,ROWS($1:229)),))</f>
        <v>2685638</v>
      </c>
      <c r="I239" s="351">
        <f ca="1">IF(ROWS($1:229)&gt;COUNT(Dong6),"",OFFSET(TH!K$1,SMALL(Dong6,ROWS($1:229)),))</f>
        <v>2685638</v>
      </c>
    </row>
    <row r="240" spans="1:9" ht="21" customHeight="1">
      <c r="A240" s="375">
        <f ca="1">IF(ROWS($1:230)&gt;COUNT(Dong6),"",OFFSET(TH!C$1,SMALL(Dong6,ROWS($1:230)),))</f>
        <v>41274</v>
      </c>
      <c r="B240" s="376" t="str">
        <f ca="1">IF(ROWS($1:230)&gt;COUNT(Dong6),"",OFFSET(TH!D$1,SMALL(Dong6,ROWS($1:230)),))</f>
        <v>NTP</v>
      </c>
      <c r="C240" s="375">
        <f ca="1">IF(ROWS($1:230)&gt;COUNT(Dong6),"",OFFSET(TH!E$1,SMALL(Dong6,ROWS($1:230)),))</f>
        <v>41274</v>
      </c>
      <c r="D240" s="377" t="str">
        <f ca="1">IF(ROWS($1:230)&gt;COUNT(Dong6),"",OFFSET(TH!F$1,SMALL(Dong6,ROWS($1:230)),))</f>
        <v>Thùng carton (52x27x27)</v>
      </c>
      <c r="E240" s="376">
        <f t="shared" ca="1" si="6"/>
        <v>230</v>
      </c>
      <c r="F240" s="378" t="str">
        <f ca="1">IF(ROWS($1:230)&gt;COUNT(Dong6),"",OFFSET(TH!L$1,SMALL(Dong6,ROWS($1:230)),))</f>
        <v>156</v>
      </c>
      <c r="G240" s="378" t="str">
        <f ca="1">IF(ROWS($1:230)&gt;COUNT(Dong6),"",OFFSET(TH!M$1,SMALL(Dong6,ROWS($1:230)),))</f>
        <v>154</v>
      </c>
      <c r="H240" s="351">
        <f ca="1">IF(ROWS($1:230)&gt;COUNT(Dong6),"",OFFSET(TH!K$1,SMALL(Dong6,ROWS($1:230)),))</f>
        <v>10986702</v>
      </c>
      <c r="I240" s="351">
        <f ca="1">IF(ROWS($1:230)&gt;COUNT(Dong6),"",OFFSET(TH!K$1,SMALL(Dong6,ROWS($1:230)),))</f>
        <v>10986702</v>
      </c>
    </row>
    <row r="241" spans="1:9" ht="21" customHeight="1">
      <c r="A241" s="375">
        <f ca="1">IF(ROWS($1:231)&gt;COUNT(Dong6),"",OFFSET(TH!C$1,SMALL(Dong6,ROWS($1:231)),))</f>
        <v>41274</v>
      </c>
      <c r="B241" s="376" t="str">
        <f ca="1">IF(ROWS($1:231)&gt;COUNT(Dong6),"",OFFSET(TH!D$1,SMALL(Dong6,ROWS($1:231)),))</f>
        <v>NTP</v>
      </c>
      <c r="C241" s="375">
        <f ca="1">IF(ROWS($1:231)&gt;COUNT(Dong6),"",OFFSET(TH!E$1,SMALL(Dong6,ROWS($1:231)),))</f>
        <v>41274</v>
      </c>
      <c r="D241" s="377" t="str">
        <f ca="1">IF(ROWS($1:231)&gt;COUNT(Dong6),"",OFFSET(TH!F$1,SMALL(Dong6,ROWS($1:231)),))</f>
        <v>Thùng carton (52x28x28)</v>
      </c>
      <c r="E241" s="376">
        <f t="shared" ca="1" si="6"/>
        <v>231</v>
      </c>
      <c r="F241" s="378" t="str">
        <f ca="1">IF(ROWS($1:231)&gt;COUNT(Dong6),"",OFFSET(TH!L$1,SMALL(Dong6,ROWS($1:231)),))</f>
        <v>156</v>
      </c>
      <c r="G241" s="378" t="str">
        <f ca="1">IF(ROWS($1:231)&gt;COUNT(Dong6),"",OFFSET(TH!M$1,SMALL(Dong6,ROWS($1:231)),))</f>
        <v>154</v>
      </c>
      <c r="H241" s="351">
        <f ca="1">IF(ROWS($1:231)&gt;COUNT(Dong6),"",OFFSET(TH!K$1,SMALL(Dong6,ROWS($1:231)),))</f>
        <v>2441489</v>
      </c>
      <c r="I241" s="351">
        <f ca="1">IF(ROWS($1:231)&gt;COUNT(Dong6),"",OFFSET(TH!K$1,SMALL(Dong6,ROWS($1:231)),))</f>
        <v>2441489</v>
      </c>
    </row>
    <row r="242" spans="1:9" ht="21" customHeight="1">
      <c r="A242" s="375">
        <f ca="1">IF(ROWS($1:232)&gt;COUNT(Dong6),"",OFFSET(TH!C$1,SMALL(Dong6,ROWS($1:232)),))</f>
        <v>41274</v>
      </c>
      <c r="B242" s="376" t="str">
        <f ca="1">IF(ROWS($1:232)&gt;COUNT(Dong6),"",OFFSET(TH!D$1,SMALL(Dong6,ROWS($1:232)),))</f>
        <v>NTP</v>
      </c>
      <c r="C242" s="375">
        <f ca="1">IF(ROWS($1:232)&gt;COUNT(Dong6),"",OFFSET(TH!E$1,SMALL(Dong6,ROWS($1:232)),))</f>
        <v>41274</v>
      </c>
      <c r="D242" s="377" t="str">
        <f ca="1">IF(ROWS($1:232)&gt;COUNT(Dong6),"",OFFSET(TH!F$1,SMALL(Dong6,ROWS($1:232)),))</f>
        <v>Thùng carton (52x32,5x21)</v>
      </c>
      <c r="E242" s="376">
        <f t="shared" ca="1" si="6"/>
        <v>232</v>
      </c>
      <c r="F242" s="378" t="str">
        <f ca="1">IF(ROWS($1:232)&gt;COUNT(Dong6),"",OFFSET(TH!L$1,SMALL(Dong6,ROWS($1:232)),))</f>
        <v>156</v>
      </c>
      <c r="G242" s="378" t="str">
        <f ca="1">IF(ROWS($1:232)&gt;COUNT(Dong6),"",OFFSET(TH!M$1,SMALL(Dong6,ROWS($1:232)),))</f>
        <v>154</v>
      </c>
      <c r="H242" s="351">
        <f ca="1">IF(ROWS($1:232)&gt;COUNT(Dong6),"",OFFSET(TH!K$1,SMALL(Dong6,ROWS($1:232)),))</f>
        <v>12831958</v>
      </c>
      <c r="I242" s="351">
        <f ca="1">IF(ROWS($1:232)&gt;COUNT(Dong6),"",OFFSET(TH!K$1,SMALL(Dong6,ROWS($1:232)),))</f>
        <v>12831958</v>
      </c>
    </row>
    <row r="243" spans="1:9" ht="21" customHeight="1">
      <c r="A243" s="375">
        <f ca="1">IF(ROWS($1:233)&gt;COUNT(Dong6),"",OFFSET(TH!C$1,SMALL(Dong6,ROWS($1:233)),))</f>
        <v>41274</v>
      </c>
      <c r="B243" s="376" t="str">
        <f ca="1">IF(ROWS($1:233)&gt;COUNT(Dong6),"",OFFSET(TH!D$1,SMALL(Dong6,ROWS($1:233)),))</f>
        <v>NTP</v>
      </c>
      <c r="C243" s="375">
        <f ca="1">IF(ROWS($1:233)&gt;COUNT(Dong6),"",OFFSET(TH!E$1,SMALL(Dong6,ROWS($1:233)),))</f>
        <v>41274</v>
      </c>
      <c r="D243" s="377" t="str">
        <f ca="1">IF(ROWS($1:233)&gt;COUNT(Dong6),"",OFFSET(TH!F$1,SMALL(Dong6,ROWS($1:233)),))</f>
        <v>Thùng carton (54x25x25)</v>
      </c>
      <c r="E243" s="376">
        <f t="shared" ca="1" si="6"/>
        <v>233</v>
      </c>
      <c r="F243" s="378" t="str">
        <f ca="1">IF(ROWS($1:233)&gt;COUNT(Dong6),"",OFFSET(TH!L$1,SMALL(Dong6,ROWS($1:233)),))</f>
        <v>156</v>
      </c>
      <c r="G243" s="378" t="str">
        <f ca="1">IF(ROWS($1:233)&gt;COUNT(Dong6),"",OFFSET(TH!M$1,SMALL(Dong6,ROWS($1:233)),))</f>
        <v>154</v>
      </c>
      <c r="H243" s="351">
        <f ca="1">IF(ROWS($1:233)&gt;COUNT(Dong6),"",OFFSET(TH!K$1,SMALL(Dong6,ROWS($1:233)),))</f>
        <v>2057293</v>
      </c>
      <c r="I243" s="351">
        <f ca="1">IF(ROWS($1:233)&gt;COUNT(Dong6),"",OFFSET(TH!K$1,SMALL(Dong6,ROWS($1:233)),))</f>
        <v>2057293</v>
      </c>
    </row>
    <row r="244" spans="1:9" ht="21" customHeight="1">
      <c r="A244" s="375">
        <f ca="1">IF(ROWS($1:234)&gt;COUNT(Dong6),"",OFFSET(TH!C$1,SMALL(Dong6,ROWS($1:234)),))</f>
        <v>41274</v>
      </c>
      <c r="B244" s="376" t="str">
        <f ca="1">IF(ROWS($1:234)&gt;COUNT(Dong6),"",OFFSET(TH!D$1,SMALL(Dong6,ROWS($1:234)),))</f>
        <v>NTP</v>
      </c>
      <c r="C244" s="375">
        <f ca="1">IF(ROWS($1:234)&gt;COUNT(Dong6),"",OFFSET(TH!E$1,SMALL(Dong6,ROWS($1:234)),))</f>
        <v>41274</v>
      </c>
      <c r="D244" s="377" t="str">
        <f ca="1">IF(ROWS($1:234)&gt;COUNT(Dong6),"",OFFSET(TH!F$1,SMALL(Dong6,ROWS($1:234)),))</f>
        <v>Thùng carton (58,5x58,5x30)</v>
      </c>
      <c r="E244" s="376">
        <f t="shared" ca="1" si="6"/>
        <v>234</v>
      </c>
      <c r="F244" s="378" t="str">
        <f ca="1">IF(ROWS($1:234)&gt;COUNT(Dong6),"",OFFSET(TH!L$1,SMALL(Dong6,ROWS($1:234)),))</f>
        <v>156</v>
      </c>
      <c r="G244" s="378" t="str">
        <f ca="1">IF(ROWS($1:234)&gt;COUNT(Dong6),"",OFFSET(TH!M$1,SMALL(Dong6,ROWS($1:234)),))</f>
        <v>154</v>
      </c>
      <c r="H244" s="351">
        <f ca="1">IF(ROWS($1:234)&gt;COUNT(Dong6),"",OFFSET(TH!K$1,SMALL(Dong6,ROWS($1:234)),))</f>
        <v>5125895</v>
      </c>
      <c r="I244" s="351">
        <f ca="1">IF(ROWS($1:234)&gt;COUNT(Dong6),"",OFFSET(TH!K$1,SMALL(Dong6,ROWS($1:234)),))</f>
        <v>5125895</v>
      </c>
    </row>
    <row r="245" spans="1:9" ht="21" customHeight="1">
      <c r="A245" s="375">
        <f ca="1">IF(ROWS($1:235)&gt;COUNT(Dong6),"",OFFSET(TH!C$1,SMALL(Dong6,ROWS($1:235)),))</f>
        <v>41274</v>
      </c>
      <c r="B245" s="376" t="str">
        <f ca="1">IF(ROWS($1:235)&gt;COUNT(Dong6),"",OFFSET(TH!D$1,SMALL(Dong6,ROWS($1:235)),))</f>
        <v>NTP</v>
      </c>
      <c r="C245" s="375">
        <f ca="1">IF(ROWS($1:235)&gt;COUNT(Dong6),"",OFFSET(TH!E$1,SMALL(Dong6,ROWS($1:235)),))</f>
        <v>41274</v>
      </c>
      <c r="D245" s="377" t="str">
        <f ca="1">IF(ROWS($1:235)&gt;COUNT(Dong6),"",OFFSET(TH!F$1,SMALL(Dong6,ROWS($1:235)),))</f>
        <v>Thùng carton (73x33x31)</v>
      </c>
      <c r="E245" s="376">
        <f t="shared" ca="1" si="6"/>
        <v>235</v>
      </c>
      <c r="F245" s="378" t="str">
        <f ca="1">IF(ROWS($1:235)&gt;COUNT(Dong6),"",OFFSET(TH!L$1,SMALL(Dong6,ROWS($1:235)),))</f>
        <v>156</v>
      </c>
      <c r="G245" s="378" t="str">
        <f ca="1">IF(ROWS($1:235)&gt;COUNT(Dong6),"",OFFSET(TH!M$1,SMALL(Dong6,ROWS($1:235)),))</f>
        <v>154</v>
      </c>
      <c r="H245" s="351">
        <f ca="1">IF(ROWS($1:235)&gt;COUNT(Dong6),"",OFFSET(TH!K$1,SMALL(Dong6,ROWS($1:235)),))</f>
        <v>5445489</v>
      </c>
      <c r="I245" s="351">
        <f ca="1">IF(ROWS($1:235)&gt;COUNT(Dong6),"",OFFSET(TH!K$1,SMALL(Dong6,ROWS($1:235)),))</f>
        <v>5445489</v>
      </c>
    </row>
    <row r="246" spans="1:9" ht="21" customHeight="1">
      <c r="A246" s="375">
        <f ca="1">IF(ROWS($1:236)&gt;COUNT(Dong6),"",OFFSET(TH!C$1,SMALL(Dong6,ROWS($1:236)),))</f>
        <v>41274</v>
      </c>
      <c r="B246" s="376" t="str">
        <f ca="1">IF(ROWS($1:236)&gt;COUNT(Dong6),"",OFFSET(TH!D$1,SMALL(Dong6,ROWS($1:236)),))</f>
        <v>XB/GV</v>
      </c>
      <c r="C246" s="375">
        <f ca="1">IF(ROWS($1:236)&gt;COUNT(Dong6),"",OFFSET(TH!E$1,SMALL(Dong6,ROWS($1:236)),))</f>
        <v>41274</v>
      </c>
      <c r="D246" s="377" t="str">
        <f ca="1">IF(ROWS($1:236)&gt;COUNT(Dong6),"",OFFSET(TH!F$1,SMALL(Dong6,ROWS($1:236)),))</f>
        <v>Tấm lót</v>
      </c>
      <c r="E246" s="376">
        <f t="shared" ca="1" si="6"/>
        <v>236</v>
      </c>
      <c r="F246" s="378" t="str">
        <f ca="1">IF(ROWS($1:236)&gt;COUNT(Dong6),"",OFFSET(TH!L$1,SMALL(Dong6,ROWS($1:236)),))</f>
        <v>632</v>
      </c>
      <c r="G246" s="378" t="str">
        <f ca="1">IF(ROWS($1:236)&gt;COUNT(Dong6),"",OFFSET(TH!M$1,SMALL(Dong6,ROWS($1:236)),))</f>
        <v>156</v>
      </c>
      <c r="H246" s="351">
        <f ca="1">IF(ROWS($1:236)&gt;COUNT(Dong6),"",OFFSET(TH!K$1,SMALL(Dong6,ROWS($1:236)),))</f>
        <v>23117670</v>
      </c>
      <c r="I246" s="351">
        <f ca="1">IF(ROWS($1:236)&gt;COUNT(Dong6),"",OFFSET(TH!K$1,SMALL(Dong6,ROWS($1:236)),))</f>
        <v>23117670</v>
      </c>
    </row>
    <row r="247" spans="1:9" ht="21" customHeight="1">
      <c r="A247" s="375">
        <f ca="1">IF(ROWS($1:237)&gt;COUNT(Dong6),"",OFFSET(TH!C$1,SMALL(Dong6,ROWS($1:237)),))</f>
        <v>41274</v>
      </c>
      <c r="B247" s="376" t="str">
        <f ca="1">IF(ROWS($1:237)&gt;COUNT(Dong6),"",OFFSET(TH!D$1,SMALL(Dong6,ROWS($1:237)),))</f>
        <v>XB/GV</v>
      </c>
      <c r="C247" s="375">
        <f ca="1">IF(ROWS($1:237)&gt;COUNT(Dong6),"",OFFSET(TH!E$1,SMALL(Dong6,ROWS($1:237)),))</f>
        <v>41274</v>
      </c>
      <c r="D247" s="377" t="str">
        <f ca="1">IF(ROWS($1:237)&gt;COUNT(Dong6),"",OFFSET(TH!F$1,SMALL(Dong6,ROWS($1:237)),))</f>
        <v xml:space="preserve">Thùng carton </v>
      </c>
      <c r="E247" s="376">
        <f t="shared" ca="1" si="6"/>
        <v>237</v>
      </c>
      <c r="F247" s="378" t="str">
        <f ca="1">IF(ROWS($1:237)&gt;COUNT(Dong6),"",OFFSET(TH!L$1,SMALL(Dong6,ROWS($1:237)),))</f>
        <v>632</v>
      </c>
      <c r="G247" s="378" t="str">
        <f ca="1">IF(ROWS($1:237)&gt;COUNT(Dong6),"",OFFSET(TH!M$1,SMALL(Dong6,ROWS($1:237)),))</f>
        <v>156</v>
      </c>
      <c r="H247" s="351">
        <f ca="1">IF(ROWS($1:237)&gt;COUNT(Dong6),"",OFFSET(TH!K$1,SMALL(Dong6,ROWS($1:237)),))</f>
        <v>1182899</v>
      </c>
      <c r="I247" s="351">
        <f ca="1">IF(ROWS($1:237)&gt;COUNT(Dong6),"",OFFSET(TH!K$1,SMALL(Dong6,ROWS($1:237)),))</f>
        <v>1182899</v>
      </c>
    </row>
    <row r="248" spans="1:9" ht="21" customHeight="1">
      <c r="A248" s="375">
        <f ca="1">IF(ROWS($1:238)&gt;COUNT(Dong6),"",OFFSET(TH!C$1,SMALL(Dong6,ROWS($1:238)),))</f>
        <v>41274</v>
      </c>
      <c r="B248" s="376" t="str">
        <f ca="1">IF(ROWS($1:238)&gt;COUNT(Dong6),"",OFFSET(TH!D$1,SMALL(Dong6,ROWS($1:238)),))</f>
        <v>XB/GV</v>
      </c>
      <c r="C248" s="375">
        <f ca="1">IF(ROWS($1:238)&gt;COUNT(Dong6),"",OFFSET(TH!E$1,SMALL(Dong6,ROWS($1:238)),))</f>
        <v>41274</v>
      </c>
      <c r="D248" s="377" t="str">
        <f ca="1">IF(ROWS($1:238)&gt;COUNT(Dong6),"",OFFSET(TH!F$1,SMALL(Dong6,ROWS($1:238)),))</f>
        <v>Thùng carton (22x22x51,5)</v>
      </c>
      <c r="E248" s="376">
        <f t="shared" ca="1" si="6"/>
        <v>238</v>
      </c>
      <c r="F248" s="378" t="str">
        <f ca="1">IF(ROWS($1:238)&gt;COUNT(Dong6),"",OFFSET(TH!L$1,SMALL(Dong6,ROWS($1:238)),))</f>
        <v>632</v>
      </c>
      <c r="G248" s="378" t="str">
        <f ca="1">IF(ROWS($1:238)&gt;COUNT(Dong6),"",OFFSET(TH!M$1,SMALL(Dong6,ROWS($1:238)),))</f>
        <v>156</v>
      </c>
      <c r="H248" s="351">
        <f ca="1">IF(ROWS($1:238)&gt;COUNT(Dong6),"",OFFSET(TH!K$1,SMALL(Dong6,ROWS($1:238)),))</f>
        <v>16035995</v>
      </c>
      <c r="I248" s="351">
        <f ca="1">IF(ROWS($1:238)&gt;COUNT(Dong6),"",OFFSET(TH!K$1,SMALL(Dong6,ROWS($1:238)),))</f>
        <v>16035995</v>
      </c>
    </row>
    <row r="249" spans="1:9" ht="21" customHeight="1">
      <c r="A249" s="375">
        <f ca="1">IF(ROWS($1:239)&gt;COUNT(Dong6),"",OFFSET(TH!C$1,SMALL(Dong6,ROWS($1:239)),))</f>
        <v>41274</v>
      </c>
      <c r="B249" s="376" t="str">
        <f ca="1">IF(ROWS($1:239)&gt;COUNT(Dong6),"",OFFSET(TH!D$1,SMALL(Dong6,ROWS($1:239)),))</f>
        <v>XB/GV</v>
      </c>
      <c r="C249" s="375">
        <f ca="1">IF(ROWS($1:239)&gt;COUNT(Dong6),"",OFFSET(TH!E$1,SMALL(Dong6,ROWS($1:239)),))</f>
        <v>41274</v>
      </c>
      <c r="D249" s="377" t="str">
        <f ca="1">IF(ROWS($1:239)&gt;COUNT(Dong6),"",OFFSET(TH!F$1,SMALL(Dong6,ROWS($1:239)),))</f>
        <v>Thùng carton (22x22x52)</v>
      </c>
      <c r="E249" s="376">
        <f t="shared" ca="1" si="6"/>
        <v>239</v>
      </c>
      <c r="F249" s="378" t="str">
        <f ca="1">IF(ROWS($1:239)&gt;COUNT(Dong6),"",OFFSET(TH!L$1,SMALL(Dong6,ROWS($1:239)),))</f>
        <v>632</v>
      </c>
      <c r="G249" s="378" t="str">
        <f ca="1">IF(ROWS($1:239)&gt;COUNT(Dong6),"",OFFSET(TH!M$1,SMALL(Dong6,ROWS($1:239)),))</f>
        <v>156</v>
      </c>
      <c r="H249" s="351">
        <f ca="1">IF(ROWS($1:239)&gt;COUNT(Dong6),"",OFFSET(TH!K$1,SMALL(Dong6,ROWS($1:239)),))</f>
        <v>5096783</v>
      </c>
      <c r="I249" s="351">
        <f ca="1">IF(ROWS($1:239)&gt;COUNT(Dong6),"",OFFSET(TH!K$1,SMALL(Dong6,ROWS($1:239)),))</f>
        <v>5096783</v>
      </c>
    </row>
    <row r="250" spans="1:9" ht="21" customHeight="1">
      <c r="A250" s="375">
        <f ca="1">IF(ROWS($1:240)&gt;COUNT(Dong6),"",OFFSET(TH!C$1,SMALL(Dong6,ROWS($1:240)),))</f>
        <v>41274</v>
      </c>
      <c r="B250" s="376" t="str">
        <f ca="1">IF(ROWS($1:240)&gt;COUNT(Dong6),"",OFFSET(TH!D$1,SMALL(Dong6,ROWS($1:240)),))</f>
        <v>XB/GV</v>
      </c>
      <c r="C250" s="375">
        <f ca="1">IF(ROWS($1:240)&gt;COUNT(Dong6),"",OFFSET(TH!E$1,SMALL(Dong6,ROWS($1:240)),))</f>
        <v>41274</v>
      </c>
      <c r="D250" s="377" t="str">
        <f ca="1">IF(ROWS($1:240)&gt;COUNT(Dong6),"",OFFSET(TH!F$1,SMALL(Dong6,ROWS($1:240)),))</f>
        <v>Thùng carton (36,5x36,5x63)</v>
      </c>
      <c r="E250" s="376">
        <f t="shared" ca="1" si="6"/>
        <v>240</v>
      </c>
      <c r="F250" s="378" t="str">
        <f ca="1">IF(ROWS($1:240)&gt;COUNT(Dong6),"",OFFSET(TH!L$1,SMALL(Dong6,ROWS($1:240)),))</f>
        <v>632</v>
      </c>
      <c r="G250" s="378" t="str">
        <f ca="1">IF(ROWS($1:240)&gt;COUNT(Dong6),"",OFFSET(TH!M$1,SMALL(Dong6,ROWS($1:240)),))</f>
        <v>156</v>
      </c>
      <c r="H250" s="351">
        <f ca="1">IF(ROWS($1:240)&gt;COUNT(Dong6),"",OFFSET(TH!K$1,SMALL(Dong6,ROWS($1:240)),))</f>
        <v>1362498</v>
      </c>
      <c r="I250" s="351">
        <f ca="1">IF(ROWS($1:240)&gt;COUNT(Dong6),"",OFFSET(TH!K$1,SMALL(Dong6,ROWS($1:240)),))</f>
        <v>1362498</v>
      </c>
    </row>
    <row r="251" spans="1:9" ht="21" customHeight="1">
      <c r="A251" s="375">
        <f ca="1">IF(ROWS($1:241)&gt;COUNT(Dong6),"",OFFSET(TH!C$1,SMALL(Dong6,ROWS($1:241)),))</f>
        <v>41274</v>
      </c>
      <c r="B251" s="376" t="str">
        <f ca="1">IF(ROWS($1:241)&gt;COUNT(Dong6),"",OFFSET(TH!D$1,SMALL(Dong6,ROWS($1:241)),))</f>
        <v>XB/GV</v>
      </c>
      <c r="C251" s="375">
        <f ca="1">IF(ROWS($1:241)&gt;COUNT(Dong6),"",OFFSET(TH!E$1,SMALL(Dong6,ROWS($1:241)),))</f>
        <v>41274</v>
      </c>
      <c r="D251" s="377" t="str">
        <f ca="1">IF(ROWS($1:241)&gt;COUNT(Dong6),"",OFFSET(TH!F$1,SMALL(Dong6,ROWS($1:241)),))</f>
        <v>Thùng carton (43,5x43,5x75)</v>
      </c>
      <c r="E251" s="376">
        <f t="shared" ca="1" si="6"/>
        <v>241</v>
      </c>
      <c r="F251" s="378" t="str">
        <f ca="1">IF(ROWS($1:241)&gt;COUNT(Dong6),"",OFFSET(TH!L$1,SMALL(Dong6,ROWS($1:241)),))</f>
        <v>632</v>
      </c>
      <c r="G251" s="378" t="str">
        <f ca="1">IF(ROWS($1:241)&gt;COUNT(Dong6),"",OFFSET(TH!M$1,SMALL(Dong6,ROWS($1:241)),))</f>
        <v>156</v>
      </c>
      <c r="H251" s="351">
        <f ca="1">IF(ROWS($1:241)&gt;COUNT(Dong6),"",OFFSET(TH!K$1,SMALL(Dong6,ROWS($1:241)),))</f>
        <v>544999</v>
      </c>
      <c r="I251" s="351">
        <f ca="1">IF(ROWS($1:241)&gt;COUNT(Dong6),"",OFFSET(TH!K$1,SMALL(Dong6,ROWS($1:241)),))</f>
        <v>544999</v>
      </c>
    </row>
    <row r="252" spans="1:9" ht="21" customHeight="1">
      <c r="A252" s="375">
        <f ca="1">IF(ROWS($1:242)&gt;COUNT(Dong6),"",OFFSET(TH!C$1,SMALL(Dong6,ROWS($1:242)),))</f>
        <v>41274</v>
      </c>
      <c r="B252" s="376" t="str">
        <f ca="1">IF(ROWS($1:242)&gt;COUNT(Dong6),"",OFFSET(TH!D$1,SMALL(Dong6,ROWS($1:242)),))</f>
        <v>XB/GV</v>
      </c>
      <c r="C252" s="375">
        <f ca="1">IF(ROWS($1:242)&gt;COUNT(Dong6),"",OFFSET(TH!E$1,SMALL(Dong6,ROWS($1:242)),))</f>
        <v>41274</v>
      </c>
      <c r="D252" s="377" t="str">
        <f ca="1">IF(ROWS($1:242)&gt;COUNT(Dong6),"",OFFSET(TH!F$1,SMALL(Dong6,ROWS($1:242)),))</f>
        <v>Thùng carton (47,5x47,5x55)</v>
      </c>
      <c r="E252" s="376">
        <f t="shared" ca="1" si="6"/>
        <v>242</v>
      </c>
      <c r="F252" s="378" t="str">
        <f ca="1">IF(ROWS($1:242)&gt;COUNT(Dong6),"",OFFSET(TH!L$1,SMALL(Dong6,ROWS($1:242)),))</f>
        <v>632</v>
      </c>
      <c r="G252" s="378" t="str">
        <f ca="1">IF(ROWS($1:242)&gt;COUNT(Dong6),"",OFFSET(TH!M$1,SMALL(Dong6,ROWS($1:242)),))</f>
        <v>156</v>
      </c>
      <c r="H252" s="351">
        <f ca="1">IF(ROWS($1:242)&gt;COUNT(Dong6),"",OFFSET(TH!K$1,SMALL(Dong6,ROWS($1:242)),))</f>
        <v>2452496</v>
      </c>
      <c r="I252" s="351">
        <f ca="1">IF(ROWS($1:242)&gt;COUNT(Dong6),"",OFFSET(TH!K$1,SMALL(Dong6,ROWS($1:242)),))</f>
        <v>2452496</v>
      </c>
    </row>
    <row r="253" spans="1:9" ht="21" customHeight="1">
      <c r="A253" s="375">
        <f ca="1">IF(ROWS($1:243)&gt;COUNT(Dong6),"",OFFSET(TH!C$1,SMALL(Dong6,ROWS($1:243)),))</f>
        <v>41274</v>
      </c>
      <c r="B253" s="376" t="str">
        <f ca="1">IF(ROWS($1:243)&gt;COUNT(Dong6),"",OFFSET(TH!D$1,SMALL(Dong6,ROWS($1:243)),))</f>
        <v>XB/GV</v>
      </c>
      <c r="C253" s="375">
        <f ca="1">IF(ROWS($1:243)&gt;COUNT(Dong6),"",OFFSET(TH!E$1,SMALL(Dong6,ROWS($1:243)),))</f>
        <v>41274</v>
      </c>
      <c r="D253" s="377" t="str">
        <f ca="1">IF(ROWS($1:243)&gt;COUNT(Dong6),"",OFFSET(TH!F$1,SMALL(Dong6,ROWS($1:243)),))</f>
        <v>Thùng carton (48x48x55)</v>
      </c>
      <c r="E253" s="376">
        <f t="shared" ca="1" si="6"/>
        <v>243</v>
      </c>
      <c r="F253" s="378" t="str">
        <f ca="1">IF(ROWS($1:243)&gt;COUNT(Dong6),"",OFFSET(TH!L$1,SMALL(Dong6,ROWS($1:243)),))</f>
        <v>632</v>
      </c>
      <c r="G253" s="378" t="str">
        <f ca="1">IF(ROWS($1:243)&gt;COUNT(Dong6),"",OFFSET(TH!M$1,SMALL(Dong6,ROWS($1:243)),))</f>
        <v>156</v>
      </c>
      <c r="H253" s="351">
        <f ca="1">IF(ROWS($1:243)&gt;COUNT(Dong6),"",OFFSET(TH!K$1,SMALL(Dong6,ROWS($1:243)),))</f>
        <v>2452496</v>
      </c>
      <c r="I253" s="351">
        <f ca="1">IF(ROWS($1:243)&gt;COUNT(Dong6),"",OFFSET(TH!K$1,SMALL(Dong6,ROWS($1:243)),))</f>
        <v>2452496</v>
      </c>
    </row>
    <row r="254" spans="1:9" ht="21" customHeight="1">
      <c r="A254" s="375">
        <f ca="1">IF(ROWS($1:244)&gt;COUNT(Dong6),"",OFFSET(TH!C$1,SMALL(Dong6,ROWS($1:244)),))</f>
        <v>41274</v>
      </c>
      <c r="B254" s="376" t="str">
        <f ca="1">IF(ROWS($1:244)&gt;COUNT(Dong6),"",OFFSET(TH!D$1,SMALL(Dong6,ROWS($1:244)),))</f>
        <v>XB/GV</v>
      </c>
      <c r="C254" s="375">
        <f ca="1">IF(ROWS($1:244)&gt;COUNT(Dong6),"",OFFSET(TH!E$1,SMALL(Dong6,ROWS($1:244)),))</f>
        <v>41274</v>
      </c>
      <c r="D254" s="377" t="str">
        <f ca="1">IF(ROWS($1:244)&gt;COUNT(Dong6),"",OFFSET(TH!F$1,SMALL(Dong6,ROWS($1:244)),))</f>
        <v>Thùng carton (51,5x22,5x22,5)</v>
      </c>
      <c r="E254" s="376">
        <f t="shared" ca="1" si="6"/>
        <v>244</v>
      </c>
      <c r="F254" s="378" t="str">
        <f ca="1">IF(ROWS($1:244)&gt;COUNT(Dong6),"",OFFSET(TH!L$1,SMALL(Dong6,ROWS($1:244)),))</f>
        <v>632</v>
      </c>
      <c r="G254" s="378" t="str">
        <f ca="1">IF(ROWS($1:244)&gt;COUNT(Dong6),"",OFFSET(TH!M$1,SMALL(Dong6,ROWS($1:244)),))</f>
        <v>156</v>
      </c>
      <c r="H254" s="351">
        <f ca="1">IF(ROWS($1:244)&gt;COUNT(Dong6),"",OFFSET(TH!K$1,SMALL(Dong6,ROWS($1:244)),))</f>
        <v>6733649</v>
      </c>
      <c r="I254" s="351">
        <f ca="1">IF(ROWS($1:244)&gt;COUNT(Dong6),"",OFFSET(TH!K$1,SMALL(Dong6,ROWS($1:244)),))</f>
        <v>6733649</v>
      </c>
    </row>
    <row r="255" spans="1:9" ht="21" customHeight="1">
      <c r="A255" s="375">
        <f ca="1">IF(ROWS($1:245)&gt;COUNT(Dong6),"",OFFSET(TH!C$1,SMALL(Dong6,ROWS($1:245)),))</f>
        <v>41274</v>
      </c>
      <c r="B255" s="376" t="str">
        <f ca="1">IF(ROWS($1:245)&gt;COUNT(Dong6),"",OFFSET(TH!D$1,SMALL(Dong6,ROWS($1:245)),))</f>
        <v>XB/GV</v>
      </c>
      <c r="C255" s="375">
        <f ca="1">IF(ROWS($1:245)&gt;COUNT(Dong6),"",OFFSET(TH!E$1,SMALL(Dong6,ROWS($1:245)),))</f>
        <v>41274</v>
      </c>
      <c r="D255" s="377" t="str">
        <f ca="1">IF(ROWS($1:245)&gt;COUNT(Dong6),"",OFFSET(TH!F$1,SMALL(Dong6,ROWS($1:245)),))</f>
        <v>Thùng carton (51,5x22x32)</v>
      </c>
      <c r="E255" s="376">
        <f t="shared" ca="1" si="6"/>
        <v>245</v>
      </c>
      <c r="F255" s="378" t="str">
        <f ca="1">IF(ROWS($1:245)&gt;COUNT(Dong6),"",OFFSET(TH!L$1,SMALL(Dong6,ROWS($1:245)),))</f>
        <v>632</v>
      </c>
      <c r="G255" s="378" t="str">
        <f ca="1">IF(ROWS($1:245)&gt;COUNT(Dong6),"",OFFSET(TH!M$1,SMALL(Dong6,ROWS($1:245)),))</f>
        <v>156</v>
      </c>
      <c r="H255" s="351">
        <f ca="1">IF(ROWS($1:245)&gt;COUNT(Dong6),"",OFFSET(TH!K$1,SMALL(Dong6,ROWS($1:245)),))</f>
        <v>18456936</v>
      </c>
      <c r="I255" s="351">
        <f ca="1">IF(ROWS($1:245)&gt;COUNT(Dong6),"",OFFSET(TH!K$1,SMALL(Dong6,ROWS($1:245)),))</f>
        <v>18456936</v>
      </c>
    </row>
    <row r="256" spans="1:9" ht="21" customHeight="1">
      <c r="A256" s="375">
        <f ca="1">IF(ROWS($1:246)&gt;COUNT(Dong6),"",OFFSET(TH!C$1,SMALL(Dong6,ROWS($1:246)),))</f>
        <v>41274</v>
      </c>
      <c r="B256" s="376" t="str">
        <f ca="1">IF(ROWS($1:246)&gt;COUNT(Dong6),"",OFFSET(TH!D$1,SMALL(Dong6,ROWS($1:246)),))</f>
        <v>XB/GV</v>
      </c>
      <c r="C256" s="375">
        <f ca="1">IF(ROWS($1:246)&gt;COUNT(Dong6),"",OFFSET(TH!E$1,SMALL(Dong6,ROWS($1:246)),))</f>
        <v>41274</v>
      </c>
      <c r="D256" s="377" t="str">
        <f ca="1">IF(ROWS($1:246)&gt;COUNT(Dong6),"",OFFSET(TH!F$1,SMALL(Dong6,ROWS($1:246)),))</f>
        <v>Thùng carton (51,5x24,5x24,5)</v>
      </c>
      <c r="E256" s="376">
        <f t="shared" ca="1" si="6"/>
        <v>246</v>
      </c>
      <c r="F256" s="378" t="str">
        <f ca="1">IF(ROWS($1:246)&gt;COUNT(Dong6),"",OFFSET(TH!L$1,SMALL(Dong6,ROWS($1:246)),))</f>
        <v>632</v>
      </c>
      <c r="G256" s="378" t="str">
        <f ca="1">IF(ROWS($1:246)&gt;COUNT(Dong6),"",OFFSET(TH!M$1,SMALL(Dong6,ROWS($1:246)),))</f>
        <v>156</v>
      </c>
      <c r="H256" s="351">
        <f ca="1">IF(ROWS($1:246)&gt;COUNT(Dong6),"",OFFSET(TH!K$1,SMALL(Dong6,ROWS($1:246)),))</f>
        <v>17113800</v>
      </c>
      <c r="I256" s="351">
        <f ca="1">IF(ROWS($1:246)&gt;COUNT(Dong6),"",OFFSET(TH!K$1,SMALL(Dong6,ROWS($1:246)),))</f>
        <v>17113800</v>
      </c>
    </row>
    <row r="257" spans="1:9" ht="21" customHeight="1">
      <c r="A257" s="375">
        <f ca="1">IF(ROWS($1:247)&gt;COUNT(Dong6),"",OFFSET(TH!C$1,SMALL(Dong6,ROWS($1:247)),))</f>
        <v>41274</v>
      </c>
      <c r="B257" s="376" t="str">
        <f ca="1">IF(ROWS($1:247)&gt;COUNT(Dong6),"",OFFSET(TH!D$1,SMALL(Dong6,ROWS($1:247)),))</f>
        <v>XB/GV</v>
      </c>
      <c r="C257" s="375">
        <f ca="1">IF(ROWS($1:247)&gt;COUNT(Dong6),"",OFFSET(TH!E$1,SMALL(Dong6,ROWS($1:247)),))</f>
        <v>41274</v>
      </c>
      <c r="D257" s="377" t="str">
        <f ca="1">IF(ROWS($1:247)&gt;COUNT(Dong6),"",OFFSET(TH!F$1,SMALL(Dong6,ROWS($1:247)),))</f>
        <v>Thùng carton (51,5x25,5x25,5)</v>
      </c>
      <c r="E257" s="376">
        <f t="shared" ca="1" si="6"/>
        <v>247</v>
      </c>
      <c r="F257" s="378" t="str">
        <f ca="1">IF(ROWS($1:247)&gt;COUNT(Dong6),"",OFFSET(TH!L$1,SMALL(Dong6,ROWS($1:247)),))</f>
        <v>632</v>
      </c>
      <c r="G257" s="378" t="str">
        <f ca="1">IF(ROWS($1:247)&gt;COUNT(Dong6),"",OFFSET(TH!M$1,SMALL(Dong6,ROWS($1:247)),))</f>
        <v>156</v>
      </c>
      <c r="H257" s="351">
        <f ca="1">IF(ROWS($1:247)&gt;COUNT(Dong6),"",OFFSET(TH!K$1,SMALL(Dong6,ROWS($1:247)),))</f>
        <v>27001979</v>
      </c>
      <c r="I257" s="351">
        <f ca="1">IF(ROWS($1:247)&gt;COUNT(Dong6),"",OFFSET(TH!K$1,SMALL(Dong6,ROWS($1:247)),))</f>
        <v>27001979</v>
      </c>
    </row>
    <row r="258" spans="1:9" ht="21" customHeight="1">
      <c r="A258" s="375">
        <f ca="1">IF(ROWS($1:248)&gt;COUNT(Dong6),"",OFFSET(TH!C$1,SMALL(Dong6,ROWS($1:248)),))</f>
        <v>41274</v>
      </c>
      <c r="B258" s="376" t="str">
        <f ca="1">IF(ROWS($1:248)&gt;COUNT(Dong6),"",OFFSET(TH!D$1,SMALL(Dong6,ROWS($1:248)),))</f>
        <v>XB/GV</v>
      </c>
      <c r="C258" s="375">
        <f ca="1">IF(ROWS($1:248)&gt;COUNT(Dong6),"",OFFSET(TH!E$1,SMALL(Dong6,ROWS($1:248)),))</f>
        <v>41274</v>
      </c>
      <c r="D258" s="377" t="str">
        <f ca="1">IF(ROWS($1:248)&gt;COUNT(Dong6),"",OFFSET(TH!F$1,SMALL(Dong6,ROWS($1:248)),))</f>
        <v>Thùng carton (51,5x26x26)</v>
      </c>
      <c r="E258" s="376">
        <f t="shared" ca="1" si="6"/>
        <v>248</v>
      </c>
      <c r="F258" s="378" t="str">
        <f ca="1">IF(ROWS($1:248)&gt;COUNT(Dong6),"",OFFSET(TH!L$1,SMALL(Dong6,ROWS($1:248)),))</f>
        <v>632</v>
      </c>
      <c r="G258" s="378" t="str">
        <f ca="1">IF(ROWS($1:248)&gt;COUNT(Dong6),"",OFFSET(TH!M$1,SMALL(Dong6,ROWS($1:248)),))</f>
        <v>156</v>
      </c>
      <c r="H258" s="351">
        <f ca="1">IF(ROWS($1:248)&gt;COUNT(Dong6),"",OFFSET(TH!K$1,SMALL(Dong6,ROWS($1:248)),))</f>
        <v>7035463</v>
      </c>
      <c r="I258" s="351">
        <f ca="1">IF(ROWS($1:248)&gt;COUNT(Dong6),"",OFFSET(TH!K$1,SMALL(Dong6,ROWS($1:248)),))</f>
        <v>7035463</v>
      </c>
    </row>
    <row r="259" spans="1:9" ht="21" customHeight="1">
      <c r="A259" s="375">
        <f ca="1">IF(ROWS($1:249)&gt;COUNT(Dong6),"",OFFSET(TH!C$1,SMALL(Dong6,ROWS($1:249)),))</f>
        <v>41274</v>
      </c>
      <c r="B259" s="376" t="str">
        <f ca="1">IF(ROWS($1:249)&gt;COUNT(Dong6),"",OFFSET(TH!D$1,SMALL(Dong6,ROWS($1:249)),))</f>
        <v>XB/GV</v>
      </c>
      <c r="C259" s="375">
        <f ca="1">IF(ROWS($1:249)&gt;COUNT(Dong6),"",OFFSET(TH!E$1,SMALL(Dong6,ROWS($1:249)),))</f>
        <v>41274</v>
      </c>
      <c r="D259" s="377" t="str">
        <f ca="1">IF(ROWS($1:249)&gt;COUNT(Dong6),"",OFFSET(TH!F$1,SMALL(Dong6,ROWS($1:249)),))</f>
        <v>Thùng carton (51,5x28x28)</v>
      </c>
      <c r="E259" s="376">
        <f t="shared" ca="1" si="6"/>
        <v>249</v>
      </c>
      <c r="F259" s="378" t="str">
        <f ca="1">IF(ROWS($1:249)&gt;COUNT(Dong6),"",OFFSET(TH!L$1,SMALL(Dong6,ROWS($1:249)),))</f>
        <v>632</v>
      </c>
      <c r="G259" s="378" t="str">
        <f ca="1">IF(ROWS($1:249)&gt;COUNT(Dong6),"",OFFSET(TH!M$1,SMALL(Dong6,ROWS($1:249)),))</f>
        <v>156</v>
      </c>
      <c r="H259" s="351">
        <f ca="1">IF(ROWS($1:249)&gt;COUNT(Dong6),"",OFFSET(TH!K$1,SMALL(Dong6,ROWS($1:249)),))</f>
        <v>18254976</v>
      </c>
      <c r="I259" s="351">
        <f ca="1">IF(ROWS($1:249)&gt;COUNT(Dong6),"",OFFSET(TH!K$1,SMALL(Dong6,ROWS($1:249)),))</f>
        <v>18254976</v>
      </c>
    </row>
    <row r="260" spans="1:9" ht="21" customHeight="1">
      <c r="A260" s="375">
        <f ca="1">IF(ROWS($1:250)&gt;COUNT(Dong6),"",OFFSET(TH!C$1,SMALL(Dong6,ROWS($1:250)),))</f>
        <v>41274</v>
      </c>
      <c r="B260" s="376" t="str">
        <f ca="1">IF(ROWS($1:250)&gt;COUNT(Dong6),"",OFFSET(TH!D$1,SMALL(Dong6,ROWS($1:250)),))</f>
        <v>XB/GV</v>
      </c>
      <c r="C260" s="375">
        <f ca="1">IF(ROWS($1:250)&gt;COUNT(Dong6),"",OFFSET(TH!E$1,SMALL(Dong6,ROWS($1:250)),))</f>
        <v>41274</v>
      </c>
      <c r="D260" s="377" t="str">
        <f ca="1">IF(ROWS($1:250)&gt;COUNT(Dong6),"",OFFSET(TH!F$1,SMALL(Dong6,ROWS($1:250)),))</f>
        <v>Thùng carton (51,5x34x24)</v>
      </c>
      <c r="E260" s="376">
        <f t="shared" ca="1" si="6"/>
        <v>250</v>
      </c>
      <c r="F260" s="378" t="str">
        <f ca="1">IF(ROWS($1:250)&gt;COUNT(Dong6),"",OFFSET(TH!L$1,SMALL(Dong6,ROWS($1:250)),))</f>
        <v>632</v>
      </c>
      <c r="G260" s="378" t="str">
        <f ca="1">IF(ROWS($1:250)&gt;COUNT(Dong6),"",OFFSET(TH!M$1,SMALL(Dong6,ROWS($1:250)),))</f>
        <v>156</v>
      </c>
      <c r="H260" s="351">
        <f ca="1">IF(ROWS($1:250)&gt;COUNT(Dong6),"",OFFSET(TH!K$1,SMALL(Dong6,ROWS($1:250)),))</f>
        <v>6701979</v>
      </c>
      <c r="I260" s="351">
        <f ca="1">IF(ROWS($1:250)&gt;COUNT(Dong6),"",OFFSET(TH!K$1,SMALL(Dong6,ROWS($1:250)),))</f>
        <v>6701979</v>
      </c>
    </row>
    <row r="261" spans="1:9" ht="21" customHeight="1">
      <c r="A261" s="375">
        <f ca="1">IF(ROWS($1:251)&gt;COUNT(Dong6),"",OFFSET(TH!C$1,SMALL(Dong6,ROWS($1:251)),))</f>
        <v>41274</v>
      </c>
      <c r="B261" s="376" t="str">
        <f ca="1">IF(ROWS($1:251)&gt;COUNT(Dong6),"",OFFSET(TH!D$1,SMALL(Dong6,ROWS($1:251)),))</f>
        <v>XB/GV</v>
      </c>
      <c r="C261" s="375">
        <f ca="1">IF(ROWS($1:251)&gt;COUNT(Dong6),"",OFFSET(TH!E$1,SMALL(Dong6,ROWS($1:251)),))</f>
        <v>41274</v>
      </c>
      <c r="D261" s="377" t="str">
        <f ca="1">IF(ROWS($1:251)&gt;COUNT(Dong6),"",OFFSET(TH!F$1,SMALL(Dong6,ROWS($1:251)),))</f>
        <v>Thùng carton (51x51x31,5)</v>
      </c>
      <c r="E261" s="376">
        <f t="shared" ca="1" si="6"/>
        <v>251</v>
      </c>
      <c r="F261" s="378" t="str">
        <f ca="1">IF(ROWS($1:251)&gt;COUNT(Dong6),"",OFFSET(TH!L$1,SMALL(Dong6,ROWS($1:251)),))</f>
        <v>632</v>
      </c>
      <c r="G261" s="378" t="str">
        <f ca="1">IF(ROWS($1:251)&gt;COUNT(Dong6),"",OFFSET(TH!M$1,SMALL(Dong6,ROWS($1:251)),))</f>
        <v>156</v>
      </c>
      <c r="H261" s="351">
        <f ca="1">IF(ROWS($1:251)&gt;COUNT(Dong6),"",OFFSET(TH!K$1,SMALL(Dong6,ROWS($1:251)),))</f>
        <v>12923979</v>
      </c>
      <c r="I261" s="351">
        <f ca="1">IF(ROWS($1:251)&gt;COUNT(Dong6),"",OFFSET(TH!K$1,SMALL(Dong6,ROWS($1:251)),))</f>
        <v>12923979</v>
      </c>
    </row>
    <row r="262" spans="1:9" ht="21" customHeight="1">
      <c r="A262" s="375">
        <f ca="1">IF(ROWS($1:252)&gt;COUNT(Dong6),"",OFFSET(TH!C$1,SMALL(Dong6,ROWS($1:252)),))</f>
        <v>41274</v>
      </c>
      <c r="B262" s="376" t="str">
        <f ca="1">IF(ROWS($1:252)&gt;COUNT(Dong6),"",OFFSET(TH!D$1,SMALL(Dong6,ROWS($1:252)),))</f>
        <v>XB/GV</v>
      </c>
      <c r="C262" s="375">
        <f ca="1">IF(ROWS($1:252)&gt;COUNT(Dong6),"",OFFSET(TH!E$1,SMALL(Dong6,ROWS($1:252)),))</f>
        <v>41274</v>
      </c>
      <c r="D262" s="377" t="str">
        <f ca="1">IF(ROWS($1:252)&gt;COUNT(Dong6),"",OFFSET(TH!F$1,SMALL(Dong6,ROWS($1:252)),))</f>
        <v>Thùng carton (52,5x25x25)</v>
      </c>
      <c r="E262" s="376">
        <f t="shared" ca="1" si="6"/>
        <v>252</v>
      </c>
      <c r="F262" s="378" t="str">
        <f ca="1">IF(ROWS($1:252)&gt;COUNT(Dong6),"",OFFSET(TH!L$1,SMALL(Dong6,ROWS($1:252)),))</f>
        <v>632</v>
      </c>
      <c r="G262" s="378" t="str">
        <f ca="1">IF(ROWS($1:252)&gt;COUNT(Dong6),"",OFFSET(TH!M$1,SMALL(Dong6,ROWS($1:252)),))</f>
        <v>156</v>
      </c>
      <c r="H262" s="351">
        <f ca="1">IF(ROWS($1:252)&gt;COUNT(Dong6),"",OFFSET(TH!K$1,SMALL(Dong6,ROWS($1:252)),))</f>
        <v>6220351</v>
      </c>
      <c r="I262" s="351">
        <f ca="1">IF(ROWS($1:252)&gt;COUNT(Dong6),"",OFFSET(TH!K$1,SMALL(Dong6,ROWS($1:252)),))</f>
        <v>6220351</v>
      </c>
    </row>
    <row r="263" spans="1:9" ht="21" customHeight="1">
      <c r="A263" s="375">
        <f ca="1">IF(ROWS($1:253)&gt;COUNT(Dong6),"",OFFSET(TH!C$1,SMALL(Dong6,ROWS($1:253)),))</f>
        <v>41274</v>
      </c>
      <c r="B263" s="376" t="str">
        <f ca="1">IF(ROWS($1:253)&gt;COUNT(Dong6),"",OFFSET(TH!D$1,SMALL(Dong6,ROWS($1:253)),))</f>
        <v>XB/GV</v>
      </c>
      <c r="C263" s="375">
        <f ca="1">IF(ROWS($1:253)&gt;COUNT(Dong6),"",OFFSET(TH!E$1,SMALL(Dong6,ROWS($1:253)),))</f>
        <v>41274</v>
      </c>
      <c r="D263" s="377" t="str">
        <f ca="1">IF(ROWS($1:253)&gt;COUNT(Dong6),"",OFFSET(TH!F$1,SMALL(Dong6,ROWS($1:253)),))</f>
        <v>Thùng carton (52x21x31,5)</v>
      </c>
      <c r="E263" s="376">
        <f t="shared" ca="1" si="6"/>
        <v>253</v>
      </c>
      <c r="F263" s="378" t="str">
        <f ca="1">IF(ROWS($1:253)&gt;COUNT(Dong6),"",OFFSET(TH!L$1,SMALL(Dong6,ROWS($1:253)),))</f>
        <v>632</v>
      </c>
      <c r="G263" s="378" t="str">
        <f ca="1">IF(ROWS($1:253)&gt;COUNT(Dong6),"",OFFSET(TH!M$1,SMALL(Dong6,ROWS($1:253)),))</f>
        <v>156</v>
      </c>
      <c r="H263" s="351">
        <f ca="1">IF(ROWS($1:253)&gt;COUNT(Dong6),"",OFFSET(TH!K$1,SMALL(Dong6,ROWS($1:253)),))</f>
        <v>1715994</v>
      </c>
      <c r="I263" s="351">
        <f ca="1">IF(ROWS($1:253)&gt;COUNT(Dong6),"",OFFSET(TH!K$1,SMALL(Dong6,ROWS($1:253)),))</f>
        <v>1715994</v>
      </c>
    </row>
    <row r="264" spans="1:9" ht="21" customHeight="1">
      <c r="A264" s="375">
        <f ca="1">IF(ROWS($1:254)&gt;COUNT(Dong6),"",OFFSET(TH!C$1,SMALL(Dong6,ROWS($1:254)),))</f>
        <v>41274</v>
      </c>
      <c r="B264" s="376" t="str">
        <f ca="1">IF(ROWS($1:254)&gt;COUNT(Dong6),"",OFFSET(TH!D$1,SMALL(Dong6,ROWS($1:254)),))</f>
        <v>XB/GV</v>
      </c>
      <c r="C264" s="375">
        <f ca="1">IF(ROWS($1:254)&gt;COUNT(Dong6),"",OFFSET(TH!E$1,SMALL(Dong6,ROWS($1:254)),))</f>
        <v>41274</v>
      </c>
      <c r="D264" s="377" t="str">
        <f ca="1">IF(ROWS($1:254)&gt;COUNT(Dong6),"",OFFSET(TH!F$1,SMALL(Dong6,ROWS($1:254)),))</f>
        <v>Thùng carton (52x24,5x24,5)</v>
      </c>
      <c r="E264" s="376">
        <f t="shared" ca="1" si="6"/>
        <v>254</v>
      </c>
      <c r="F264" s="378" t="str">
        <f ca="1">IF(ROWS($1:254)&gt;COUNT(Dong6),"",OFFSET(TH!L$1,SMALL(Dong6,ROWS($1:254)),))</f>
        <v>632</v>
      </c>
      <c r="G264" s="378" t="str">
        <f ca="1">IF(ROWS($1:254)&gt;COUNT(Dong6),"",OFFSET(TH!M$1,SMALL(Dong6,ROWS($1:254)),))</f>
        <v>156</v>
      </c>
      <c r="H264" s="351">
        <f ca="1">IF(ROWS($1:254)&gt;COUNT(Dong6),"",OFFSET(TH!K$1,SMALL(Dong6,ROWS($1:254)),))</f>
        <v>2685638</v>
      </c>
      <c r="I264" s="351">
        <f ca="1">IF(ROWS($1:254)&gt;COUNT(Dong6),"",OFFSET(TH!K$1,SMALL(Dong6,ROWS($1:254)),))</f>
        <v>2685638</v>
      </c>
    </row>
    <row r="265" spans="1:9" ht="21" customHeight="1">
      <c r="A265" s="375">
        <f ca="1">IF(ROWS($1:255)&gt;COUNT(Dong6),"",OFFSET(TH!C$1,SMALL(Dong6,ROWS($1:255)),))</f>
        <v>41274</v>
      </c>
      <c r="B265" s="376" t="str">
        <f ca="1">IF(ROWS($1:255)&gt;COUNT(Dong6),"",OFFSET(TH!D$1,SMALL(Dong6,ROWS($1:255)),))</f>
        <v>XB/GV</v>
      </c>
      <c r="C265" s="375">
        <f ca="1">IF(ROWS($1:255)&gt;COUNT(Dong6),"",OFFSET(TH!E$1,SMALL(Dong6,ROWS($1:255)),))</f>
        <v>41274</v>
      </c>
      <c r="D265" s="377" t="str">
        <f ca="1">IF(ROWS($1:255)&gt;COUNT(Dong6),"",OFFSET(TH!F$1,SMALL(Dong6,ROWS($1:255)),))</f>
        <v>Thùng carton (52x27x27)</v>
      </c>
      <c r="E265" s="376">
        <f t="shared" ca="1" si="6"/>
        <v>255</v>
      </c>
      <c r="F265" s="378" t="str">
        <f ca="1">IF(ROWS($1:255)&gt;COUNT(Dong6),"",OFFSET(TH!L$1,SMALL(Dong6,ROWS($1:255)),))</f>
        <v>632</v>
      </c>
      <c r="G265" s="378" t="str">
        <f ca="1">IF(ROWS($1:255)&gt;COUNT(Dong6),"",OFFSET(TH!M$1,SMALL(Dong6,ROWS($1:255)),))</f>
        <v>156</v>
      </c>
      <c r="H265" s="351">
        <f ca="1">IF(ROWS($1:255)&gt;COUNT(Dong6),"",OFFSET(TH!K$1,SMALL(Dong6,ROWS($1:255)),))</f>
        <v>10986702</v>
      </c>
      <c r="I265" s="351">
        <f ca="1">IF(ROWS($1:255)&gt;COUNT(Dong6),"",OFFSET(TH!K$1,SMALL(Dong6,ROWS($1:255)),))</f>
        <v>10986702</v>
      </c>
    </row>
    <row r="266" spans="1:9" ht="21" customHeight="1">
      <c r="A266" s="375">
        <f ca="1">IF(ROWS($1:256)&gt;COUNT(Dong6),"",OFFSET(TH!C$1,SMALL(Dong6,ROWS($1:256)),))</f>
        <v>41274</v>
      </c>
      <c r="B266" s="376" t="str">
        <f ca="1">IF(ROWS($1:256)&gt;COUNT(Dong6),"",OFFSET(TH!D$1,SMALL(Dong6,ROWS($1:256)),))</f>
        <v>XB/GV</v>
      </c>
      <c r="C266" s="375">
        <f ca="1">IF(ROWS($1:256)&gt;COUNT(Dong6),"",OFFSET(TH!E$1,SMALL(Dong6,ROWS($1:256)),))</f>
        <v>41274</v>
      </c>
      <c r="D266" s="377" t="str">
        <f ca="1">IF(ROWS($1:256)&gt;COUNT(Dong6),"",OFFSET(TH!F$1,SMALL(Dong6,ROWS($1:256)),))</f>
        <v>Thùng carton (52x28x28)</v>
      </c>
      <c r="E266" s="376">
        <f t="shared" ca="1" si="6"/>
        <v>256</v>
      </c>
      <c r="F266" s="378" t="str">
        <f ca="1">IF(ROWS($1:256)&gt;COUNT(Dong6),"",OFFSET(TH!L$1,SMALL(Dong6,ROWS($1:256)),))</f>
        <v>632</v>
      </c>
      <c r="G266" s="378" t="str">
        <f ca="1">IF(ROWS($1:256)&gt;COUNT(Dong6),"",OFFSET(TH!M$1,SMALL(Dong6,ROWS($1:256)),))</f>
        <v>156</v>
      </c>
      <c r="H266" s="351">
        <f ca="1">IF(ROWS($1:256)&gt;COUNT(Dong6),"",OFFSET(TH!K$1,SMALL(Dong6,ROWS($1:256)),))</f>
        <v>2441489</v>
      </c>
      <c r="I266" s="351">
        <f ca="1">IF(ROWS($1:256)&gt;COUNT(Dong6),"",OFFSET(TH!K$1,SMALL(Dong6,ROWS($1:256)),))</f>
        <v>2441489</v>
      </c>
    </row>
    <row r="267" spans="1:9" ht="21" customHeight="1">
      <c r="A267" s="375">
        <f ca="1">IF(ROWS($1:257)&gt;COUNT(Dong6),"",OFFSET(TH!C$1,SMALL(Dong6,ROWS($1:257)),))</f>
        <v>41274</v>
      </c>
      <c r="B267" s="376" t="str">
        <f ca="1">IF(ROWS($1:257)&gt;COUNT(Dong6),"",OFFSET(TH!D$1,SMALL(Dong6,ROWS($1:257)),))</f>
        <v>XB/GV</v>
      </c>
      <c r="C267" s="375">
        <f ca="1">IF(ROWS($1:257)&gt;COUNT(Dong6),"",OFFSET(TH!E$1,SMALL(Dong6,ROWS($1:257)),))</f>
        <v>41274</v>
      </c>
      <c r="D267" s="377" t="str">
        <f ca="1">IF(ROWS($1:257)&gt;COUNT(Dong6),"",OFFSET(TH!F$1,SMALL(Dong6,ROWS($1:257)),))</f>
        <v>Thùng carton (52x32,5x21)</v>
      </c>
      <c r="E267" s="376">
        <f t="shared" ca="1" si="6"/>
        <v>257</v>
      </c>
      <c r="F267" s="378" t="str">
        <f ca="1">IF(ROWS($1:257)&gt;COUNT(Dong6),"",OFFSET(TH!L$1,SMALL(Dong6,ROWS($1:257)),))</f>
        <v>632</v>
      </c>
      <c r="G267" s="378" t="str">
        <f ca="1">IF(ROWS($1:257)&gt;COUNT(Dong6),"",OFFSET(TH!M$1,SMALL(Dong6,ROWS($1:257)),))</f>
        <v>156</v>
      </c>
      <c r="H267" s="351">
        <f ca="1">IF(ROWS($1:257)&gt;COUNT(Dong6),"",OFFSET(TH!K$1,SMALL(Dong6,ROWS($1:257)),))</f>
        <v>12831958</v>
      </c>
      <c r="I267" s="351">
        <f ca="1">IF(ROWS($1:257)&gt;COUNT(Dong6),"",OFFSET(TH!K$1,SMALL(Dong6,ROWS($1:257)),))</f>
        <v>12831958</v>
      </c>
    </row>
    <row r="268" spans="1:9" ht="21" customHeight="1">
      <c r="A268" s="375">
        <f ca="1">IF(ROWS($1:258)&gt;COUNT(Dong6),"",OFFSET(TH!C$1,SMALL(Dong6,ROWS($1:258)),))</f>
        <v>41274</v>
      </c>
      <c r="B268" s="376" t="str">
        <f ca="1">IF(ROWS($1:258)&gt;COUNT(Dong6),"",OFFSET(TH!D$1,SMALL(Dong6,ROWS($1:258)),))</f>
        <v>XB/GV</v>
      </c>
      <c r="C268" s="375">
        <f ca="1">IF(ROWS($1:258)&gt;COUNT(Dong6),"",OFFSET(TH!E$1,SMALL(Dong6,ROWS($1:258)),))</f>
        <v>41274</v>
      </c>
      <c r="D268" s="377" t="str">
        <f ca="1">IF(ROWS($1:258)&gt;COUNT(Dong6),"",OFFSET(TH!F$1,SMALL(Dong6,ROWS($1:258)),))</f>
        <v>Thùng carton (54x25x25)</v>
      </c>
      <c r="E268" s="376">
        <f t="shared" ref="E268:E271" ca="1" si="7">IF(D268&lt;&gt;"",ROW()-10,"")</f>
        <v>258</v>
      </c>
      <c r="F268" s="378" t="str">
        <f ca="1">IF(ROWS($1:258)&gt;COUNT(Dong6),"",OFFSET(TH!L$1,SMALL(Dong6,ROWS($1:258)),))</f>
        <v>632</v>
      </c>
      <c r="G268" s="378" t="str">
        <f ca="1">IF(ROWS($1:258)&gt;COUNT(Dong6),"",OFFSET(TH!M$1,SMALL(Dong6,ROWS($1:258)),))</f>
        <v>156</v>
      </c>
      <c r="H268" s="351">
        <f ca="1">IF(ROWS($1:258)&gt;COUNT(Dong6),"",OFFSET(TH!K$1,SMALL(Dong6,ROWS($1:258)),))</f>
        <v>2057293</v>
      </c>
      <c r="I268" s="351">
        <f ca="1">IF(ROWS($1:258)&gt;COUNT(Dong6),"",OFFSET(TH!K$1,SMALL(Dong6,ROWS($1:258)),))</f>
        <v>2057293</v>
      </c>
    </row>
    <row r="269" spans="1:9" ht="21" customHeight="1">
      <c r="A269" s="375">
        <f ca="1">IF(ROWS($1:259)&gt;COUNT(Dong6),"",OFFSET(TH!C$1,SMALL(Dong6,ROWS($1:259)),))</f>
        <v>41274</v>
      </c>
      <c r="B269" s="376" t="str">
        <f ca="1">IF(ROWS($1:259)&gt;COUNT(Dong6),"",OFFSET(TH!D$1,SMALL(Dong6,ROWS($1:259)),))</f>
        <v>XB/GV</v>
      </c>
      <c r="C269" s="375">
        <f ca="1">IF(ROWS($1:259)&gt;COUNT(Dong6),"",OFFSET(TH!E$1,SMALL(Dong6,ROWS($1:259)),))</f>
        <v>41274</v>
      </c>
      <c r="D269" s="377" t="str">
        <f ca="1">IF(ROWS($1:259)&gt;COUNT(Dong6),"",OFFSET(TH!F$1,SMALL(Dong6,ROWS($1:259)),))</f>
        <v>Thùng carton (58,5x58,5x30)</v>
      </c>
      <c r="E269" s="376">
        <f t="shared" ca="1" si="7"/>
        <v>259</v>
      </c>
      <c r="F269" s="378" t="str">
        <f ca="1">IF(ROWS($1:259)&gt;COUNT(Dong6),"",OFFSET(TH!L$1,SMALL(Dong6,ROWS($1:259)),))</f>
        <v>632</v>
      </c>
      <c r="G269" s="378" t="str">
        <f ca="1">IF(ROWS($1:259)&gt;COUNT(Dong6),"",OFFSET(TH!M$1,SMALL(Dong6,ROWS($1:259)),))</f>
        <v>156</v>
      </c>
      <c r="H269" s="351">
        <f ca="1">IF(ROWS($1:259)&gt;COUNT(Dong6),"",OFFSET(TH!K$1,SMALL(Dong6,ROWS($1:259)),))</f>
        <v>5125895</v>
      </c>
      <c r="I269" s="351">
        <f ca="1">IF(ROWS($1:259)&gt;COUNT(Dong6),"",OFFSET(TH!K$1,SMALL(Dong6,ROWS($1:259)),))</f>
        <v>5125895</v>
      </c>
    </row>
    <row r="270" spans="1:9" ht="21" customHeight="1">
      <c r="A270" s="375">
        <f ca="1">IF(ROWS($1:260)&gt;COUNT(Dong6),"",OFFSET(TH!C$1,SMALL(Dong6,ROWS($1:260)),))</f>
        <v>41274</v>
      </c>
      <c r="B270" s="376" t="str">
        <f ca="1">IF(ROWS($1:260)&gt;COUNT(Dong6),"",OFFSET(TH!D$1,SMALL(Dong6,ROWS($1:260)),))</f>
        <v>XB/GV</v>
      </c>
      <c r="C270" s="375">
        <f ca="1">IF(ROWS($1:260)&gt;COUNT(Dong6),"",OFFSET(TH!E$1,SMALL(Dong6,ROWS($1:260)),))</f>
        <v>41274</v>
      </c>
      <c r="D270" s="377" t="str">
        <f ca="1">IF(ROWS($1:260)&gt;COUNT(Dong6),"",OFFSET(TH!F$1,SMALL(Dong6,ROWS($1:260)),))</f>
        <v>Thùng carton (73x33x31)</v>
      </c>
      <c r="E270" s="376">
        <f t="shared" ca="1" si="7"/>
        <v>260</v>
      </c>
      <c r="F270" s="378" t="str">
        <f ca="1">IF(ROWS($1:260)&gt;COUNT(Dong6),"",OFFSET(TH!L$1,SMALL(Dong6,ROWS($1:260)),))</f>
        <v>632</v>
      </c>
      <c r="G270" s="378" t="str">
        <f ca="1">IF(ROWS($1:260)&gt;COUNT(Dong6),"",OFFSET(TH!M$1,SMALL(Dong6,ROWS($1:260)),))</f>
        <v>156</v>
      </c>
      <c r="H270" s="351">
        <f ca="1">IF(ROWS($1:260)&gt;COUNT(Dong6),"",OFFSET(TH!K$1,SMALL(Dong6,ROWS($1:260)),))</f>
        <v>5445489</v>
      </c>
      <c r="I270" s="351">
        <f ca="1">IF(ROWS($1:260)&gt;COUNT(Dong6),"",OFFSET(TH!K$1,SMALL(Dong6,ROWS($1:260)),))</f>
        <v>5445489</v>
      </c>
    </row>
    <row r="271" spans="1:9" ht="21" customHeight="1">
      <c r="A271" s="375" t="str">
        <f ca="1">IF(ROWS($1:261)&gt;COUNT(Dong6),"",OFFSET(TH!C$1,SMALL(Dong6,ROWS($1:261)),))</f>
        <v/>
      </c>
      <c r="B271" s="376" t="str">
        <f ca="1">IF(ROWS($1:261)&gt;COUNT(Dong6),"",OFFSET(TH!D$1,SMALL(Dong6,ROWS($1:261)),))</f>
        <v/>
      </c>
      <c r="C271" s="375" t="str">
        <f ca="1">IF(ROWS($1:261)&gt;COUNT(Dong6),"",OFFSET(TH!E$1,SMALL(Dong6,ROWS($1:261)),))</f>
        <v/>
      </c>
      <c r="D271" s="377" t="str">
        <f ca="1">IF(ROWS($1:261)&gt;COUNT(Dong6),"",OFFSET(TH!F$1,SMALL(Dong6,ROWS($1:261)),))</f>
        <v/>
      </c>
      <c r="E271" s="376" t="str">
        <f t="shared" ca="1" si="7"/>
        <v/>
      </c>
      <c r="F271" s="378" t="str">
        <f ca="1">IF(ROWS($1:261)&gt;COUNT(Dong6),"",OFFSET(TH!L$1,SMALL(Dong6,ROWS($1:261)),))</f>
        <v/>
      </c>
      <c r="G271" s="378" t="str">
        <f ca="1">IF(ROWS($1:261)&gt;COUNT(Dong6),"",OFFSET(TH!M$1,SMALL(Dong6,ROWS($1:261)),))</f>
        <v/>
      </c>
      <c r="H271" s="351" t="str">
        <f ca="1">IF(ROWS($1:261)&gt;COUNT(Dong6),"",OFFSET(TH!K$1,SMALL(Dong6,ROWS($1:261)),))</f>
        <v/>
      </c>
      <c r="I271" s="351" t="str">
        <f ca="1">IF(ROWS($1:261)&gt;COUNT(Dong6),"",OFFSET(TH!K$1,SMALL(Dong6,ROWS($1:261)),))</f>
        <v/>
      </c>
    </row>
    <row r="272" spans="1:9" ht="21" customHeight="1">
      <c r="A272" s="379"/>
      <c r="B272" s="379"/>
      <c r="C272" s="379"/>
      <c r="D272" s="380" t="s">
        <v>270</v>
      </c>
      <c r="E272" s="381" t="s">
        <v>19</v>
      </c>
      <c r="F272" s="381"/>
      <c r="G272" s="381" t="s">
        <v>19</v>
      </c>
      <c r="H272" s="382">
        <f ca="1">SUBTOTAL(9,$H$10:$H$271)</f>
        <v>4881678507</v>
      </c>
      <c r="I272" s="382">
        <f ca="1">SUBTOTAL(9,I10:I271)</f>
        <v>4881678507</v>
      </c>
    </row>
    <row r="273" spans="1:10">
      <c r="A273" s="383" t="s">
        <v>731</v>
      </c>
    </row>
    <row r="274" spans="1:10">
      <c r="A274" s="383" t="str">
        <f ca="1">"- Ngày mở sổ: "&amp;DAY($A$11)&amp;"/"&amp;MONTH($A$11)&amp;"/ " &amp;YEAR($A$11)</f>
        <v>- Ngày mở sổ: 31/12/ 2012</v>
      </c>
    </row>
    <row r="275" spans="1:10">
      <c r="H275" s="97" t="str">
        <f ca="1">"Ngày "&amp;IF(OR($L$11=4,$L$11=6,$L$11=9,$L$11=11),"30",IF($L$11=2,"28","31"))&amp;" tháng "&amp;$N$8&amp;"  năm  "&amp;YEAR($A$14)</f>
        <v>Ngày 31 tháng 12  năm  2012</v>
      </c>
      <c r="I275" s="384"/>
      <c r="J275" s="384"/>
    </row>
    <row r="276" spans="1:10">
      <c r="B276" s="384" t="s">
        <v>267</v>
      </c>
      <c r="D276" s="384" t="s">
        <v>12</v>
      </c>
      <c r="H276" s="384" t="s">
        <v>268</v>
      </c>
      <c r="I276" s="384"/>
      <c r="J276" s="384"/>
    </row>
    <row r="277" spans="1:10">
      <c r="B277" s="384" t="s">
        <v>13</v>
      </c>
      <c r="D277" s="384" t="s">
        <v>13</v>
      </c>
      <c r="H277" s="384" t="s">
        <v>131</v>
      </c>
      <c r="I277" s="384"/>
      <c r="J277" s="384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0"/>
  <sheetViews>
    <sheetView topLeftCell="A6" zoomScale="90" zoomScaleNormal="90" workbookViewId="0">
      <pane ySplit="9" topLeftCell="A15" activePane="bottomLeft" state="frozen"/>
      <selection activeCell="A6" sqref="A6"/>
      <selection pane="bottomLeft" activeCell="E7" sqref="E7:F7"/>
    </sheetView>
  </sheetViews>
  <sheetFormatPr defaultRowHeight="15"/>
  <cols>
    <col min="1" max="1" width="9.5703125" style="594" customWidth="1"/>
    <col min="2" max="2" width="7.28515625" style="594" customWidth="1"/>
    <col min="3" max="3" width="9.28515625" style="594" customWidth="1"/>
    <col min="4" max="4" width="36.7109375" style="4" customWidth="1"/>
    <col min="5" max="5" width="6.28515625" style="594" customWidth="1"/>
    <col min="6" max="9" width="13" style="4" customWidth="1"/>
    <col min="10" max="16384" width="9.140625" style="4"/>
  </cols>
  <sheetData>
    <row r="1" spans="1:9" hidden="1"/>
    <row r="2" spans="1:9" ht="15.75" customHeight="1">
      <c r="A2" s="622" t="str">
        <f>TH!A1</f>
        <v>Đơn vị: CÔNG TY TNHH MỘT THÀNH VIÊN KHỞI NGUYÊN AN</v>
      </c>
      <c r="G2" s="821" t="s">
        <v>140</v>
      </c>
      <c r="H2" s="821"/>
      <c r="I2" s="821"/>
    </row>
    <row r="3" spans="1:9" ht="15.75" customHeight="1">
      <c r="A3" s="831" t="str">
        <f>TH!A2</f>
        <v>Địa chỉ: Thửa đất số 144, tờ bản đồ số 12TĐH.1, tổ 1, khu phố Đông Tác, Phường Tân Đông Hiệp, Thị Xã Dĩ An, Tỉnh Bình Dương, Việt Nam</v>
      </c>
      <c r="B3" s="831"/>
      <c r="C3" s="831"/>
      <c r="D3" s="831"/>
      <c r="E3" s="831"/>
      <c r="F3" s="831"/>
      <c r="G3" s="822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22"/>
      <c r="I3" s="822"/>
    </row>
    <row r="4" spans="1:9">
      <c r="A4" s="831"/>
      <c r="B4" s="831"/>
      <c r="C4" s="831"/>
      <c r="D4" s="831"/>
      <c r="E4" s="831"/>
      <c r="F4" s="831"/>
      <c r="G4" s="822"/>
      <c r="H4" s="822"/>
      <c r="I4" s="822"/>
    </row>
    <row r="5" spans="1:9" ht="24.75" customHeight="1">
      <c r="A5" s="823" t="s">
        <v>141</v>
      </c>
      <c r="B5" s="823"/>
      <c r="C5" s="823"/>
      <c r="D5" s="823"/>
      <c r="E5" s="823"/>
      <c r="F5" s="823"/>
      <c r="G5" s="823"/>
      <c r="H5" s="823"/>
      <c r="I5" s="823"/>
    </row>
    <row r="6" spans="1:9">
      <c r="A6" s="824" t="s">
        <v>142</v>
      </c>
      <c r="B6" s="825"/>
      <c r="C6" s="825"/>
      <c r="D6" s="825"/>
      <c r="E6" s="825"/>
      <c r="F6" s="825"/>
      <c r="G6" s="825"/>
      <c r="H6" s="825"/>
      <c r="I6" s="825"/>
    </row>
    <row r="7" spans="1:9">
      <c r="B7" s="4"/>
      <c r="C7" s="4"/>
      <c r="D7" s="108" t="s">
        <v>143</v>
      </c>
      <c r="E7" s="1036" t="s">
        <v>90</v>
      </c>
      <c r="F7" s="1036"/>
    </row>
    <row r="8" spans="1:9">
      <c r="B8" s="4"/>
      <c r="C8" s="4"/>
      <c r="D8" s="108" t="s">
        <v>144</v>
      </c>
      <c r="E8" s="4" t="str">
        <f>VLOOKUP($E$7,DSTK,2,0)</f>
        <v xml:space="preserve"> Xác định kết quả kinh doanh </v>
      </c>
    </row>
    <row r="9" spans="1:9">
      <c r="A9" s="825" t="s">
        <v>29</v>
      </c>
      <c r="B9" s="826"/>
      <c r="C9" s="826"/>
      <c r="D9" s="826"/>
      <c r="E9" s="826"/>
      <c r="F9" s="826"/>
      <c r="G9" s="826"/>
      <c r="H9" s="826"/>
      <c r="I9" s="826"/>
    </row>
    <row r="10" spans="1:9" ht="3" customHeight="1">
      <c r="C10" s="827"/>
      <c r="D10" s="828"/>
      <c r="E10" s="828"/>
      <c r="F10" s="828"/>
      <c r="G10" s="828"/>
      <c r="H10" s="828"/>
      <c r="I10" s="828"/>
    </row>
    <row r="11" spans="1:9" ht="17.25" customHeight="1">
      <c r="A11" s="829" t="s">
        <v>20</v>
      </c>
      <c r="B11" s="819" t="s">
        <v>1</v>
      </c>
      <c r="C11" s="830"/>
      <c r="D11" s="829" t="s">
        <v>0</v>
      </c>
      <c r="E11" s="829" t="s">
        <v>14</v>
      </c>
      <c r="F11" s="819" t="s">
        <v>21</v>
      </c>
      <c r="G11" s="830"/>
      <c r="H11" s="819" t="s">
        <v>31</v>
      </c>
      <c r="I11" s="820"/>
    </row>
    <row r="12" spans="1:9" ht="29.25" customHeight="1">
      <c r="A12" s="829"/>
      <c r="B12" s="641" t="s">
        <v>15</v>
      </c>
      <c r="C12" s="641" t="s">
        <v>32</v>
      </c>
      <c r="D12" s="829"/>
      <c r="E12" s="829"/>
      <c r="F12" s="641" t="s">
        <v>22</v>
      </c>
      <c r="G12" s="641" t="s">
        <v>23</v>
      </c>
      <c r="H12" s="641" t="s">
        <v>22</v>
      </c>
      <c r="I12" s="641" t="s">
        <v>23</v>
      </c>
    </row>
    <row r="13" spans="1:9" s="594" customFormat="1" ht="11.25" customHeight="1">
      <c r="A13" s="624" t="s">
        <v>2</v>
      </c>
      <c r="B13" s="625" t="s">
        <v>3</v>
      </c>
      <c r="C13" s="624" t="s">
        <v>4</v>
      </c>
      <c r="D13" s="624" t="s">
        <v>5</v>
      </c>
      <c r="E13" s="624" t="s">
        <v>6</v>
      </c>
      <c r="F13" s="624">
        <v>1</v>
      </c>
      <c r="G13" s="624">
        <v>2</v>
      </c>
      <c r="H13" s="624">
        <v>3</v>
      </c>
      <c r="I13" s="624">
        <v>4</v>
      </c>
    </row>
    <row r="14" spans="1:9" ht="18" customHeight="1">
      <c r="A14" s="642"/>
      <c r="B14" s="643"/>
      <c r="C14" s="642"/>
      <c r="D14" s="644" t="s">
        <v>7</v>
      </c>
      <c r="E14" s="643"/>
      <c r="F14" s="645"/>
      <c r="G14" s="645"/>
      <c r="H14" s="645">
        <f>VLOOKUP($E$7,DSTK,3,0)</f>
        <v>0</v>
      </c>
      <c r="I14" s="645">
        <f>VLOOKUP($E$7,DSTK,4,0)</f>
        <v>0</v>
      </c>
    </row>
    <row r="15" spans="1:9" ht="18" customHeight="1">
      <c r="A15" s="646">
        <f ca="1">IF(ROWS($1:1)&gt;COUNT(Dong5),"",OFFSET(TH!C$1,SMALL(Dong5,ROWS($1:1)),))</f>
        <v>41274</v>
      </c>
      <c r="B15" s="646" t="str">
        <f ca="1">IF(ROWS($1:1)&gt;COUNT(Dong5),"",OFFSET(TH!D$1,SMALL(Dong5,ROWS($1:1)),))</f>
        <v>BTKC</v>
      </c>
      <c r="C15" s="646">
        <f ca="1">IF(ROWS($1:1)&gt;COUNT(Dong5),"",OFFSET(TH!E$1,SMALL(Dong5,ROWS($1:1)),))</f>
        <v>41274</v>
      </c>
      <c r="D15" s="647" t="str">
        <f ca="1">IF(ROWS($1:1)&gt;COUNT(Dong5),"",OFFSET(TH!F$1,SMALL(Dong5,ROWS($1:1)),))</f>
        <v>Kết chuyển giá vốn thành phẩm</v>
      </c>
      <c r="E15" s="646" t="str">
        <f ca="1">IF(ROWS($1:1)&gt;COUNT(Dong5),"",IF(OFFSET(TH!L$1,SMALL(Dong5,ROWS($1:1)),)=$E$7,OFFSET(TH!M$1,SMALL(Dong5,ROWS($1:1)),),OFFSET(TH!L$1,SMALL(Dong5,ROWS($1:1)),)))</f>
        <v>632</v>
      </c>
      <c r="F15" s="648">
        <f ca="1">IF(ROWS($1:1)&gt;COUNT(Dong5),0,IF(OFFSET(TH!L$1,SMALL(Dong5,ROWS($1:1)),)=$E$7,OFFSET(TH!K$1,SMALL(Dong5,ROWS($1:1)),),0))</f>
        <v>215979406</v>
      </c>
      <c r="G15" s="645">
        <f ca="1">IF(ROWS($1:1)&gt;COUNT(Dong5),0,IF(OFFSET(TH!M$1,SMALL(Dong5,ROWS($1:1)),)=$E$7,OFFSET(TH!K$1,SMALL(Dong5,ROWS($1:1)),),0))</f>
        <v>0</v>
      </c>
      <c r="H15" s="649">
        <f ca="1">IF(D15&lt;&gt;"",MAX(H14+F15-G15-I14,0),0)</f>
        <v>215979406</v>
      </c>
      <c r="I15" s="649">
        <f ca="1">IF(D15&lt;&gt;"",MAX(I14+G15-H14-F15,0),0)</f>
        <v>0</v>
      </c>
    </row>
    <row r="16" spans="1:9" ht="18" customHeight="1">
      <c r="A16" s="646">
        <f ca="1">IF(ROWS($1:2)&gt;COUNT(Dong5),"",OFFSET(TH!C$1,SMALL(Dong5,ROWS($1:2)),))</f>
        <v>41274</v>
      </c>
      <c r="B16" s="646" t="str">
        <f ca="1">IF(ROWS($1:2)&gt;COUNT(Dong5),"",OFFSET(TH!D$1,SMALL(Dong5,ROWS($1:2)),))</f>
        <v>BTKC</v>
      </c>
      <c r="C16" s="646">
        <f ca="1">IF(ROWS($1:2)&gt;COUNT(Dong5),"",OFFSET(TH!E$1,SMALL(Dong5,ROWS($1:2)),))</f>
        <v>41274</v>
      </c>
      <c r="D16" s="647" t="str">
        <f ca="1">IF(ROWS($1:2)&gt;COUNT(Dong5),"",OFFSET(TH!F$1,SMALL(Dong5,ROWS($1:2)),))</f>
        <v>K/C chi phí quản lý doanh nghiệp</v>
      </c>
      <c r="E16" s="646" t="str">
        <f ca="1">IF(ROWS($1:2)&gt;COUNT(Dong5),"",IF(OFFSET(TH!L$1,SMALL(Dong5,ROWS($1:2)),)=$E$7,OFFSET(TH!M$1,SMALL(Dong5,ROWS($1:2)),),OFFSET(TH!L$1,SMALL(Dong5,ROWS($1:2)),)))</f>
        <v>642</v>
      </c>
      <c r="F16" s="648">
        <f ca="1">IF(ROWS($1:2)&gt;COUNT(Dong5),0,IF(OFFSET(TH!L$1,SMALL(Dong5,ROWS($1:2)),)=$E$7,OFFSET(TH!K$1,SMALL(Dong5,ROWS($1:2)),),0))</f>
        <v>65483368</v>
      </c>
      <c r="G16" s="645">
        <f ca="1">IF(ROWS($1:2)&gt;COUNT(Dong5),0,IF(OFFSET(TH!M$1,SMALL(Dong5,ROWS($1:2)),)=$E$7,OFFSET(TH!K$1,SMALL(Dong5,ROWS($1:2)),),0))</f>
        <v>0</v>
      </c>
      <c r="H16" s="649">
        <f t="shared" ref="H16:H20" ca="1" si="0">IF(D16&lt;&gt;"",MAX(H15+F16-G16-I15,0),0)</f>
        <v>281462774</v>
      </c>
      <c r="I16" s="649">
        <f t="shared" ref="I16:I20" ca="1" si="1">IF(D16&lt;&gt;"",MAX(I15+G16-H15-F16,0),0)</f>
        <v>0</v>
      </c>
    </row>
    <row r="17" spans="1:9" ht="18" customHeight="1">
      <c r="A17" s="646">
        <f ca="1">IF(ROWS($1:3)&gt;COUNT(Dong5),"",OFFSET(TH!C$1,SMALL(Dong5,ROWS($1:3)),))</f>
        <v>41274</v>
      </c>
      <c r="B17" s="646" t="str">
        <f ca="1">IF(ROWS($1:3)&gt;COUNT(Dong5),"",OFFSET(TH!D$1,SMALL(Dong5,ROWS($1:3)),))</f>
        <v>BTKC</v>
      </c>
      <c r="C17" s="646">
        <f ca="1">IF(ROWS($1:3)&gt;COUNT(Dong5),"",OFFSET(TH!E$1,SMALL(Dong5,ROWS($1:3)),))</f>
        <v>41274</v>
      </c>
      <c r="D17" s="647" t="str">
        <f ca="1">IF(ROWS($1:3)&gt;COUNT(Dong5),"",OFFSET(TH!F$1,SMALL(Dong5,ROWS($1:3)),))</f>
        <v>K/C doanh thu hoạt động tài chính</v>
      </c>
      <c r="E17" s="646" t="str">
        <f ca="1">IF(ROWS($1:3)&gt;COUNT(Dong5),"",IF(OFFSET(TH!L$1,SMALL(Dong5,ROWS($1:3)),)=$E$7,OFFSET(TH!M$1,SMALL(Dong5,ROWS($1:3)),),OFFSET(TH!L$1,SMALL(Dong5,ROWS($1:3)),)))</f>
        <v>515</v>
      </c>
      <c r="F17" s="648">
        <f ca="1">IF(ROWS($1:3)&gt;COUNT(Dong5),0,IF(OFFSET(TH!L$1,SMALL(Dong5,ROWS($1:3)),)=$E$7,OFFSET(TH!K$1,SMALL(Dong5,ROWS($1:3)),),0))</f>
        <v>0</v>
      </c>
      <c r="G17" s="645">
        <f ca="1">IF(ROWS($1:3)&gt;COUNT(Dong5),0,IF(OFFSET(TH!M$1,SMALL(Dong5,ROWS($1:3)),)=$E$7,OFFSET(TH!K$1,SMALL(Dong5,ROWS($1:3)),),0))</f>
        <v>54361</v>
      </c>
      <c r="H17" s="649">
        <f t="shared" ca="1" si="0"/>
        <v>281408413</v>
      </c>
      <c r="I17" s="649">
        <f t="shared" ca="1" si="1"/>
        <v>0</v>
      </c>
    </row>
    <row r="18" spans="1:9" ht="18" customHeight="1">
      <c r="A18" s="646">
        <f ca="1">IF(ROWS($1:4)&gt;COUNT(Dong5),"",OFFSET(TH!C$1,SMALL(Dong5,ROWS($1:4)),))</f>
        <v>41274</v>
      </c>
      <c r="B18" s="646" t="str">
        <f ca="1">IF(ROWS($1:4)&gt;COUNT(Dong5),"",OFFSET(TH!D$1,SMALL(Dong5,ROWS($1:4)),))</f>
        <v>BTKC</v>
      </c>
      <c r="C18" s="646">
        <f ca="1">IF(ROWS($1:4)&gt;COUNT(Dong5),"",OFFSET(TH!E$1,SMALL(Dong5,ROWS($1:4)),))</f>
        <v>41274</v>
      </c>
      <c r="D18" s="647" t="str">
        <f ca="1">IF(ROWS($1:4)&gt;COUNT(Dong5),"",OFFSET(TH!F$1,SMALL(Dong5,ROWS($1:4)),))</f>
        <v>K/C  Doanh thu bán hàng</v>
      </c>
      <c r="E18" s="646" t="str">
        <f ca="1">IF(ROWS($1:4)&gt;COUNT(Dong5),"",IF(OFFSET(TH!L$1,SMALL(Dong5,ROWS($1:4)),)=$E$7,OFFSET(TH!M$1,SMALL(Dong5,ROWS($1:4)),),OFFSET(TH!L$1,SMALL(Dong5,ROWS($1:4)),)))</f>
        <v>5112</v>
      </c>
      <c r="F18" s="648">
        <f ca="1">IF(ROWS($1:4)&gt;COUNT(Dong5),0,IF(OFFSET(TH!L$1,SMALL(Dong5,ROWS($1:4)),)=$E$7,OFFSET(TH!K$1,SMALL(Dong5,ROWS($1:4)),),0))</f>
        <v>0</v>
      </c>
      <c r="G18" s="645">
        <f ca="1">IF(ROWS($1:4)&gt;COUNT(Dong5),0,IF(OFFSET(TH!M$1,SMALL(Dong5,ROWS($1:4)),)=$E$7,OFFSET(TH!K$1,SMALL(Dong5,ROWS($1:4)),),0))</f>
        <v>245490958</v>
      </c>
      <c r="H18" s="649">
        <f t="shared" ca="1" si="0"/>
        <v>35917455</v>
      </c>
      <c r="I18" s="649">
        <f t="shared" ca="1" si="1"/>
        <v>0</v>
      </c>
    </row>
    <row r="19" spans="1:9" ht="18" customHeight="1">
      <c r="A19" s="646">
        <f ca="1">IF(ROWS($1:5)&gt;COUNT(Dong5),"",OFFSET(TH!C$1,SMALL(Dong5,ROWS($1:5)),))</f>
        <v>41274</v>
      </c>
      <c r="B19" s="646" t="str">
        <f ca="1">IF(ROWS($1:5)&gt;COUNT(Dong5),"",OFFSET(TH!D$1,SMALL(Dong5,ROWS($1:5)),))</f>
        <v>BTKC</v>
      </c>
      <c r="C19" s="646">
        <f ca="1">IF(ROWS($1:5)&gt;COUNT(Dong5),"",OFFSET(TH!E$1,SMALL(Dong5,ROWS($1:5)),))</f>
        <v>41274</v>
      </c>
      <c r="D19" s="647" t="str">
        <f ca="1">IF(ROWS($1:5)&gt;COUNT(Dong5),"",OFFSET(TH!F$1,SMALL(Dong5,ROWS($1:5)),))</f>
        <v>K/C lỗ SXKD</v>
      </c>
      <c r="E19" s="646" t="str">
        <f ca="1">IF(ROWS($1:5)&gt;COUNT(Dong5),"",IF(OFFSET(TH!L$1,SMALL(Dong5,ROWS($1:5)),)=$E$7,OFFSET(TH!M$1,SMALL(Dong5,ROWS($1:5)),),OFFSET(TH!L$1,SMALL(Dong5,ROWS($1:5)),)))</f>
        <v>4212</v>
      </c>
      <c r="F19" s="648">
        <f ca="1">IF(ROWS($1:5)&gt;COUNT(Dong5),0,IF(OFFSET(TH!L$1,SMALL(Dong5,ROWS($1:5)),)=$E$7,OFFSET(TH!K$1,SMALL(Dong5,ROWS($1:5)),),0))</f>
        <v>0</v>
      </c>
      <c r="G19" s="645">
        <f ca="1">IF(ROWS($1:5)&gt;COUNT(Dong5),0,IF(OFFSET(TH!M$1,SMALL(Dong5,ROWS($1:5)),)=$E$7,OFFSET(TH!K$1,SMALL(Dong5,ROWS($1:5)),),0))</f>
        <v>35917455</v>
      </c>
      <c r="H19" s="649">
        <f t="shared" ca="1" si="0"/>
        <v>0</v>
      </c>
      <c r="I19" s="649">
        <f t="shared" ca="1" si="1"/>
        <v>0</v>
      </c>
    </row>
    <row r="20" spans="1:9" ht="18" customHeight="1">
      <c r="A20" s="646" t="str">
        <f ca="1">IF(ROWS($1:6)&gt;COUNT(Dong5),"",OFFSET(TH!C$1,SMALL(Dong5,ROWS($1:6)),))</f>
        <v/>
      </c>
      <c r="B20" s="646" t="str">
        <f ca="1">IF(ROWS($1:6)&gt;COUNT(Dong5),"",OFFSET(TH!D$1,SMALL(Dong5,ROWS($1:6)),))</f>
        <v/>
      </c>
      <c r="C20" s="646" t="str">
        <f ca="1">IF(ROWS($1:6)&gt;COUNT(Dong5),"",OFFSET(TH!E$1,SMALL(Dong5,ROWS($1:6)),))</f>
        <v/>
      </c>
      <c r="D20" s="647" t="str">
        <f ca="1">IF(ROWS($1:6)&gt;COUNT(Dong5),"",OFFSET(TH!F$1,SMALL(Dong5,ROWS($1:6)),))</f>
        <v/>
      </c>
      <c r="E20" s="646" t="str">
        <f ca="1">IF(ROWS($1:6)&gt;COUNT(Dong5),"",IF(OFFSET(TH!L$1,SMALL(Dong5,ROWS($1:6)),)=$E$7,OFFSET(TH!M$1,SMALL(Dong5,ROWS($1:6)),),OFFSET(TH!L$1,SMALL(Dong5,ROWS($1:6)),)))</f>
        <v/>
      </c>
      <c r="F20" s="648">
        <f ca="1">IF(ROWS($1:6)&gt;COUNT(Dong5),0,IF(OFFSET(TH!L$1,SMALL(Dong5,ROWS($1:6)),)=$E$7,OFFSET(TH!K$1,SMALL(Dong5,ROWS($1:6)),),0))</f>
        <v>0</v>
      </c>
      <c r="G20" s="645">
        <f ca="1">IF(ROWS($1:6)&gt;COUNT(Dong5),0,IF(OFFSET(TH!M$1,SMALL(Dong5,ROWS($1:6)),)=$E$7,OFFSET(TH!K$1,SMALL(Dong5,ROWS($1:6)),),0))</f>
        <v>0</v>
      </c>
      <c r="H20" s="649">
        <f t="shared" ca="1" si="0"/>
        <v>0</v>
      </c>
      <c r="I20" s="649">
        <f t="shared" ca="1" si="1"/>
        <v>0</v>
      </c>
    </row>
    <row r="21" spans="1:9" ht="18" customHeight="1">
      <c r="A21" s="646" t="str">
        <f ca="1">IF(ROWS($1:7)&gt;COUNT(Dong5),"",OFFSET(TH!C$1,SMALL(Dong5,ROWS($1:7)),))</f>
        <v/>
      </c>
      <c r="B21" s="646" t="str">
        <f ca="1">IF(ROWS($1:7)&gt;COUNT(Dong5),"",OFFSET(TH!D$1,SMALL(Dong5,ROWS($1:7)),))</f>
        <v/>
      </c>
      <c r="C21" s="646" t="str">
        <f ca="1">IF(ROWS($1:7)&gt;COUNT(Dong5),"",OFFSET(TH!E$1,SMALL(Dong5,ROWS($1:7)),))</f>
        <v/>
      </c>
      <c r="D21" s="647" t="str">
        <f ca="1">IF(ROWS($1:7)&gt;COUNT(Dong5),"",OFFSET(TH!F$1,SMALL(Dong5,ROWS($1:7)),))</f>
        <v/>
      </c>
      <c r="E21" s="646" t="str">
        <f ca="1">IF(ROWS($1:7)&gt;COUNT(Dong5),"",IF(OFFSET(TH!L$1,SMALL(Dong5,ROWS($1:7)),)=$E$7,OFFSET(TH!M$1,SMALL(Dong5,ROWS($1:7)),),OFFSET(TH!L$1,SMALL(Dong5,ROWS($1:7)),)))</f>
        <v/>
      </c>
      <c r="F21" s="648">
        <f ca="1">IF(ROWS($1:7)&gt;COUNT(Dong5),0,IF(OFFSET(TH!L$1,SMALL(Dong5,ROWS($1:7)),)=$E$7,OFFSET(TH!K$1,SMALL(Dong5,ROWS($1:7)),),0))</f>
        <v>0</v>
      </c>
      <c r="G21" s="645">
        <f ca="1">IF(ROWS($1:7)&gt;COUNT(Dong5),0,IF(OFFSET(TH!M$1,SMALL(Dong5,ROWS($1:7)),)=$E$7,OFFSET(TH!K$1,SMALL(Dong5,ROWS($1:7)),),0))</f>
        <v>0</v>
      </c>
      <c r="H21" s="649">
        <f t="shared" ref="H21:H29" ca="1" si="2">IF(D21&lt;&gt;"",MAX(H20+F21-G21-I20,0),0)</f>
        <v>0</v>
      </c>
      <c r="I21" s="649">
        <f t="shared" ref="I21:I29" ca="1" si="3">IF(D21&lt;&gt;"",MAX(I20+G21-H20-F21,0),0)</f>
        <v>0</v>
      </c>
    </row>
    <row r="22" spans="1:9" ht="18" customHeight="1">
      <c r="A22" s="646" t="str">
        <f ca="1">IF(ROWS($1:8)&gt;COUNT(Dong5),"",OFFSET(TH!C$1,SMALL(Dong5,ROWS($1:8)),))</f>
        <v/>
      </c>
      <c r="B22" s="646" t="str">
        <f ca="1">IF(ROWS($1:8)&gt;COUNT(Dong5),"",OFFSET(TH!D$1,SMALL(Dong5,ROWS($1:8)),))</f>
        <v/>
      </c>
      <c r="C22" s="646" t="str">
        <f ca="1">IF(ROWS($1:8)&gt;COUNT(Dong5),"",OFFSET(TH!E$1,SMALL(Dong5,ROWS($1:8)),))</f>
        <v/>
      </c>
      <c r="D22" s="647" t="str">
        <f ca="1">IF(ROWS($1:8)&gt;COUNT(Dong5),"",OFFSET(TH!F$1,SMALL(Dong5,ROWS($1:8)),))</f>
        <v/>
      </c>
      <c r="E22" s="646" t="str">
        <f ca="1">IF(ROWS($1:8)&gt;COUNT(Dong5),"",IF(OFFSET(TH!L$1,SMALL(Dong5,ROWS($1:8)),)=$E$7,OFFSET(TH!M$1,SMALL(Dong5,ROWS($1:8)),),OFFSET(TH!L$1,SMALL(Dong5,ROWS($1:8)),)))</f>
        <v/>
      </c>
      <c r="F22" s="648">
        <f ca="1">IF(ROWS($1:8)&gt;COUNT(Dong5),0,IF(OFFSET(TH!L$1,SMALL(Dong5,ROWS($1:8)),)=$E$7,OFFSET(TH!K$1,SMALL(Dong5,ROWS($1:8)),),0))</f>
        <v>0</v>
      </c>
      <c r="G22" s="645">
        <f ca="1">IF(ROWS($1:8)&gt;COUNT(Dong5),0,IF(OFFSET(TH!M$1,SMALL(Dong5,ROWS($1:8)),)=$E$7,OFFSET(TH!K$1,SMALL(Dong5,ROWS($1:8)),),0))</f>
        <v>0</v>
      </c>
      <c r="H22" s="649">
        <f t="shared" ca="1" si="2"/>
        <v>0</v>
      </c>
      <c r="I22" s="649">
        <f t="shared" ca="1" si="3"/>
        <v>0</v>
      </c>
    </row>
    <row r="23" spans="1:9" ht="18" customHeight="1">
      <c r="A23" s="646" t="str">
        <f ca="1">IF(ROWS($1:9)&gt;COUNT(Dong5),"",OFFSET(TH!C$1,SMALL(Dong5,ROWS($1:9)),))</f>
        <v/>
      </c>
      <c r="B23" s="646" t="str">
        <f ca="1">IF(ROWS($1:9)&gt;COUNT(Dong5),"",OFFSET(TH!D$1,SMALL(Dong5,ROWS($1:9)),))</f>
        <v/>
      </c>
      <c r="C23" s="646" t="str">
        <f ca="1">IF(ROWS($1:9)&gt;COUNT(Dong5),"",OFFSET(TH!E$1,SMALL(Dong5,ROWS($1:9)),))</f>
        <v/>
      </c>
      <c r="D23" s="647" t="str">
        <f ca="1">IF(ROWS($1:9)&gt;COUNT(Dong5),"",OFFSET(TH!F$1,SMALL(Dong5,ROWS($1:9)),))</f>
        <v/>
      </c>
      <c r="E23" s="646" t="str">
        <f ca="1">IF(ROWS($1:9)&gt;COUNT(Dong5),"",IF(OFFSET(TH!L$1,SMALL(Dong5,ROWS($1:9)),)=$E$7,OFFSET(TH!M$1,SMALL(Dong5,ROWS($1:9)),),OFFSET(TH!L$1,SMALL(Dong5,ROWS($1:9)),)))</f>
        <v/>
      </c>
      <c r="F23" s="648">
        <f ca="1">IF(ROWS($1:9)&gt;COUNT(Dong5),0,IF(OFFSET(TH!L$1,SMALL(Dong5,ROWS($1:9)),)=$E$7,OFFSET(TH!K$1,SMALL(Dong5,ROWS($1:9)),),0))</f>
        <v>0</v>
      </c>
      <c r="G23" s="645">
        <f ca="1">IF(ROWS($1:9)&gt;COUNT(Dong5),0,IF(OFFSET(TH!M$1,SMALL(Dong5,ROWS($1:9)),)=$E$7,OFFSET(TH!K$1,SMALL(Dong5,ROWS($1:9)),),0))</f>
        <v>0</v>
      </c>
      <c r="H23" s="649">
        <f t="shared" ca="1" si="2"/>
        <v>0</v>
      </c>
      <c r="I23" s="649">
        <f t="shared" ca="1" si="3"/>
        <v>0</v>
      </c>
    </row>
    <row r="24" spans="1:9" ht="18" customHeight="1">
      <c r="A24" s="646" t="str">
        <f ca="1">IF(ROWS($1:10)&gt;COUNT(Dong5),"",OFFSET(TH!C$1,SMALL(Dong5,ROWS($1:10)),))</f>
        <v/>
      </c>
      <c r="B24" s="646" t="str">
        <f ca="1">IF(ROWS($1:10)&gt;COUNT(Dong5),"",OFFSET(TH!D$1,SMALL(Dong5,ROWS($1:10)),))</f>
        <v/>
      </c>
      <c r="C24" s="646" t="str">
        <f ca="1">IF(ROWS($1:10)&gt;COUNT(Dong5),"",OFFSET(TH!E$1,SMALL(Dong5,ROWS($1:10)),))</f>
        <v/>
      </c>
      <c r="D24" s="647" t="str">
        <f ca="1">IF(ROWS($1:10)&gt;COUNT(Dong5),"",OFFSET(TH!F$1,SMALL(Dong5,ROWS($1:10)),))</f>
        <v/>
      </c>
      <c r="E24" s="646" t="str">
        <f ca="1">IF(ROWS($1:10)&gt;COUNT(Dong5),"",IF(OFFSET(TH!L$1,SMALL(Dong5,ROWS($1:10)),)=$E$7,OFFSET(TH!M$1,SMALL(Dong5,ROWS($1:10)),),OFFSET(TH!L$1,SMALL(Dong5,ROWS($1:10)),)))</f>
        <v/>
      </c>
      <c r="F24" s="648">
        <f ca="1">IF(ROWS($1:10)&gt;COUNT(Dong5),0,IF(OFFSET(TH!L$1,SMALL(Dong5,ROWS($1:10)),)=$E$7,OFFSET(TH!K$1,SMALL(Dong5,ROWS($1:10)),),0))</f>
        <v>0</v>
      </c>
      <c r="G24" s="645">
        <f ca="1">IF(ROWS($1:10)&gt;COUNT(Dong5),0,IF(OFFSET(TH!M$1,SMALL(Dong5,ROWS($1:10)),)=$E$7,OFFSET(TH!K$1,SMALL(Dong5,ROWS($1:10)),),0))</f>
        <v>0</v>
      </c>
      <c r="H24" s="649">
        <f t="shared" ca="1" si="2"/>
        <v>0</v>
      </c>
      <c r="I24" s="649">
        <f t="shared" ca="1" si="3"/>
        <v>0</v>
      </c>
    </row>
    <row r="25" spans="1:9" ht="18" customHeight="1">
      <c r="A25" s="646" t="str">
        <f ca="1">IF(ROWS($1:11)&gt;COUNT(Dong5),"",OFFSET(TH!C$1,SMALL(Dong5,ROWS($1:11)),))</f>
        <v/>
      </c>
      <c r="B25" s="646" t="str">
        <f ca="1">IF(ROWS($1:11)&gt;COUNT(Dong5),"",OFFSET(TH!D$1,SMALL(Dong5,ROWS($1:11)),))</f>
        <v/>
      </c>
      <c r="C25" s="646" t="str">
        <f ca="1">IF(ROWS($1:11)&gt;COUNT(Dong5),"",OFFSET(TH!E$1,SMALL(Dong5,ROWS($1:11)),))</f>
        <v/>
      </c>
      <c r="D25" s="647" t="str">
        <f ca="1">IF(ROWS($1:11)&gt;COUNT(Dong5),"",OFFSET(TH!F$1,SMALL(Dong5,ROWS($1:11)),))</f>
        <v/>
      </c>
      <c r="E25" s="646" t="str">
        <f ca="1">IF(ROWS($1:11)&gt;COUNT(Dong5),"",IF(OFFSET(TH!L$1,SMALL(Dong5,ROWS($1:11)),)=$E$7,OFFSET(TH!M$1,SMALL(Dong5,ROWS($1:11)),),OFFSET(TH!L$1,SMALL(Dong5,ROWS($1:11)),)))</f>
        <v/>
      </c>
      <c r="F25" s="648">
        <f ca="1">IF(ROWS($1:11)&gt;COUNT(Dong5),0,IF(OFFSET(TH!L$1,SMALL(Dong5,ROWS($1:11)),)=$E$7,OFFSET(TH!K$1,SMALL(Dong5,ROWS($1:11)),),0))</f>
        <v>0</v>
      </c>
      <c r="G25" s="645">
        <f ca="1">IF(ROWS($1:11)&gt;COUNT(Dong5),0,IF(OFFSET(TH!M$1,SMALL(Dong5,ROWS($1:11)),)=$E$7,OFFSET(TH!K$1,SMALL(Dong5,ROWS($1:11)),),0))</f>
        <v>0</v>
      </c>
      <c r="H25" s="649">
        <f t="shared" ca="1" si="2"/>
        <v>0</v>
      </c>
      <c r="I25" s="649">
        <f t="shared" ca="1" si="3"/>
        <v>0</v>
      </c>
    </row>
    <row r="26" spans="1:9" ht="18" customHeight="1">
      <c r="A26" s="646" t="str">
        <f ca="1">IF(ROWS($1:12)&gt;COUNT(Dong5),"",OFFSET(TH!C$1,SMALL(Dong5,ROWS($1:12)),))</f>
        <v/>
      </c>
      <c r="B26" s="646" t="str">
        <f ca="1">IF(ROWS($1:12)&gt;COUNT(Dong5),"",OFFSET(TH!D$1,SMALL(Dong5,ROWS($1:12)),))</f>
        <v/>
      </c>
      <c r="C26" s="646" t="str">
        <f ca="1">IF(ROWS($1:12)&gt;COUNT(Dong5),"",OFFSET(TH!E$1,SMALL(Dong5,ROWS($1:12)),))</f>
        <v/>
      </c>
      <c r="D26" s="647" t="str">
        <f ca="1">IF(ROWS($1:12)&gt;COUNT(Dong5),"",OFFSET(TH!F$1,SMALL(Dong5,ROWS($1:12)),))</f>
        <v/>
      </c>
      <c r="E26" s="646" t="str">
        <f ca="1">IF(ROWS($1:12)&gt;COUNT(Dong5),"",IF(OFFSET(TH!L$1,SMALL(Dong5,ROWS($1:12)),)=$E$7,OFFSET(TH!M$1,SMALL(Dong5,ROWS($1:12)),),OFFSET(TH!L$1,SMALL(Dong5,ROWS($1:12)),)))</f>
        <v/>
      </c>
      <c r="F26" s="648">
        <f ca="1">IF(ROWS($1:12)&gt;COUNT(Dong5),0,IF(OFFSET(TH!L$1,SMALL(Dong5,ROWS($1:12)),)=$E$7,OFFSET(TH!K$1,SMALL(Dong5,ROWS($1:12)),),0))</f>
        <v>0</v>
      </c>
      <c r="G26" s="645">
        <f ca="1">IF(ROWS($1:12)&gt;COUNT(Dong5),0,IF(OFFSET(TH!M$1,SMALL(Dong5,ROWS($1:12)),)=$E$7,OFFSET(TH!K$1,SMALL(Dong5,ROWS($1:12)),),0))</f>
        <v>0</v>
      </c>
      <c r="H26" s="649">
        <f t="shared" ca="1" si="2"/>
        <v>0</v>
      </c>
      <c r="I26" s="649">
        <f t="shared" ca="1" si="3"/>
        <v>0</v>
      </c>
    </row>
    <row r="27" spans="1:9" ht="18" customHeight="1">
      <c r="A27" s="646" t="str">
        <f ca="1">IF(ROWS($1:13)&gt;COUNT(Dong5),"",OFFSET(TH!C$1,SMALL(Dong5,ROWS($1:13)),))</f>
        <v/>
      </c>
      <c r="B27" s="646" t="str">
        <f ca="1">IF(ROWS($1:13)&gt;COUNT(Dong5),"",OFFSET(TH!D$1,SMALL(Dong5,ROWS($1:13)),))</f>
        <v/>
      </c>
      <c r="C27" s="646" t="str">
        <f ca="1">IF(ROWS($1:13)&gt;COUNT(Dong5),"",OFFSET(TH!E$1,SMALL(Dong5,ROWS($1:13)),))</f>
        <v/>
      </c>
      <c r="D27" s="647" t="str">
        <f ca="1">IF(ROWS($1:13)&gt;COUNT(Dong5),"",OFFSET(TH!F$1,SMALL(Dong5,ROWS($1:13)),))</f>
        <v/>
      </c>
      <c r="E27" s="646" t="str">
        <f ca="1">IF(ROWS($1:13)&gt;COUNT(Dong5),"",IF(OFFSET(TH!L$1,SMALL(Dong5,ROWS($1:13)),)=$E$7,OFFSET(TH!M$1,SMALL(Dong5,ROWS($1:13)),),OFFSET(TH!L$1,SMALL(Dong5,ROWS($1:13)),)))</f>
        <v/>
      </c>
      <c r="F27" s="648">
        <f ca="1">IF(ROWS($1:13)&gt;COUNT(Dong5),0,IF(OFFSET(TH!L$1,SMALL(Dong5,ROWS($1:13)),)=$E$7,OFFSET(TH!K$1,SMALL(Dong5,ROWS($1:13)),),0))</f>
        <v>0</v>
      </c>
      <c r="G27" s="645">
        <f ca="1">IF(ROWS($1:13)&gt;COUNT(Dong5),0,IF(OFFSET(TH!M$1,SMALL(Dong5,ROWS($1:13)),)=$E$7,OFFSET(TH!K$1,SMALL(Dong5,ROWS($1:13)),),0))</f>
        <v>0</v>
      </c>
      <c r="H27" s="649">
        <f t="shared" ca="1" si="2"/>
        <v>0</v>
      </c>
      <c r="I27" s="649">
        <f t="shared" ca="1" si="3"/>
        <v>0</v>
      </c>
    </row>
    <row r="28" spans="1:9" ht="18" customHeight="1">
      <c r="A28" s="646" t="str">
        <f ca="1">IF(ROWS($1:14)&gt;COUNT(Dong5),"",OFFSET(TH!C$1,SMALL(Dong5,ROWS($1:14)),))</f>
        <v/>
      </c>
      <c r="B28" s="646" t="str">
        <f ca="1">IF(ROWS($1:14)&gt;COUNT(Dong5),"",OFFSET(TH!D$1,SMALL(Dong5,ROWS($1:14)),))</f>
        <v/>
      </c>
      <c r="C28" s="646" t="str">
        <f ca="1">IF(ROWS($1:14)&gt;COUNT(Dong5),"",OFFSET(TH!E$1,SMALL(Dong5,ROWS($1:14)),))</f>
        <v/>
      </c>
      <c r="D28" s="647" t="str">
        <f ca="1">IF(ROWS($1:14)&gt;COUNT(Dong5),"",OFFSET(TH!F$1,SMALL(Dong5,ROWS($1:14)),))</f>
        <v/>
      </c>
      <c r="E28" s="646" t="str">
        <f ca="1">IF(ROWS($1:14)&gt;COUNT(Dong5),"",IF(OFFSET(TH!L$1,SMALL(Dong5,ROWS($1:14)),)=$E$7,OFFSET(TH!M$1,SMALL(Dong5,ROWS($1:14)),),OFFSET(TH!L$1,SMALL(Dong5,ROWS($1:14)),)))</f>
        <v/>
      </c>
      <c r="F28" s="648">
        <f ca="1">IF(ROWS($1:14)&gt;COUNT(Dong5),0,IF(OFFSET(TH!L$1,SMALL(Dong5,ROWS($1:14)),)=$E$7,OFFSET(TH!K$1,SMALL(Dong5,ROWS($1:14)),),0))</f>
        <v>0</v>
      </c>
      <c r="G28" s="645">
        <f ca="1">IF(ROWS($1:14)&gt;COUNT(Dong5),0,IF(OFFSET(TH!M$1,SMALL(Dong5,ROWS($1:14)),)=$E$7,OFFSET(TH!K$1,SMALL(Dong5,ROWS($1:14)),),0))</f>
        <v>0</v>
      </c>
      <c r="H28" s="649">
        <f t="shared" ca="1" si="2"/>
        <v>0</v>
      </c>
      <c r="I28" s="649">
        <f t="shared" ca="1" si="3"/>
        <v>0</v>
      </c>
    </row>
    <row r="29" spans="1:9" ht="18" customHeight="1">
      <c r="A29" s="646" t="str">
        <f ca="1">IF(ROWS($1:15)&gt;COUNT(Dong5),"",OFFSET(TH!C$1,SMALL(Dong5,ROWS($1:15)),))</f>
        <v/>
      </c>
      <c r="B29" s="646" t="str">
        <f ca="1">IF(ROWS($1:15)&gt;COUNT(Dong5),"",OFFSET(TH!D$1,SMALL(Dong5,ROWS($1:15)),))</f>
        <v/>
      </c>
      <c r="C29" s="646" t="str">
        <f ca="1">IF(ROWS($1:15)&gt;COUNT(Dong5),"",OFFSET(TH!E$1,SMALL(Dong5,ROWS($1:15)),))</f>
        <v/>
      </c>
      <c r="D29" s="647" t="str">
        <f ca="1">IF(ROWS($1:15)&gt;COUNT(Dong5),"",OFFSET(TH!F$1,SMALL(Dong5,ROWS($1:15)),))</f>
        <v/>
      </c>
      <c r="E29" s="646" t="str">
        <f ca="1">IF(ROWS($1:15)&gt;COUNT(Dong5),"",IF(OFFSET(TH!L$1,SMALL(Dong5,ROWS($1:15)),)=$E$7,OFFSET(TH!M$1,SMALL(Dong5,ROWS($1:15)),),OFFSET(TH!L$1,SMALL(Dong5,ROWS($1:15)),)))</f>
        <v/>
      </c>
      <c r="F29" s="648">
        <f ca="1">IF(ROWS($1:15)&gt;COUNT(Dong5),0,IF(OFFSET(TH!L$1,SMALL(Dong5,ROWS($1:15)),)=$E$7,OFFSET(TH!K$1,SMALL(Dong5,ROWS($1:15)),),0))</f>
        <v>0</v>
      </c>
      <c r="G29" s="645">
        <f ca="1">IF(ROWS($1:15)&gt;COUNT(Dong5),0,IF(OFFSET(TH!M$1,SMALL(Dong5,ROWS($1:15)),)=$E$7,OFFSET(TH!K$1,SMALL(Dong5,ROWS($1:15)),),0))</f>
        <v>0</v>
      </c>
      <c r="H29" s="649">
        <f t="shared" ca="1" si="2"/>
        <v>0</v>
      </c>
      <c r="I29" s="649">
        <f t="shared" ca="1" si="3"/>
        <v>0</v>
      </c>
    </row>
    <row r="30" spans="1:9" ht="18" customHeight="1">
      <c r="A30" s="646" t="str">
        <f ca="1">IF(ROWS($1:16)&gt;COUNT(Dong5),"",OFFSET(TH!C$1,SMALL(Dong5,ROWS($1:16)),))</f>
        <v/>
      </c>
      <c r="B30" s="646" t="str">
        <f ca="1">IF(ROWS($1:16)&gt;COUNT(Dong5),"",OFFSET(TH!D$1,SMALL(Dong5,ROWS($1:16)),))</f>
        <v/>
      </c>
      <c r="C30" s="646" t="str">
        <f ca="1">IF(ROWS($1:16)&gt;COUNT(Dong5),"",OFFSET(TH!E$1,SMALL(Dong5,ROWS($1:16)),))</f>
        <v/>
      </c>
      <c r="D30" s="647" t="str">
        <f ca="1">IF(ROWS($1:16)&gt;COUNT(Dong5),"",OFFSET(TH!F$1,SMALL(Dong5,ROWS($1:16)),))</f>
        <v/>
      </c>
      <c r="E30" s="646" t="str">
        <f ca="1">IF(ROWS($1:16)&gt;COUNT(Dong5),"",IF(OFFSET(TH!L$1,SMALL(Dong5,ROWS($1:16)),)=$E$7,OFFSET(TH!M$1,SMALL(Dong5,ROWS($1:16)),),OFFSET(TH!L$1,SMALL(Dong5,ROWS($1:16)),)))</f>
        <v/>
      </c>
      <c r="F30" s="648">
        <f ca="1">IF(ROWS($1:16)&gt;COUNT(Dong5),0,IF(OFFSET(TH!L$1,SMALL(Dong5,ROWS($1:16)),)=$E$7,OFFSET(TH!K$1,SMALL(Dong5,ROWS($1:16)),),0))</f>
        <v>0</v>
      </c>
      <c r="G30" s="645">
        <f ca="1">IF(ROWS($1:16)&gt;COUNT(Dong5),0,IF(OFFSET(TH!M$1,SMALL(Dong5,ROWS($1:16)),)=$E$7,OFFSET(TH!K$1,SMALL(Dong5,ROWS($1:16)),),0))</f>
        <v>0</v>
      </c>
      <c r="H30" s="649">
        <f t="shared" ref="H30" ca="1" si="4">IF(D30&lt;&gt;"",MAX(H29+F30-G30-I29,0),0)</f>
        <v>0</v>
      </c>
      <c r="I30" s="649">
        <f t="shared" ref="I30" ca="1" si="5">IF(D30&lt;&gt;"",MAX(I29+G30-H29-F30,0),0)</f>
        <v>0</v>
      </c>
    </row>
    <row r="31" spans="1:9" ht="18" customHeight="1">
      <c r="A31" s="646" t="str">
        <f ca="1">IF(ROWS($1:17)&gt;COUNT(Dong5),"",OFFSET(TH!C$1,SMALL(Dong5,ROWS($1:17)),))</f>
        <v/>
      </c>
      <c r="B31" s="646" t="str">
        <f ca="1">IF(ROWS($1:17)&gt;COUNT(Dong5),"",OFFSET(TH!D$1,SMALL(Dong5,ROWS($1:17)),))</f>
        <v/>
      </c>
      <c r="C31" s="646" t="str">
        <f ca="1">IF(ROWS($1:17)&gt;COUNT(Dong5),"",OFFSET(TH!E$1,SMALL(Dong5,ROWS($1:17)),))</f>
        <v/>
      </c>
      <c r="D31" s="647" t="str">
        <f ca="1">IF(ROWS($1:17)&gt;COUNT(Dong5),"",OFFSET(TH!F$1,SMALL(Dong5,ROWS($1:17)),))</f>
        <v/>
      </c>
      <c r="E31" s="646" t="str">
        <f ca="1">IF(ROWS($1:17)&gt;COUNT(Dong5),"",IF(OFFSET(TH!L$1,SMALL(Dong5,ROWS($1:17)),)=$E$7,OFFSET(TH!M$1,SMALL(Dong5,ROWS($1:17)),),OFFSET(TH!L$1,SMALL(Dong5,ROWS($1:17)),)))</f>
        <v/>
      </c>
      <c r="F31" s="648">
        <f ca="1">IF(ROWS($1:17)&gt;COUNT(Dong5),0,IF(OFFSET(TH!L$1,SMALL(Dong5,ROWS($1:17)),)=$E$7,OFFSET(TH!K$1,SMALL(Dong5,ROWS($1:17)),),0))</f>
        <v>0</v>
      </c>
      <c r="G31" s="645">
        <f ca="1">IF(ROWS($1:17)&gt;COUNT(Dong5),0,IF(OFFSET(TH!M$1,SMALL(Dong5,ROWS($1:17)),)=$E$7,OFFSET(TH!K$1,SMALL(Dong5,ROWS($1:17)),),0))</f>
        <v>0</v>
      </c>
      <c r="H31" s="649">
        <f t="shared" ref="H31:H46" ca="1" si="6">IF(D31&lt;&gt;"",MAX(H30+F31-G31-I30,0),0)</f>
        <v>0</v>
      </c>
      <c r="I31" s="649">
        <f t="shared" ref="I31:I46" ca="1" si="7">IF(D31&lt;&gt;"",MAX(I30+G31-H30-F31,0),0)</f>
        <v>0</v>
      </c>
    </row>
    <row r="32" spans="1:9" ht="18" customHeight="1">
      <c r="A32" s="646" t="str">
        <f ca="1">IF(ROWS($1:18)&gt;COUNT(Dong5),"",OFFSET(TH!C$1,SMALL(Dong5,ROWS($1:18)),))</f>
        <v/>
      </c>
      <c r="B32" s="646" t="str">
        <f ca="1">IF(ROWS($1:18)&gt;COUNT(Dong5),"",OFFSET(TH!D$1,SMALL(Dong5,ROWS($1:18)),))</f>
        <v/>
      </c>
      <c r="C32" s="646" t="str">
        <f ca="1">IF(ROWS($1:18)&gt;COUNT(Dong5),"",OFFSET(TH!E$1,SMALL(Dong5,ROWS($1:18)),))</f>
        <v/>
      </c>
      <c r="D32" s="647" t="str">
        <f ca="1">IF(ROWS($1:18)&gt;COUNT(Dong5),"",OFFSET(TH!F$1,SMALL(Dong5,ROWS($1:18)),))</f>
        <v/>
      </c>
      <c r="E32" s="646" t="str">
        <f ca="1">IF(ROWS($1:18)&gt;COUNT(Dong5),"",IF(OFFSET(TH!L$1,SMALL(Dong5,ROWS($1:18)),)=$E$7,OFFSET(TH!M$1,SMALL(Dong5,ROWS($1:18)),),OFFSET(TH!L$1,SMALL(Dong5,ROWS($1:18)),)))</f>
        <v/>
      </c>
      <c r="F32" s="648">
        <f ca="1">IF(ROWS($1:18)&gt;COUNT(Dong5),0,IF(OFFSET(TH!L$1,SMALL(Dong5,ROWS($1:18)),)=$E$7,OFFSET(TH!K$1,SMALL(Dong5,ROWS($1:18)),),0))</f>
        <v>0</v>
      </c>
      <c r="G32" s="645">
        <f ca="1">IF(ROWS($1:18)&gt;COUNT(Dong5),0,IF(OFFSET(TH!M$1,SMALL(Dong5,ROWS($1:18)),)=$E$7,OFFSET(TH!K$1,SMALL(Dong5,ROWS($1:18)),),0))</f>
        <v>0</v>
      </c>
      <c r="H32" s="649">
        <f t="shared" ca="1" si="6"/>
        <v>0</v>
      </c>
      <c r="I32" s="649">
        <f t="shared" ca="1" si="7"/>
        <v>0</v>
      </c>
    </row>
    <row r="33" spans="1:9" ht="18" customHeight="1">
      <c r="A33" s="646" t="str">
        <f ca="1">IF(ROWS($1:19)&gt;COUNT(Dong5),"",OFFSET(TH!C$1,SMALL(Dong5,ROWS($1:19)),))</f>
        <v/>
      </c>
      <c r="B33" s="646" t="str">
        <f ca="1">IF(ROWS($1:19)&gt;COUNT(Dong5),"",OFFSET(TH!D$1,SMALL(Dong5,ROWS($1:19)),))</f>
        <v/>
      </c>
      <c r="C33" s="646" t="str">
        <f ca="1">IF(ROWS($1:19)&gt;COUNT(Dong5),"",OFFSET(TH!E$1,SMALL(Dong5,ROWS($1:19)),))</f>
        <v/>
      </c>
      <c r="D33" s="647" t="str">
        <f ca="1">IF(ROWS($1:19)&gt;COUNT(Dong5),"",OFFSET(TH!F$1,SMALL(Dong5,ROWS($1:19)),))</f>
        <v/>
      </c>
      <c r="E33" s="646" t="str">
        <f ca="1">IF(ROWS($1:19)&gt;COUNT(Dong5),"",IF(OFFSET(TH!L$1,SMALL(Dong5,ROWS($1:19)),)=$E$7,OFFSET(TH!M$1,SMALL(Dong5,ROWS($1:19)),),OFFSET(TH!L$1,SMALL(Dong5,ROWS($1:19)),)))</f>
        <v/>
      </c>
      <c r="F33" s="648">
        <f ca="1">IF(ROWS($1:19)&gt;COUNT(Dong5),0,IF(OFFSET(TH!L$1,SMALL(Dong5,ROWS($1:19)),)=$E$7,OFFSET(TH!K$1,SMALL(Dong5,ROWS($1:19)),),0))</f>
        <v>0</v>
      </c>
      <c r="G33" s="645">
        <f ca="1">IF(ROWS($1:19)&gt;COUNT(Dong5),0,IF(OFFSET(TH!M$1,SMALL(Dong5,ROWS($1:19)),)=$E$7,OFFSET(TH!K$1,SMALL(Dong5,ROWS($1:19)),),0))</f>
        <v>0</v>
      </c>
      <c r="H33" s="649">
        <f t="shared" ca="1" si="6"/>
        <v>0</v>
      </c>
      <c r="I33" s="649">
        <f t="shared" ca="1" si="7"/>
        <v>0</v>
      </c>
    </row>
    <row r="34" spans="1:9" ht="18" customHeight="1">
      <c r="A34" s="646" t="str">
        <f ca="1">IF(ROWS($1:20)&gt;COUNT(Dong5),"",OFFSET(TH!C$1,SMALL(Dong5,ROWS($1:20)),))</f>
        <v/>
      </c>
      <c r="B34" s="646" t="str">
        <f ca="1">IF(ROWS($1:20)&gt;COUNT(Dong5),"",OFFSET(TH!D$1,SMALL(Dong5,ROWS($1:20)),))</f>
        <v/>
      </c>
      <c r="C34" s="646" t="str">
        <f ca="1">IF(ROWS($1:20)&gt;COUNT(Dong5),"",OFFSET(TH!E$1,SMALL(Dong5,ROWS($1:20)),))</f>
        <v/>
      </c>
      <c r="D34" s="647" t="str">
        <f ca="1">IF(ROWS($1:20)&gt;COUNT(Dong5),"",OFFSET(TH!F$1,SMALL(Dong5,ROWS($1:20)),))</f>
        <v/>
      </c>
      <c r="E34" s="646" t="str">
        <f ca="1">IF(ROWS($1:20)&gt;COUNT(Dong5),"",IF(OFFSET(TH!L$1,SMALL(Dong5,ROWS($1:20)),)=$E$7,OFFSET(TH!M$1,SMALL(Dong5,ROWS($1:20)),),OFFSET(TH!L$1,SMALL(Dong5,ROWS($1:20)),)))</f>
        <v/>
      </c>
      <c r="F34" s="648">
        <f ca="1">IF(ROWS($1:20)&gt;COUNT(Dong5),0,IF(OFFSET(TH!L$1,SMALL(Dong5,ROWS($1:20)),)=$E$7,OFFSET(TH!K$1,SMALL(Dong5,ROWS($1:20)),),0))</f>
        <v>0</v>
      </c>
      <c r="G34" s="645">
        <f ca="1">IF(ROWS($1:20)&gt;COUNT(Dong5),0,IF(OFFSET(TH!M$1,SMALL(Dong5,ROWS($1:20)),)=$E$7,OFFSET(TH!K$1,SMALL(Dong5,ROWS($1:20)),),0))</f>
        <v>0</v>
      </c>
      <c r="H34" s="649">
        <f t="shared" ca="1" si="6"/>
        <v>0</v>
      </c>
      <c r="I34" s="649">
        <f t="shared" ca="1" si="7"/>
        <v>0</v>
      </c>
    </row>
    <row r="35" spans="1:9" ht="18" customHeight="1">
      <c r="A35" s="646" t="str">
        <f ca="1">IF(ROWS($1:21)&gt;COUNT(Dong5),"",OFFSET(TH!C$1,SMALL(Dong5,ROWS($1:21)),))</f>
        <v/>
      </c>
      <c r="B35" s="646" t="str">
        <f ca="1">IF(ROWS($1:21)&gt;COUNT(Dong5),"",OFFSET(TH!D$1,SMALL(Dong5,ROWS($1:21)),))</f>
        <v/>
      </c>
      <c r="C35" s="646" t="str">
        <f ca="1">IF(ROWS($1:21)&gt;COUNT(Dong5),"",OFFSET(TH!E$1,SMALL(Dong5,ROWS($1:21)),))</f>
        <v/>
      </c>
      <c r="D35" s="647" t="str">
        <f ca="1">IF(ROWS($1:21)&gt;COUNT(Dong5),"",OFFSET(TH!F$1,SMALL(Dong5,ROWS($1:21)),))</f>
        <v/>
      </c>
      <c r="E35" s="646" t="str">
        <f ca="1">IF(ROWS($1:21)&gt;COUNT(Dong5),"",IF(OFFSET(TH!L$1,SMALL(Dong5,ROWS($1:21)),)=$E$7,OFFSET(TH!M$1,SMALL(Dong5,ROWS($1:21)),),OFFSET(TH!L$1,SMALL(Dong5,ROWS($1:21)),)))</f>
        <v/>
      </c>
      <c r="F35" s="648">
        <f ca="1">IF(ROWS($1:21)&gt;COUNT(Dong5),0,IF(OFFSET(TH!L$1,SMALL(Dong5,ROWS($1:21)),)=$E$7,OFFSET(TH!K$1,SMALL(Dong5,ROWS($1:21)),),0))</f>
        <v>0</v>
      </c>
      <c r="G35" s="645">
        <f ca="1">IF(ROWS($1:21)&gt;COUNT(Dong5),0,IF(OFFSET(TH!M$1,SMALL(Dong5,ROWS($1:21)),)=$E$7,OFFSET(TH!K$1,SMALL(Dong5,ROWS($1:21)),),0))</f>
        <v>0</v>
      </c>
      <c r="H35" s="649">
        <f t="shared" ca="1" si="6"/>
        <v>0</v>
      </c>
      <c r="I35" s="649">
        <f t="shared" ca="1" si="7"/>
        <v>0</v>
      </c>
    </row>
    <row r="36" spans="1:9" ht="18" customHeight="1">
      <c r="A36" s="646" t="str">
        <f ca="1">IF(ROWS($1:22)&gt;COUNT(Dong5),"",OFFSET(TH!C$1,SMALL(Dong5,ROWS($1:22)),))</f>
        <v/>
      </c>
      <c r="B36" s="646" t="str">
        <f ca="1">IF(ROWS($1:22)&gt;COUNT(Dong5),"",OFFSET(TH!D$1,SMALL(Dong5,ROWS($1:22)),))</f>
        <v/>
      </c>
      <c r="C36" s="646" t="str">
        <f ca="1">IF(ROWS($1:22)&gt;COUNT(Dong5),"",OFFSET(TH!E$1,SMALL(Dong5,ROWS($1:22)),))</f>
        <v/>
      </c>
      <c r="D36" s="647" t="str">
        <f ca="1">IF(ROWS($1:22)&gt;COUNT(Dong5),"",OFFSET(TH!F$1,SMALL(Dong5,ROWS($1:22)),))</f>
        <v/>
      </c>
      <c r="E36" s="646" t="str">
        <f ca="1">IF(ROWS($1:22)&gt;COUNT(Dong5),"",IF(OFFSET(TH!L$1,SMALL(Dong5,ROWS($1:22)),)=$E$7,OFFSET(TH!M$1,SMALL(Dong5,ROWS($1:22)),),OFFSET(TH!L$1,SMALL(Dong5,ROWS($1:22)),)))</f>
        <v/>
      </c>
      <c r="F36" s="648">
        <f ca="1">IF(ROWS($1:22)&gt;COUNT(Dong5),0,IF(OFFSET(TH!L$1,SMALL(Dong5,ROWS($1:22)),)=$E$7,OFFSET(TH!K$1,SMALL(Dong5,ROWS($1:22)),),0))</f>
        <v>0</v>
      </c>
      <c r="G36" s="645">
        <f ca="1">IF(ROWS($1:22)&gt;COUNT(Dong5),0,IF(OFFSET(TH!M$1,SMALL(Dong5,ROWS($1:22)),)=$E$7,OFFSET(TH!K$1,SMALL(Dong5,ROWS($1:22)),),0))</f>
        <v>0</v>
      </c>
      <c r="H36" s="649">
        <f t="shared" ca="1" si="6"/>
        <v>0</v>
      </c>
      <c r="I36" s="649">
        <f t="shared" ca="1" si="7"/>
        <v>0</v>
      </c>
    </row>
    <row r="37" spans="1:9" ht="18" customHeight="1">
      <c r="A37" s="646" t="str">
        <f ca="1">IF(ROWS($1:23)&gt;COUNT(Dong5),"",OFFSET(TH!C$1,SMALL(Dong5,ROWS($1:23)),))</f>
        <v/>
      </c>
      <c r="B37" s="646" t="str">
        <f ca="1">IF(ROWS($1:23)&gt;COUNT(Dong5),"",OFFSET(TH!D$1,SMALL(Dong5,ROWS($1:23)),))</f>
        <v/>
      </c>
      <c r="C37" s="646" t="str">
        <f ca="1">IF(ROWS($1:23)&gt;COUNT(Dong5),"",OFFSET(TH!E$1,SMALL(Dong5,ROWS($1:23)),))</f>
        <v/>
      </c>
      <c r="D37" s="647" t="str">
        <f ca="1">IF(ROWS($1:23)&gt;COUNT(Dong5),"",OFFSET(TH!F$1,SMALL(Dong5,ROWS($1:23)),))</f>
        <v/>
      </c>
      <c r="E37" s="646" t="str">
        <f ca="1">IF(ROWS($1:23)&gt;COUNT(Dong5),"",IF(OFFSET(TH!L$1,SMALL(Dong5,ROWS($1:23)),)=$E$7,OFFSET(TH!M$1,SMALL(Dong5,ROWS($1:23)),),OFFSET(TH!L$1,SMALL(Dong5,ROWS($1:23)),)))</f>
        <v/>
      </c>
      <c r="F37" s="648">
        <f ca="1">IF(ROWS($1:23)&gt;COUNT(Dong5),0,IF(OFFSET(TH!L$1,SMALL(Dong5,ROWS($1:23)),)=$E$7,OFFSET(TH!K$1,SMALL(Dong5,ROWS($1:23)),),0))</f>
        <v>0</v>
      </c>
      <c r="G37" s="645">
        <f ca="1">IF(ROWS($1:23)&gt;COUNT(Dong5),0,IF(OFFSET(TH!M$1,SMALL(Dong5,ROWS($1:23)),)=$E$7,OFFSET(TH!K$1,SMALL(Dong5,ROWS($1:23)),),0))</f>
        <v>0</v>
      </c>
      <c r="H37" s="649">
        <f t="shared" ca="1" si="6"/>
        <v>0</v>
      </c>
      <c r="I37" s="649">
        <f t="shared" ca="1" si="7"/>
        <v>0</v>
      </c>
    </row>
    <row r="38" spans="1:9" ht="18" customHeight="1">
      <c r="A38" s="646" t="str">
        <f ca="1">IF(ROWS($1:24)&gt;COUNT(Dong5),"",OFFSET(TH!C$1,SMALL(Dong5,ROWS($1:24)),))</f>
        <v/>
      </c>
      <c r="B38" s="646" t="str">
        <f ca="1">IF(ROWS($1:24)&gt;COUNT(Dong5),"",OFFSET(TH!D$1,SMALL(Dong5,ROWS($1:24)),))</f>
        <v/>
      </c>
      <c r="C38" s="646" t="str">
        <f ca="1">IF(ROWS($1:24)&gt;COUNT(Dong5),"",OFFSET(TH!E$1,SMALL(Dong5,ROWS($1:24)),))</f>
        <v/>
      </c>
      <c r="D38" s="647" t="str">
        <f ca="1">IF(ROWS($1:24)&gt;COUNT(Dong5),"",OFFSET(TH!F$1,SMALL(Dong5,ROWS($1:24)),))</f>
        <v/>
      </c>
      <c r="E38" s="646" t="str">
        <f ca="1">IF(ROWS($1:24)&gt;COUNT(Dong5),"",IF(OFFSET(TH!L$1,SMALL(Dong5,ROWS($1:24)),)=$E$7,OFFSET(TH!M$1,SMALL(Dong5,ROWS($1:24)),),OFFSET(TH!L$1,SMALL(Dong5,ROWS($1:24)),)))</f>
        <v/>
      </c>
      <c r="F38" s="648">
        <f ca="1">IF(ROWS($1:24)&gt;COUNT(Dong5),0,IF(OFFSET(TH!L$1,SMALL(Dong5,ROWS($1:24)),)=$E$7,OFFSET(TH!K$1,SMALL(Dong5,ROWS($1:24)),),0))</f>
        <v>0</v>
      </c>
      <c r="G38" s="645">
        <f ca="1">IF(ROWS($1:24)&gt;COUNT(Dong5),0,IF(OFFSET(TH!M$1,SMALL(Dong5,ROWS($1:24)),)=$E$7,OFFSET(TH!K$1,SMALL(Dong5,ROWS($1:24)),),0))</f>
        <v>0</v>
      </c>
      <c r="H38" s="649">
        <f t="shared" ca="1" si="6"/>
        <v>0</v>
      </c>
      <c r="I38" s="649">
        <f t="shared" ca="1" si="7"/>
        <v>0</v>
      </c>
    </row>
    <row r="39" spans="1:9" ht="18" customHeight="1">
      <c r="A39" s="646" t="str">
        <f ca="1">IF(ROWS($1:25)&gt;COUNT(Dong5),"",OFFSET(TH!C$1,SMALL(Dong5,ROWS($1:25)),))</f>
        <v/>
      </c>
      <c r="B39" s="646" t="str">
        <f ca="1">IF(ROWS($1:25)&gt;COUNT(Dong5),"",OFFSET(TH!D$1,SMALL(Dong5,ROWS($1:25)),))</f>
        <v/>
      </c>
      <c r="C39" s="646" t="str">
        <f ca="1">IF(ROWS($1:25)&gt;COUNT(Dong5),"",OFFSET(TH!E$1,SMALL(Dong5,ROWS($1:25)),))</f>
        <v/>
      </c>
      <c r="D39" s="647" t="str">
        <f ca="1">IF(ROWS($1:25)&gt;COUNT(Dong5),"",OFFSET(TH!F$1,SMALL(Dong5,ROWS($1:25)),))</f>
        <v/>
      </c>
      <c r="E39" s="646" t="str">
        <f ca="1">IF(ROWS($1:25)&gt;COUNT(Dong5),"",IF(OFFSET(TH!L$1,SMALL(Dong5,ROWS($1:25)),)=$E$7,OFFSET(TH!M$1,SMALL(Dong5,ROWS($1:25)),),OFFSET(TH!L$1,SMALL(Dong5,ROWS($1:25)),)))</f>
        <v/>
      </c>
      <c r="F39" s="648">
        <f ca="1">IF(ROWS($1:25)&gt;COUNT(Dong5),0,IF(OFFSET(TH!L$1,SMALL(Dong5,ROWS($1:25)),)=$E$7,OFFSET(TH!K$1,SMALL(Dong5,ROWS($1:25)),),0))</f>
        <v>0</v>
      </c>
      <c r="G39" s="645">
        <f ca="1">IF(ROWS($1:25)&gt;COUNT(Dong5),0,IF(OFFSET(TH!M$1,SMALL(Dong5,ROWS($1:25)),)=$E$7,OFFSET(TH!K$1,SMALL(Dong5,ROWS($1:25)),),0))</f>
        <v>0</v>
      </c>
      <c r="H39" s="649">
        <f t="shared" ca="1" si="6"/>
        <v>0</v>
      </c>
      <c r="I39" s="649">
        <f t="shared" ca="1" si="7"/>
        <v>0</v>
      </c>
    </row>
    <row r="40" spans="1:9" ht="18" customHeight="1">
      <c r="A40" s="646" t="str">
        <f ca="1">IF(ROWS($1:26)&gt;COUNT(Dong5),"",OFFSET(TH!C$1,SMALL(Dong5,ROWS($1:26)),))</f>
        <v/>
      </c>
      <c r="B40" s="646" t="str">
        <f ca="1">IF(ROWS($1:26)&gt;COUNT(Dong5),"",OFFSET(TH!D$1,SMALL(Dong5,ROWS($1:26)),))</f>
        <v/>
      </c>
      <c r="C40" s="646" t="str">
        <f ca="1">IF(ROWS($1:26)&gt;COUNT(Dong5),"",OFFSET(TH!E$1,SMALL(Dong5,ROWS($1:26)),))</f>
        <v/>
      </c>
      <c r="D40" s="647" t="str">
        <f ca="1">IF(ROWS($1:26)&gt;COUNT(Dong5),"",OFFSET(TH!F$1,SMALL(Dong5,ROWS($1:26)),))</f>
        <v/>
      </c>
      <c r="E40" s="646" t="str">
        <f ca="1">IF(ROWS($1:26)&gt;COUNT(Dong5),"",IF(OFFSET(TH!L$1,SMALL(Dong5,ROWS($1:26)),)=$E$7,OFFSET(TH!M$1,SMALL(Dong5,ROWS($1:26)),),OFFSET(TH!L$1,SMALL(Dong5,ROWS($1:26)),)))</f>
        <v/>
      </c>
      <c r="F40" s="648">
        <f ca="1">IF(ROWS($1:26)&gt;COUNT(Dong5),0,IF(OFFSET(TH!L$1,SMALL(Dong5,ROWS($1:26)),)=$E$7,OFFSET(TH!K$1,SMALL(Dong5,ROWS($1:26)),),0))</f>
        <v>0</v>
      </c>
      <c r="G40" s="645">
        <f ca="1">IF(ROWS($1:26)&gt;COUNT(Dong5),0,IF(OFFSET(TH!M$1,SMALL(Dong5,ROWS($1:26)),)=$E$7,OFFSET(TH!K$1,SMALL(Dong5,ROWS($1:26)),),0))</f>
        <v>0</v>
      </c>
      <c r="H40" s="649">
        <f t="shared" ca="1" si="6"/>
        <v>0</v>
      </c>
      <c r="I40" s="649">
        <f t="shared" ca="1" si="7"/>
        <v>0</v>
      </c>
    </row>
    <row r="41" spans="1:9" ht="18" customHeight="1">
      <c r="A41" s="646" t="str">
        <f ca="1">IF(ROWS($1:27)&gt;COUNT(Dong5),"",OFFSET(TH!C$1,SMALL(Dong5,ROWS($1:27)),))</f>
        <v/>
      </c>
      <c r="B41" s="646" t="str">
        <f ca="1">IF(ROWS($1:27)&gt;COUNT(Dong5),"",OFFSET(TH!D$1,SMALL(Dong5,ROWS($1:27)),))</f>
        <v/>
      </c>
      <c r="C41" s="646" t="str">
        <f ca="1">IF(ROWS($1:27)&gt;COUNT(Dong5),"",OFFSET(TH!E$1,SMALL(Dong5,ROWS($1:27)),))</f>
        <v/>
      </c>
      <c r="D41" s="647" t="str">
        <f ca="1">IF(ROWS($1:27)&gt;COUNT(Dong5),"",OFFSET(TH!F$1,SMALL(Dong5,ROWS($1:27)),))</f>
        <v/>
      </c>
      <c r="E41" s="646" t="str">
        <f ca="1">IF(ROWS($1:27)&gt;COUNT(Dong5),"",IF(OFFSET(TH!L$1,SMALL(Dong5,ROWS($1:27)),)=$E$7,OFFSET(TH!M$1,SMALL(Dong5,ROWS($1:27)),),OFFSET(TH!L$1,SMALL(Dong5,ROWS($1:27)),)))</f>
        <v/>
      </c>
      <c r="F41" s="648">
        <f ca="1">IF(ROWS($1:27)&gt;COUNT(Dong5),0,IF(OFFSET(TH!L$1,SMALL(Dong5,ROWS($1:27)),)=$E$7,OFFSET(TH!K$1,SMALL(Dong5,ROWS($1:27)),),0))</f>
        <v>0</v>
      </c>
      <c r="G41" s="645">
        <f ca="1">IF(ROWS($1:27)&gt;COUNT(Dong5),0,IF(OFFSET(TH!M$1,SMALL(Dong5,ROWS($1:27)),)=$E$7,OFFSET(TH!K$1,SMALL(Dong5,ROWS($1:27)),),0))</f>
        <v>0</v>
      </c>
      <c r="H41" s="649">
        <f t="shared" ca="1" si="6"/>
        <v>0</v>
      </c>
      <c r="I41" s="649">
        <f t="shared" ca="1" si="7"/>
        <v>0</v>
      </c>
    </row>
    <row r="42" spans="1:9" ht="18" customHeight="1">
      <c r="A42" s="646" t="str">
        <f ca="1">IF(ROWS($1:28)&gt;COUNT(Dong5),"",OFFSET(TH!C$1,SMALL(Dong5,ROWS($1:28)),))</f>
        <v/>
      </c>
      <c r="B42" s="646" t="str">
        <f ca="1">IF(ROWS($1:28)&gt;COUNT(Dong5),"",OFFSET(TH!D$1,SMALL(Dong5,ROWS($1:28)),))</f>
        <v/>
      </c>
      <c r="C42" s="646" t="str">
        <f ca="1">IF(ROWS($1:28)&gt;COUNT(Dong5),"",OFFSET(TH!E$1,SMALL(Dong5,ROWS($1:28)),))</f>
        <v/>
      </c>
      <c r="D42" s="647" t="str">
        <f ca="1">IF(ROWS($1:28)&gt;COUNT(Dong5),"",OFFSET(TH!F$1,SMALL(Dong5,ROWS($1:28)),))</f>
        <v/>
      </c>
      <c r="E42" s="646" t="str">
        <f ca="1">IF(ROWS($1:28)&gt;COUNT(Dong5),"",IF(OFFSET(TH!L$1,SMALL(Dong5,ROWS($1:28)),)=$E$7,OFFSET(TH!M$1,SMALL(Dong5,ROWS($1:28)),),OFFSET(TH!L$1,SMALL(Dong5,ROWS($1:28)),)))</f>
        <v/>
      </c>
      <c r="F42" s="648">
        <f ca="1">IF(ROWS($1:28)&gt;COUNT(Dong5),0,IF(OFFSET(TH!L$1,SMALL(Dong5,ROWS($1:28)),)=$E$7,OFFSET(TH!K$1,SMALL(Dong5,ROWS($1:28)),),0))</f>
        <v>0</v>
      </c>
      <c r="G42" s="645">
        <f ca="1">IF(ROWS($1:28)&gt;COUNT(Dong5),0,IF(OFFSET(TH!M$1,SMALL(Dong5,ROWS($1:28)),)=$E$7,OFFSET(TH!K$1,SMALL(Dong5,ROWS($1:28)),),0))</f>
        <v>0</v>
      </c>
      <c r="H42" s="649">
        <f t="shared" ca="1" si="6"/>
        <v>0</v>
      </c>
      <c r="I42" s="649">
        <f t="shared" ca="1" si="7"/>
        <v>0</v>
      </c>
    </row>
    <row r="43" spans="1:9" ht="18" customHeight="1">
      <c r="A43" s="646" t="str">
        <f ca="1">IF(ROWS($1:29)&gt;COUNT(Dong5),"",OFFSET(TH!C$1,SMALL(Dong5,ROWS($1:29)),))</f>
        <v/>
      </c>
      <c r="B43" s="646" t="str">
        <f ca="1">IF(ROWS($1:29)&gt;COUNT(Dong5),"",OFFSET(TH!D$1,SMALL(Dong5,ROWS($1:29)),))</f>
        <v/>
      </c>
      <c r="C43" s="646" t="str">
        <f ca="1">IF(ROWS($1:29)&gt;COUNT(Dong5),"",OFFSET(TH!E$1,SMALL(Dong5,ROWS($1:29)),))</f>
        <v/>
      </c>
      <c r="D43" s="647" t="str">
        <f ca="1">IF(ROWS($1:29)&gt;COUNT(Dong5),"",OFFSET(TH!F$1,SMALL(Dong5,ROWS($1:29)),))</f>
        <v/>
      </c>
      <c r="E43" s="646" t="str">
        <f ca="1">IF(ROWS($1:29)&gt;COUNT(Dong5),"",IF(OFFSET(TH!L$1,SMALL(Dong5,ROWS($1:29)),)=$E$7,OFFSET(TH!M$1,SMALL(Dong5,ROWS($1:29)),),OFFSET(TH!L$1,SMALL(Dong5,ROWS($1:29)),)))</f>
        <v/>
      </c>
      <c r="F43" s="648">
        <f ca="1">IF(ROWS($1:29)&gt;COUNT(Dong5),0,IF(OFFSET(TH!L$1,SMALL(Dong5,ROWS($1:29)),)=$E$7,OFFSET(TH!K$1,SMALL(Dong5,ROWS($1:29)),),0))</f>
        <v>0</v>
      </c>
      <c r="G43" s="645">
        <f ca="1">IF(ROWS($1:29)&gt;COUNT(Dong5),0,IF(OFFSET(TH!M$1,SMALL(Dong5,ROWS($1:29)),)=$E$7,OFFSET(TH!K$1,SMALL(Dong5,ROWS($1:29)),),0))</f>
        <v>0</v>
      </c>
      <c r="H43" s="649">
        <f t="shared" ca="1" si="6"/>
        <v>0</v>
      </c>
      <c r="I43" s="649">
        <f t="shared" ca="1" si="7"/>
        <v>0</v>
      </c>
    </row>
    <row r="44" spans="1:9" ht="18" customHeight="1">
      <c r="A44" s="646" t="str">
        <f ca="1">IF(ROWS($1:30)&gt;COUNT(Dong5),"",OFFSET(TH!C$1,SMALL(Dong5,ROWS($1:30)),))</f>
        <v/>
      </c>
      <c r="B44" s="646" t="str">
        <f ca="1">IF(ROWS($1:30)&gt;COUNT(Dong5),"",OFFSET(TH!D$1,SMALL(Dong5,ROWS($1:30)),))</f>
        <v/>
      </c>
      <c r="C44" s="646" t="str">
        <f ca="1">IF(ROWS($1:30)&gt;COUNT(Dong5),"",OFFSET(TH!E$1,SMALL(Dong5,ROWS($1:30)),))</f>
        <v/>
      </c>
      <c r="D44" s="647" t="str">
        <f ca="1">IF(ROWS($1:30)&gt;COUNT(Dong5),"",OFFSET(TH!F$1,SMALL(Dong5,ROWS($1:30)),))</f>
        <v/>
      </c>
      <c r="E44" s="646" t="str">
        <f ca="1">IF(ROWS($1:30)&gt;COUNT(Dong5),"",IF(OFFSET(TH!L$1,SMALL(Dong5,ROWS($1:30)),)=$E$7,OFFSET(TH!M$1,SMALL(Dong5,ROWS($1:30)),),OFFSET(TH!L$1,SMALL(Dong5,ROWS($1:30)),)))</f>
        <v/>
      </c>
      <c r="F44" s="648">
        <f ca="1">IF(ROWS($1:30)&gt;COUNT(Dong5),0,IF(OFFSET(TH!L$1,SMALL(Dong5,ROWS($1:30)),)=$E$7,OFFSET(TH!K$1,SMALL(Dong5,ROWS($1:30)),),0))</f>
        <v>0</v>
      </c>
      <c r="G44" s="645">
        <f ca="1">IF(ROWS($1:30)&gt;COUNT(Dong5),0,IF(OFFSET(TH!M$1,SMALL(Dong5,ROWS($1:30)),)=$E$7,OFFSET(TH!K$1,SMALL(Dong5,ROWS($1:30)),),0))</f>
        <v>0</v>
      </c>
      <c r="H44" s="649">
        <f t="shared" ca="1" si="6"/>
        <v>0</v>
      </c>
      <c r="I44" s="649">
        <f t="shared" ca="1" si="7"/>
        <v>0</v>
      </c>
    </row>
    <row r="45" spans="1:9" ht="18" customHeight="1">
      <c r="A45" s="646" t="str">
        <f ca="1">IF(ROWS($1:31)&gt;COUNT(Dong5),"",OFFSET(TH!C$1,SMALL(Dong5,ROWS($1:31)),))</f>
        <v/>
      </c>
      <c r="B45" s="646" t="str">
        <f ca="1">IF(ROWS($1:31)&gt;COUNT(Dong5),"",OFFSET(TH!D$1,SMALL(Dong5,ROWS($1:31)),))</f>
        <v/>
      </c>
      <c r="C45" s="646" t="str">
        <f ca="1">IF(ROWS($1:31)&gt;COUNT(Dong5),"",OFFSET(TH!E$1,SMALL(Dong5,ROWS($1:31)),))</f>
        <v/>
      </c>
      <c r="D45" s="647" t="str">
        <f ca="1">IF(ROWS($1:31)&gt;COUNT(Dong5),"",OFFSET(TH!F$1,SMALL(Dong5,ROWS($1:31)),))</f>
        <v/>
      </c>
      <c r="E45" s="646" t="str">
        <f ca="1">IF(ROWS($1:31)&gt;COUNT(Dong5),"",IF(OFFSET(TH!L$1,SMALL(Dong5,ROWS($1:31)),)=$E$7,OFFSET(TH!M$1,SMALL(Dong5,ROWS($1:31)),),OFFSET(TH!L$1,SMALL(Dong5,ROWS($1:31)),)))</f>
        <v/>
      </c>
      <c r="F45" s="648">
        <f ca="1">IF(ROWS($1:31)&gt;COUNT(Dong5),0,IF(OFFSET(TH!L$1,SMALL(Dong5,ROWS($1:31)),)=$E$7,OFFSET(TH!K$1,SMALL(Dong5,ROWS($1:31)),),0))</f>
        <v>0</v>
      </c>
      <c r="G45" s="645">
        <f ca="1">IF(ROWS($1:31)&gt;COUNT(Dong5),0,IF(OFFSET(TH!M$1,SMALL(Dong5,ROWS($1:31)),)=$E$7,OFFSET(TH!K$1,SMALL(Dong5,ROWS($1:31)),),0))</f>
        <v>0</v>
      </c>
      <c r="H45" s="649">
        <f t="shared" ca="1" si="6"/>
        <v>0</v>
      </c>
      <c r="I45" s="649">
        <f t="shared" ca="1" si="7"/>
        <v>0</v>
      </c>
    </row>
    <row r="46" spans="1:9" ht="18" customHeight="1">
      <c r="A46" s="646" t="str">
        <f ca="1">IF(ROWS($1:32)&gt;COUNT(Dong5),"",OFFSET(TH!C$1,SMALL(Dong5,ROWS($1:32)),))</f>
        <v/>
      </c>
      <c r="B46" s="646" t="str">
        <f ca="1">IF(ROWS($1:32)&gt;COUNT(Dong5),"",OFFSET(TH!D$1,SMALL(Dong5,ROWS($1:32)),))</f>
        <v/>
      </c>
      <c r="C46" s="646" t="str">
        <f ca="1">IF(ROWS($1:32)&gt;COUNT(Dong5),"",OFFSET(TH!E$1,SMALL(Dong5,ROWS($1:32)),))</f>
        <v/>
      </c>
      <c r="D46" s="647" t="str">
        <f ca="1">IF(ROWS($1:32)&gt;COUNT(Dong5),"",OFFSET(TH!F$1,SMALL(Dong5,ROWS($1:32)),))</f>
        <v/>
      </c>
      <c r="E46" s="646" t="str">
        <f ca="1">IF(ROWS($1:32)&gt;COUNT(Dong5),"",IF(OFFSET(TH!L$1,SMALL(Dong5,ROWS($1:32)),)=$E$7,OFFSET(TH!M$1,SMALL(Dong5,ROWS($1:32)),),OFFSET(TH!L$1,SMALL(Dong5,ROWS($1:32)),)))</f>
        <v/>
      </c>
      <c r="F46" s="648">
        <f ca="1">IF(ROWS($1:32)&gt;COUNT(Dong5),0,IF(OFFSET(TH!L$1,SMALL(Dong5,ROWS($1:32)),)=$E$7,OFFSET(TH!K$1,SMALL(Dong5,ROWS($1:32)),),0))</f>
        <v>0</v>
      </c>
      <c r="G46" s="645">
        <f ca="1">IF(ROWS($1:32)&gt;COUNT(Dong5),0,IF(OFFSET(TH!M$1,SMALL(Dong5,ROWS($1:32)),)=$E$7,OFFSET(TH!K$1,SMALL(Dong5,ROWS($1:32)),),0))</f>
        <v>0</v>
      </c>
      <c r="H46" s="649">
        <f t="shared" ca="1" si="6"/>
        <v>0</v>
      </c>
      <c r="I46" s="649">
        <f t="shared" ca="1" si="7"/>
        <v>0</v>
      </c>
    </row>
    <row r="47" spans="1:9" ht="18" customHeight="1">
      <c r="A47" s="646" t="str">
        <f ca="1">IF(ROWS($1:33)&gt;COUNT(Dong5),"",OFFSET(TH!C$1,SMALL(Dong5,ROWS($1:33)),))</f>
        <v/>
      </c>
      <c r="B47" s="646" t="str">
        <f ca="1">IF(ROWS($1:33)&gt;COUNT(Dong5),"",OFFSET(TH!D$1,SMALL(Dong5,ROWS($1:33)),))</f>
        <v/>
      </c>
      <c r="C47" s="646" t="str">
        <f ca="1">IF(ROWS($1:33)&gt;COUNT(Dong5),"",OFFSET(TH!E$1,SMALL(Dong5,ROWS($1:33)),))</f>
        <v/>
      </c>
      <c r="D47" s="647" t="str">
        <f ca="1">IF(ROWS($1:33)&gt;COUNT(Dong5),"",OFFSET(TH!F$1,SMALL(Dong5,ROWS($1:33)),))</f>
        <v/>
      </c>
      <c r="E47" s="646" t="str">
        <f ca="1">IF(ROWS($1:33)&gt;COUNT(Dong5),"",IF(OFFSET(TH!L$1,SMALL(Dong5,ROWS($1:33)),)=$E$7,OFFSET(TH!M$1,SMALL(Dong5,ROWS($1:33)),),OFFSET(TH!L$1,SMALL(Dong5,ROWS($1:33)),)))</f>
        <v/>
      </c>
      <c r="F47" s="648">
        <f ca="1">IF(ROWS($1:33)&gt;COUNT(Dong5),0,IF(OFFSET(TH!L$1,SMALL(Dong5,ROWS($1:33)),)=$E$7,OFFSET(TH!K$1,SMALL(Dong5,ROWS($1:33)),),0))</f>
        <v>0</v>
      </c>
      <c r="G47" s="645">
        <f ca="1">IF(ROWS($1:33)&gt;COUNT(Dong5),0,IF(OFFSET(TH!M$1,SMALL(Dong5,ROWS($1:33)),)=$E$7,OFFSET(TH!K$1,SMALL(Dong5,ROWS($1:33)),),0))</f>
        <v>0</v>
      </c>
      <c r="H47" s="649">
        <f t="shared" ref="H47:H52" ca="1" si="8">IF(D47&lt;&gt;"",MAX(H46+F47-G47-I46,0),0)</f>
        <v>0</v>
      </c>
      <c r="I47" s="649">
        <f t="shared" ref="I47:I52" ca="1" si="9">IF(D47&lt;&gt;"",MAX(I46+G47-H46-F47,0),0)</f>
        <v>0</v>
      </c>
    </row>
    <row r="48" spans="1:9" ht="18" customHeight="1">
      <c r="A48" s="646" t="str">
        <f ca="1">IF(ROWS($1:34)&gt;COUNT(Dong5),"",OFFSET(TH!C$1,SMALL(Dong5,ROWS($1:34)),))</f>
        <v/>
      </c>
      <c r="B48" s="646" t="str">
        <f ca="1">IF(ROWS($1:34)&gt;COUNT(Dong5),"",OFFSET(TH!D$1,SMALL(Dong5,ROWS($1:34)),))</f>
        <v/>
      </c>
      <c r="C48" s="646" t="str">
        <f ca="1">IF(ROWS($1:34)&gt;COUNT(Dong5),"",OFFSET(TH!E$1,SMALL(Dong5,ROWS($1:34)),))</f>
        <v/>
      </c>
      <c r="D48" s="647" t="str">
        <f ca="1">IF(ROWS($1:34)&gt;COUNT(Dong5),"",OFFSET(TH!F$1,SMALL(Dong5,ROWS($1:34)),))</f>
        <v/>
      </c>
      <c r="E48" s="646" t="str">
        <f ca="1">IF(ROWS($1:34)&gt;COUNT(Dong5),"",IF(OFFSET(TH!L$1,SMALL(Dong5,ROWS($1:34)),)=$E$7,OFFSET(TH!M$1,SMALL(Dong5,ROWS($1:34)),),OFFSET(TH!L$1,SMALL(Dong5,ROWS($1:34)),)))</f>
        <v/>
      </c>
      <c r="F48" s="648">
        <f ca="1">IF(ROWS($1:34)&gt;COUNT(Dong5),0,IF(OFFSET(TH!L$1,SMALL(Dong5,ROWS($1:34)),)=$E$7,OFFSET(TH!K$1,SMALL(Dong5,ROWS($1:34)),),0))</f>
        <v>0</v>
      </c>
      <c r="G48" s="645">
        <f ca="1">IF(ROWS($1:34)&gt;COUNT(Dong5),0,IF(OFFSET(TH!M$1,SMALL(Dong5,ROWS($1:34)),)=$E$7,OFFSET(TH!K$1,SMALL(Dong5,ROWS($1:34)),),0))</f>
        <v>0</v>
      </c>
      <c r="H48" s="649">
        <f t="shared" ca="1" si="8"/>
        <v>0</v>
      </c>
      <c r="I48" s="649">
        <f t="shared" ca="1" si="9"/>
        <v>0</v>
      </c>
    </row>
    <row r="49" spans="1:9" ht="18" customHeight="1">
      <c r="A49" s="646" t="str">
        <f ca="1">IF(ROWS($1:35)&gt;COUNT(Dong5),"",OFFSET(TH!C$1,SMALL(Dong5,ROWS($1:35)),))</f>
        <v/>
      </c>
      <c r="B49" s="646" t="str">
        <f ca="1">IF(ROWS($1:35)&gt;COUNT(Dong5),"",OFFSET(TH!D$1,SMALL(Dong5,ROWS($1:35)),))</f>
        <v/>
      </c>
      <c r="C49" s="646" t="str">
        <f ca="1">IF(ROWS($1:35)&gt;COUNT(Dong5),"",OFFSET(TH!E$1,SMALL(Dong5,ROWS($1:35)),))</f>
        <v/>
      </c>
      <c r="D49" s="647" t="str">
        <f ca="1">IF(ROWS($1:35)&gt;COUNT(Dong5),"",OFFSET(TH!F$1,SMALL(Dong5,ROWS($1:35)),))</f>
        <v/>
      </c>
      <c r="E49" s="646" t="str">
        <f ca="1">IF(ROWS($1:35)&gt;COUNT(Dong5),"",IF(OFFSET(TH!L$1,SMALL(Dong5,ROWS($1:35)),)=$E$7,OFFSET(TH!M$1,SMALL(Dong5,ROWS($1:35)),),OFFSET(TH!L$1,SMALL(Dong5,ROWS($1:35)),)))</f>
        <v/>
      </c>
      <c r="F49" s="648">
        <f ca="1">IF(ROWS($1:35)&gt;COUNT(Dong5),0,IF(OFFSET(TH!L$1,SMALL(Dong5,ROWS($1:35)),)=$E$7,OFFSET(TH!K$1,SMALL(Dong5,ROWS($1:35)),),0))</f>
        <v>0</v>
      </c>
      <c r="G49" s="645">
        <f ca="1">IF(ROWS($1:35)&gt;COUNT(Dong5),0,IF(OFFSET(TH!M$1,SMALL(Dong5,ROWS($1:35)),)=$E$7,OFFSET(TH!K$1,SMALL(Dong5,ROWS($1:35)),),0))</f>
        <v>0</v>
      </c>
      <c r="H49" s="649">
        <f t="shared" ca="1" si="8"/>
        <v>0</v>
      </c>
      <c r="I49" s="649">
        <f t="shared" ca="1" si="9"/>
        <v>0</v>
      </c>
    </row>
    <row r="50" spans="1:9" ht="18" customHeight="1">
      <c r="A50" s="646" t="str">
        <f ca="1">IF(ROWS($1:36)&gt;COUNT(Dong5),"",OFFSET(TH!C$1,SMALL(Dong5,ROWS($1:36)),))</f>
        <v/>
      </c>
      <c r="B50" s="646" t="str">
        <f ca="1">IF(ROWS($1:36)&gt;COUNT(Dong5),"",OFFSET(TH!D$1,SMALL(Dong5,ROWS($1:36)),))</f>
        <v/>
      </c>
      <c r="C50" s="646" t="str">
        <f ca="1">IF(ROWS($1:36)&gt;COUNT(Dong5),"",OFFSET(TH!E$1,SMALL(Dong5,ROWS($1:36)),))</f>
        <v/>
      </c>
      <c r="D50" s="647" t="str">
        <f ca="1">IF(ROWS($1:36)&gt;COUNT(Dong5),"",OFFSET(TH!F$1,SMALL(Dong5,ROWS($1:36)),))</f>
        <v/>
      </c>
      <c r="E50" s="646" t="str">
        <f ca="1">IF(ROWS($1:36)&gt;COUNT(Dong5),"",IF(OFFSET(TH!L$1,SMALL(Dong5,ROWS($1:36)),)=$E$7,OFFSET(TH!M$1,SMALL(Dong5,ROWS($1:36)),),OFFSET(TH!L$1,SMALL(Dong5,ROWS($1:36)),)))</f>
        <v/>
      </c>
      <c r="F50" s="648">
        <f ca="1">IF(ROWS($1:36)&gt;COUNT(Dong5),0,IF(OFFSET(TH!L$1,SMALL(Dong5,ROWS($1:36)),)=$E$7,OFFSET(TH!K$1,SMALL(Dong5,ROWS($1:36)),),0))</f>
        <v>0</v>
      </c>
      <c r="G50" s="645">
        <f ca="1">IF(ROWS($1:36)&gt;COUNT(Dong5),0,IF(OFFSET(TH!M$1,SMALL(Dong5,ROWS($1:36)),)=$E$7,OFFSET(TH!K$1,SMALL(Dong5,ROWS($1:36)),),0))</f>
        <v>0</v>
      </c>
      <c r="H50" s="649">
        <f t="shared" ca="1" si="8"/>
        <v>0</v>
      </c>
      <c r="I50" s="649">
        <f t="shared" ca="1" si="9"/>
        <v>0</v>
      </c>
    </row>
    <row r="51" spans="1:9" ht="18" customHeight="1">
      <c r="A51" s="646" t="str">
        <f ca="1">IF(ROWS($1:37)&gt;COUNT(Dong5),"",OFFSET(TH!C$1,SMALL(Dong5,ROWS($1:37)),))</f>
        <v/>
      </c>
      <c r="B51" s="646" t="str">
        <f ca="1">IF(ROWS($1:37)&gt;COUNT(Dong5),"",OFFSET(TH!D$1,SMALL(Dong5,ROWS($1:37)),))</f>
        <v/>
      </c>
      <c r="C51" s="646" t="str">
        <f ca="1">IF(ROWS($1:37)&gt;COUNT(Dong5),"",OFFSET(TH!E$1,SMALL(Dong5,ROWS($1:37)),))</f>
        <v/>
      </c>
      <c r="D51" s="647" t="str">
        <f ca="1">IF(ROWS($1:37)&gt;COUNT(Dong5),"",OFFSET(TH!F$1,SMALL(Dong5,ROWS($1:37)),))</f>
        <v/>
      </c>
      <c r="E51" s="646" t="str">
        <f ca="1">IF(ROWS($1:37)&gt;COUNT(Dong5),"",IF(OFFSET(TH!L$1,SMALL(Dong5,ROWS($1:37)),)=$E$7,OFFSET(TH!M$1,SMALL(Dong5,ROWS($1:37)),),OFFSET(TH!L$1,SMALL(Dong5,ROWS($1:37)),)))</f>
        <v/>
      </c>
      <c r="F51" s="648">
        <f ca="1">IF(ROWS($1:37)&gt;COUNT(Dong5),0,IF(OFFSET(TH!L$1,SMALL(Dong5,ROWS($1:37)),)=$E$7,OFFSET(TH!K$1,SMALL(Dong5,ROWS($1:37)),),0))</f>
        <v>0</v>
      </c>
      <c r="G51" s="645">
        <f ca="1">IF(ROWS($1:37)&gt;COUNT(Dong5),0,IF(OFFSET(TH!M$1,SMALL(Dong5,ROWS($1:37)),)=$E$7,OFFSET(TH!K$1,SMALL(Dong5,ROWS($1:37)),),0))</f>
        <v>0</v>
      </c>
      <c r="H51" s="649">
        <f t="shared" ca="1" si="8"/>
        <v>0</v>
      </c>
      <c r="I51" s="649">
        <f t="shared" ca="1" si="9"/>
        <v>0</v>
      </c>
    </row>
    <row r="52" spans="1:9" ht="18" customHeight="1">
      <c r="A52" s="646" t="str">
        <f ca="1">IF(ROWS($1:38)&gt;COUNT(Dong5),"",OFFSET(TH!C$1,SMALL(Dong5,ROWS($1:38)),))</f>
        <v/>
      </c>
      <c r="B52" s="646" t="str">
        <f ca="1">IF(ROWS($1:38)&gt;COUNT(Dong5),"",OFFSET(TH!D$1,SMALL(Dong5,ROWS($1:38)),))</f>
        <v/>
      </c>
      <c r="C52" s="646" t="str">
        <f ca="1">IF(ROWS($1:38)&gt;COUNT(Dong5),"",OFFSET(TH!E$1,SMALL(Dong5,ROWS($1:38)),))</f>
        <v/>
      </c>
      <c r="D52" s="647" t="str">
        <f ca="1">IF(ROWS($1:38)&gt;COUNT(Dong5),"",OFFSET(TH!F$1,SMALL(Dong5,ROWS($1:38)),))</f>
        <v/>
      </c>
      <c r="E52" s="646" t="str">
        <f ca="1">IF(ROWS($1:38)&gt;COUNT(Dong5),"",IF(OFFSET(TH!L$1,SMALL(Dong5,ROWS($1:38)),)=$E$7,OFFSET(TH!M$1,SMALL(Dong5,ROWS($1:38)),),OFFSET(TH!L$1,SMALL(Dong5,ROWS($1:38)),)))</f>
        <v/>
      </c>
      <c r="F52" s="648">
        <f ca="1">IF(ROWS($1:38)&gt;COUNT(Dong5),0,IF(OFFSET(TH!L$1,SMALL(Dong5,ROWS($1:38)),)=$E$7,OFFSET(TH!K$1,SMALL(Dong5,ROWS($1:38)),),0))</f>
        <v>0</v>
      </c>
      <c r="G52" s="645">
        <f ca="1">IF(ROWS($1:38)&gt;COUNT(Dong5),0,IF(OFFSET(TH!M$1,SMALL(Dong5,ROWS($1:38)),)=$E$7,OFFSET(TH!K$1,SMALL(Dong5,ROWS($1:38)),),0))</f>
        <v>0</v>
      </c>
      <c r="H52" s="649">
        <f t="shared" ca="1" si="8"/>
        <v>0</v>
      </c>
      <c r="I52" s="649">
        <f t="shared" ca="1" si="9"/>
        <v>0</v>
      </c>
    </row>
    <row r="53" spans="1:9" ht="18" customHeight="1">
      <c r="A53" s="646"/>
      <c r="B53" s="650"/>
      <c r="C53" s="646"/>
      <c r="D53" s="651" t="s">
        <v>128</v>
      </c>
      <c r="E53" s="650" t="s">
        <v>19</v>
      </c>
      <c r="F53" s="652">
        <f ca="1">SUM(F15:F52)</f>
        <v>281462774</v>
      </c>
      <c r="G53" s="652">
        <f ca="1">SUM(G15:G52)</f>
        <v>281462774</v>
      </c>
      <c r="H53" s="652" t="s">
        <v>19</v>
      </c>
      <c r="I53" s="652" t="s">
        <v>19</v>
      </c>
    </row>
    <row r="54" spans="1:9" ht="18" customHeight="1">
      <c r="A54" s="653"/>
      <c r="B54" s="654"/>
      <c r="C54" s="653"/>
      <c r="D54" s="655" t="s">
        <v>10</v>
      </c>
      <c r="E54" s="654" t="s">
        <v>19</v>
      </c>
      <c r="F54" s="656" t="s">
        <v>19</v>
      </c>
      <c r="G54" s="656" t="s">
        <v>19</v>
      </c>
      <c r="H54" s="657">
        <f ca="1">MAX(H14+F53-G53-I14,0)</f>
        <v>0</v>
      </c>
      <c r="I54" s="657">
        <f ca="1">MAX(I14+G53-F53-H14,0)</f>
        <v>0</v>
      </c>
    </row>
    <row r="55" spans="1:9" ht="9.75" customHeight="1"/>
    <row r="56" spans="1:9">
      <c r="A56" s="95" t="s">
        <v>149</v>
      </c>
      <c r="C56" s="95"/>
    </row>
    <row r="57" spans="1:9">
      <c r="A57" s="658" t="str">
        <f ca="1">"- Ngày mở sổ: "&amp;DAY($A$16)&amp;"/"&amp;MONTH($A$16)&amp;"/ " &amp;YEAR($A$16)</f>
        <v>- Ngày mở sổ: 31/12/ 2012</v>
      </c>
      <c r="C57" s="658"/>
    </row>
    <row r="58" spans="1:9" ht="13.5" customHeight="1">
      <c r="E58" s="825" t="str">
        <f ca="1">"Ngày 31 tháng  12  năm  "&amp;YEAR($A$15)</f>
        <v>Ngày 31 tháng  12  năm  2012</v>
      </c>
      <c r="F58" s="825"/>
      <c r="G58" s="825"/>
      <c r="H58" s="825"/>
      <c r="I58" s="825"/>
    </row>
    <row r="59" spans="1:9">
      <c r="A59" s="825" t="s">
        <v>11</v>
      </c>
      <c r="B59" s="825"/>
      <c r="C59" s="825"/>
      <c r="D59" s="825"/>
      <c r="E59" s="825" t="s">
        <v>12</v>
      </c>
      <c r="F59" s="825"/>
      <c r="G59" s="825"/>
      <c r="H59" s="825"/>
      <c r="I59" s="825"/>
    </row>
    <row r="60" spans="1:9">
      <c r="A60" s="825" t="s">
        <v>13</v>
      </c>
      <c r="B60" s="825"/>
      <c r="C60" s="825"/>
      <c r="D60" s="825"/>
      <c r="E60" s="825" t="s">
        <v>13</v>
      </c>
      <c r="F60" s="825"/>
      <c r="G60" s="825"/>
      <c r="H60" s="825"/>
      <c r="I60" s="825"/>
    </row>
  </sheetData>
  <mergeCells count="19">
    <mergeCell ref="A59:D59"/>
    <mergeCell ref="E59:I59"/>
    <mergeCell ref="A60:D60"/>
    <mergeCell ref="E60:I60"/>
    <mergeCell ref="E58:I58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  <mergeCell ref="E7:F7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10" zoomScale="90" workbookViewId="0">
      <pane ySplit="4" topLeftCell="A71" activePane="bottomLeft" state="frozen"/>
      <selection activeCell="A10" sqref="A10"/>
      <selection pane="bottomLeft" activeCell="E79" sqref="E79"/>
    </sheetView>
  </sheetViews>
  <sheetFormatPr defaultRowHeight="15"/>
  <cols>
    <col min="1" max="2" width="8.7109375" style="74" customWidth="1"/>
    <col min="3" max="4" width="6.5703125" style="74" customWidth="1"/>
    <col min="5" max="5" width="34.5703125" style="74" customWidth="1"/>
    <col min="6" max="6" width="6.28515625" style="74" customWidth="1"/>
    <col min="7" max="9" width="14.42578125" style="74" customWidth="1"/>
    <col min="10" max="10" width="6.28515625" style="74" customWidth="1"/>
    <col min="11" max="11" width="2.140625" style="74" customWidth="1"/>
    <col min="12" max="12" width="10" style="74" customWidth="1"/>
    <col min="13" max="13" width="3.28515625" style="74" customWidth="1"/>
    <col min="14" max="15" width="6.140625" style="74" customWidth="1"/>
    <col min="16" max="16384" width="9.140625" style="74"/>
  </cols>
  <sheetData>
    <row r="1" spans="1:15" s="3" customFormat="1" ht="16.5" customHeight="1">
      <c r="A1" s="98" t="str">
        <f>TH!A1</f>
        <v>Đơn vị: CÔNG TY TNHH MỘT THÀNH VIÊN KHỞI NGUYÊN AN</v>
      </c>
      <c r="B1" s="2"/>
      <c r="C1" s="2"/>
      <c r="D1" s="2"/>
      <c r="E1" s="2"/>
      <c r="G1" s="821" t="s">
        <v>114</v>
      </c>
      <c r="H1" s="821"/>
      <c r="I1" s="821"/>
      <c r="J1" s="821"/>
    </row>
    <row r="2" spans="1:15" s="3" customFormat="1" ht="16.5" customHeight="1">
      <c r="A2" s="838" t="str">
        <f>TH!A2</f>
        <v>Địa chỉ: Thửa đất số 144, tờ bản đồ số 12TĐH.1, tổ 1, khu phố Đông Tác, Phường Tân Đông Hiệp, Thị Xã Dĩ An, Tỉnh Bình Dương, Việt Nam</v>
      </c>
      <c r="B2" s="838"/>
      <c r="C2" s="838"/>
      <c r="D2" s="838"/>
      <c r="E2" s="838"/>
      <c r="F2" s="838"/>
      <c r="G2" s="82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22"/>
      <c r="I2" s="822"/>
      <c r="J2" s="822"/>
    </row>
    <row r="3" spans="1:15" s="3" customFormat="1" ht="16.5" customHeight="1">
      <c r="A3" s="838"/>
      <c r="B3" s="838"/>
      <c r="C3" s="838"/>
      <c r="D3" s="838"/>
      <c r="E3" s="838"/>
      <c r="F3" s="838"/>
      <c r="G3" s="822"/>
      <c r="H3" s="822"/>
      <c r="I3" s="822"/>
      <c r="J3" s="822"/>
    </row>
    <row r="4" spans="1:15" s="3" customFormat="1" ht="6.75" customHeight="1">
      <c r="A4" s="6"/>
      <c r="B4" s="6"/>
      <c r="C4" s="6"/>
      <c r="D4" s="6"/>
      <c r="E4" s="6"/>
      <c r="G4" s="73"/>
      <c r="H4" s="73"/>
      <c r="I4" s="73"/>
      <c r="J4" s="73"/>
    </row>
    <row r="5" spans="1:15" ht="24.75" customHeight="1">
      <c r="A5" s="832" t="s">
        <v>115</v>
      </c>
      <c r="B5" s="832"/>
      <c r="C5" s="832"/>
      <c r="D5" s="832"/>
      <c r="E5" s="832"/>
      <c r="F5" s="832"/>
      <c r="G5" s="832"/>
      <c r="H5" s="832"/>
      <c r="I5" s="832"/>
      <c r="J5" s="832"/>
    </row>
    <row r="6" spans="1:15" ht="14.25" customHeight="1">
      <c r="A6" s="834" t="str">
        <f ca="1">$L$11&amp;" / "&amp;YEAR($A$14)</f>
        <v>Quý IV / 2012</v>
      </c>
      <c r="B6" s="834"/>
      <c r="C6" s="834"/>
      <c r="D6" s="834"/>
      <c r="E6" s="834"/>
      <c r="F6" s="834"/>
      <c r="G6" s="834"/>
      <c r="H6" s="834"/>
      <c r="I6" s="834"/>
      <c r="J6" s="834"/>
    </row>
    <row r="7" spans="1:15">
      <c r="A7" s="833" t="s">
        <v>116</v>
      </c>
      <c r="B7" s="833"/>
      <c r="C7" s="833"/>
      <c r="D7" s="833"/>
      <c r="E7" s="833"/>
      <c r="F7" s="833"/>
      <c r="G7" s="833"/>
      <c r="H7" s="833"/>
      <c r="I7" s="833"/>
      <c r="J7" s="833"/>
    </row>
    <row r="8" spans="1:15">
      <c r="A8" s="833" t="s">
        <v>117</v>
      </c>
      <c r="B8" s="833"/>
      <c r="C8" s="833"/>
      <c r="D8" s="833"/>
      <c r="E8" s="833"/>
      <c r="F8" s="833"/>
      <c r="G8" s="833"/>
      <c r="H8" s="833"/>
      <c r="I8" s="833"/>
      <c r="J8" s="833"/>
    </row>
    <row r="9" spans="1:15">
      <c r="A9" s="75"/>
      <c r="I9" s="75" t="s">
        <v>118</v>
      </c>
    </row>
    <row r="10" spans="1:15" ht="33" customHeight="1" thickBot="1">
      <c r="A10" s="836" t="s">
        <v>20</v>
      </c>
      <c r="B10" s="836" t="s">
        <v>119</v>
      </c>
      <c r="C10" s="835" t="s">
        <v>120</v>
      </c>
      <c r="D10" s="835"/>
      <c r="E10" s="835" t="s">
        <v>0</v>
      </c>
      <c r="F10" s="836" t="s">
        <v>14</v>
      </c>
      <c r="G10" s="835" t="s">
        <v>21</v>
      </c>
      <c r="H10" s="835"/>
      <c r="I10" s="835" t="s">
        <v>121</v>
      </c>
      <c r="J10" s="835" t="s">
        <v>122</v>
      </c>
      <c r="L10" s="308"/>
      <c r="N10" s="817" t="s">
        <v>256</v>
      </c>
      <c r="O10" s="817"/>
    </row>
    <row r="11" spans="1:15" ht="24" customHeight="1" thickBot="1">
      <c r="A11" s="837"/>
      <c r="B11" s="837"/>
      <c r="C11" s="76" t="s">
        <v>123</v>
      </c>
      <c r="D11" s="76" t="s">
        <v>124</v>
      </c>
      <c r="E11" s="835"/>
      <c r="F11" s="837"/>
      <c r="G11" s="76" t="s">
        <v>22</v>
      </c>
      <c r="H11" s="76" t="s">
        <v>23</v>
      </c>
      <c r="I11" s="835"/>
      <c r="J11" s="835"/>
      <c r="L11" s="105" t="s">
        <v>291</v>
      </c>
      <c r="N11" s="311">
        <f>IF(L11="Quý I",1,IF(L11="Quý II",4,IF(L11="Quý III",7,IF(L11="Quý IV",10,""))))</f>
        <v>10</v>
      </c>
      <c r="O11" s="311">
        <f>IF(L11="Quý I",3,IF(L11="Quý II",6,IF(L11="Quý III",9,IF(L11="Quý IV",12,""))))</f>
        <v>12</v>
      </c>
    </row>
    <row r="12" spans="1:15" s="77" customFormat="1" ht="11.25" customHeight="1">
      <c r="A12" s="78" t="s">
        <v>2</v>
      </c>
      <c r="B12" s="78" t="s">
        <v>3</v>
      </c>
      <c r="C12" s="78" t="s">
        <v>4</v>
      </c>
      <c r="D12" s="78" t="s">
        <v>5</v>
      </c>
      <c r="E12" s="78" t="s">
        <v>6</v>
      </c>
      <c r="F12" s="78" t="s">
        <v>125</v>
      </c>
      <c r="G12" s="78">
        <v>1</v>
      </c>
      <c r="H12" s="78">
        <v>2</v>
      </c>
      <c r="I12" s="78">
        <v>3</v>
      </c>
      <c r="J12" s="78" t="s">
        <v>126</v>
      </c>
      <c r="N12" s="312"/>
      <c r="O12" s="312"/>
    </row>
    <row r="13" spans="1:15" s="79" customFormat="1" ht="21.75" customHeight="1">
      <c r="A13" s="80"/>
      <c r="B13" s="80"/>
      <c r="C13" s="80"/>
      <c r="D13" s="80"/>
      <c r="E13" s="80" t="s">
        <v>127</v>
      </c>
      <c r="F13" s="81"/>
      <c r="G13" s="82"/>
      <c r="H13" s="80"/>
      <c r="I13" s="99">
        <f>IF($L$11="All",CDPS!$C$10,CDPS!$C$10+SUMIF(_N111,"x",TH)-SUMIF(_C111,"x",TH))</f>
        <v>2431746534</v>
      </c>
      <c r="J13" s="80"/>
      <c r="N13" s="313"/>
      <c r="O13" s="313"/>
    </row>
    <row r="14" spans="1:15" ht="21.75" customHeight="1">
      <c r="A14" s="83">
        <f ca="1">IF(ROWS($1:1)&gt;COUNT(Dong1),"",OFFSET(TH!C$1,SMALL(Dong1,ROWS($1:1)),))</f>
        <v>41187</v>
      </c>
      <c r="B14" s="83">
        <f ca="1">IF(ROWS($1:1)&gt;COUNT(Dong1),"",OFFSET(TH!E$1,SMALL(Dong1,ROWS($1:1)),))</f>
        <v>41187</v>
      </c>
      <c r="C14" s="84" t="str">
        <f ca="1">IF(ROWS($1:1)&gt;COUNT(Dong1),"",IF(OFFSET(TH!L$1,SMALL(Dong1,ROWS($1:1)),)="1111",OFFSET(TH!D$1,SMALL(Dong1,ROWS($1:1)),),""))</f>
        <v>T01</v>
      </c>
      <c r="D14" s="85" t="str">
        <f ca="1">IF(ROWS($1:1)&gt;COUNT(Dong1),"",IF(OFFSET(TH!M$1,SMALL(Dong1,ROWS($1:1)),)="1111",OFFSET(TH!D$1,SMALL(Dong1,ROWS($1:1)),),""))</f>
        <v/>
      </c>
      <c r="E14" s="127" t="str">
        <f ca="1">IF(ROWS($1:1)&gt;COUNT(Dong1),"",OFFSET(TH!F$1,SMALL(Dong1,ROWS($1:1)),))</f>
        <v>Rút sec nhập quỹ tiền mặt</v>
      </c>
      <c r="F14" s="87" t="str">
        <f ca="1">IF(ROWS($1:1)&gt;COUNT(Dong1),"",IF(OFFSET(TH!M$1,SMALL(Dong1,ROWS($1:1)),)="1111",OFFSET(TH!L$1,SMALL(Dong1,ROWS($1:1)),),OFFSET(TH!M$1,SMALL(Dong1,ROWS($1:1)),)))</f>
        <v>1121</v>
      </c>
      <c r="G14" s="88">
        <f ca="1">IF(ROWS($1:1)&gt;COUNT(Dong1),"",IF(OFFSET(TH!L$1,SMALL(Dong1,ROWS($1:1)),)="1111",OFFSET(TH!K$1,SMALL(Dong1,ROWS($1:1)),),0))</f>
        <v>28000000</v>
      </c>
      <c r="H14" s="86">
        <f ca="1">IF(ROWS($1:1)&gt;COUNT(Dong1),"",IF(OFFSET(TH!M$1,SMALL(Dong1,ROWS($1:1)),)="1111",OFFSET(TH!K$1,SMALL(Dong1,ROWS($1:1)),),0))</f>
        <v>0</v>
      </c>
      <c r="I14" s="84">
        <f ca="1">IF(E14&lt;&gt;"",I13+G14-H14,0)</f>
        <v>2459746534</v>
      </c>
      <c r="J14" s="89"/>
      <c r="N14" s="314"/>
      <c r="O14" s="314"/>
    </row>
    <row r="15" spans="1:15" ht="21.75" customHeight="1">
      <c r="A15" s="83">
        <f ca="1">IF(ROWS($1:2)&gt;COUNT(Dong1),"",OFFSET(TH!C$1,SMALL(Dong1,ROWS($1:2)),))</f>
        <v>41195</v>
      </c>
      <c r="B15" s="83">
        <f ca="1">IF(ROWS($1:2)&gt;COUNT(Dong1),"",OFFSET(TH!E$1,SMALL(Dong1,ROWS($1:2)),))</f>
        <v>41195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C01</v>
      </c>
      <c r="E15" s="127" t="str">
        <f ca="1">IF(ROWS($1:2)&gt;COUNT(Dong1),"",OFFSET(TH!F$1,SMALL(Dong1,ROWS($1:2)),))</f>
        <v>Thanh toán tiền hàng</v>
      </c>
      <c r="F15" s="87" t="str">
        <f ca="1">IF(ROWS($1:2)&gt;COUNT(Dong1),"",IF(OFFSET(TH!M$1,SMALL(Dong1,ROWS($1:2)),)="1111",OFFSET(TH!L$1,SMALL(Dong1,ROWS($1:2)),),OFFSET(TH!M$1,SMALL(Dong1,ROWS($1:2)),)))</f>
        <v>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7012500</v>
      </c>
      <c r="I15" s="84">
        <f t="shared" ref="I15:I49" ca="1" si="0">IF(E15&lt;&gt;"",I14+G15-H15,0)</f>
        <v>2452734034</v>
      </c>
      <c r="J15" s="89"/>
      <c r="N15" s="314"/>
      <c r="O15" s="314"/>
    </row>
    <row r="16" spans="1:15" ht="21.75" customHeight="1">
      <c r="A16" s="83">
        <f ca="1">IF(ROWS($1:3)&gt;COUNT(Dong1),"",OFFSET(TH!C$1,SMALL(Dong1,ROWS($1:3)),))</f>
        <v>41199</v>
      </c>
      <c r="B16" s="83">
        <f ca="1">IF(ROWS($1:3)&gt;COUNT(Dong1),"",OFFSET(TH!E$1,SMALL(Dong1,ROWS($1:3)),))</f>
        <v>41199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C02</v>
      </c>
      <c r="E16" s="127" t="str">
        <f ca="1">IF(ROWS($1:3)&gt;COUNT(Dong1),"",OFFSET(TH!F$1,SMALL(Dong1,ROWS($1:3)),))</f>
        <v>Thuế GTGT hàng sản xuất</v>
      </c>
      <c r="F16" s="87" t="str">
        <f ca="1">IF(ROWS($1:3)&gt;COUNT(Dong1),"",IF(OFFSET(TH!M$1,SMALL(Dong1,ROWS($1:3)),)="1111",OFFSET(TH!L$1,SMALL(Dong1,ROWS($1:3)),),OFFSET(TH!M$1,SMALL(Dong1,ROWS($1:3)),)))</f>
        <v>3388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366032</v>
      </c>
      <c r="I16" s="84">
        <f t="shared" ca="1" si="0"/>
        <v>2452368002</v>
      </c>
      <c r="J16" s="89"/>
      <c r="N16" s="314"/>
      <c r="O16" s="314"/>
    </row>
    <row r="17" spans="1:15" ht="21.75" customHeight="1">
      <c r="A17" s="83">
        <f ca="1">IF(ROWS($1:4)&gt;COUNT(Dong1),"",OFFSET(TH!C$1,SMALL(Dong1,ROWS($1:4)),))</f>
        <v>41199</v>
      </c>
      <c r="B17" s="83">
        <f ca="1">IF(ROWS($1:4)&gt;COUNT(Dong1),"",OFFSET(TH!E$1,SMALL(Dong1,ROWS($1:4)),))</f>
        <v>41199</v>
      </c>
      <c r="C17" s="84" t="str">
        <f ca="1">IF(ROWS($1:4)&gt;COUNT(Dong1),"",IF(OFFSET(TH!L$1,SMALL(Dong1,ROWS($1:4)),)="1111",OFFSET(TH!D$1,SMALL(Dong1,ROWS($1:4)),),""))</f>
        <v/>
      </c>
      <c r="D17" s="85" t="str">
        <f ca="1">IF(ROWS($1:4)&gt;COUNT(Dong1),"",IF(OFFSET(TH!M$1,SMALL(Dong1,ROWS($1:4)),)="1111",OFFSET(TH!D$1,SMALL(Dong1,ROWS($1:4)),),""))</f>
        <v>C02</v>
      </c>
      <c r="E17" s="127" t="str">
        <f ca="1">IF(ROWS($1:4)&gt;COUNT(Dong1),"",OFFSET(TH!F$1,SMALL(Dong1,ROWS($1:4)),))</f>
        <v>Thuế môn bài</v>
      </c>
      <c r="F17" s="87" t="str">
        <f ca="1">IF(ROWS($1:4)&gt;COUNT(Dong1),"",IF(OFFSET(TH!M$1,SMALL(Dong1,ROWS($1:4)),)="1111",OFFSET(TH!L$1,SMALL(Dong1,ROWS($1:4)),),OFFSET(TH!M$1,SMALL(Dong1,ROWS($1:4)),)))</f>
        <v>33382</v>
      </c>
      <c r="G17" s="88">
        <f ca="1">IF(ROWS($1:4)&gt;COUNT(Dong1),"",IF(OFFSET(TH!L$1,SMALL(Dong1,ROWS($1:4)),)="1111",OFFSET(TH!K$1,SMALL(Dong1,ROWS($1:4)),),0))</f>
        <v>0</v>
      </c>
      <c r="H17" s="86">
        <f ca="1">IF(ROWS($1:4)&gt;COUNT(Dong1),"",IF(OFFSET(TH!M$1,SMALL(Dong1,ROWS($1:4)),)="1111",OFFSET(TH!K$1,SMALL(Dong1,ROWS($1:4)),),0))</f>
        <v>750000</v>
      </c>
      <c r="I17" s="84">
        <f t="shared" ca="1" si="0"/>
        <v>2451618002</v>
      </c>
      <c r="J17" s="89"/>
      <c r="N17" s="314"/>
      <c r="O17" s="314"/>
    </row>
    <row r="18" spans="1:15" ht="21.75" customHeight="1">
      <c r="A18" s="83">
        <f ca="1">IF(ROWS($1:5)&gt;COUNT(Dong1),"",OFFSET(TH!C$1,SMALL(Dong1,ROWS($1:5)),))</f>
        <v>41201</v>
      </c>
      <c r="B18" s="83">
        <f ca="1">IF(ROWS($1:5)&gt;COUNT(Dong1),"",OFFSET(TH!E$1,SMALL(Dong1,ROWS($1:5)),))</f>
        <v>41201</v>
      </c>
      <c r="C18" s="84" t="str">
        <f ca="1">IF(ROWS($1:5)&gt;COUNT(Dong1),"",IF(OFFSET(TH!L$1,SMALL(Dong1,ROWS($1:5)),)="1111",OFFSET(TH!D$1,SMALL(Dong1,ROWS($1:5)),),""))</f>
        <v/>
      </c>
      <c r="D18" s="85" t="str">
        <f ca="1">IF(ROWS($1:5)&gt;COUNT(Dong1),"",IF(OFFSET(TH!M$1,SMALL(Dong1,ROWS($1:5)),)="1111",OFFSET(TH!D$1,SMALL(Dong1,ROWS($1:5)),),""))</f>
        <v>C03</v>
      </c>
      <c r="E18" s="127" t="str">
        <f ca="1">IF(ROWS($1:5)&gt;COUNT(Dong1),"",OFFSET(TH!F$1,SMALL(Dong1,ROWS($1:5)),))</f>
        <v>Phần mềm diệt virut</v>
      </c>
      <c r="F18" s="87" t="str">
        <f ca="1">IF(ROWS($1:5)&gt;COUNT(Dong1),"",IF(OFFSET(TH!M$1,SMALL(Dong1,ROWS($1:5)),)="1111",OFFSET(TH!L$1,SMALL(Dong1,ROWS($1:5)),),OFFSET(TH!M$1,SMALL(Dong1,ROWS($1:5)),)))</f>
        <v>642</v>
      </c>
      <c r="G18" s="88">
        <f ca="1">IF(ROWS($1:5)&gt;COUNT(Dong1),"",IF(OFFSET(TH!L$1,SMALL(Dong1,ROWS($1:5)),)="1111",OFFSET(TH!K$1,SMALL(Dong1,ROWS($1:5)),),0))</f>
        <v>0</v>
      </c>
      <c r="H18" s="86">
        <f ca="1">IF(ROWS($1:5)&gt;COUNT(Dong1),"",IF(OFFSET(TH!M$1,SMALL(Dong1,ROWS($1:5)),)="1111",OFFSET(TH!K$1,SMALL(Dong1,ROWS($1:5)),),0))</f>
        <v>272000</v>
      </c>
      <c r="I18" s="84">
        <f t="shared" ca="1" si="0"/>
        <v>2451346002</v>
      </c>
      <c r="J18" s="89"/>
      <c r="N18" s="314"/>
      <c r="O18" s="314"/>
    </row>
    <row r="19" spans="1:15" ht="21.75" customHeight="1">
      <c r="A19" s="83">
        <f ca="1">IF(ROWS($1:6)&gt;COUNT(Dong1),"",OFFSET(TH!C$1,SMALL(Dong1,ROWS($1:6)),))</f>
        <v>41201</v>
      </c>
      <c r="B19" s="83">
        <f ca="1">IF(ROWS($1:6)&gt;COUNT(Dong1),"",OFFSET(TH!E$1,SMALL(Dong1,ROWS($1:6)),))</f>
        <v>41201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C04</v>
      </c>
      <c r="E19" s="127" t="str">
        <f ca="1">IF(ROWS($1:6)&gt;COUNT(Dong1),"",OFFSET(TH!F$1,SMALL(Dong1,ROWS($1:6)),))</f>
        <v>Thanh toán tiền hàng</v>
      </c>
      <c r="F19" s="87" t="str">
        <f ca="1">IF(ROWS($1:6)&gt;COUNT(Dong1),"",IF(OFFSET(TH!M$1,SMALL(Dong1,ROWS($1:6)),)="1111",OFFSET(TH!L$1,SMALL(Dong1,ROWS($1:6)),),OFFSET(TH!M$1,SMALL(Dong1,ROWS($1:6)),)))</f>
        <v>331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11097900</v>
      </c>
      <c r="I19" s="84">
        <f t="shared" ca="1" si="0"/>
        <v>2440248102</v>
      </c>
      <c r="J19" s="89"/>
      <c r="N19" s="314"/>
      <c r="O19" s="314"/>
    </row>
    <row r="20" spans="1:15" ht="21.75" customHeight="1">
      <c r="A20" s="83">
        <f ca="1">IF(ROWS($1:7)&gt;COUNT(Dong1),"",OFFSET(TH!C$1,SMALL(Dong1,ROWS($1:7)),))</f>
        <v>41202</v>
      </c>
      <c r="B20" s="83">
        <f ca="1">IF(ROWS($1:7)&gt;COUNT(Dong1),"",OFFSET(TH!E$1,SMALL(Dong1,ROWS($1:7)),))</f>
        <v>41202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C05</v>
      </c>
      <c r="E20" s="127" t="str">
        <f ca="1">IF(ROWS($1:7)&gt;COUNT(Dong1),"",OFFSET(TH!F$1,SMALL(Dong1,ROWS($1:7)),))</f>
        <v>Thanh toán tiền viễn thông</v>
      </c>
      <c r="F20" s="87" t="str">
        <f ca="1">IF(ROWS($1:7)&gt;COUNT(Dong1),"",IF(OFFSET(TH!M$1,SMALL(Dong1,ROWS($1:7)),)="1111",OFFSET(TH!L$1,SMALL(Dong1,ROWS($1:7)),),OFFSET(TH!M$1,SMALL(Dong1,ROWS($1:7)),)))</f>
        <v>642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250000</v>
      </c>
      <c r="I20" s="84">
        <f t="shared" ca="1" si="0"/>
        <v>2439998102</v>
      </c>
      <c r="J20" s="89"/>
      <c r="N20" s="314"/>
      <c r="O20" s="314"/>
    </row>
    <row r="21" spans="1:15" ht="21.75" customHeight="1">
      <c r="A21" s="83">
        <f ca="1">IF(ROWS($1:8)&gt;COUNT(Dong1),"",OFFSET(TH!C$1,SMALL(Dong1,ROWS($1:8)),))</f>
        <v>41202</v>
      </c>
      <c r="B21" s="83">
        <f ca="1">IF(ROWS($1:8)&gt;COUNT(Dong1),"",OFFSET(TH!E$1,SMALL(Dong1,ROWS($1:8)),))</f>
        <v>41202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C05</v>
      </c>
      <c r="E21" s="127" t="str">
        <f ca="1">IF(ROWS($1:8)&gt;COUNT(Dong1),"",OFFSET(TH!F$1,SMALL(Dong1,ROWS($1:8)),))</f>
        <v>VAT Thanh toán tiền viễn thông</v>
      </c>
      <c r="F21" s="87" t="str">
        <f ca="1">IF(ROWS($1:8)&gt;COUNT(Dong1),"",IF(OFFSET(TH!M$1,SMALL(Dong1,ROWS($1:8)),)="1111",OFFSET(TH!L$1,SMALL(Dong1,ROWS($1:8)),),OFFSET(TH!M$1,SMALL(Dong1,ROWS($1:8)),)))</f>
        <v>1331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25000</v>
      </c>
      <c r="I21" s="84">
        <f t="shared" ca="1" si="0"/>
        <v>2439973102</v>
      </c>
      <c r="J21" s="89"/>
      <c r="N21" s="314"/>
      <c r="O21" s="314"/>
    </row>
    <row r="22" spans="1:15" ht="21.75" customHeight="1">
      <c r="A22" s="83">
        <f ca="1">IF(ROWS($1:9)&gt;COUNT(Dong1),"",OFFSET(TH!C$1,SMALL(Dong1,ROWS($1:9)),))</f>
        <v>41205</v>
      </c>
      <c r="B22" s="83">
        <f ca="1">IF(ROWS($1:9)&gt;COUNT(Dong1),"",OFFSET(TH!E$1,SMALL(Dong1,ROWS($1:9)),))</f>
        <v>41205</v>
      </c>
      <c r="C22" s="84" t="str">
        <f ca="1">IF(ROWS($1:9)&gt;COUNT(Dong1),"",IF(OFFSET(TH!L$1,SMALL(Dong1,ROWS($1:9)),)="1111",OFFSET(TH!D$1,SMALL(Dong1,ROWS($1:9)),),""))</f>
        <v>T02</v>
      </c>
      <c r="D22" s="85" t="str">
        <f ca="1">IF(ROWS($1:9)&gt;COUNT(Dong1),"",IF(OFFSET(TH!M$1,SMALL(Dong1,ROWS($1:9)),)="1111",OFFSET(TH!D$1,SMALL(Dong1,ROWS($1:9)),),""))</f>
        <v/>
      </c>
      <c r="E22" s="127" t="str">
        <f ca="1">IF(ROWS($1:9)&gt;COUNT(Dong1),"",OFFSET(TH!F$1,SMALL(Dong1,ROWS($1:9)),))</f>
        <v>Thu tiền hàng</v>
      </c>
      <c r="F22" s="87" t="str">
        <f ca="1">IF(ROWS($1:9)&gt;COUNT(Dong1),"",IF(OFFSET(TH!M$1,SMALL(Dong1,ROWS($1:9)),)="1111",OFFSET(TH!L$1,SMALL(Dong1,ROWS($1:9)),),OFFSET(TH!M$1,SMALL(Dong1,ROWS($1:9)),)))</f>
        <v>131</v>
      </c>
      <c r="G22" s="88">
        <f ca="1">IF(ROWS($1:9)&gt;COUNT(Dong1),"",IF(OFFSET(TH!L$1,SMALL(Dong1,ROWS($1:9)),)="1111",OFFSET(TH!K$1,SMALL(Dong1,ROWS($1:9)),),0))</f>
        <v>13563660</v>
      </c>
      <c r="H22" s="86">
        <f ca="1">IF(ROWS($1:9)&gt;COUNT(Dong1),"",IF(OFFSET(TH!M$1,SMALL(Dong1,ROWS($1:9)),)="1111",OFFSET(TH!K$1,SMALL(Dong1,ROWS($1:9)),),0))</f>
        <v>0</v>
      </c>
      <c r="I22" s="84">
        <f t="shared" ca="1" si="0"/>
        <v>2453536762</v>
      </c>
      <c r="J22" s="89"/>
      <c r="N22" s="314"/>
      <c r="O22" s="314"/>
    </row>
    <row r="23" spans="1:15" ht="21.75" customHeight="1">
      <c r="A23" s="83">
        <f ca="1">IF(ROWS($1:10)&gt;COUNT(Dong1),"",OFFSET(TH!C$1,SMALL(Dong1,ROWS($1:10)),))</f>
        <v>41207</v>
      </c>
      <c r="B23" s="83">
        <f ca="1">IF(ROWS($1:10)&gt;COUNT(Dong1),"",OFFSET(TH!E$1,SMALL(Dong1,ROWS($1:10)),))</f>
        <v>41207</v>
      </c>
      <c r="C23" s="84" t="str">
        <f ca="1">IF(ROWS($1:10)&gt;COUNT(Dong1),"",IF(OFFSET(TH!L$1,SMALL(Dong1,ROWS($1:10)),)="1111",OFFSET(TH!D$1,SMALL(Dong1,ROWS($1:10)),),""))</f>
        <v/>
      </c>
      <c r="D23" s="85" t="str">
        <f ca="1">IF(ROWS($1:10)&gt;COUNT(Dong1),"",IF(OFFSET(TH!M$1,SMALL(Dong1,ROWS($1:10)),)="1111",OFFSET(TH!D$1,SMALL(Dong1,ROWS($1:10)),),""))</f>
        <v>C06</v>
      </c>
      <c r="E23" s="127" t="str">
        <f ca="1">IF(ROWS($1:10)&gt;COUNT(Dong1),"",OFFSET(TH!F$1,SMALL(Dong1,ROWS($1:10)),))</f>
        <v>Thanh toán tiền hàng</v>
      </c>
      <c r="F23" s="87" t="str">
        <f ca="1">IF(ROWS($1:10)&gt;COUNT(Dong1),"",IF(OFFSET(TH!M$1,SMALL(Dong1,ROWS($1:10)),)="1111",OFFSET(TH!L$1,SMALL(Dong1,ROWS($1:10)),),OFFSET(TH!M$1,SMALL(Dong1,ROWS($1:10)),)))</f>
        <v>331</v>
      </c>
      <c r="G23" s="88">
        <f ca="1">IF(ROWS($1:10)&gt;COUNT(Dong1),"",IF(OFFSET(TH!L$1,SMALL(Dong1,ROWS($1:10)),)="1111",OFFSET(TH!K$1,SMALL(Dong1,ROWS($1:10)),),0))</f>
        <v>0</v>
      </c>
      <c r="H23" s="86">
        <f ca="1">IF(ROWS($1:10)&gt;COUNT(Dong1),"",IF(OFFSET(TH!M$1,SMALL(Dong1,ROWS($1:10)),)="1111",OFFSET(TH!K$1,SMALL(Dong1,ROWS($1:10)),),0))</f>
        <v>12818300</v>
      </c>
      <c r="I23" s="84">
        <f t="shared" ca="1" si="0"/>
        <v>2440718462</v>
      </c>
      <c r="J23" s="89"/>
      <c r="N23" s="314"/>
      <c r="O23" s="314"/>
    </row>
    <row r="24" spans="1:15" ht="21.75" customHeight="1">
      <c r="A24" s="83">
        <f ca="1">IF(ROWS($1:11)&gt;COUNT(Dong1),"",OFFSET(TH!C$1,SMALL(Dong1,ROWS($1:11)),))</f>
        <v>41207</v>
      </c>
      <c r="B24" s="83">
        <f ca="1">IF(ROWS($1:11)&gt;COUNT(Dong1),"",OFFSET(TH!E$1,SMALL(Dong1,ROWS($1:11)),))</f>
        <v>41207</v>
      </c>
      <c r="C24" s="84" t="str">
        <f ca="1">IF(ROWS($1:11)&gt;COUNT(Dong1),"",IF(OFFSET(TH!L$1,SMALL(Dong1,ROWS($1:11)),)="1111",OFFSET(TH!D$1,SMALL(Dong1,ROWS($1:11)),),""))</f>
        <v>T03</v>
      </c>
      <c r="D24" s="85" t="str">
        <f ca="1">IF(ROWS($1:11)&gt;COUNT(Dong1),"",IF(OFFSET(TH!M$1,SMALL(Dong1,ROWS($1:11)),)="1111",OFFSET(TH!D$1,SMALL(Dong1,ROWS($1:11)),),""))</f>
        <v/>
      </c>
      <c r="E24" s="127" t="str">
        <f ca="1">IF(ROWS($1:11)&gt;COUNT(Dong1),"",OFFSET(TH!F$1,SMALL(Dong1,ROWS($1:11)),))</f>
        <v>Thu tiền hàng</v>
      </c>
      <c r="F24" s="87" t="str">
        <f ca="1">IF(ROWS($1:11)&gt;COUNT(Dong1),"",IF(OFFSET(TH!M$1,SMALL(Dong1,ROWS($1:11)),)="1111",OFFSET(TH!L$1,SMALL(Dong1,ROWS($1:11)),),OFFSET(TH!M$1,SMALL(Dong1,ROWS($1:11)),)))</f>
        <v>131</v>
      </c>
      <c r="G24" s="88">
        <f ca="1">IF(ROWS($1:11)&gt;COUNT(Dong1),"",IF(OFFSET(TH!L$1,SMALL(Dong1,ROWS($1:11)),)="1111",OFFSET(TH!K$1,SMALL(Dong1,ROWS($1:11)),),0))</f>
        <v>6888200</v>
      </c>
      <c r="H24" s="86">
        <f ca="1">IF(ROWS($1:11)&gt;COUNT(Dong1),"",IF(OFFSET(TH!M$1,SMALL(Dong1,ROWS($1:11)),)="1111",OFFSET(TH!K$1,SMALL(Dong1,ROWS($1:11)),),0))</f>
        <v>0</v>
      </c>
      <c r="I24" s="84">
        <f t="shared" ca="1" si="0"/>
        <v>2447606662</v>
      </c>
      <c r="J24" s="89"/>
      <c r="N24" s="314"/>
      <c r="O24" s="314"/>
    </row>
    <row r="25" spans="1:15" ht="21.75" customHeight="1">
      <c r="A25" s="83">
        <f ca="1">IF(ROWS($1:12)&gt;COUNT(Dong1),"",OFFSET(TH!C$1,SMALL(Dong1,ROWS($1:12)),))</f>
        <v>41208</v>
      </c>
      <c r="B25" s="83">
        <f ca="1">IF(ROWS($1:12)&gt;COUNT(Dong1),"",OFFSET(TH!E$1,SMALL(Dong1,ROWS($1:12)),))</f>
        <v>41208</v>
      </c>
      <c r="C25" s="84" t="str">
        <f ca="1">IF(ROWS($1:12)&gt;COUNT(Dong1),"",IF(OFFSET(TH!L$1,SMALL(Dong1,ROWS($1:12)),)="1111",OFFSET(TH!D$1,SMALL(Dong1,ROWS($1:12)),),""))</f>
        <v/>
      </c>
      <c r="D25" s="85" t="str">
        <f ca="1">IF(ROWS($1:12)&gt;COUNT(Dong1),"",IF(OFFSET(TH!M$1,SMALL(Dong1,ROWS($1:12)),)="1111",OFFSET(TH!D$1,SMALL(Dong1,ROWS($1:12)),),""))</f>
        <v>C07</v>
      </c>
      <c r="E25" s="127" t="str">
        <f ca="1">IF(ROWS($1:12)&gt;COUNT(Dong1),"",OFFSET(TH!F$1,SMALL(Dong1,ROWS($1:12)),))</f>
        <v>Thanh toán tiền hàng</v>
      </c>
      <c r="F25" s="87" t="str">
        <f ca="1">IF(ROWS($1:12)&gt;COUNT(Dong1),"",IF(OFFSET(TH!M$1,SMALL(Dong1,ROWS($1:12)),)="1111",OFFSET(TH!L$1,SMALL(Dong1,ROWS($1:12)),),OFFSET(TH!M$1,SMALL(Dong1,ROWS($1:12)),)))</f>
        <v>331</v>
      </c>
      <c r="G25" s="88">
        <f ca="1">IF(ROWS($1:12)&gt;COUNT(Dong1),"",IF(OFFSET(TH!L$1,SMALL(Dong1,ROWS($1:12)),)="1111",OFFSET(TH!K$1,SMALL(Dong1,ROWS($1:12)),),0))</f>
        <v>0</v>
      </c>
      <c r="H25" s="86">
        <f ca="1">IF(ROWS($1:12)&gt;COUNT(Dong1),"",IF(OFFSET(TH!M$1,SMALL(Dong1,ROWS($1:12)),)="1111",OFFSET(TH!K$1,SMALL(Dong1,ROWS($1:12)),),0))</f>
        <v>6734882</v>
      </c>
      <c r="I25" s="84">
        <f t="shared" ca="1" si="0"/>
        <v>2440871780</v>
      </c>
      <c r="J25" s="89"/>
      <c r="N25" s="314"/>
      <c r="O25" s="314"/>
    </row>
    <row r="26" spans="1:15" ht="21.75" customHeight="1">
      <c r="A26" s="83">
        <f ca="1">IF(ROWS($1:13)&gt;COUNT(Dong1),"",OFFSET(TH!C$1,SMALL(Dong1,ROWS($1:13)),))</f>
        <v>41209</v>
      </c>
      <c r="B26" s="83">
        <f ca="1">IF(ROWS($1:13)&gt;COUNT(Dong1),"",OFFSET(TH!E$1,SMALL(Dong1,ROWS($1:13)),))</f>
        <v>41209</v>
      </c>
      <c r="C26" s="84" t="str">
        <f ca="1">IF(ROWS($1:13)&gt;COUNT(Dong1),"",IF(OFFSET(TH!L$1,SMALL(Dong1,ROWS($1:13)),)="1111",OFFSET(TH!D$1,SMALL(Dong1,ROWS($1:13)),),""))</f>
        <v/>
      </c>
      <c r="D26" s="85" t="str">
        <f ca="1">IF(ROWS($1:13)&gt;COUNT(Dong1),"",IF(OFFSET(TH!M$1,SMALL(Dong1,ROWS($1:13)),)="1111",OFFSET(TH!D$1,SMALL(Dong1,ROWS($1:13)),),""))</f>
        <v>C08</v>
      </c>
      <c r="E26" s="127" t="str">
        <f ca="1">IF(ROWS($1:13)&gt;COUNT(Dong1),"",OFFSET(TH!F$1,SMALL(Dong1,ROWS($1:13)),))</f>
        <v>Thanh toán tiền hàng</v>
      </c>
      <c r="F26" s="87" t="str">
        <f ca="1">IF(ROWS($1:13)&gt;COUNT(Dong1),"",IF(OFFSET(TH!M$1,SMALL(Dong1,ROWS($1:13)),)="1111",OFFSET(TH!L$1,SMALL(Dong1,ROWS($1:13)),),OFFSET(TH!M$1,SMALL(Dong1,ROWS($1:13)),)))</f>
        <v>331</v>
      </c>
      <c r="G26" s="88">
        <f ca="1">IF(ROWS($1:13)&gt;COUNT(Dong1),"",IF(OFFSET(TH!L$1,SMALL(Dong1,ROWS($1:13)),)="1111",OFFSET(TH!K$1,SMALL(Dong1,ROWS($1:13)),),0))</f>
        <v>0</v>
      </c>
      <c r="H26" s="86">
        <f ca="1">IF(ROWS($1:13)&gt;COUNT(Dong1),"",IF(OFFSET(TH!M$1,SMALL(Dong1,ROWS($1:13)),)="1111",OFFSET(TH!K$1,SMALL(Dong1,ROWS($1:13)),),0))</f>
        <v>13550900</v>
      </c>
      <c r="I26" s="84">
        <f t="shared" ca="1" si="0"/>
        <v>2427320880</v>
      </c>
      <c r="J26" s="89"/>
      <c r="N26" s="314"/>
      <c r="O26" s="314"/>
    </row>
    <row r="27" spans="1:15" ht="21.75" customHeight="1">
      <c r="A27" s="83">
        <f ca="1">IF(ROWS($1:14)&gt;COUNT(Dong1),"",OFFSET(TH!C$1,SMALL(Dong1,ROWS($1:14)),))</f>
        <v>41211</v>
      </c>
      <c r="B27" s="83">
        <f ca="1">IF(ROWS($1:14)&gt;COUNT(Dong1),"",OFFSET(TH!E$1,SMALL(Dong1,ROWS($1:14)),))</f>
        <v>41211</v>
      </c>
      <c r="C27" s="84" t="str">
        <f ca="1">IF(ROWS($1:14)&gt;COUNT(Dong1),"",IF(OFFSET(TH!L$1,SMALL(Dong1,ROWS($1:14)),)="1111",OFFSET(TH!D$1,SMALL(Dong1,ROWS($1:14)),),""))</f>
        <v/>
      </c>
      <c r="D27" s="85" t="str">
        <f ca="1">IF(ROWS($1:14)&gt;COUNT(Dong1),"",IF(OFFSET(TH!M$1,SMALL(Dong1,ROWS($1:14)),)="1111",OFFSET(TH!D$1,SMALL(Dong1,ROWS($1:14)),),""))</f>
        <v>C09</v>
      </c>
      <c r="E27" s="127" t="str">
        <f ca="1">IF(ROWS($1:14)&gt;COUNT(Dong1),"",OFFSET(TH!F$1,SMALL(Dong1,ROWS($1:14)),))</f>
        <v>Mực in</v>
      </c>
      <c r="F27" s="87" t="str">
        <f ca="1">IF(ROWS($1:14)&gt;COUNT(Dong1),"",IF(OFFSET(TH!M$1,SMALL(Dong1,ROWS($1:14)),)="1111",OFFSET(TH!L$1,SMALL(Dong1,ROWS($1:14)),),OFFSET(TH!M$1,SMALL(Dong1,ROWS($1:14)),)))</f>
        <v>154</v>
      </c>
      <c r="G27" s="88">
        <f ca="1">IF(ROWS($1:14)&gt;COUNT(Dong1),"",IF(OFFSET(TH!L$1,SMALL(Dong1,ROWS($1:14)),)="1111",OFFSET(TH!K$1,SMALL(Dong1,ROWS($1:14)),),0))</f>
        <v>0</v>
      </c>
      <c r="H27" s="86">
        <f ca="1">IF(ROWS($1:14)&gt;COUNT(Dong1),"",IF(OFFSET(TH!M$1,SMALL(Dong1,ROWS($1:14)),)="1111",OFFSET(TH!K$1,SMALL(Dong1,ROWS($1:14)),),0))</f>
        <v>1400000</v>
      </c>
      <c r="I27" s="84">
        <f t="shared" ca="1" si="0"/>
        <v>2425920880</v>
      </c>
      <c r="J27" s="89"/>
      <c r="N27" s="314"/>
      <c r="O27" s="314"/>
    </row>
    <row r="28" spans="1:15" ht="21.75" customHeight="1">
      <c r="A28" s="83">
        <f ca="1">IF(ROWS($1:15)&gt;COUNT(Dong1),"",OFFSET(TH!C$1,SMALL(Dong1,ROWS($1:15)),))</f>
        <v>41213</v>
      </c>
      <c r="B28" s="83">
        <f ca="1">IF(ROWS($1:15)&gt;COUNT(Dong1),"",OFFSET(TH!E$1,SMALL(Dong1,ROWS($1:15)),))</f>
        <v>41213</v>
      </c>
      <c r="C28" s="84" t="str">
        <f ca="1">IF(ROWS($1:15)&gt;COUNT(Dong1),"",IF(OFFSET(TH!L$1,SMALL(Dong1,ROWS($1:15)),)="1111",OFFSET(TH!D$1,SMALL(Dong1,ROWS($1:15)),),""))</f>
        <v>T04</v>
      </c>
      <c r="D28" s="85" t="str">
        <f ca="1">IF(ROWS($1:15)&gt;COUNT(Dong1),"",IF(OFFSET(TH!M$1,SMALL(Dong1,ROWS($1:15)),)="1111",OFFSET(TH!D$1,SMALL(Dong1,ROWS($1:15)),),""))</f>
        <v/>
      </c>
      <c r="E28" s="127" t="str">
        <f ca="1">IF(ROWS($1:15)&gt;COUNT(Dong1),"",OFFSET(TH!F$1,SMALL(Dong1,ROWS($1:15)),))</f>
        <v>Thu tiền hàng</v>
      </c>
      <c r="F28" s="87" t="str">
        <f ca="1">IF(ROWS($1:15)&gt;COUNT(Dong1),"",IF(OFFSET(TH!M$1,SMALL(Dong1,ROWS($1:15)),)="1111",OFFSET(TH!L$1,SMALL(Dong1,ROWS($1:15)),),OFFSET(TH!M$1,SMALL(Dong1,ROWS($1:15)),)))</f>
        <v>131</v>
      </c>
      <c r="G28" s="88">
        <f ca="1">IF(ROWS($1:15)&gt;COUNT(Dong1),"",IF(OFFSET(TH!L$1,SMALL(Dong1,ROWS($1:15)),)="1111",OFFSET(TH!K$1,SMALL(Dong1,ROWS($1:15)),),0))</f>
        <v>11484000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2437404880</v>
      </c>
      <c r="J28" s="89"/>
      <c r="N28" s="314"/>
      <c r="O28" s="314"/>
    </row>
    <row r="29" spans="1:15" ht="21.75" customHeight="1">
      <c r="A29" s="83">
        <f ca="1">IF(ROWS($1:16)&gt;COUNT(Dong1),"",OFFSET(TH!C$1,SMALL(Dong1,ROWS($1:16)),))</f>
        <v>41213</v>
      </c>
      <c r="B29" s="83">
        <f ca="1">IF(ROWS($1:16)&gt;COUNT(Dong1),"",OFFSET(TH!E$1,SMALL(Dong1,ROWS($1:16)),))</f>
        <v>41213</v>
      </c>
      <c r="C29" s="84" t="str">
        <f ca="1">IF(ROWS($1:16)&gt;COUNT(Dong1),"",IF(OFFSET(TH!L$1,SMALL(Dong1,ROWS($1:16)),)="1111",OFFSET(TH!D$1,SMALL(Dong1,ROWS($1:16)),),""))</f>
        <v/>
      </c>
      <c r="D29" s="85" t="str">
        <f ca="1">IF(ROWS($1:16)&gt;COUNT(Dong1),"",IF(OFFSET(TH!M$1,SMALL(Dong1,ROWS($1:16)),)="1111",OFFSET(TH!D$1,SMALL(Dong1,ROWS($1:16)),),""))</f>
        <v>C10</v>
      </c>
      <c r="E29" s="127" t="str">
        <f ca="1">IF(ROWS($1:16)&gt;COUNT(Dong1),"",OFFSET(TH!F$1,SMALL(Dong1,ROWS($1:16)),))</f>
        <v>Thanh toán lương T10/2012</v>
      </c>
      <c r="F29" s="87" t="str">
        <f ca="1">IF(ROWS($1:16)&gt;COUNT(Dong1),"",IF(OFFSET(TH!M$1,SMALL(Dong1,ROWS($1:16)),)="1111",OFFSET(TH!L$1,SMALL(Dong1,ROWS($1:16)),),OFFSET(TH!M$1,SMALL(Dong1,ROWS($1:16)),)))</f>
        <v>3341</v>
      </c>
      <c r="G29" s="88">
        <f ca="1">IF(ROWS($1:16)&gt;COUNT(Dong1),"",IF(OFFSET(TH!L$1,SMALL(Dong1,ROWS($1:16)),)="1111",OFFSET(TH!K$1,SMALL(Dong1,ROWS($1:16)),),0))</f>
        <v>0</v>
      </c>
      <c r="H29" s="86">
        <f ca="1">IF(ROWS($1:16)&gt;COUNT(Dong1),"",IF(OFFSET(TH!M$1,SMALL(Dong1,ROWS($1:16)),)="1111",OFFSET(TH!K$1,SMALL(Dong1,ROWS($1:16)),),0))</f>
        <v>13785000</v>
      </c>
      <c r="I29" s="84">
        <f t="shared" ca="1" si="0"/>
        <v>2423619880</v>
      </c>
      <c r="J29" s="89"/>
      <c r="N29" s="314"/>
      <c r="O29" s="314"/>
    </row>
    <row r="30" spans="1:15" ht="21.75" customHeight="1">
      <c r="A30" s="83">
        <f ca="1">IF(ROWS($1:17)&gt;COUNT(Dong1),"",OFFSET(TH!C$1,SMALL(Dong1,ROWS($1:17)),))</f>
        <v>41214</v>
      </c>
      <c r="B30" s="83">
        <f ca="1">IF(ROWS($1:17)&gt;COUNT(Dong1),"",OFFSET(TH!E$1,SMALL(Dong1,ROWS($1:17)),))</f>
        <v>41214</v>
      </c>
      <c r="C30" s="84" t="str">
        <f ca="1">IF(ROWS($1:17)&gt;COUNT(Dong1),"",IF(OFFSET(TH!L$1,SMALL(Dong1,ROWS($1:17)),)="1111",OFFSET(TH!D$1,SMALL(Dong1,ROWS($1:17)),),""))</f>
        <v>T05</v>
      </c>
      <c r="D30" s="85" t="str">
        <f ca="1">IF(ROWS($1:17)&gt;COUNT(Dong1),"",IF(OFFSET(TH!M$1,SMALL(Dong1,ROWS($1:17)),)="1111",OFFSET(TH!D$1,SMALL(Dong1,ROWS($1:17)),),""))</f>
        <v/>
      </c>
      <c r="E30" s="127" t="str">
        <f ca="1">IF(ROWS($1:17)&gt;COUNT(Dong1),"",OFFSET(TH!F$1,SMALL(Dong1,ROWS($1:17)),))</f>
        <v>Rút sec nhập quỹ tiền mặt</v>
      </c>
      <c r="F30" s="87" t="str">
        <f ca="1">IF(ROWS($1:17)&gt;COUNT(Dong1),"",IF(OFFSET(TH!M$1,SMALL(Dong1,ROWS($1:17)),)="1111",OFFSET(TH!L$1,SMALL(Dong1,ROWS($1:17)),),OFFSET(TH!M$1,SMALL(Dong1,ROWS($1:17)),)))</f>
        <v>1121</v>
      </c>
      <c r="G30" s="88">
        <f ca="1">IF(ROWS($1:17)&gt;COUNT(Dong1),"",IF(OFFSET(TH!L$1,SMALL(Dong1,ROWS($1:17)),)="1111",OFFSET(TH!K$1,SMALL(Dong1,ROWS($1:17)),),0))</f>
        <v>31000000</v>
      </c>
      <c r="H30" s="86">
        <f ca="1">IF(ROWS($1:17)&gt;COUNT(Dong1),"",IF(OFFSET(TH!M$1,SMALL(Dong1,ROWS($1:17)),)="1111",OFFSET(TH!K$1,SMALL(Dong1,ROWS($1:17)),),0))</f>
        <v>0</v>
      </c>
      <c r="I30" s="84">
        <f t="shared" ca="1" si="0"/>
        <v>2454619880</v>
      </c>
      <c r="J30" s="89"/>
      <c r="N30" s="314"/>
      <c r="O30" s="314"/>
    </row>
    <row r="31" spans="1:15" ht="21.75" customHeight="1">
      <c r="A31" s="83">
        <f ca="1">IF(ROWS($1:18)&gt;COUNT(Dong1),"",OFFSET(TH!C$1,SMALL(Dong1,ROWS($1:18)),))</f>
        <v>41214</v>
      </c>
      <c r="B31" s="83">
        <f ca="1">IF(ROWS($1:18)&gt;COUNT(Dong1),"",OFFSET(TH!E$1,SMALL(Dong1,ROWS($1:18)),))</f>
        <v>41214</v>
      </c>
      <c r="C31" s="84" t="str">
        <f ca="1">IF(ROWS($1:18)&gt;COUNT(Dong1),"",IF(OFFSET(TH!L$1,SMALL(Dong1,ROWS($1:18)),)="1111",OFFSET(TH!D$1,SMALL(Dong1,ROWS($1:18)),),""))</f>
        <v>T06</v>
      </c>
      <c r="D31" s="85" t="str">
        <f ca="1">IF(ROWS($1:18)&gt;COUNT(Dong1),"",IF(OFFSET(TH!M$1,SMALL(Dong1,ROWS($1:18)),)="1111",OFFSET(TH!D$1,SMALL(Dong1,ROWS($1:18)),),""))</f>
        <v/>
      </c>
      <c r="E31" s="127" t="str">
        <f ca="1">IF(ROWS($1:18)&gt;COUNT(Dong1),"",OFFSET(TH!F$1,SMALL(Dong1,ROWS($1:18)),))</f>
        <v>Thu tiền hàng</v>
      </c>
      <c r="F31" s="87" t="str">
        <f ca="1">IF(ROWS($1:18)&gt;COUNT(Dong1),"",IF(OFFSET(TH!M$1,SMALL(Dong1,ROWS($1:18)),)="1111",OFFSET(TH!L$1,SMALL(Dong1,ROWS($1:18)),),OFFSET(TH!M$1,SMALL(Dong1,ROWS($1:18)),)))</f>
        <v>131</v>
      </c>
      <c r="G31" s="88">
        <f ca="1">IF(ROWS($1:18)&gt;COUNT(Dong1),"",IF(OFFSET(TH!L$1,SMALL(Dong1,ROWS($1:18)),)="1111",OFFSET(TH!K$1,SMALL(Dong1,ROWS($1:18)),),0))</f>
        <v>11513425</v>
      </c>
      <c r="H31" s="86">
        <f ca="1">IF(ROWS($1:18)&gt;COUNT(Dong1),"",IF(OFFSET(TH!M$1,SMALL(Dong1,ROWS($1:18)),)="1111",OFFSET(TH!K$1,SMALL(Dong1,ROWS($1:18)),),0))</f>
        <v>0</v>
      </c>
      <c r="I31" s="84">
        <f t="shared" ca="1" si="0"/>
        <v>2466133305</v>
      </c>
      <c r="J31" s="89"/>
      <c r="N31" s="314"/>
      <c r="O31" s="314"/>
    </row>
    <row r="32" spans="1:15" ht="21.75" customHeight="1">
      <c r="A32" s="83">
        <f ca="1">IF(ROWS($1:19)&gt;COUNT(Dong1),"",OFFSET(TH!C$1,SMALL(Dong1,ROWS($1:19)),))</f>
        <v>41215</v>
      </c>
      <c r="B32" s="83">
        <f ca="1">IF(ROWS($1:19)&gt;COUNT(Dong1),"",OFFSET(TH!E$1,SMALL(Dong1,ROWS($1:19)),))</f>
        <v>41215</v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>C11</v>
      </c>
      <c r="E32" s="127" t="str">
        <f ca="1">IF(ROWS($1:19)&gt;COUNT(Dong1),"",OFFSET(TH!F$1,SMALL(Dong1,ROWS($1:19)),))</f>
        <v>Thanh toán tiền hàng</v>
      </c>
      <c r="F32" s="87" t="str">
        <f ca="1">IF(ROWS($1:19)&gt;COUNT(Dong1),"",IF(OFFSET(TH!M$1,SMALL(Dong1,ROWS($1:19)),)="1111",OFFSET(TH!L$1,SMALL(Dong1,ROWS($1:19)),),OFFSET(TH!M$1,SMALL(Dong1,ROWS($1:19)),)))</f>
        <v>331</v>
      </c>
      <c r="G32" s="88">
        <f ca="1">IF(ROWS($1:19)&gt;COUNT(Dong1),"",IF(OFFSET(TH!L$1,SMALL(Dong1,ROWS($1:19)),)="1111",OFFSET(TH!K$1,SMALL(Dong1,ROWS($1:19)),),0))</f>
        <v>0</v>
      </c>
      <c r="H32" s="86">
        <f ca="1">IF(ROWS($1:19)&gt;COUNT(Dong1),"",IF(OFFSET(TH!M$1,SMALL(Dong1,ROWS($1:19)),)="1111",OFFSET(TH!K$1,SMALL(Dong1,ROWS($1:19)),),0))</f>
        <v>14025000</v>
      </c>
      <c r="I32" s="84">
        <f t="shared" ca="1" si="0"/>
        <v>2452108305</v>
      </c>
      <c r="J32" s="89"/>
      <c r="N32" s="314"/>
      <c r="O32" s="314"/>
    </row>
    <row r="33" spans="1:15" ht="21.75" customHeight="1">
      <c r="A33" s="83">
        <f ca="1">IF(ROWS($1:20)&gt;COUNT(Dong1),"",OFFSET(TH!C$1,SMALL(Dong1,ROWS($1:20)),))</f>
        <v>41215</v>
      </c>
      <c r="B33" s="83">
        <f ca="1">IF(ROWS($1:20)&gt;COUNT(Dong1),"",OFFSET(TH!E$1,SMALL(Dong1,ROWS($1:20)),))</f>
        <v>41215</v>
      </c>
      <c r="C33" s="84" t="str">
        <f ca="1">IF(ROWS($1:20)&gt;COUNT(Dong1),"",IF(OFFSET(TH!L$1,SMALL(Dong1,ROWS($1:20)),)="1111",OFFSET(TH!D$1,SMALL(Dong1,ROWS($1:20)),),""))</f>
        <v/>
      </c>
      <c r="D33" s="85" t="str">
        <f ca="1">IF(ROWS($1:20)&gt;COUNT(Dong1),"",IF(OFFSET(TH!M$1,SMALL(Dong1,ROWS($1:20)),)="1111",OFFSET(TH!D$1,SMALL(Dong1,ROWS($1:20)),),""))</f>
        <v>C12</v>
      </c>
      <c r="E33" s="127" t="str">
        <f ca="1">IF(ROWS($1:20)&gt;COUNT(Dong1),"",OFFSET(TH!F$1,SMALL(Dong1,ROWS($1:20)),))</f>
        <v>Thanh toán tiền hàng</v>
      </c>
      <c r="F33" s="87" t="str">
        <f ca="1">IF(ROWS($1:20)&gt;COUNT(Dong1),"",IF(OFFSET(TH!M$1,SMALL(Dong1,ROWS($1:20)),)="1111",OFFSET(TH!L$1,SMALL(Dong1,ROWS($1:20)),),OFFSET(TH!M$1,SMALL(Dong1,ROWS($1:20)),)))</f>
        <v>331</v>
      </c>
      <c r="G33" s="88">
        <f ca="1">IF(ROWS($1:20)&gt;COUNT(Dong1),"",IF(OFFSET(TH!L$1,SMALL(Dong1,ROWS($1:20)),)="1111",OFFSET(TH!K$1,SMALL(Dong1,ROWS($1:20)),),0))</f>
        <v>0</v>
      </c>
      <c r="H33" s="86">
        <f ca="1">IF(ROWS($1:20)&gt;COUNT(Dong1),"",IF(OFFSET(TH!M$1,SMALL(Dong1,ROWS($1:20)),)="1111",OFFSET(TH!K$1,SMALL(Dong1,ROWS($1:20)),),0))</f>
        <v>5663900</v>
      </c>
      <c r="I33" s="84">
        <f t="shared" ca="1" si="0"/>
        <v>2446444405</v>
      </c>
      <c r="J33" s="89"/>
      <c r="N33" s="314"/>
      <c r="O33" s="314"/>
    </row>
    <row r="34" spans="1:15" ht="21.75" customHeight="1">
      <c r="A34" s="83">
        <f ca="1">IF(ROWS($1:21)&gt;COUNT(Dong1),"",OFFSET(TH!C$1,SMALL(Dong1,ROWS($1:21)),))</f>
        <v>41215</v>
      </c>
      <c r="B34" s="83">
        <f ca="1">IF(ROWS($1:21)&gt;COUNT(Dong1),"",OFFSET(TH!E$1,SMALL(Dong1,ROWS($1:21)),))</f>
        <v>41215</v>
      </c>
      <c r="C34" s="84" t="str">
        <f ca="1">IF(ROWS($1:21)&gt;COUNT(Dong1),"",IF(OFFSET(TH!L$1,SMALL(Dong1,ROWS($1:21)),)="1111",OFFSET(TH!D$1,SMALL(Dong1,ROWS($1:21)),),""))</f>
        <v>T07</v>
      </c>
      <c r="D34" s="85" t="str">
        <f ca="1">IF(ROWS($1:21)&gt;COUNT(Dong1),"",IF(OFFSET(TH!M$1,SMALL(Dong1,ROWS($1:21)),)="1111",OFFSET(TH!D$1,SMALL(Dong1,ROWS($1:21)),),""))</f>
        <v/>
      </c>
      <c r="E34" s="127" t="str">
        <f ca="1">IF(ROWS($1:21)&gt;COUNT(Dong1),"",OFFSET(TH!F$1,SMALL(Dong1,ROWS($1:21)),))</f>
        <v>Thu tiền hàng</v>
      </c>
      <c r="F34" s="87" t="str">
        <f ca="1">IF(ROWS($1:21)&gt;COUNT(Dong1),"",IF(OFFSET(TH!M$1,SMALL(Dong1,ROWS($1:21)),)="1111",OFFSET(TH!L$1,SMALL(Dong1,ROWS($1:21)),),OFFSET(TH!M$1,SMALL(Dong1,ROWS($1:21)),)))</f>
        <v>131</v>
      </c>
      <c r="G34" s="88">
        <f ca="1">IF(ROWS($1:21)&gt;COUNT(Dong1),"",IF(OFFSET(TH!L$1,SMALL(Dong1,ROWS($1:21)),)="1111",OFFSET(TH!K$1,SMALL(Dong1,ROWS($1:21)),),0))</f>
        <v>10939500</v>
      </c>
      <c r="H34" s="86">
        <f ca="1">IF(ROWS($1:21)&gt;COUNT(Dong1),"",IF(OFFSET(TH!M$1,SMALL(Dong1,ROWS($1:21)),)="1111",OFFSET(TH!K$1,SMALL(Dong1,ROWS($1:21)),),0))</f>
        <v>0</v>
      </c>
      <c r="I34" s="84">
        <f t="shared" ca="1" si="0"/>
        <v>2457383905</v>
      </c>
      <c r="J34" s="89"/>
      <c r="N34" s="314"/>
      <c r="O34" s="314"/>
    </row>
    <row r="35" spans="1:15" ht="21.75" customHeight="1">
      <c r="A35" s="83">
        <f ca="1">IF(ROWS($1:22)&gt;COUNT(Dong1),"",OFFSET(TH!C$1,SMALL(Dong1,ROWS($1:22)),))</f>
        <v>41219</v>
      </c>
      <c r="B35" s="83">
        <f ca="1">IF(ROWS($1:22)&gt;COUNT(Dong1),"",OFFSET(TH!E$1,SMALL(Dong1,ROWS($1:22)),))</f>
        <v>41219</v>
      </c>
      <c r="C35" s="84" t="str">
        <f ca="1">IF(ROWS($1:22)&gt;COUNT(Dong1),"",IF(OFFSET(TH!L$1,SMALL(Dong1,ROWS($1:22)),)="1111",OFFSET(TH!D$1,SMALL(Dong1,ROWS($1:22)),),""))</f>
        <v>T08</v>
      </c>
      <c r="D35" s="85" t="str">
        <f ca="1">IF(ROWS($1:22)&gt;COUNT(Dong1),"",IF(OFFSET(TH!M$1,SMALL(Dong1,ROWS($1:22)),)="1111",OFFSET(TH!D$1,SMALL(Dong1,ROWS($1:22)),),""))</f>
        <v/>
      </c>
      <c r="E35" s="127" t="str">
        <f ca="1">IF(ROWS($1:22)&gt;COUNT(Dong1),"",OFFSET(TH!F$1,SMALL(Dong1,ROWS($1:22)),))</f>
        <v>Thu tiền hàng</v>
      </c>
      <c r="F35" s="87" t="str">
        <f ca="1">IF(ROWS($1:22)&gt;COUNT(Dong1),"",IF(OFFSET(TH!M$1,SMALL(Dong1,ROWS($1:22)),)="1111",OFFSET(TH!L$1,SMALL(Dong1,ROWS($1:22)),),OFFSET(TH!M$1,SMALL(Dong1,ROWS($1:22)),)))</f>
        <v>131</v>
      </c>
      <c r="G35" s="88">
        <f ca="1">IF(ROWS($1:22)&gt;COUNT(Dong1),"",IF(OFFSET(TH!L$1,SMALL(Dong1,ROWS($1:22)),)="1111",OFFSET(TH!K$1,SMALL(Dong1,ROWS($1:22)),),0))</f>
        <v>6297500</v>
      </c>
      <c r="H35" s="86">
        <f ca="1">IF(ROWS($1:22)&gt;COUNT(Dong1),"",IF(OFFSET(TH!M$1,SMALL(Dong1,ROWS($1:22)),)="1111",OFFSET(TH!K$1,SMALL(Dong1,ROWS($1:22)),),0))</f>
        <v>0</v>
      </c>
      <c r="I35" s="84">
        <f t="shared" ca="1" si="0"/>
        <v>2463681405</v>
      </c>
      <c r="J35" s="89"/>
      <c r="N35" s="314"/>
      <c r="O35" s="314"/>
    </row>
    <row r="36" spans="1:15" ht="21.75" customHeight="1">
      <c r="A36" s="83">
        <f ca="1">IF(ROWS($1:23)&gt;COUNT(Dong1),"",OFFSET(TH!C$1,SMALL(Dong1,ROWS($1:23)),))</f>
        <v>41220</v>
      </c>
      <c r="B36" s="83">
        <f ca="1">IF(ROWS($1:23)&gt;COUNT(Dong1),"",OFFSET(TH!E$1,SMALL(Dong1,ROWS($1:23)),))</f>
        <v>41220</v>
      </c>
      <c r="C36" s="84" t="str">
        <f ca="1">IF(ROWS($1:23)&gt;COUNT(Dong1),"",IF(OFFSET(TH!L$1,SMALL(Dong1,ROWS($1:23)),)="1111",OFFSET(TH!D$1,SMALL(Dong1,ROWS($1:23)),),""))</f>
        <v/>
      </c>
      <c r="D36" s="85" t="str">
        <f ca="1">IF(ROWS($1:23)&gt;COUNT(Dong1),"",IF(OFFSET(TH!M$1,SMALL(Dong1,ROWS($1:23)),)="1111",OFFSET(TH!D$1,SMALL(Dong1,ROWS($1:23)),),""))</f>
        <v>C13</v>
      </c>
      <c r="E36" s="127" t="str">
        <f ca="1">IF(ROWS($1:23)&gt;COUNT(Dong1),"",OFFSET(TH!F$1,SMALL(Dong1,ROWS($1:23)),))</f>
        <v>Vật dụng phòng khách</v>
      </c>
      <c r="F36" s="87" t="str">
        <f ca="1">IF(ROWS($1:23)&gt;COUNT(Dong1),"",IF(OFFSET(TH!M$1,SMALL(Dong1,ROWS($1:23)),)="1111",OFFSET(TH!L$1,SMALL(Dong1,ROWS($1:23)),),OFFSET(TH!M$1,SMALL(Dong1,ROWS($1:23)),)))</f>
        <v>642</v>
      </c>
      <c r="G36" s="88">
        <f ca="1">IF(ROWS($1:23)&gt;COUNT(Dong1),"",IF(OFFSET(TH!L$1,SMALL(Dong1,ROWS($1:23)),)="1111",OFFSET(TH!K$1,SMALL(Dong1,ROWS($1:23)),),0))</f>
        <v>0</v>
      </c>
      <c r="H36" s="86">
        <f ca="1">IF(ROWS($1:23)&gt;COUNT(Dong1),"",IF(OFFSET(TH!M$1,SMALL(Dong1,ROWS($1:23)),)="1111",OFFSET(TH!K$1,SMALL(Dong1,ROWS($1:23)),),0))</f>
        <v>4845455</v>
      </c>
      <c r="I36" s="84">
        <f t="shared" ca="1" si="0"/>
        <v>2458835950</v>
      </c>
      <c r="J36" s="89"/>
      <c r="N36" s="314"/>
      <c r="O36" s="314"/>
    </row>
    <row r="37" spans="1:15" ht="21.75" customHeight="1">
      <c r="A37" s="83">
        <f ca="1">IF(ROWS($1:24)&gt;COUNT(Dong1),"",OFFSET(TH!C$1,SMALL(Dong1,ROWS($1:24)),))</f>
        <v>41220</v>
      </c>
      <c r="B37" s="83">
        <f ca="1">IF(ROWS($1:24)&gt;COUNT(Dong1),"",OFFSET(TH!E$1,SMALL(Dong1,ROWS($1:24)),))</f>
        <v>41220</v>
      </c>
      <c r="C37" s="84" t="str">
        <f ca="1">IF(ROWS($1:24)&gt;COUNT(Dong1),"",IF(OFFSET(TH!L$1,SMALL(Dong1,ROWS($1:24)),)="1111",OFFSET(TH!D$1,SMALL(Dong1,ROWS($1:24)),),""))</f>
        <v/>
      </c>
      <c r="D37" s="85" t="str">
        <f ca="1">IF(ROWS($1:24)&gt;COUNT(Dong1),"",IF(OFFSET(TH!M$1,SMALL(Dong1,ROWS($1:24)),)="1111",OFFSET(TH!D$1,SMALL(Dong1,ROWS($1:24)),),""))</f>
        <v>C13</v>
      </c>
      <c r="E37" s="127" t="str">
        <f ca="1">IF(ROWS($1:24)&gt;COUNT(Dong1),"",OFFSET(TH!F$1,SMALL(Dong1,ROWS($1:24)),))</f>
        <v>VAT Vật dụng phòng khách</v>
      </c>
      <c r="F37" s="87" t="str">
        <f ca="1">IF(ROWS($1:24)&gt;COUNT(Dong1),"",IF(OFFSET(TH!M$1,SMALL(Dong1,ROWS($1:24)),)="1111",OFFSET(TH!L$1,SMALL(Dong1,ROWS($1:24)),),OFFSET(TH!M$1,SMALL(Dong1,ROWS($1:24)),)))</f>
        <v>1331</v>
      </c>
      <c r="G37" s="88">
        <f ca="1">IF(ROWS($1:24)&gt;COUNT(Dong1),"",IF(OFFSET(TH!L$1,SMALL(Dong1,ROWS($1:24)),)="1111",OFFSET(TH!K$1,SMALL(Dong1,ROWS($1:24)),),0))</f>
        <v>0</v>
      </c>
      <c r="H37" s="86">
        <f ca="1">IF(ROWS($1:24)&gt;COUNT(Dong1),"",IF(OFFSET(TH!M$1,SMALL(Dong1,ROWS($1:24)),)="1111",OFFSET(TH!K$1,SMALL(Dong1,ROWS($1:24)),),0))</f>
        <v>484545</v>
      </c>
      <c r="I37" s="84">
        <f t="shared" ca="1" si="0"/>
        <v>2458351405</v>
      </c>
      <c r="J37" s="89"/>
      <c r="N37" s="314"/>
      <c r="O37" s="314"/>
    </row>
    <row r="38" spans="1:15" ht="21.75" customHeight="1">
      <c r="A38" s="83">
        <f ca="1">IF(ROWS($1:25)&gt;COUNT(Dong1),"",OFFSET(TH!C$1,SMALL(Dong1,ROWS($1:25)),))</f>
        <v>41221</v>
      </c>
      <c r="B38" s="83">
        <f ca="1">IF(ROWS($1:25)&gt;COUNT(Dong1),"",OFFSET(TH!E$1,SMALL(Dong1,ROWS($1:25)),))</f>
        <v>41221</v>
      </c>
      <c r="C38" s="84" t="str">
        <f ca="1">IF(ROWS($1:25)&gt;COUNT(Dong1),"",IF(OFFSET(TH!L$1,SMALL(Dong1,ROWS($1:25)),)="1111",OFFSET(TH!D$1,SMALL(Dong1,ROWS($1:25)),),""))</f>
        <v/>
      </c>
      <c r="D38" s="85" t="str">
        <f ca="1">IF(ROWS($1:25)&gt;COUNT(Dong1),"",IF(OFFSET(TH!M$1,SMALL(Dong1,ROWS($1:25)),)="1111",OFFSET(TH!D$1,SMALL(Dong1,ROWS($1:25)),),""))</f>
        <v>C14</v>
      </c>
      <c r="E38" s="127" t="str">
        <f ca="1">IF(ROWS($1:25)&gt;COUNT(Dong1),"",OFFSET(TH!F$1,SMALL(Dong1,ROWS($1:25)),))</f>
        <v>Vật liệu xây dựng</v>
      </c>
      <c r="F38" s="87" t="str">
        <f ca="1">IF(ROWS($1:25)&gt;COUNT(Dong1),"",IF(OFFSET(TH!M$1,SMALL(Dong1,ROWS($1:25)),)="1111",OFFSET(TH!L$1,SMALL(Dong1,ROWS($1:25)),),OFFSET(TH!M$1,SMALL(Dong1,ROWS($1:25)),)))</f>
        <v>642</v>
      </c>
      <c r="G38" s="88">
        <f ca="1">IF(ROWS($1:25)&gt;COUNT(Dong1),"",IF(OFFSET(TH!L$1,SMALL(Dong1,ROWS($1:25)),)="1111",OFFSET(TH!K$1,SMALL(Dong1,ROWS($1:25)),),0))</f>
        <v>0</v>
      </c>
      <c r="H38" s="86">
        <f ca="1">IF(ROWS($1:25)&gt;COUNT(Dong1),"",IF(OFFSET(TH!M$1,SMALL(Dong1,ROWS($1:25)),)="1111",OFFSET(TH!K$1,SMALL(Dong1,ROWS($1:25)),),0))</f>
        <v>4372550</v>
      </c>
      <c r="I38" s="84">
        <f t="shared" ca="1" si="0"/>
        <v>2453978855</v>
      </c>
      <c r="J38" s="89"/>
      <c r="N38" s="314"/>
      <c r="O38" s="314"/>
    </row>
    <row r="39" spans="1:15" ht="21.75" customHeight="1">
      <c r="A39" s="83">
        <f ca="1">IF(ROWS($1:26)&gt;COUNT(Dong1),"",OFFSET(TH!C$1,SMALL(Dong1,ROWS($1:26)),))</f>
        <v>41221</v>
      </c>
      <c r="B39" s="83">
        <f ca="1">IF(ROWS($1:26)&gt;COUNT(Dong1),"",OFFSET(TH!E$1,SMALL(Dong1,ROWS($1:26)),))</f>
        <v>41221</v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>C14</v>
      </c>
      <c r="E39" s="127" t="str">
        <f ca="1">IF(ROWS($1:26)&gt;COUNT(Dong1),"",OFFSET(TH!F$1,SMALL(Dong1,ROWS($1:26)),))</f>
        <v>VAT Vật liệu xây dựng</v>
      </c>
      <c r="F39" s="87" t="str">
        <f ca="1">IF(ROWS($1:26)&gt;COUNT(Dong1),"",IF(OFFSET(TH!M$1,SMALL(Dong1,ROWS($1:26)),)="1111",OFFSET(TH!L$1,SMALL(Dong1,ROWS($1:26)),),OFFSET(TH!M$1,SMALL(Dong1,ROWS($1:26)),)))</f>
        <v>1331</v>
      </c>
      <c r="G39" s="88">
        <f ca="1">IF(ROWS($1:26)&gt;COUNT(Dong1),"",IF(OFFSET(TH!L$1,SMALL(Dong1,ROWS($1:26)),)="1111",OFFSET(TH!K$1,SMALL(Dong1,ROWS($1:26)),),0))</f>
        <v>0</v>
      </c>
      <c r="H39" s="86">
        <f ca="1">IF(ROWS($1:26)&gt;COUNT(Dong1),"",IF(OFFSET(TH!M$1,SMALL(Dong1,ROWS($1:26)),)="1111",OFFSET(TH!K$1,SMALL(Dong1,ROWS($1:26)),),0))</f>
        <v>437255</v>
      </c>
      <c r="I39" s="84">
        <f t="shared" ca="1" si="0"/>
        <v>2453541600</v>
      </c>
      <c r="J39" s="89"/>
      <c r="N39" s="314"/>
      <c r="O39" s="314"/>
    </row>
    <row r="40" spans="1:15" ht="21.75" customHeight="1">
      <c r="A40" s="83">
        <f ca="1">IF(ROWS($1:27)&gt;COUNT(Dong1),"",OFFSET(TH!C$1,SMALL(Dong1,ROWS($1:27)),))</f>
        <v>41221</v>
      </c>
      <c r="B40" s="83">
        <f ca="1">IF(ROWS($1:27)&gt;COUNT(Dong1),"",OFFSET(TH!E$1,SMALL(Dong1,ROWS($1:27)),))</f>
        <v>41221</v>
      </c>
      <c r="C40" s="84" t="str">
        <f ca="1">IF(ROWS($1:27)&gt;COUNT(Dong1),"",IF(OFFSET(TH!L$1,SMALL(Dong1,ROWS($1:27)),)="1111",OFFSET(TH!D$1,SMALL(Dong1,ROWS($1:27)),),""))</f>
        <v>T09</v>
      </c>
      <c r="D40" s="85" t="str">
        <f ca="1">IF(ROWS($1:27)&gt;COUNT(Dong1),"",IF(OFFSET(TH!M$1,SMALL(Dong1,ROWS($1:27)),)="1111",OFFSET(TH!D$1,SMALL(Dong1,ROWS($1:27)),),""))</f>
        <v/>
      </c>
      <c r="E40" s="127" t="str">
        <f ca="1">IF(ROWS($1:27)&gt;COUNT(Dong1),"",OFFSET(TH!F$1,SMALL(Dong1,ROWS($1:27)),))</f>
        <v>Thu tiền hàng</v>
      </c>
      <c r="F40" s="87" t="str">
        <f ca="1">IF(ROWS($1:27)&gt;COUNT(Dong1),"",IF(OFFSET(TH!M$1,SMALL(Dong1,ROWS($1:27)),)="1111",OFFSET(TH!L$1,SMALL(Dong1,ROWS($1:27)),),OFFSET(TH!M$1,SMALL(Dong1,ROWS($1:27)),)))</f>
        <v>131</v>
      </c>
      <c r="G40" s="88">
        <f ca="1">IF(ROWS($1:27)&gt;COUNT(Dong1),"",IF(OFFSET(TH!L$1,SMALL(Dong1,ROWS($1:27)),)="1111",OFFSET(TH!K$1,SMALL(Dong1,ROWS($1:27)),),0))</f>
        <v>6976200</v>
      </c>
      <c r="H40" s="86">
        <f ca="1">IF(ROWS($1:27)&gt;COUNT(Dong1),"",IF(OFFSET(TH!M$1,SMALL(Dong1,ROWS($1:27)),)="1111",OFFSET(TH!K$1,SMALL(Dong1,ROWS($1:27)),),0))</f>
        <v>0</v>
      </c>
      <c r="I40" s="84">
        <f t="shared" ca="1" si="0"/>
        <v>2460517800</v>
      </c>
      <c r="J40" s="89"/>
      <c r="N40" s="314"/>
      <c r="O40" s="314"/>
    </row>
    <row r="41" spans="1:15" ht="21.75" customHeight="1">
      <c r="A41" s="83">
        <f ca="1">IF(ROWS($1:28)&gt;COUNT(Dong1),"",OFFSET(TH!C$1,SMALL(Dong1,ROWS($1:28)),))</f>
        <v>41222</v>
      </c>
      <c r="B41" s="83">
        <f ca="1">IF(ROWS($1:28)&gt;COUNT(Dong1),"",OFFSET(TH!E$1,SMALL(Dong1,ROWS($1:28)),))</f>
        <v>41222</v>
      </c>
      <c r="C41" s="84" t="str">
        <f ca="1">IF(ROWS($1:28)&gt;COUNT(Dong1),"",IF(OFFSET(TH!L$1,SMALL(Dong1,ROWS($1:28)),)="1111",OFFSET(TH!D$1,SMALL(Dong1,ROWS($1:28)),),""))</f>
        <v/>
      </c>
      <c r="D41" s="85" t="str">
        <f ca="1">IF(ROWS($1:28)&gt;COUNT(Dong1),"",IF(OFFSET(TH!M$1,SMALL(Dong1,ROWS($1:28)),)="1111",OFFSET(TH!D$1,SMALL(Dong1,ROWS($1:28)),),""))</f>
        <v>C15</v>
      </c>
      <c r="E41" s="127" t="str">
        <f ca="1">IF(ROWS($1:28)&gt;COUNT(Dong1),"",OFFSET(TH!F$1,SMALL(Dong1,ROWS($1:28)),))</f>
        <v>Thuế GTGT hàng sản xuất</v>
      </c>
      <c r="F41" s="87" t="str">
        <f ca="1">IF(ROWS($1:28)&gt;COUNT(Dong1),"",IF(OFFSET(TH!M$1,SMALL(Dong1,ROWS($1:28)),)="1111",OFFSET(TH!L$1,SMALL(Dong1,ROWS($1:28)),),OFFSET(TH!M$1,SMALL(Dong1,ROWS($1:28)),)))</f>
        <v>3388</v>
      </c>
      <c r="G41" s="88">
        <f ca="1">IF(ROWS($1:28)&gt;COUNT(Dong1),"",IF(OFFSET(TH!L$1,SMALL(Dong1,ROWS($1:28)),)="1111",OFFSET(TH!K$1,SMALL(Dong1,ROWS($1:28)),),0))</f>
        <v>0</v>
      </c>
      <c r="H41" s="86">
        <f ca="1">IF(ROWS($1:28)&gt;COUNT(Dong1),"",IF(OFFSET(TH!M$1,SMALL(Dong1,ROWS($1:28)),)="1111",OFFSET(TH!K$1,SMALL(Dong1,ROWS($1:28)),),0))</f>
        <v>505710</v>
      </c>
      <c r="I41" s="84">
        <f t="shared" ca="1" si="0"/>
        <v>2460012090</v>
      </c>
      <c r="J41" s="89"/>
      <c r="N41" s="314"/>
      <c r="O41" s="314"/>
    </row>
    <row r="42" spans="1:15" ht="21.75" customHeight="1">
      <c r="A42" s="83">
        <f ca="1">IF(ROWS($1:29)&gt;COUNT(Dong1),"",OFFSET(TH!C$1,SMALL(Dong1,ROWS($1:29)),))</f>
        <v>41229</v>
      </c>
      <c r="B42" s="83">
        <f ca="1">IF(ROWS($1:29)&gt;COUNT(Dong1),"",OFFSET(TH!E$1,SMALL(Dong1,ROWS($1:29)),))</f>
        <v>41229</v>
      </c>
      <c r="C42" s="84" t="str">
        <f ca="1">IF(ROWS($1:29)&gt;COUNT(Dong1),"",IF(OFFSET(TH!L$1,SMALL(Dong1,ROWS($1:29)),)="1111",OFFSET(TH!D$1,SMALL(Dong1,ROWS($1:29)),),""))</f>
        <v>T10</v>
      </c>
      <c r="D42" s="85" t="str">
        <f ca="1">IF(ROWS($1:29)&gt;COUNT(Dong1),"",IF(OFFSET(TH!M$1,SMALL(Dong1,ROWS($1:29)),)="1111",OFFSET(TH!D$1,SMALL(Dong1,ROWS($1:29)),),""))</f>
        <v/>
      </c>
      <c r="E42" s="127" t="str">
        <f ca="1">IF(ROWS($1:29)&gt;COUNT(Dong1),"",OFFSET(TH!F$1,SMALL(Dong1,ROWS($1:29)),))</f>
        <v>Thu tiền hàng</v>
      </c>
      <c r="F42" s="87" t="str">
        <f ca="1">IF(ROWS($1:29)&gt;COUNT(Dong1),"",IF(OFFSET(TH!M$1,SMALL(Dong1,ROWS($1:29)),)="1111",OFFSET(TH!L$1,SMALL(Dong1,ROWS($1:29)),),OFFSET(TH!M$1,SMALL(Dong1,ROWS($1:29)),)))</f>
        <v>131</v>
      </c>
      <c r="G42" s="88">
        <f ca="1">IF(ROWS($1:29)&gt;COUNT(Dong1),"",IF(OFFSET(TH!L$1,SMALL(Dong1,ROWS($1:29)),)="1111",OFFSET(TH!K$1,SMALL(Dong1,ROWS($1:29)),),0))</f>
        <v>6820000</v>
      </c>
      <c r="H42" s="86">
        <f ca="1">IF(ROWS($1:29)&gt;COUNT(Dong1),"",IF(OFFSET(TH!M$1,SMALL(Dong1,ROWS($1:29)),)="1111",OFFSET(TH!K$1,SMALL(Dong1,ROWS($1:29)),),0))</f>
        <v>0</v>
      </c>
      <c r="I42" s="84">
        <f t="shared" ca="1" si="0"/>
        <v>2466832090</v>
      </c>
      <c r="J42" s="89"/>
      <c r="N42" s="314"/>
      <c r="O42" s="314"/>
    </row>
    <row r="43" spans="1:15" ht="21.75" customHeight="1">
      <c r="A43" s="83">
        <f ca="1">IF(ROWS($1:30)&gt;COUNT(Dong1),"",OFFSET(TH!C$1,SMALL(Dong1,ROWS($1:30)),))</f>
        <v>41230</v>
      </c>
      <c r="B43" s="83">
        <f ca="1">IF(ROWS($1:30)&gt;COUNT(Dong1),"",OFFSET(TH!E$1,SMALL(Dong1,ROWS($1:30)),))</f>
        <v>41230</v>
      </c>
      <c r="C43" s="84" t="str">
        <f ca="1">IF(ROWS($1:30)&gt;COUNT(Dong1),"",IF(OFFSET(TH!L$1,SMALL(Dong1,ROWS($1:30)),)="1111",OFFSET(TH!D$1,SMALL(Dong1,ROWS($1:30)),),""))</f>
        <v/>
      </c>
      <c r="D43" s="85" t="str">
        <f ca="1">IF(ROWS($1:30)&gt;COUNT(Dong1),"",IF(OFFSET(TH!M$1,SMALL(Dong1,ROWS($1:30)),)="1111",OFFSET(TH!D$1,SMALL(Dong1,ROWS($1:30)),),""))</f>
        <v>C16</v>
      </c>
      <c r="E43" s="127" t="str">
        <f ca="1">IF(ROWS($1:30)&gt;COUNT(Dong1),"",OFFSET(TH!F$1,SMALL(Dong1,ROWS($1:30)),))</f>
        <v>Thanh toán tiền hàng</v>
      </c>
      <c r="F43" s="87" t="str">
        <f ca="1">IF(ROWS($1:30)&gt;COUNT(Dong1),"",IF(OFFSET(TH!M$1,SMALL(Dong1,ROWS($1:30)),)="1111",OFFSET(TH!L$1,SMALL(Dong1,ROWS($1:30)),),OFFSET(TH!M$1,SMALL(Dong1,ROWS($1:30)),)))</f>
        <v>331</v>
      </c>
      <c r="G43" s="88">
        <f ca="1">IF(ROWS($1:30)&gt;COUNT(Dong1),"",IF(OFFSET(TH!L$1,SMALL(Dong1,ROWS($1:30)),)="1111",OFFSET(TH!K$1,SMALL(Dong1,ROWS($1:30)),),0))</f>
        <v>0</v>
      </c>
      <c r="H43" s="86">
        <f ca="1">IF(ROWS($1:30)&gt;COUNT(Dong1),"",IF(OFFSET(TH!M$1,SMALL(Dong1,ROWS($1:30)),)="1111",OFFSET(TH!K$1,SMALL(Dong1,ROWS($1:30)),),0))</f>
        <v>18991665</v>
      </c>
      <c r="I43" s="84">
        <f t="shared" ca="1" si="0"/>
        <v>2447840425</v>
      </c>
      <c r="J43" s="89"/>
      <c r="N43" s="314"/>
      <c r="O43" s="314"/>
    </row>
    <row r="44" spans="1:15" ht="21.75" customHeight="1">
      <c r="A44" s="83">
        <f ca="1">IF(ROWS($1:31)&gt;COUNT(Dong1),"",OFFSET(TH!C$1,SMALL(Dong1,ROWS($1:31)),))</f>
        <v>41233</v>
      </c>
      <c r="B44" s="83">
        <f ca="1">IF(ROWS($1:31)&gt;COUNT(Dong1),"",OFFSET(TH!E$1,SMALL(Dong1,ROWS($1:31)),))</f>
        <v>41233</v>
      </c>
      <c r="C44" s="84" t="str">
        <f ca="1">IF(ROWS($1:31)&gt;COUNT(Dong1),"",IF(OFFSET(TH!L$1,SMALL(Dong1,ROWS($1:31)),)="1111",OFFSET(TH!D$1,SMALL(Dong1,ROWS($1:31)),),""))</f>
        <v/>
      </c>
      <c r="D44" s="85" t="str">
        <f ca="1">IF(ROWS($1:31)&gt;COUNT(Dong1),"",IF(OFFSET(TH!M$1,SMALL(Dong1,ROWS($1:31)),)="1111",OFFSET(TH!D$1,SMALL(Dong1,ROWS($1:31)),),""))</f>
        <v>C17</v>
      </c>
      <c r="E44" s="127" t="str">
        <f ca="1">IF(ROWS($1:31)&gt;COUNT(Dong1),"",OFFSET(TH!F$1,SMALL(Dong1,ROWS($1:31)),))</f>
        <v>Thanh toán tiền viễn thông</v>
      </c>
      <c r="F44" s="87" t="str">
        <f ca="1">IF(ROWS($1:31)&gt;COUNT(Dong1),"",IF(OFFSET(TH!M$1,SMALL(Dong1,ROWS($1:31)),)="1111",OFFSET(TH!L$1,SMALL(Dong1,ROWS($1:31)),),OFFSET(TH!M$1,SMALL(Dong1,ROWS($1:31)),)))</f>
        <v>642</v>
      </c>
      <c r="G44" s="88">
        <f ca="1">IF(ROWS($1:31)&gt;COUNT(Dong1),"",IF(OFFSET(TH!L$1,SMALL(Dong1,ROWS($1:31)),)="1111",OFFSET(TH!K$1,SMALL(Dong1,ROWS($1:31)),),0))</f>
        <v>0</v>
      </c>
      <c r="H44" s="86">
        <f ca="1">IF(ROWS($1:31)&gt;COUNT(Dong1),"",IF(OFFSET(TH!M$1,SMALL(Dong1,ROWS($1:31)),)="1111",OFFSET(TH!K$1,SMALL(Dong1,ROWS($1:31)),),0))</f>
        <v>254545</v>
      </c>
      <c r="I44" s="84">
        <f t="shared" ca="1" si="0"/>
        <v>2447585880</v>
      </c>
      <c r="J44" s="89"/>
      <c r="N44" s="314"/>
      <c r="O44" s="314"/>
    </row>
    <row r="45" spans="1:15" ht="21.75" customHeight="1">
      <c r="A45" s="83">
        <f ca="1">IF(ROWS($1:32)&gt;COUNT(Dong1),"",OFFSET(TH!C$1,SMALL(Dong1,ROWS($1:32)),))</f>
        <v>41233</v>
      </c>
      <c r="B45" s="83">
        <f ca="1">IF(ROWS($1:32)&gt;COUNT(Dong1),"",OFFSET(TH!E$1,SMALL(Dong1,ROWS($1:32)),))</f>
        <v>41233</v>
      </c>
      <c r="C45" s="84" t="str">
        <f ca="1">IF(ROWS($1:32)&gt;COUNT(Dong1),"",IF(OFFSET(TH!L$1,SMALL(Dong1,ROWS($1:32)),)="1111",OFFSET(TH!D$1,SMALL(Dong1,ROWS($1:32)),),""))</f>
        <v/>
      </c>
      <c r="D45" s="85" t="str">
        <f ca="1">IF(ROWS($1:32)&gt;COUNT(Dong1),"",IF(OFFSET(TH!M$1,SMALL(Dong1,ROWS($1:32)),)="1111",OFFSET(TH!D$1,SMALL(Dong1,ROWS($1:32)),),""))</f>
        <v>C17</v>
      </c>
      <c r="E45" s="127" t="str">
        <f ca="1">IF(ROWS($1:32)&gt;COUNT(Dong1),"",OFFSET(TH!F$1,SMALL(Dong1,ROWS($1:32)),))</f>
        <v>VAT Thanh toán tiền viễn thông</v>
      </c>
      <c r="F45" s="87" t="str">
        <f ca="1">IF(ROWS($1:32)&gt;COUNT(Dong1),"",IF(OFFSET(TH!M$1,SMALL(Dong1,ROWS($1:32)),)="1111",OFFSET(TH!L$1,SMALL(Dong1,ROWS($1:32)),),OFFSET(TH!M$1,SMALL(Dong1,ROWS($1:32)),)))</f>
        <v>1331</v>
      </c>
      <c r="G45" s="88">
        <f ca="1">IF(ROWS($1:32)&gt;COUNT(Dong1),"",IF(OFFSET(TH!L$1,SMALL(Dong1,ROWS($1:32)),)="1111",OFFSET(TH!K$1,SMALL(Dong1,ROWS($1:32)),),0))</f>
        <v>0</v>
      </c>
      <c r="H45" s="86">
        <f ca="1">IF(ROWS($1:32)&gt;COUNT(Dong1),"",IF(OFFSET(TH!M$1,SMALL(Dong1,ROWS($1:32)),)="1111",OFFSET(TH!K$1,SMALL(Dong1,ROWS($1:32)),),0))</f>
        <v>25455</v>
      </c>
      <c r="I45" s="84">
        <f t="shared" ca="1" si="0"/>
        <v>2447560425</v>
      </c>
      <c r="J45" s="89"/>
      <c r="N45" s="314"/>
      <c r="O45" s="314"/>
    </row>
    <row r="46" spans="1:15" ht="21.75" customHeight="1">
      <c r="A46" s="83">
        <f ca="1">IF(ROWS($1:33)&gt;COUNT(Dong1),"",OFFSET(TH!C$1,SMALL(Dong1,ROWS($1:33)),))</f>
        <v>41235</v>
      </c>
      <c r="B46" s="83">
        <f ca="1">IF(ROWS($1:33)&gt;COUNT(Dong1),"",OFFSET(TH!E$1,SMALL(Dong1,ROWS($1:33)),))</f>
        <v>41235</v>
      </c>
      <c r="C46" s="84" t="str">
        <f ca="1">IF(ROWS($1:33)&gt;COUNT(Dong1),"",IF(OFFSET(TH!L$1,SMALL(Dong1,ROWS($1:33)),)="1111",OFFSET(TH!D$1,SMALL(Dong1,ROWS($1:33)),),""))</f>
        <v/>
      </c>
      <c r="D46" s="85" t="str">
        <f ca="1">IF(ROWS($1:33)&gt;COUNT(Dong1),"",IF(OFFSET(TH!M$1,SMALL(Dong1,ROWS($1:33)),)="1111",OFFSET(TH!D$1,SMALL(Dong1,ROWS($1:33)),),""))</f>
        <v>C18</v>
      </c>
      <c r="E46" s="127" t="str">
        <f ca="1">IF(ROWS($1:33)&gt;COUNT(Dong1),"",OFFSET(TH!F$1,SMALL(Dong1,ROWS($1:33)),))</f>
        <v>Thanh toán tiền hàng</v>
      </c>
      <c r="F46" s="87" t="str">
        <f ca="1">IF(ROWS($1:33)&gt;COUNT(Dong1),"",IF(OFFSET(TH!M$1,SMALL(Dong1,ROWS($1:33)),)="1111",OFFSET(TH!L$1,SMALL(Dong1,ROWS($1:33)),),OFFSET(TH!M$1,SMALL(Dong1,ROWS($1:33)),)))</f>
        <v>331</v>
      </c>
      <c r="G46" s="88">
        <f ca="1">IF(ROWS($1:33)&gt;COUNT(Dong1),"",IF(OFFSET(TH!L$1,SMALL(Dong1,ROWS($1:33)),)="1111",OFFSET(TH!K$1,SMALL(Dong1,ROWS($1:33)),),0))</f>
        <v>0</v>
      </c>
      <c r="H46" s="86">
        <f ca="1">IF(ROWS($1:33)&gt;COUNT(Dong1),"",IF(OFFSET(TH!M$1,SMALL(Dong1,ROWS($1:33)),)="1111",OFFSET(TH!K$1,SMALL(Dong1,ROWS($1:33)),),0))</f>
        <v>17016560</v>
      </c>
      <c r="I46" s="84">
        <f t="shared" ca="1" si="0"/>
        <v>2430543865</v>
      </c>
      <c r="J46" s="89"/>
      <c r="N46" s="314"/>
      <c r="O46" s="314"/>
    </row>
    <row r="47" spans="1:15" ht="21.75" customHeight="1">
      <c r="A47" s="83">
        <f ca="1">IF(ROWS($1:34)&gt;COUNT(Dong1),"",OFFSET(TH!C$1,SMALL(Dong1,ROWS($1:34)),))</f>
        <v>41236</v>
      </c>
      <c r="B47" s="83">
        <f ca="1">IF(ROWS($1:34)&gt;COUNT(Dong1),"",OFFSET(TH!E$1,SMALL(Dong1,ROWS($1:34)),))</f>
        <v>41236</v>
      </c>
      <c r="C47" s="84" t="str">
        <f ca="1">IF(ROWS($1:34)&gt;COUNT(Dong1),"",IF(OFFSET(TH!L$1,SMALL(Dong1,ROWS($1:34)),)="1111",OFFSET(TH!D$1,SMALL(Dong1,ROWS($1:34)),),""))</f>
        <v>T11</v>
      </c>
      <c r="D47" s="85" t="str">
        <f ca="1">IF(ROWS($1:34)&gt;COUNT(Dong1),"",IF(OFFSET(TH!M$1,SMALL(Dong1,ROWS($1:34)),)="1111",OFFSET(TH!D$1,SMALL(Dong1,ROWS($1:34)),),""))</f>
        <v/>
      </c>
      <c r="E47" s="127" t="str">
        <f ca="1">IF(ROWS($1:34)&gt;COUNT(Dong1),"",OFFSET(TH!F$1,SMALL(Dong1,ROWS($1:34)),))</f>
        <v>Rút sec nhập quỹ tiền mặt</v>
      </c>
      <c r="F47" s="87" t="str">
        <f ca="1">IF(ROWS($1:34)&gt;COUNT(Dong1),"",IF(OFFSET(TH!M$1,SMALL(Dong1,ROWS($1:34)),)="1111",OFFSET(TH!L$1,SMALL(Dong1,ROWS($1:34)),),OFFSET(TH!M$1,SMALL(Dong1,ROWS($1:34)),)))</f>
        <v>1121</v>
      </c>
      <c r="G47" s="88">
        <f ca="1">IF(ROWS($1:34)&gt;COUNT(Dong1),"",IF(OFFSET(TH!L$1,SMALL(Dong1,ROWS($1:34)),)="1111",OFFSET(TH!K$1,SMALL(Dong1,ROWS($1:34)),),0))</f>
        <v>7500000</v>
      </c>
      <c r="H47" s="86">
        <f ca="1">IF(ROWS($1:34)&gt;COUNT(Dong1),"",IF(OFFSET(TH!M$1,SMALL(Dong1,ROWS($1:34)),)="1111",OFFSET(TH!K$1,SMALL(Dong1,ROWS($1:34)),),0))</f>
        <v>0</v>
      </c>
      <c r="I47" s="84">
        <f t="shared" ca="1" si="0"/>
        <v>2438043865</v>
      </c>
      <c r="J47" s="89"/>
      <c r="N47" s="314"/>
      <c r="O47" s="314"/>
    </row>
    <row r="48" spans="1:15" ht="21.75" customHeight="1">
      <c r="A48" s="83">
        <f ca="1">IF(ROWS($1:35)&gt;COUNT(Dong1),"",OFFSET(TH!C$1,SMALL(Dong1,ROWS($1:35)),))</f>
        <v>41236</v>
      </c>
      <c r="B48" s="83">
        <f ca="1">IF(ROWS($1:35)&gt;COUNT(Dong1),"",OFFSET(TH!E$1,SMALL(Dong1,ROWS($1:35)),))</f>
        <v>41236</v>
      </c>
      <c r="C48" s="84" t="str">
        <f ca="1">IF(ROWS($1:35)&gt;COUNT(Dong1),"",IF(OFFSET(TH!L$1,SMALL(Dong1,ROWS($1:35)),)="1111",OFFSET(TH!D$1,SMALL(Dong1,ROWS($1:35)),),""))</f>
        <v>T12</v>
      </c>
      <c r="D48" s="85" t="str">
        <f ca="1">IF(ROWS($1:35)&gt;COUNT(Dong1),"",IF(OFFSET(TH!M$1,SMALL(Dong1,ROWS($1:35)),)="1111",OFFSET(TH!D$1,SMALL(Dong1,ROWS($1:35)),),""))</f>
        <v/>
      </c>
      <c r="E48" s="127" t="str">
        <f ca="1">IF(ROWS($1:35)&gt;COUNT(Dong1),"",OFFSET(TH!F$1,SMALL(Dong1,ROWS($1:35)),))</f>
        <v>Thu tiền hàng</v>
      </c>
      <c r="F48" s="87" t="str">
        <f ca="1">IF(ROWS($1:35)&gt;COUNT(Dong1),"",IF(OFFSET(TH!M$1,SMALL(Dong1,ROWS($1:35)),)="1111",OFFSET(TH!L$1,SMALL(Dong1,ROWS($1:35)),),OFFSET(TH!M$1,SMALL(Dong1,ROWS($1:35)),)))</f>
        <v>131</v>
      </c>
      <c r="G48" s="88">
        <f ca="1">IF(ROWS($1:35)&gt;COUNT(Dong1),"",IF(OFFSET(TH!L$1,SMALL(Dong1,ROWS($1:35)),)="1111",OFFSET(TH!K$1,SMALL(Dong1,ROWS($1:35)),),0))</f>
        <v>14969460</v>
      </c>
      <c r="H48" s="86">
        <f ca="1">IF(ROWS($1:35)&gt;COUNT(Dong1),"",IF(OFFSET(TH!M$1,SMALL(Dong1,ROWS($1:35)),)="1111",OFFSET(TH!K$1,SMALL(Dong1,ROWS($1:35)),),0))</f>
        <v>0</v>
      </c>
      <c r="I48" s="84">
        <f t="shared" ca="1" si="0"/>
        <v>2453013325</v>
      </c>
      <c r="J48" s="89"/>
      <c r="N48" s="314"/>
      <c r="O48" s="314"/>
    </row>
    <row r="49" spans="1:15" ht="21.75" customHeight="1">
      <c r="A49" s="83">
        <f ca="1">IF(ROWS($1:36)&gt;COUNT(Dong1),"",OFFSET(TH!C$1,SMALL(Dong1,ROWS($1:36)),))</f>
        <v>41237</v>
      </c>
      <c r="B49" s="83">
        <f ca="1">IF(ROWS($1:36)&gt;COUNT(Dong1),"",OFFSET(TH!E$1,SMALL(Dong1,ROWS($1:36)),))</f>
        <v>41237</v>
      </c>
      <c r="C49" s="84" t="str">
        <f ca="1">IF(ROWS($1:36)&gt;COUNT(Dong1),"",IF(OFFSET(TH!L$1,SMALL(Dong1,ROWS($1:36)),)="1111",OFFSET(TH!D$1,SMALL(Dong1,ROWS($1:36)),),""))</f>
        <v/>
      </c>
      <c r="D49" s="85" t="str">
        <f ca="1">IF(ROWS($1:36)&gt;COUNT(Dong1),"",IF(OFFSET(TH!M$1,SMALL(Dong1,ROWS($1:36)),)="1111",OFFSET(TH!D$1,SMALL(Dong1,ROWS($1:36)),),""))</f>
        <v>C19</v>
      </c>
      <c r="E49" s="127" t="str">
        <f ca="1">IF(ROWS($1:36)&gt;COUNT(Dong1),"",OFFSET(TH!F$1,SMALL(Dong1,ROWS($1:36)),))</f>
        <v>Thanh toán tiền hàng</v>
      </c>
      <c r="F49" s="87" t="str">
        <f ca="1">IF(ROWS($1:36)&gt;COUNT(Dong1),"",IF(OFFSET(TH!M$1,SMALL(Dong1,ROWS($1:36)),)="1111",OFFSET(TH!L$1,SMALL(Dong1,ROWS($1:36)),),OFFSET(TH!M$1,SMALL(Dong1,ROWS($1:36)),)))</f>
        <v>331</v>
      </c>
      <c r="G49" s="88">
        <f ca="1">IF(ROWS($1:36)&gt;COUNT(Dong1),"",IF(OFFSET(TH!L$1,SMALL(Dong1,ROWS($1:36)),)="1111",OFFSET(TH!K$1,SMALL(Dong1,ROWS($1:36)),),0))</f>
        <v>0</v>
      </c>
      <c r="H49" s="86">
        <f ca="1">IF(ROWS($1:36)&gt;COUNT(Dong1),"",IF(OFFSET(TH!M$1,SMALL(Dong1,ROWS($1:36)),)="1111",OFFSET(TH!K$1,SMALL(Dong1,ROWS($1:36)),),0))</f>
        <v>7864859</v>
      </c>
      <c r="I49" s="84">
        <f t="shared" ca="1" si="0"/>
        <v>2445148466</v>
      </c>
      <c r="J49" s="89"/>
      <c r="N49" s="314"/>
      <c r="O49" s="314"/>
    </row>
    <row r="50" spans="1:15" ht="21.75" customHeight="1">
      <c r="A50" s="83">
        <f ca="1">IF(ROWS($1:37)&gt;COUNT(Dong1),"",OFFSET(TH!C$1,SMALL(Dong1,ROWS($1:37)),))</f>
        <v>41237</v>
      </c>
      <c r="B50" s="83">
        <f ca="1">IF(ROWS($1:37)&gt;COUNT(Dong1),"",OFFSET(TH!E$1,SMALL(Dong1,ROWS($1:37)),))</f>
        <v>41237</v>
      </c>
      <c r="C50" s="84" t="str">
        <f ca="1">IF(ROWS($1:37)&gt;COUNT(Dong1),"",IF(OFFSET(TH!L$1,SMALL(Dong1,ROWS($1:37)),)="1111",OFFSET(TH!D$1,SMALL(Dong1,ROWS($1:37)),),""))</f>
        <v/>
      </c>
      <c r="D50" s="85" t="str">
        <f ca="1">IF(ROWS($1:37)&gt;COUNT(Dong1),"",IF(OFFSET(TH!M$1,SMALL(Dong1,ROWS($1:37)),)="1111",OFFSET(TH!D$1,SMALL(Dong1,ROWS($1:37)),),""))</f>
        <v>C20</v>
      </c>
      <c r="E50" s="127" t="str">
        <f ca="1">IF(ROWS($1:37)&gt;COUNT(Dong1),"",OFFSET(TH!F$1,SMALL(Dong1,ROWS($1:37)),))</f>
        <v>Dây mạ kẽm</v>
      </c>
      <c r="F50" s="87" t="str">
        <f ca="1">IF(ROWS($1:37)&gt;COUNT(Dong1),"",IF(OFFSET(TH!M$1,SMALL(Dong1,ROWS($1:37)),)="1111",OFFSET(TH!L$1,SMALL(Dong1,ROWS($1:37)),),OFFSET(TH!M$1,SMALL(Dong1,ROWS($1:37)),)))</f>
        <v>154</v>
      </c>
      <c r="G50" s="88">
        <f ca="1">IF(ROWS($1:37)&gt;COUNT(Dong1),"",IF(OFFSET(TH!L$1,SMALL(Dong1,ROWS($1:37)),)="1111",OFFSET(TH!K$1,SMALL(Dong1,ROWS($1:37)),),0))</f>
        <v>0</v>
      </c>
      <c r="H50" s="86">
        <f ca="1">IF(ROWS($1:37)&gt;COUNT(Dong1),"",IF(OFFSET(TH!M$1,SMALL(Dong1,ROWS($1:37)),)="1111",OFFSET(TH!K$1,SMALL(Dong1,ROWS($1:37)),),0))</f>
        <v>2520000</v>
      </c>
      <c r="I50" s="84">
        <f t="shared" ref="I50:I65" ca="1" si="1">IF(E50&lt;&gt;"",I49+G50-H50,0)</f>
        <v>2442628466</v>
      </c>
      <c r="J50" s="89"/>
      <c r="N50" s="314"/>
      <c r="O50" s="314"/>
    </row>
    <row r="51" spans="1:15" ht="21.75" customHeight="1">
      <c r="A51" s="83">
        <f ca="1">IF(ROWS($1:38)&gt;COUNT(Dong1),"",OFFSET(TH!C$1,SMALL(Dong1,ROWS($1:38)),))</f>
        <v>41237</v>
      </c>
      <c r="B51" s="83">
        <f ca="1">IF(ROWS($1:38)&gt;COUNT(Dong1),"",OFFSET(TH!E$1,SMALL(Dong1,ROWS($1:38)),))</f>
        <v>41237</v>
      </c>
      <c r="C51" s="84" t="str">
        <f ca="1">IF(ROWS($1:38)&gt;COUNT(Dong1),"",IF(OFFSET(TH!L$1,SMALL(Dong1,ROWS($1:38)),)="1111",OFFSET(TH!D$1,SMALL(Dong1,ROWS($1:38)),),""))</f>
        <v/>
      </c>
      <c r="D51" s="85" t="str">
        <f ca="1">IF(ROWS($1:38)&gt;COUNT(Dong1),"",IF(OFFSET(TH!M$1,SMALL(Dong1,ROWS($1:38)),)="1111",OFFSET(TH!D$1,SMALL(Dong1,ROWS($1:38)),),""))</f>
        <v>C20</v>
      </c>
      <c r="E51" s="127" t="str">
        <f ca="1">IF(ROWS($1:38)&gt;COUNT(Dong1),"",OFFSET(TH!F$1,SMALL(Dong1,ROWS($1:38)),))</f>
        <v>VAT Dây mạ kẽm</v>
      </c>
      <c r="F51" s="87" t="str">
        <f ca="1">IF(ROWS($1:38)&gt;COUNT(Dong1),"",IF(OFFSET(TH!M$1,SMALL(Dong1,ROWS($1:38)),)="1111",OFFSET(TH!L$1,SMALL(Dong1,ROWS($1:38)),),OFFSET(TH!M$1,SMALL(Dong1,ROWS($1:38)),)))</f>
        <v>1331</v>
      </c>
      <c r="G51" s="88">
        <f ca="1">IF(ROWS($1:38)&gt;COUNT(Dong1),"",IF(OFFSET(TH!L$1,SMALL(Dong1,ROWS($1:38)),)="1111",OFFSET(TH!K$1,SMALL(Dong1,ROWS($1:38)),),0))</f>
        <v>0</v>
      </c>
      <c r="H51" s="86">
        <f ca="1">IF(ROWS($1:38)&gt;COUNT(Dong1),"",IF(OFFSET(TH!M$1,SMALL(Dong1,ROWS($1:38)),)="1111",OFFSET(TH!K$1,SMALL(Dong1,ROWS($1:38)),),0))</f>
        <v>252000</v>
      </c>
      <c r="I51" s="84">
        <f t="shared" ca="1" si="1"/>
        <v>2442376466</v>
      </c>
      <c r="J51" s="89"/>
      <c r="N51" s="314"/>
      <c r="O51" s="314"/>
    </row>
    <row r="52" spans="1:15" ht="21.75" customHeight="1">
      <c r="A52" s="83">
        <f ca="1">IF(ROWS($1:39)&gt;COUNT(Dong1),"",OFFSET(TH!C$1,SMALL(Dong1,ROWS($1:39)),))</f>
        <v>41240</v>
      </c>
      <c r="B52" s="83">
        <f ca="1">IF(ROWS($1:39)&gt;COUNT(Dong1),"",OFFSET(TH!E$1,SMALL(Dong1,ROWS($1:39)),))</f>
        <v>41240</v>
      </c>
      <c r="C52" s="84" t="str">
        <f ca="1">IF(ROWS($1:39)&gt;COUNT(Dong1),"",IF(OFFSET(TH!L$1,SMALL(Dong1,ROWS($1:39)),)="1111",OFFSET(TH!D$1,SMALL(Dong1,ROWS($1:39)),),""))</f>
        <v>T13</v>
      </c>
      <c r="D52" s="85" t="str">
        <f ca="1">IF(ROWS($1:39)&gt;COUNT(Dong1),"",IF(OFFSET(TH!M$1,SMALL(Dong1,ROWS($1:39)),)="1111",OFFSET(TH!D$1,SMALL(Dong1,ROWS($1:39)),),""))</f>
        <v/>
      </c>
      <c r="E52" s="127" t="str">
        <f ca="1">IF(ROWS($1:39)&gt;COUNT(Dong1),"",OFFSET(TH!F$1,SMALL(Dong1,ROWS($1:39)),))</f>
        <v>Thu tiền hàng</v>
      </c>
      <c r="F52" s="87" t="str">
        <f ca="1">IF(ROWS($1:39)&gt;COUNT(Dong1),"",IF(OFFSET(TH!M$1,SMALL(Dong1,ROWS($1:39)),)="1111",OFFSET(TH!L$1,SMALL(Dong1,ROWS($1:39)),),OFFSET(TH!M$1,SMALL(Dong1,ROWS($1:39)),)))</f>
        <v>131</v>
      </c>
      <c r="G52" s="88">
        <f ca="1">IF(ROWS($1:39)&gt;COUNT(Dong1),"",IF(OFFSET(TH!L$1,SMALL(Dong1,ROWS($1:39)),)="1111",OFFSET(TH!K$1,SMALL(Dong1,ROWS($1:39)),),0))</f>
        <v>13395800</v>
      </c>
      <c r="H52" s="86">
        <f ca="1">IF(ROWS($1:39)&gt;COUNT(Dong1),"",IF(OFFSET(TH!M$1,SMALL(Dong1,ROWS($1:39)),)="1111",OFFSET(TH!K$1,SMALL(Dong1,ROWS($1:39)),),0))</f>
        <v>0</v>
      </c>
      <c r="I52" s="84">
        <f t="shared" ca="1" si="1"/>
        <v>2455772266</v>
      </c>
      <c r="J52" s="89"/>
      <c r="N52" s="314"/>
      <c r="O52" s="314"/>
    </row>
    <row r="53" spans="1:15" ht="21.75" customHeight="1">
      <c r="A53" s="83">
        <f ca="1">IF(ROWS($1:40)&gt;COUNT(Dong1),"",OFFSET(TH!C$1,SMALL(Dong1,ROWS($1:40)),))</f>
        <v>41242</v>
      </c>
      <c r="B53" s="83">
        <f ca="1">IF(ROWS($1:40)&gt;COUNT(Dong1),"",OFFSET(TH!E$1,SMALL(Dong1,ROWS($1:40)),))</f>
        <v>41242</v>
      </c>
      <c r="C53" s="84" t="str">
        <f ca="1">IF(ROWS($1:40)&gt;COUNT(Dong1),"",IF(OFFSET(TH!L$1,SMALL(Dong1,ROWS($1:40)),)="1111",OFFSET(TH!D$1,SMALL(Dong1,ROWS($1:40)),),""))</f>
        <v/>
      </c>
      <c r="D53" s="85" t="str">
        <f ca="1">IF(ROWS($1:40)&gt;COUNT(Dong1),"",IF(OFFSET(TH!M$1,SMALL(Dong1,ROWS($1:40)),)="1111",OFFSET(TH!D$1,SMALL(Dong1,ROWS($1:40)),),""))</f>
        <v>C21</v>
      </c>
      <c r="E53" s="127" t="str">
        <f ca="1">IF(ROWS($1:40)&gt;COUNT(Dong1),"",OFFSET(TH!F$1,SMALL(Dong1,ROWS($1:40)),))</f>
        <v>Cước vận chuyển</v>
      </c>
      <c r="F53" s="87" t="str">
        <f ca="1">IF(ROWS($1:40)&gt;COUNT(Dong1),"",IF(OFFSET(TH!M$1,SMALL(Dong1,ROWS($1:40)),)="1111",OFFSET(TH!L$1,SMALL(Dong1,ROWS($1:40)),),OFFSET(TH!M$1,SMALL(Dong1,ROWS($1:40)),)))</f>
        <v>642</v>
      </c>
      <c r="G53" s="88">
        <f ca="1">IF(ROWS($1:40)&gt;COUNT(Dong1),"",IF(OFFSET(TH!L$1,SMALL(Dong1,ROWS($1:40)),)="1111",OFFSET(TH!K$1,SMALL(Dong1,ROWS($1:40)),),0))</f>
        <v>0</v>
      </c>
      <c r="H53" s="86">
        <f ca="1">IF(ROWS($1:40)&gt;COUNT(Dong1),"",IF(OFFSET(TH!M$1,SMALL(Dong1,ROWS($1:40)),)="1111",OFFSET(TH!K$1,SMALL(Dong1,ROWS($1:40)),),0))</f>
        <v>3000000</v>
      </c>
      <c r="I53" s="84">
        <f t="shared" ca="1" si="1"/>
        <v>2452772266</v>
      </c>
      <c r="J53" s="89"/>
      <c r="N53" s="314"/>
      <c r="O53" s="314"/>
    </row>
    <row r="54" spans="1:15" ht="21.75" customHeight="1">
      <c r="A54" s="83">
        <f ca="1">IF(ROWS($1:41)&gt;COUNT(Dong1),"",OFFSET(TH!C$1,SMALL(Dong1,ROWS($1:41)),))</f>
        <v>41242</v>
      </c>
      <c r="B54" s="83">
        <f ca="1">IF(ROWS($1:41)&gt;COUNT(Dong1),"",OFFSET(TH!E$1,SMALL(Dong1,ROWS($1:41)),))</f>
        <v>41242</v>
      </c>
      <c r="C54" s="84" t="str">
        <f ca="1">IF(ROWS($1:41)&gt;COUNT(Dong1),"",IF(OFFSET(TH!L$1,SMALL(Dong1,ROWS($1:41)),)="1111",OFFSET(TH!D$1,SMALL(Dong1,ROWS($1:41)),),""))</f>
        <v/>
      </c>
      <c r="D54" s="85" t="str">
        <f ca="1">IF(ROWS($1:41)&gt;COUNT(Dong1),"",IF(OFFSET(TH!M$1,SMALL(Dong1,ROWS($1:41)),)="1111",OFFSET(TH!D$1,SMALL(Dong1,ROWS($1:41)),),""))</f>
        <v>C21</v>
      </c>
      <c r="E54" s="127" t="str">
        <f ca="1">IF(ROWS($1:41)&gt;COUNT(Dong1),"",OFFSET(TH!F$1,SMALL(Dong1,ROWS($1:41)),))</f>
        <v>VAT Cước vận chuyển</v>
      </c>
      <c r="F54" s="87" t="str">
        <f ca="1">IF(ROWS($1:41)&gt;COUNT(Dong1),"",IF(OFFSET(TH!M$1,SMALL(Dong1,ROWS($1:41)),)="1111",OFFSET(TH!L$1,SMALL(Dong1,ROWS($1:41)),),OFFSET(TH!M$1,SMALL(Dong1,ROWS($1:41)),)))</f>
        <v>1331</v>
      </c>
      <c r="G54" s="88">
        <f ca="1">IF(ROWS($1:41)&gt;COUNT(Dong1),"",IF(OFFSET(TH!L$1,SMALL(Dong1,ROWS($1:41)),)="1111",OFFSET(TH!K$1,SMALL(Dong1,ROWS($1:41)),),0))</f>
        <v>0</v>
      </c>
      <c r="H54" s="86">
        <f ca="1">IF(ROWS($1:41)&gt;COUNT(Dong1),"",IF(OFFSET(TH!M$1,SMALL(Dong1,ROWS($1:41)),)="1111",OFFSET(TH!K$1,SMALL(Dong1,ROWS($1:41)),),0))</f>
        <v>300000</v>
      </c>
      <c r="I54" s="84">
        <f t="shared" ca="1" si="1"/>
        <v>2452472266</v>
      </c>
      <c r="J54" s="89"/>
      <c r="N54" s="314"/>
      <c r="O54" s="314"/>
    </row>
    <row r="55" spans="1:15" ht="21.75" customHeight="1">
      <c r="A55" s="83">
        <f ca="1">IF(ROWS($1:42)&gt;COUNT(Dong1),"",OFFSET(TH!C$1,SMALL(Dong1,ROWS($1:42)),))</f>
        <v>41243</v>
      </c>
      <c r="B55" s="83">
        <f ca="1">IF(ROWS($1:42)&gt;COUNT(Dong1),"",OFFSET(TH!E$1,SMALL(Dong1,ROWS($1:42)),))</f>
        <v>41243</v>
      </c>
      <c r="C55" s="84" t="str">
        <f ca="1">IF(ROWS($1:42)&gt;COUNT(Dong1),"",IF(OFFSET(TH!L$1,SMALL(Dong1,ROWS($1:42)),)="1111",OFFSET(TH!D$1,SMALL(Dong1,ROWS($1:42)),),""))</f>
        <v/>
      </c>
      <c r="D55" s="85" t="str">
        <f ca="1">IF(ROWS($1:42)&gt;COUNT(Dong1),"",IF(OFFSET(TH!M$1,SMALL(Dong1,ROWS($1:42)),)="1111",OFFSET(TH!D$1,SMALL(Dong1,ROWS($1:42)),),""))</f>
        <v>C22</v>
      </c>
      <c r="E55" s="127" t="str">
        <f ca="1">IF(ROWS($1:42)&gt;COUNT(Dong1),"",OFFSET(TH!F$1,SMALL(Dong1,ROWS($1:42)),))</f>
        <v>Thanh toán lương T11/2012</v>
      </c>
      <c r="F55" s="87" t="str">
        <f ca="1">IF(ROWS($1:42)&gt;COUNT(Dong1),"",IF(OFFSET(TH!M$1,SMALL(Dong1,ROWS($1:42)),)="1111",OFFSET(TH!L$1,SMALL(Dong1,ROWS($1:42)),),OFFSET(TH!M$1,SMALL(Dong1,ROWS($1:42)),)))</f>
        <v>3341</v>
      </c>
      <c r="G55" s="88">
        <f ca="1">IF(ROWS($1:42)&gt;COUNT(Dong1),"",IF(OFFSET(TH!L$1,SMALL(Dong1,ROWS($1:42)),)="1111",OFFSET(TH!K$1,SMALL(Dong1,ROWS($1:42)),),0))</f>
        <v>0</v>
      </c>
      <c r="H55" s="86">
        <f ca="1">IF(ROWS($1:42)&gt;COUNT(Dong1),"",IF(OFFSET(TH!M$1,SMALL(Dong1,ROWS($1:42)),)="1111",OFFSET(TH!K$1,SMALL(Dong1,ROWS($1:42)),),0))</f>
        <v>15285000</v>
      </c>
      <c r="I55" s="84">
        <f t="shared" ca="1" si="1"/>
        <v>2437187266</v>
      </c>
      <c r="J55" s="89"/>
      <c r="N55" s="314"/>
      <c r="O55" s="314"/>
    </row>
    <row r="56" spans="1:15" ht="21.75" customHeight="1">
      <c r="A56" s="83">
        <f ca="1">IF(ROWS($1:43)&gt;COUNT(Dong1),"",OFFSET(TH!C$1,SMALL(Dong1,ROWS($1:43)),))</f>
        <v>41244</v>
      </c>
      <c r="B56" s="83">
        <f ca="1">IF(ROWS($1:43)&gt;COUNT(Dong1),"",OFFSET(TH!E$1,SMALL(Dong1,ROWS($1:43)),))</f>
        <v>41244</v>
      </c>
      <c r="C56" s="84" t="str">
        <f ca="1">IF(ROWS($1:43)&gt;COUNT(Dong1),"",IF(OFFSET(TH!L$1,SMALL(Dong1,ROWS($1:43)),)="1111",OFFSET(TH!D$1,SMALL(Dong1,ROWS($1:43)),),""))</f>
        <v/>
      </c>
      <c r="D56" s="85" t="str">
        <f ca="1">IF(ROWS($1:43)&gt;COUNT(Dong1),"",IF(OFFSET(TH!M$1,SMALL(Dong1,ROWS($1:43)),)="1111",OFFSET(TH!D$1,SMALL(Dong1,ROWS($1:43)),),""))</f>
        <v>C23</v>
      </c>
      <c r="E56" s="127" t="str">
        <f ca="1">IF(ROWS($1:43)&gt;COUNT(Dong1),"",OFFSET(TH!F$1,SMALL(Dong1,ROWS($1:43)),))</f>
        <v>Khung gỗ, mực in</v>
      </c>
      <c r="F56" s="87" t="str">
        <f ca="1">IF(ROWS($1:43)&gt;COUNT(Dong1),"",IF(OFFSET(TH!M$1,SMALL(Dong1,ROWS($1:43)),)="1111",OFFSET(TH!L$1,SMALL(Dong1,ROWS($1:43)),),OFFSET(TH!M$1,SMALL(Dong1,ROWS($1:43)),)))</f>
        <v>154</v>
      </c>
      <c r="G56" s="88">
        <f ca="1">IF(ROWS($1:43)&gt;COUNT(Dong1),"",IF(OFFSET(TH!L$1,SMALL(Dong1,ROWS($1:43)),)="1111",OFFSET(TH!K$1,SMALL(Dong1,ROWS($1:43)),),0))</f>
        <v>0</v>
      </c>
      <c r="H56" s="86">
        <f ca="1">IF(ROWS($1:43)&gt;COUNT(Dong1),"",IF(OFFSET(TH!M$1,SMALL(Dong1,ROWS($1:43)),)="1111",OFFSET(TH!K$1,SMALL(Dong1,ROWS($1:43)),),0))</f>
        <v>1713000</v>
      </c>
      <c r="I56" s="84">
        <f t="shared" ca="1" si="1"/>
        <v>2435474266</v>
      </c>
      <c r="J56" s="89"/>
      <c r="N56" s="314"/>
      <c r="O56" s="314"/>
    </row>
    <row r="57" spans="1:15" ht="21.75" customHeight="1">
      <c r="A57" s="83">
        <f ca="1">IF(ROWS($1:44)&gt;COUNT(Dong1),"",OFFSET(TH!C$1,SMALL(Dong1,ROWS($1:44)),))</f>
        <v>41246</v>
      </c>
      <c r="B57" s="83">
        <f ca="1">IF(ROWS($1:44)&gt;COUNT(Dong1),"",OFFSET(TH!E$1,SMALL(Dong1,ROWS($1:44)),))</f>
        <v>41246</v>
      </c>
      <c r="C57" s="84" t="str">
        <f ca="1">IF(ROWS($1:44)&gt;COUNT(Dong1),"",IF(OFFSET(TH!L$1,SMALL(Dong1,ROWS($1:44)),)="1111",OFFSET(TH!D$1,SMALL(Dong1,ROWS($1:44)),),""))</f>
        <v/>
      </c>
      <c r="D57" s="85" t="str">
        <f ca="1">IF(ROWS($1:44)&gt;COUNT(Dong1),"",IF(OFFSET(TH!M$1,SMALL(Dong1,ROWS($1:44)),)="1111",OFFSET(TH!D$1,SMALL(Dong1,ROWS($1:44)),),""))</f>
        <v>C24</v>
      </c>
      <c r="E57" s="127" t="str">
        <f ca="1">IF(ROWS($1:44)&gt;COUNT(Dong1),"",OFFSET(TH!F$1,SMALL(Dong1,ROWS($1:44)),))</f>
        <v>Thanh toán tiền hàng</v>
      </c>
      <c r="F57" s="87" t="str">
        <f ca="1">IF(ROWS($1:44)&gt;COUNT(Dong1),"",IF(OFFSET(TH!M$1,SMALL(Dong1,ROWS($1:44)),)="1111",OFFSET(TH!L$1,SMALL(Dong1,ROWS($1:44)),),OFFSET(TH!M$1,SMALL(Dong1,ROWS($1:44)),)))</f>
        <v>331</v>
      </c>
      <c r="G57" s="88">
        <f ca="1">IF(ROWS($1:44)&gt;COUNT(Dong1),"",IF(OFFSET(TH!L$1,SMALL(Dong1,ROWS($1:44)),)="1111",OFFSET(TH!K$1,SMALL(Dong1,ROWS($1:44)),),0))</f>
        <v>0</v>
      </c>
      <c r="H57" s="86">
        <f ca="1">IF(ROWS($1:44)&gt;COUNT(Dong1),"",IF(OFFSET(TH!M$1,SMALL(Dong1,ROWS($1:44)),)="1111",OFFSET(TH!K$1,SMALL(Dong1,ROWS($1:44)),),0))</f>
        <v>14686100</v>
      </c>
      <c r="I57" s="84">
        <f t="shared" ca="1" si="1"/>
        <v>2420788166</v>
      </c>
      <c r="J57" s="89"/>
      <c r="N57" s="314"/>
      <c r="O57" s="314"/>
    </row>
    <row r="58" spans="1:15" ht="21.75" customHeight="1">
      <c r="A58" s="83">
        <f ca="1">IF(ROWS($1:45)&gt;COUNT(Dong1),"",OFFSET(TH!C$1,SMALL(Dong1,ROWS($1:45)),))</f>
        <v>41250</v>
      </c>
      <c r="B58" s="83">
        <f ca="1">IF(ROWS($1:45)&gt;COUNT(Dong1),"",OFFSET(TH!E$1,SMALL(Dong1,ROWS($1:45)),))</f>
        <v>41250</v>
      </c>
      <c r="C58" s="84" t="str">
        <f ca="1">IF(ROWS($1:45)&gt;COUNT(Dong1),"",IF(OFFSET(TH!L$1,SMALL(Dong1,ROWS($1:45)),)="1111",OFFSET(TH!D$1,SMALL(Dong1,ROWS($1:45)),),""))</f>
        <v>T14</v>
      </c>
      <c r="D58" s="85" t="str">
        <f ca="1">IF(ROWS($1:45)&gt;COUNT(Dong1),"",IF(OFFSET(TH!M$1,SMALL(Dong1,ROWS($1:45)),)="1111",OFFSET(TH!D$1,SMALL(Dong1,ROWS($1:45)),),""))</f>
        <v/>
      </c>
      <c r="E58" s="127" t="str">
        <f ca="1">IF(ROWS($1:45)&gt;COUNT(Dong1),"",OFFSET(TH!F$1,SMALL(Dong1,ROWS($1:45)),))</f>
        <v>Rút sec nhập quỹ tiền mặt</v>
      </c>
      <c r="F58" s="87" t="str">
        <f ca="1">IF(ROWS($1:45)&gt;COUNT(Dong1),"",IF(OFFSET(TH!M$1,SMALL(Dong1,ROWS($1:45)),)="1111",OFFSET(TH!L$1,SMALL(Dong1,ROWS($1:45)),),OFFSET(TH!M$1,SMALL(Dong1,ROWS($1:45)),)))</f>
        <v>1121</v>
      </c>
      <c r="G58" s="88">
        <f ca="1">IF(ROWS($1:45)&gt;COUNT(Dong1),"",IF(OFFSET(TH!L$1,SMALL(Dong1,ROWS($1:45)),)="1111",OFFSET(TH!K$1,SMALL(Dong1,ROWS($1:45)),),0))</f>
        <v>8400000</v>
      </c>
      <c r="H58" s="86">
        <f ca="1">IF(ROWS($1:45)&gt;COUNT(Dong1),"",IF(OFFSET(TH!M$1,SMALL(Dong1,ROWS($1:45)),)="1111",OFFSET(TH!K$1,SMALL(Dong1,ROWS($1:45)),),0))</f>
        <v>0</v>
      </c>
      <c r="I58" s="84">
        <f t="shared" ca="1" si="1"/>
        <v>2429188166</v>
      </c>
      <c r="J58" s="89"/>
      <c r="N58" s="314"/>
      <c r="O58" s="314"/>
    </row>
    <row r="59" spans="1:15" ht="21.75" customHeight="1">
      <c r="A59" s="83">
        <f ca="1">IF(ROWS($1:46)&gt;COUNT(Dong1),"",OFFSET(TH!C$1,SMALL(Dong1,ROWS($1:46)),))</f>
        <v>41251</v>
      </c>
      <c r="B59" s="83">
        <f ca="1">IF(ROWS($1:46)&gt;COUNT(Dong1),"",OFFSET(TH!E$1,SMALL(Dong1,ROWS($1:46)),))</f>
        <v>41251</v>
      </c>
      <c r="C59" s="84" t="str">
        <f ca="1">IF(ROWS($1:46)&gt;COUNT(Dong1),"",IF(OFFSET(TH!L$1,SMALL(Dong1,ROWS($1:46)),)="1111",OFFSET(TH!D$1,SMALL(Dong1,ROWS($1:46)),),""))</f>
        <v/>
      </c>
      <c r="D59" s="85" t="str">
        <f ca="1">IF(ROWS($1:46)&gt;COUNT(Dong1),"",IF(OFFSET(TH!M$1,SMALL(Dong1,ROWS($1:46)),)="1111",OFFSET(TH!D$1,SMALL(Dong1,ROWS($1:46)),),""))</f>
        <v>C25</v>
      </c>
      <c r="E59" s="127" t="str">
        <f ca="1">IF(ROWS($1:46)&gt;COUNT(Dong1),"",OFFSET(TH!F$1,SMALL(Dong1,ROWS($1:46)),))</f>
        <v>Thanh toán tiền hàng</v>
      </c>
      <c r="F59" s="87" t="str">
        <f ca="1">IF(ROWS($1:46)&gt;COUNT(Dong1),"",IF(OFFSET(TH!M$1,SMALL(Dong1,ROWS($1:46)),)="1111",OFFSET(TH!L$1,SMALL(Dong1,ROWS($1:46)),),OFFSET(TH!M$1,SMALL(Dong1,ROWS($1:46)),)))</f>
        <v>331</v>
      </c>
      <c r="G59" s="88">
        <f ca="1">IF(ROWS($1:46)&gt;COUNT(Dong1),"",IF(OFFSET(TH!L$1,SMALL(Dong1,ROWS($1:46)),)="1111",OFFSET(TH!K$1,SMALL(Dong1,ROWS($1:46)),),0))</f>
        <v>0</v>
      </c>
      <c r="H59" s="86">
        <f ca="1">IF(ROWS($1:46)&gt;COUNT(Dong1),"",IF(OFFSET(TH!M$1,SMALL(Dong1,ROWS($1:46)),)="1111",OFFSET(TH!K$1,SMALL(Dong1,ROWS($1:46)),),0))</f>
        <v>11321200</v>
      </c>
      <c r="I59" s="84">
        <f t="shared" ca="1" si="1"/>
        <v>2417866966</v>
      </c>
      <c r="J59" s="89"/>
      <c r="N59" s="314"/>
      <c r="O59" s="314"/>
    </row>
    <row r="60" spans="1:15" ht="21.75" customHeight="1">
      <c r="A60" s="83">
        <f ca="1">IF(ROWS($1:47)&gt;COUNT(Dong1),"",OFFSET(TH!C$1,SMALL(Dong1,ROWS($1:47)),))</f>
        <v>41253</v>
      </c>
      <c r="B60" s="83">
        <f ca="1">IF(ROWS($1:47)&gt;COUNT(Dong1),"",OFFSET(TH!E$1,SMALL(Dong1,ROWS($1:47)),))</f>
        <v>41253</v>
      </c>
      <c r="C60" s="84" t="str">
        <f ca="1">IF(ROWS($1:47)&gt;COUNT(Dong1),"",IF(OFFSET(TH!L$1,SMALL(Dong1,ROWS($1:47)),)="1111",OFFSET(TH!D$1,SMALL(Dong1,ROWS($1:47)),),""))</f>
        <v>T15</v>
      </c>
      <c r="D60" s="85" t="str">
        <f ca="1">IF(ROWS($1:47)&gt;COUNT(Dong1),"",IF(OFFSET(TH!M$1,SMALL(Dong1,ROWS($1:47)),)="1111",OFFSET(TH!D$1,SMALL(Dong1,ROWS($1:47)),),""))</f>
        <v/>
      </c>
      <c r="E60" s="127" t="str">
        <f ca="1">IF(ROWS($1:47)&gt;COUNT(Dong1),"",OFFSET(TH!F$1,SMALL(Dong1,ROWS($1:47)),))</f>
        <v>Thu tiền hàng</v>
      </c>
      <c r="F60" s="87" t="str">
        <f ca="1">IF(ROWS($1:47)&gt;COUNT(Dong1),"",IF(OFFSET(TH!M$1,SMALL(Dong1,ROWS($1:47)),)="1111",OFFSET(TH!L$1,SMALL(Dong1,ROWS($1:47)),),OFFSET(TH!M$1,SMALL(Dong1,ROWS($1:47)),)))</f>
        <v>131</v>
      </c>
      <c r="G60" s="88">
        <f ca="1">IF(ROWS($1:47)&gt;COUNT(Dong1),"",IF(OFFSET(TH!L$1,SMALL(Dong1,ROWS($1:47)),)="1111",OFFSET(TH!K$1,SMALL(Dong1,ROWS($1:47)),),0))</f>
        <v>15466440</v>
      </c>
      <c r="H60" s="86">
        <f ca="1">IF(ROWS($1:47)&gt;COUNT(Dong1),"",IF(OFFSET(TH!M$1,SMALL(Dong1,ROWS($1:47)),)="1111",OFFSET(TH!K$1,SMALL(Dong1,ROWS($1:47)),),0))</f>
        <v>0</v>
      </c>
      <c r="I60" s="84">
        <f t="shared" ca="1" si="1"/>
        <v>2433333406</v>
      </c>
      <c r="J60" s="89"/>
      <c r="N60" s="314"/>
      <c r="O60" s="314"/>
    </row>
    <row r="61" spans="1:15" ht="21.75" customHeight="1">
      <c r="A61" s="83">
        <f ca="1">IF(ROWS($1:48)&gt;COUNT(Dong1),"",OFFSET(TH!C$1,SMALL(Dong1,ROWS($1:48)),))</f>
        <v>41255</v>
      </c>
      <c r="B61" s="83">
        <f ca="1">IF(ROWS($1:48)&gt;COUNT(Dong1),"",OFFSET(TH!E$1,SMALL(Dong1,ROWS($1:48)),))</f>
        <v>41255</v>
      </c>
      <c r="C61" s="84" t="str">
        <f ca="1">IF(ROWS($1:48)&gt;COUNT(Dong1),"",IF(OFFSET(TH!L$1,SMALL(Dong1,ROWS($1:48)),)="1111",OFFSET(TH!D$1,SMALL(Dong1,ROWS($1:48)),),""))</f>
        <v/>
      </c>
      <c r="D61" s="85" t="str">
        <f ca="1">IF(ROWS($1:48)&gt;COUNT(Dong1),"",IF(OFFSET(TH!M$1,SMALL(Dong1,ROWS($1:48)),)="1111",OFFSET(TH!D$1,SMALL(Dong1,ROWS($1:48)),),""))</f>
        <v>C26</v>
      </c>
      <c r="E61" s="127" t="str">
        <f ca="1">IF(ROWS($1:48)&gt;COUNT(Dong1),"",OFFSET(TH!F$1,SMALL(Dong1,ROWS($1:48)),))</f>
        <v>Văn phòng phẩm</v>
      </c>
      <c r="F61" s="87" t="str">
        <f ca="1">IF(ROWS($1:48)&gt;COUNT(Dong1),"",IF(OFFSET(TH!M$1,SMALL(Dong1,ROWS($1:48)),)="1111",OFFSET(TH!L$1,SMALL(Dong1,ROWS($1:48)),),OFFSET(TH!M$1,SMALL(Dong1,ROWS($1:48)),)))</f>
        <v>642</v>
      </c>
      <c r="G61" s="88">
        <f ca="1">IF(ROWS($1:48)&gt;COUNT(Dong1),"",IF(OFFSET(TH!L$1,SMALL(Dong1,ROWS($1:48)),)="1111",OFFSET(TH!K$1,SMALL(Dong1,ROWS($1:48)),),0))</f>
        <v>0</v>
      </c>
      <c r="H61" s="86">
        <f ca="1">IF(ROWS($1:48)&gt;COUNT(Dong1),"",IF(OFFSET(TH!M$1,SMALL(Dong1,ROWS($1:48)),)="1111",OFFSET(TH!K$1,SMALL(Dong1,ROWS($1:48)),),0))</f>
        <v>262000</v>
      </c>
      <c r="I61" s="84">
        <f t="shared" ca="1" si="1"/>
        <v>2433071406</v>
      </c>
      <c r="J61" s="89"/>
      <c r="N61" s="314"/>
      <c r="O61" s="314"/>
    </row>
    <row r="62" spans="1:15" ht="21.75" customHeight="1">
      <c r="A62" s="83">
        <f ca="1">IF(ROWS($1:49)&gt;COUNT(Dong1),"",OFFSET(TH!C$1,SMALL(Dong1,ROWS($1:49)),))</f>
        <v>41260</v>
      </c>
      <c r="B62" s="83">
        <f ca="1">IF(ROWS($1:49)&gt;COUNT(Dong1),"",OFFSET(TH!E$1,SMALL(Dong1,ROWS($1:49)),))</f>
        <v>41260</v>
      </c>
      <c r="C62" s="84" t="str">
        <f ca="1">IF(ROWS($1:49)&gt;COUNT(Dong1),"",IF(OFFSET(TH!L$1,SMALL(Dong1,ROWS($1:49)),)="1111",OFFSET(TH!D$1,SMALL(Dong1,ROWS($1:49)),),""))</f>
        <v/>
      </c>
      <c r="D62" s="85" t="str">
        <f ca="1">IF(ROWS($1:49)&gt;COUNT(Dong1),"",IF(OFFSET(TH!M$1,SMALL(Dong1,ROWS($1:49)),)="1111",OFFSET(TH!D$1,SMALL(Dong1,ROWS($1:49)),),""))</f>
        <v>C27</v>
      </c>
      <c r="E62" s="127" t="str">
        <f ca="1">IF(ROWS($1:49)&gt;COUNT(Dong1),"",OFFSET(TH!F$1,SMALL(Dong1,ROWS($1:49)),))</f>
        <v>Thanh toán tiền viễn thông</v>
      </c>
      <c r="F62" s="87" t="str">
        <f ca="1">IF(ROWS($1:49)&gt;COUNT(Dong1),"",IF(OFFSET(TH!M$1,SMALL(Dong1,ROWS($1:49)),)="1111",OFFSET(TH!L$1,SMALL(Dong1,ROWS($1:49)),),OFFSET(TH!M$1,SMALL(Dong1,ROWS($1:49)),)))</f>
        <v>642</v>
      </c>
      <c r="G62" s="88">
        <f ca="1">IF(ROWS($1:49)&gt;COUNT(Dong1),"",IF(OFFSET(TH!L$1,SMALL(Dong1,ROWS($1:49)),)="1111",OFFSET(TH!K$1,SMALL(Dong1,ROWS($1:49)),),0))</f>
        <v>0</v>
      </c>
      <c r="H62" s="86">
        <f ca="1">IF(ROWS($1:49)&gt;COUNT(Dong1),"",IF(OFFSET(TH!M$1,SMALL(Dong1,ROWS($1:49)),)="1111",OFFSET(TH!K$1,SMALL(Dong1,ROWS($1:49)),),0))</f>
        <v>277272</v>
      </c>
      <c r="I62" s="84">
        <f t="shared" ca="1" si="1"/>
        <v>2432794134</v>
      </c>
      <c r="J62" s="89"/>
      <c r="N62" s="314"/>
      <c r="O62" s="314"/>
    </row>
    <row r="63" spans="1:15" ht="21.75" customHeight="1">
      <c r="A63" s="83">
        <f ca="1">IF(ROWS($1:50)&gt;COUNT(Dong1),"",OFFSET(TH!C$1,SMALL(Dong1,ROWS($1:50)),))</f>
        <v>41260</v>
      </c>
      <c r="B63" s="83">
        <f ca="1">IF(ROWS($1:50)&gt;COUNT(Dong1),"",OFFSET(TH!E$1,SMALL(Dong1,ROWS($1:50)),))</f>
        <v>41260</v>
      </c>
      <c r="C63" s="84" t="str">
        <f ca="1">IF(ROWS($1:50)&gt;COUNT(Dong1),"",IF(OFFSET(TH!L$1,SMALL(Dong1,ROWS($1:50)),)="1111",OFFSET(TH!D$1,SMALL(Dong1,ROWS($1:50)),),""))</f>
        <v/>
      </c>
      <c r="D63" s="85" t="str">
        <f ca="1">IF(ROWS($1:50)&gt;COUNT(Dong1),"",IF(OFFSET(TH!M$1,SMALL(Dong1,ROWS($1:50)),)="1111",OFFSET(TH!D$1,SMALL(Dong1,ROWS($1:50)),),""))</f>
        <v>C27</v>
      </c>
      <c r="E63" s="127" t="str">
        <f ca="1">IF(ROWS($1:50)&gt;COUNT(Dong1),"",OFFSET(TH!F$1,SMALL(Dong1,ROWS($1:50)),))</f>
        <v>VAT Thanh toán tiền viễn thông</v>
      </c>
      <c r="F63" s="87" t="str">
        <f ca="1">IF(ROWS($1:50)&gt;COUNT(Dong1),"",IF(OFFSET(TH!M$1,SMALL(Dong1,ROWS($1:50)),)="1111",OFFSET(TH!L$1,SMALL(Dong1,ROWS($1:50)),),OFFSET(TH!M$1,SMALL(Dong1,ROWS($1:50)),)))</f>
        <v>1331</v>
      </c>
      <c r="G63" s="88">
        <f ca="1">IF(ROWS($1:50)&gt;COUNT(Dong1),"",IF(OFFSET(TH!L$1,SMALL(Dong1,ROWS($1:50)),)="1111",OFFSET(TH!K$1,SMALL(Dong1,ROWS($1:50)),),0))</f>
        <v>0</v>
      </c>
      <c r="H63" s="86">
        <f ca="1">IF(ROWS($1:50)&gt;COUNT(Dong1),"",IF(OFFSET(TH!M$1,SMALL(Dong1,ROWS($1:50)),)="1111",OFFSET(TH!K$1,SMALL(Dong1,ROWS($1:50)),),0))</f>
        <v>7728</v>
      </c>
      <c r="I63" s="84">
        <f t="shared" ca="1" si="1"/>
        <v>2432786406</v>
      </c>
      <c r="J63" s="89"/>
      <c r="N63" s="314"/>
      <c r="O63" s="314"/>
    </row>
    <row r="64" spans="1:15" ht="21.75" customHeight="1">
      <c r="A64" s="83">
        <f ca="1">IF(ROWS($1:51)&gt;COUNT(Dong1),"",OFFSET(TH!C$1,SMALL(Dong1,ROWS($1:51)),))</f>
        <v>41268</v>
      </c>
      <c r="B64" s="83">
        <f ca="1">IF(ROWS($1:51)&gt;COUNT(Dong1),"",OFFSET(TH!E$1,SMALL(Dong1,ROWS($1:51)),))</f>
        <v>41268</v>
      </c>
      <c r="C64" s="84" t="str">
        <f ca="1">IF(ROWS($1:51)&gt;COUNT(Dong1),"",IF(OFFSET(TH!L$1,SMALL(Dong1,ROWS($1:51)),)="1111",OFFSET(TH!D$1,SMALL(Dong1,ROWS($1:51)),),""))</f>
        <v>T16</v>
      </c>
      <c r="D64" s="85" t="str">
        <f ca="1">IF(ROWS($1:51)&gt;COUNT(Dong1),"",IF(OFFSET(TH!M$1,SMALL(Dong1,ROWS($1:51)),)="1111",OFFSET(TH!D$1,SMALL(Dong1,ROWS($1:51)),),""))</f>
        <v/>
      </c>
      <c r="E64" s="127" t="str">
        <f ca="1">IF(ROWS($1:51)&gt;COUNT(Dong1),"",OFFSET(TH!F$1,SMALL(Dong1,ROWS($1:51)),))</f>
        <v>Thu tiền hàng</v>
      </c>
      <c r="F64" s="87" t="str">
        <f ca="1">IF(ROWS($1:51)&gt;COUNT(Dong1),"",IF(OFFSET(TH!M$1,SMALL(Dong1,ROWS($1:51)),)="1111",OFFSET(TH!L$1,SMALL(Dong1,ROWS($1:51)),),OFFSET(TH!M$1,SMALL(Dong1,ROWS($1:51)),)))</f>
        <v>131</v>
      </c>
      <c r="G64" s="88">
        <f ca="1">IF(ROWS($1:51)&gt;COUNT(Dong1),"",IF(OFFSET(TH!L$1,SMALL(Dong1,ROWS($1:51)),)="1111",OFFSET(TH!K$1,SMALL(Dong1,ROWS($1:51)),),0))</f>
        <v>1678600</v>
      </c>
      <c r="H64" s="86">
        <f ca="1">IF(ROWS($1:51)&gt;COUNT(Dong1),"",IF(OFFSET(TH!M$1,SMALL(Dong1,ROWS($1:51)),)="1111",OFFSET(TH!K$1,SMALL(Dong1,ROWS($1:51)),),0))</f>
        <v>0</v>
      </c>
      <c r="I64" s="84">
        <f t="shared" ca="1" si="1"/>
        <v>2434465006</v>
      </c>
      <c r="J64" s="89"/>
      <c r="N64" s="314"/>
      <c r="O64" s="314"/>
    </row>
    <row r="65" spans="1:15" ht="21.75" customHeight="1">
      <c r="A65" s="83">
        <f ca="1">IF(ROWS($1:52)&gt;COUNT(Dong1),"",OFFSET(TH!C$1,SMALL(Dong1,ROWS($1:52)),))</f>
        <v>41269</v>
      </c>
      <c r="B65" s="83">
        <f ca="1">IF(ROWS($1:52)&gt;COUNT(Dong1),"",OFFSET(TH!E$1,SMALL(Dong1,ROWS($1:52)),))</f>
        <v>41269</v>
      </c>
      <c r="C65" s="84" t="str">
        <f ca="1">IF(ROWS($1:52)&gt;COUNT(Dong1),"",IF(OFFSET(TH!L$1,SMALL(Dong1,ROWS($1:52)),)="1111",OFFSET(TH!D$1,SMALL(Dong1,ROWS($1:52)),),""))</f>
        <v/>
      </c>
      <c r="D65" s="85" t="str">
        <f ca="1">IF(ROWS($1:52)&gt;COUNT(Dong1),"",IF(OFFSET(TH!M$1,SMALL(Dong1,ROWS($1:52)),)="1111",OFFSET(TH!D$1,SMALL(Dong1,ROWS($1:52)),),""))</f>
        <v>C28</v>
      </c>
      <c r="E65" s="127" t="str">
        <f ca="1">IF(ROWS($1:52)&gt;COUNT(Dong1),"",OFFSET(TH!F$1,SMALL(Dong1,ROWS($1:52)),))</f>
        <v>Chi phí tiếp khách</v>
      </c>
      <c r="F65" s="87" t="str">
        <f ca="1">IF(ROWS($1:52)&gt;COUNT(Dong1),"",IF(OFFSET(TH!M$1,SMALL(Dong1,ROWS($1:52)),)="1111",OFFSET(TH!L$1,SMALL(Dong1,ROWS($1:52)),),OFFSET(TH!M$1,SMALL(Dong1,ROWS($1:52)),)))</f>
        <v>642</v>
      </c>
      <c r="G65" s="88">
        <f ca="1">IF(ROWS($1:52)&gt;COUNT(Dong1),"",IF(OFFSET(TH!L$1,SMALL(Dong1,ROWS($1:52)),)="1111",OFFSET(TH!K$1,SMALL(Dong1,ROWS($1:52)),),0))</f>
        <v>0</v>
      </c>
      <c r="H65" s="86">
        <f ca="1">IF(ROWS($1:52)&gt;COUNT(Dong1),"",IF(OFFSET(TH!M$1,SMALL(Dong1,ROWS($1:52)),)="1111",OFFSET(TH!K$1,SMALL(Dong1,ROWS($1:52)),),0))</f>
        <v>3181818</v>
      </c>
      <c r="I65" s="84">
        <f t="shared" ca="1" si="1"/>
        <v>2431283188</v>
      </c>
      <c r="J65" s="89"/>
      <c r="N65" s="314"/>
      <c r="O65" s="314"/>
    </row>
    <row r="66" spans="1:15" ht="21.75" customHeight="1">
      <c r="A66" s="83">
        <f ca="1">IF(ROWS($1:53)&gt;COUNT(Dong1),"",OFFSET(TH!C$1,SMALL(Dong1,ROWS($1:53)),))</f>
        <v>41269</v>
      </c>
      <c r="B66" s="83">
        <f ca="1">IF(ROWS($1:53)&gt;COUNT(Dong1),"",OFFSET(TH!E$1,SMALL(Dong1,ROWS($1:53)),))</f>
        <v>41269</v>
      </c>
      <c r="C66" s="84" t="str">
        <f ca="1">IF(ROWS($1:53)&gt;COUNT(Dong1),"",IF(OFFSET(TH!L$1,SMALL(Dong1,ROWS($1:53)),)="1111",OFFSET(TH!D$1,SMALL(Dong1,ROWS($1:53)),),""))</f>
        <v/>
      </c>
      <c r="D66" s="85" t="str">
        <f ca="1">IF(ROWS($1:53)&gt;COUNT(Dong1),"",IF(OFFSET(TH!M$1,SMALL(Dong1,ROWS($1:53)),)="1111",OFFSET(TH!D$1,SMALL(Dong1,ROWS($1:53)),),""))</f>
        <v>C28</v>
      </c>
      <c r="E66" s="127" t="str">
        <f ca="1">IF(ROWS($1:53)&gt;COUNT(Dong1),"",OFFSET(TH!F$1,SMALL(Dong1,ROWS($1:53)),))</f>
        <v>VAT Chi phí tiếp khách</v>
      </c>
      <c r="F66" s="87" t="str">
        <f ca="1">IF(ROWS($1:53)&gt;COUNT(Dong1),"",IF(OFFSET(TH!M$1,SMALL(Dong1,ROWS($1:53)),)="1111",OFFSET(TH!L$1,SMALL(Dong1,ROWS($1:53)),),OFFSET(TH!M$1,SMALL(Dong1,ROWS($1:53)),)))</f>
        <v>1331</v>
      </c>
      <c r="G66" s="88">
        <f ca="1">IF(ROWS($1:53)&gt;COUNT(Dong1),"",IF(OFFSET(TH!L$1,SMALL(Dong1,ROWS($1:53)),)="1111",OFFSET(TH!K$1,SMALL(Dong1,ROWS($1:53)),),0))</f>
        <v>0</v>
      </c>
      <c r="H66" s="86">
        <f ca="1">IF(ROWS($1:53)&gt;COUNT(Dong1),"",IF(OFFSET(TH!M$1,SMALL(Dong1,ROWS($1:53)),)="1111",OFFSET(TH!K$1,SMALL(Dong1,ROWS($1:53)),),0))</f>
        <v>318182</v>
      </c>
      <c r="I66" s="84">
        <f t="shared" ref="I66:I71" ca="1" si="2">IF(E66&lt;&gt;"",I65+G66-H66,0)</f>
        <v>2430965006</v>
      </c>
      <c r="J66" s="89"/>
      <c r="N66" s="314"/>
      <c r="O66" s="314"/>
    </row>
    <row r="67" spans="1:15" ht="21.75" customHeight="1">
      <c r="A67" s="83">
        <f ca="1">IF(ROWS($1:54)&gt;COUNT(Dong1),"",OFFSET(TH!C$1,SMALL(Dong1,ROWS($1:54)),))</f>
        <v>41270</v>
      </c>
      <c r="B67" s="83">
        <f ca="1">IF(ROWS($1:54)&gt;COUNT(Dong1),"",OFFSET(TH!E$1,SMALL(Dong1,ROWS($1:54)),))</f>
        <v>41270</v>
      </c>
      <c r="C67" s="84" t="str">
        <f ca="1">IF(ROWS($1:54)&gt;COUNT(Dong1),"",IF(OFFSET(TH!L$1,SMALL(Dong1,ROWS($1:54)),)="1111",OFFSET(TH!D$1,SMALL(Dong1,ROWS($1:54)),),""))</f>
        <v>T17</v>
      </c>
      <c r="D67" s="85" t="str">
        <f ca="1">IF(ROWS($1:54)&gt;COUNT(Dong1),"",IF(OFFSET(TH!M$1,SMALL(Dong1,ROWS($1:54)),)="1111",OFFSET(TH!D$1,SMALL(Dong1,ROWS($1:54)),),""))</f>
        <v/>
      </c>
      <c r="E67" s="127" t="str">
        <f ca="1">IF(ROWS($1:54)&gt;COUNT(Dong1),"",OFFSET(TH!F$1,SMALL(Dong1,ROWS($1:54)),))</f>
        <v>Thu tiền hàng</v>
      </c>
      <c r="F67" s="87" t="str">
        <f ca="1">IF(ROWS($1:54)&gt;COUNT(Dong1),"",IF(OFFSET(TH!M$1,SMALL(Dong1,ROWS($1:54)),)="1111",OFFSET(TH!L$1,SMALL(Dong1,ROWS($1:54)),),OFFSET(TH!M$1,SMALL(Dong1,ROWS($1:54)),)))</f>
        <v>131</v>
      </c>
      <c r="G67" s="88">
        <f ca="1">IF(ROWS($1:54)&gt;COUNT(Dong1),"",IF(OFFSET(TH!L$1,SMALL(Dong1,ROWS($1:54)),)="1111",OFFSET(TH!K$1,SMALL(Dong1,ROWS($1:54)),),0))</f>
        <v>5864760</v>
      </c>
      <c r="H67" s="86">
        <f ca="1">IF(ROWS($1:54)&gt;COUNT(Dong1),"",IF(OFFSET(TH!M$1,SMALL(Dong1,ROWS($1:54)),)="1111",OFFSET(TH!K$1,SMALL(Dong1,ROWS($1:54)),),0))</f>
        <v>0</v>
      </c>
      <c r="I67" s="84">
        <f t="shared" ca="1" si="2"/>
        <v>2436829766</v>
      </c>
      <c r="J67" s="89"/>
      <c r="N67" s="314"/>
      <c r="O67" s="314"/>
    </row>
    <row r="68" spans="1:15" ht="21.75" customHeight="1">
      <c r="A68" s="83">
        <f ca="1">IF(ROWS($1:55)&gt;COUNT(Dong1),"",OFFSET(TH!C$1,SMALL(Dong1,ROWS($1:55)),))</f>
        <v>41271</v>
      </c>
      <c r="B68" s="83">
        <f ca="1">IF(ROWS($1:55)&gt;COUNT(Dong1),"",OFFSET(TH!E$1,SMALL(Dong1,ROWS($1:55)),))</f>
        <v>41271</v>
      </c>
      <c r="C68" s="84" t="str">
        <f ca="1">IF(ROWS($1:55)&gt;COUNT(Dong1),"",IF(OFFSET(TH!L$1,SMALL(Dong1,ROWS($1:55)),)="1111",OFFSET(TH!D$1,SMALL(Dong1,ROWS($1:55)),),""))</f>
        <v>T18</v>
      </c>
      <c r="D68" s="85" t="str">
        <f ca="1">IF(ROWS($1:55)&gt;COUNT(Dong1),"",IF(OFFSET(TH!M$1,SMALL(Dong1,ROWS($1:55)),)="1111",OFFSET(TH!D$1,SMALL(Dong1,ROWS($1:55)),),""))</f>
        <v/>
      </c>
      <c r="E68" s="127" t="str">
        <f ca="1">IF(ROWS($1:55)&gt;COUNT(Dong1),"",OFFSET(TH!F$1,SMALL(Dong1,ROWS($1:55)),))</f>
        <v>Rút sec nhập quỹ tiền mặt</v>
      </c>
      <c r="F68" s="87" t="str">
        <f ca="1">IF(ROWS($1:55)&gt;COUNT(Dong1),"",IF(OFFSET(TH!M$1,SMALL(Dong1,ROWS($1:55)),)="1111",OFFSET(TH!L$1,SMALL(Dong1,ROWS($1:55)),),OFFSET(TH!M$1,SMALL(Dong1,ROWS($1:55)),)))</f>
        <v>1121</v>
      </c>
      <c r="G68" s="88">
        <f ca="1">IF(ROWS($1:55)&gt;COUNT(Dong1),"",IF(OFFSET(TH!L$1,SMALL(Dong1,ROWS($1:55)),)="1111",OFFSET(TH!K$1,SMALL(Dong1,ROWS($1:55)),),0))</f>
        <v>19000000</v>
      </c>
      <c r="H68" s="86">
        <f ca="1">IF(ROWS($1:55)&gt;COUNT(Dong1),"",IF(OFFSET(TH!M$1,SMALL(Dong1,ROWS($1:55)),)="1111",OFFSET(TH!K$1,SMALL(Dong1,ROWS($1:55)),),0))</f>
        <v>0</v>
      </c>
      <c r="I68" s="84">
        <f t="shared" ca="1" si="2"/>
        <v>2455829766</v>
      </c>
      <c r="J68" s="89"/>
      <c r="N68" s="314"/>
      <c r="O68" s="314"/>
    </row>
    <row r="69" spans="1:15" ht="21.75" customHeight="1">
      <c r="A69" s="83">
        <f ca="1">IF(ROWS($1:56)&gt;COUNT(Dong1),"",OFFSET(TH!C$1,SMALL(Dong1,ROWS($1:56)),))</f>
        <v>41271</v>
      </c>
      <c r="B69" s="83">
        <f ca="1">IF(ROWS($1:56)&gt;COUNT(Dong1),"",OFFSET(TH!E$1,SMALL(Dong1,ROWS($1:56)),))</f>
        <v>41271</v>
      </c>
      <c r="C69" s="84" t="str">
        <f ca="1">IF(ROWS($1:56)&gt;COUNT(Dong1),"",IF(OFFSET(TH!L$1,SMALL(Dong1,ROWS($1:56)),)="1111",OFFSET(TH!D$1,SMALL(Dong1,ROWS($1:56)),),""))</f>
        <v/>
      </c>
      <c r="D69" s="85" t="str">
        <f ca="1">IF(ROWS($1:56)&gt;COUNT(Dong1),"",IF(OFFSET(TH!M$1,SMALL(Dong1,ROWS($1:56)),)="1111",OFFSET(TH!D$1,SMALL(Dong1,ROWS($1:56)),),""))</f>
        <v>C29</v>
      </c>
      <c r="E69" s="127" t="str">
        <f ca="1">IF(ROWS($1:56)&gt;COUNT(Dong1),"",OFFSET(TH!F$1,SMALL(Dong1,ROWS($1:56)),))</f>
        <v>Chi phí tiếp khách</v>
      </c>
      <c r="F69" s="87" t="str">
        <f ca="1">IF(ROWS($1:56)&gt;COUNT(Dong1),"",IF(OFFSET(TH!M$1,SMALL(Dong1,ROWS($1:56)),)="1111",OFFSET(TH!L$1,SMALL(Dong1,ROWS($1:56)),),OFFSET(TH!M$1,SMALL(Dong1,ROWS($1:56)),)))</f>
        <v>642</v>
      </c>
      <c r="G69" s="88">
        <f ca="1">IF(ROWS($1:56)&gt;COUNT(Dong1),"",IF(OFFSET(TH!L$1,SMALL(Dong1,ROWS($1:56)),)="1111",OFFSET(TH!K$1,SMALL(Dong1,ROWS($1:56)),),0))</f>
        <v>0</v>
      </c>
      <c r="H69" s="86">
        <f ca="1">IF(ROWS($1:56)&gt;COUNT(Dong1),"",IF(OFFSET(TH!M$1,SMALL(Dong1,ROWS($1:56)),)="1111",OFFSET(TH!K$1,SMALL(Dong1,ROWS($1:56)),),0))</f>
        <v>3363636</v>
      </c>
      <c r="I69" s="84">
        <f t="shared" ca="1" si="2"/>
        <v>2452466130</v>
      </c>
      <c r="J69" s="89"/>
      <c r="N69" s="314"/>
      <c r="O69" s="314"/>
    </row>
    <row r="70" spans="1:15" ht="21.75" customHeight="1">
      <c r="A70" s="83">
        <f ca="1">IF(ROWS($1:57)&gt;COUNT(Dong1),"",OFFSET(TH!C$1,SMALL(Dong1,ROWS($1:57)),))</f>
        <v>41271</v>
      </c>
      <c r="B70" s="83">
        <f ca="1">IF(ROWS($1:57)&gt;COUNT(Dong1),"",OFFSET(TH!E$1,SMALL(Dong1,ROWS($1:57)),))</f>
        <v>41271</v>
      </c>
      <c r="C70" s="84" t="str">
        <f ca="1">IF(ROWS($1:57)&gt;COUNT(Dong1),"",IF(OFFSET(TH!L$1,SMALL(Dong1,ROWS($1:57)),)="1111",OFFSET(TH!D$1,SMALL(Dong1,ROWS($1:57)),),""))</f>
        <v/>
      </c>
      <c r="D70" s="85" t="str">
        <f ca="1">IF(ROWS($1:57)&gt;COUNT(Dong1),"",IF(OFFSET(TH!M$1,SMALL(Dong1,ROWS($1:57)),)="1111",OFFSET(TH!D$1,SMALL(Dong1,ROWS($1:57)),),""))</f>
        <v>C29</v>
      </c>
      <c r="E70" s="127" t="str">
        <f ca="1">IF(ROWS($1:57)&gt;COUNT(Dong1),"",OFFSET(TH!F$1,SMALL(Dong1,ROWS($1:57)),))</f>
        <v>VAT Chi phí tiếp khách</v>
      </c>
      <c r="F70" s="87" t="str">
        <f ca="1">IF(ROWS($1:57)&gt;COUNT(Dong1),"",IF(OFFSET(TH!M$1,SMALL(Dong1,ROWS($1:57)),)="1111",OFFSET(TH!L$1,SMALL(Dong1,ROWS($1:57)),),OFFSET(TH!M$1,SMALL(Dong1,ROWS($1:57)),)))</f>
        <v>1331</v>
      </c>
      <c r="G70" s="88">
        <f ca="1">IF(ROWS($1:57)&gt;COUNT(Dong1),"",IF(OFFSET(TH!L$1,SMALL(Dong1,ROWS($1:57)),)="1111",OFFSET(TH!K$1,SMALL(Dong1,ROWS($1:57)),),0))</f>
        <v>0</v>
      </c>
      <c r="H70" s="86">
        <f ca="1">IF(ROWS($1:57)&gt;COUNT(Dong1),"",IF(OFFSET(TH!M$1,SMALL(Dong1,ROWS($1:57)),)="1111",OFFSET(TH!K$1,SMALL(Dong1,ROWS($1:57)),),0))</f>
        <v>336364</v>
      </c>
      <c r="I70" s="84">
        <f t="shared" ca="1" si="2"/>
        <v>2452129766</v>
      </c>
      <c r="J70" s="89"/>
      <c r="N70" s="314"/>
      <c r="O70" s="314"/>
    </row>
    <row r="71" spans="1:15" ht="21.75" customHeight="1">
      <c r="A71" s="83">
        <f ca="1">IF(ROWS($1:58)&gt;COUNT(Dong1),"",OFFSET(TH!C$1,SMALL(Dong1,ROWS($1:58)),))</f>
        <v>41273</v>
      </c>
      <c r="B71" s="83">
        <f ca="1">IF(ROWS($1:58)&gt;COUNT(Dong1),"",OFFSET(TH!E$1,SMALL(Dong1,ROWS($1:58)),))</f>
        <v>41273</v>
      </c>
      <c r="C71" s="84" t="str">
        <f ca="1">IF(ROWS($1:58)&gt;COUNT(Dong1),"",IF(OFFSET(TH!L$1,SMALL(Dong1,ROWS($1:58)),)="1111",OFFSET(TH!D$1,SMALL(Dong1,ROWS($1:58)),),""))</f>
        <v/>
      </c>
      <c r="D71" s="85" t="str">
        <f ca="1">IF(ROWS($1:58)&gt;COUNT(Dong1),"",IF(OFFSET(TH!M$1,SMALL(Dong1,ROWS($1:58)),)="1111",OFFSET(TH!D$1,SMALL(Dong1,ROWS($1:58)),),""))</f>
        <v>C30</v>
      </c>
      <c r="E71" s="127" t="str">
        <f ca="1">IF(ROWS($1:58)&gt;COUNT(Dong1),"",OFFSET(TH!F$1,SMALL(Dong1,ROWS($1:58)),))</f>
        <v>Thanh toán tiền hàng</v>
      </c>
      <c r="F71" s="87" t="str">
        <f ca="1">IF(ROWS($1:58)&gt;COUNT(Dong1),"",IF(OFFSET(TH!M$1,SMALL(Dong1,ROWS($1:58)),)="1111",OFFSET(TH!L$1,SMALL(Dong1,ROWS($1:58)),),OFFSET(TH!M$1,SMALL(Dong1,ROWS($1:58)),)))</f>
        <v>331</v>
      </c>
      <c r="G71" s="88">
        <f ca="1">IF(ROWS($1:58)&gt;COUNT(Dong1),"",IF(OFFSET(TH!L$1,SMALL(Dong1,ROWS($1:58)),)="1111",OFFSET(TH!K$1,SMALL(Dong1,ROWS($1:58)),),0))</f>
        <v>0</v>
      </c>
      <c r="H71" s="86">
        <f ca="1">IF(ROWS($1:58)&gt;COUNT(Dong1),"",IF(OFFSET(TH!M$1,SMALL(Dong1,ROWS($1:58)),)="1111",OFFSET(TH!K$1,SMALL(Dong1,ROWS($1:58)),),0))</f>
        <v>17817140</v>
      </c>
      <c r="I71" s="84">
        <f t="shared" ca="1" si="2"/>
        <v>2434312626</v>
      </c>
      <c r="J71" s="89"/>
      <c r="N71" s="314"/>
      <c r="O71" s="314"/>
    </row>
    <row r="72" spans="1:15" ht="21.75" customHeight="1">
      <c r="A72" s="83">
        <f ca="1">IF(ROWS($1:59)&gt;COUNT(Dong1),"",OFFSET(TH!C$1,SMALL(Dong1,ROWS($1:59)),))</f>
        <v>41273</v>
      </c>
      <c r="B72" s="83">
        <f ca="1">IF(ROWS($1:59)&gt;COUNT(Dong1),"",OFFSET(TH!E$1,SMALL(Dong1,ROWS($1:59)),))</f>
        <v>41273</v>
      </c>
      <c r="C72" s="84" t="str">
        <f ca="1">IF(ROWS($1:59)&gt;COUNT(Dong1),"",IF(OFFSET(TH!L$1,SMALL(Dong1,ROWS($1:59)),)="1111",OFFSET(TH!D$1,SMALL(Dong1,ROWS($1:59)),),""))</f>
        <v/>
      </c>
      <c r="D72" s="85" t="str">
        <f ca="1">IF(ROWS($1:59)&gt;COUNT(Dong1),"",IF(OFFSET(TH!M$1,SMALL(Dong1,ROWS($1:59)),)="1111",OFFSET(TH!D$1,SMALL(Dong1,ROWS($1:59)),),""))</f>
        <v>C31</v>
      </c>
      <c r="E72" s="127" t="str">
        <f ca="1">IF(ROWS($1:59)&gt;COUNT(Dong1),"",OFFSET(TH!F$1,SMALL(Dong1,ROWS($1:59)),))</f>
        <v>Chi phí tiếp khách</v>
      </c>
      <c r="F72" s="87" t="str">
        <f ca="1">IF(ROWS($1:59)&gt;COUNT(Dong1),"",IF(OFFSET(TH!M$1,SMALL(Dong1,ROWS($1:59)),)="1111",OFFSET(TH!L$1,SMALL(Dong1,ROWS($1:59)),),OFFSET(TH!M$1,SMALL(Dong1,ROWS($1:59)),)))</f>
        <v>642</v>
      </c>
      <c r="G72" s="88">
        <f ca="1">IF(ROWS($1:59)&gt;COUNT(Dong1),"",IF(OFFSET(TH!L$1,SMALL(Dong1,ROWS($1:59)),)="1111",OFFSET(TH!K$1,SMALL(Dong1,ROWS($1:59)),),0))</f>
        <v>0</v>
      </c>
      <c r="H72" s="86">
        <f ca="1">IF(ROWS($1:59)&gt;COUNT(Dong1),"",IF(OFFSET(TH!M$1,SMALL(Dong1,ROWS($1:59)),)="1111",OFFSET(TH!K$1,SMALL(Dong1,ROWS($1:59)),),0))</f>
        <v>2545455</v>
      </c>
      <c r="I72" s="84">
        <f t="shared" ref="I72:I77" ca="1" si="3">IF(E72&lt;&gt;"",I71+G72-H72,0)</f>
        <v>2431767171</v>
      </c>
      <c r="J72" s="89"/>
      <c r="N72" s="314"/>
      <c r="O72" s="314"/>
    </row>
    <row r="73" spans="1:15" ht="21.75" customHeight="1">
      <c r="A73" s="83">
        <f ca="1">IF(ROWS($1:60)&gt;COUNT(Dong1),"",OFFSET(TH!C$1,SMALL(Dong1,ROWS($1:60)),))</f>
        <v>41273</v>
      </c>
      <c r="B73" s="83">
        <f ca="1">IF(ROWS($1:60)&gt;COUNT(Dong1),"",OFFSET(TH!E$1,SMALL(Dong1,ROWS($1:60)),))</f>
        <v>41273</v>
      </c>
      <c r="C73" s="84" t="str">
        <f ca="1">IF(ROWS($1:60)&gt;COUNT(Dong1),"",IF(OFFSET(TH!L$1,SMALL(Dong1,ROWS($1:60)),)="1111",OFFSET(TH!D$1,SMALL(Dong1,ROWS($1:60)),),""))</f>
        <v/>
      </c>
      <c r="D73" s="85" t="str">
        <f ca="1">IF(ROWS($1:60)&gt;COUNT(Dong1),"",IF(OFFSET(TH!M$1,SMALL(Dong1,ROWS($1:60)),)="1111",OFFSET(TH!D$1,SMALL(Dong1,ROWS($1:60)),),""))</f>
        <v>C31</v>
      </c>
      <c r="E73" s="127" t="str">
        <f ca="1">IF(ROWS($1:60)&gt;COUNT(Dong1),"",OFFSET(TH!F$1,SMALL(Dong1,ROWS($1:60)),))</f>
        <v>VAT Chi phí tiếp khách</v>
      </c>
      <c r="F73" s="87" t="str">
        <f ca="1">IF(ROWS($1:60)&gt;COUNT(Dong1),"",IF(OFFSET(TH!M$1,SMALL(Dong1,ROWS($1:60)),)="1111",OFFSET(TH!L$1,SMALL(Dong1,ROWS($1:60)),),OFFSET(TH!M$1,SMALL(Dong1,ROWS($1:60)),)))</f>
        <v>1331</v>
      </c>
      <c r="G73" s="88">
        <f ca="1">IF(ROWS($1:60)&gt;COUNT(Dong1),"",IF(OFFSET(TH!L$1,SMALL(Dong1,ROWS($1:60)),)="1111",OFFSET(TH!K$1,SMALL(Dong1,ROWS($1:60)),),0))</f>
        <v>0</v>
      </c>
      <c r="H73" s="86">
        <f ca="1">IF(ROWS($1:60)&gt;COUNT(Dong1),"",IF(OFFSET(TH!M$1,SMALL(Dong1,ROWS($1:60)),)="1111",OFFSET(TH!K$1,SMALL(Dong1,ROWS($1:60)),),0))</f>
        <v>254545</v>
      </c>
      <c r="I73" s="84">
        <f t="shared" ca="1" si="3"/>
        <v>2431512626</v>
      </c>
      <c r="J73" s="89"/>
      <c r="N73" s="314"/>
      <c r="O73" s="314"/>
    </row>
    <row r="74" spans="1:15" ht="21.75" customHeight="1">
      <c r="A74" s="83">
        <f ca="1">IF(ROWS($1:61)&gt;COUNT(Dong1),"",OFFSET(TH!C$1,SMALL(Dong1,ROWS($1:61)),))</f>
        <v>41274</v>
      </c>
      <c r="B74" s="83">
        <f ca="1">IF(ROWS($1:61)&gt;COUNT(Dong1),"",OFFSET(TH!E$1,SMALL(Dong1,ROWS($1:61)),))</f>
        <v>41274</v>
      </c>
      <c r="C74" s="84" t="str">
        <f ca="1">IF(ROWS($1:61)&gt;COUNT(Dong1),"",IF(OFFSET(TH!L$1,SMALL(Dong1,ROWS($1:61)),)="1111",OFFSET(TH!D$1,SMALL(Dong1,ROWS($1:61)),),""))</f>
        <v/>
      </c>
      <c r="D74" s="85" t="str">
        <f ca="1">IF(ROWS($1:61)&gt;COUNT(Dong1),"",IF(OFFSET(TH!M$1,SMALL(Dong1,ROWS($1:61)),)="1111",OFFSET(TH!D$1,SMALL(Dong1,ROWS($1:61)),),""))</f>
        <v>C32</v>
      </c>
      <c r="E74" s="127" t="str">
        <f ca="1">IF(ROWS($1:61)&gt;COUNT(Dong1),"",OFFSET(TH!F$1,SMALL(Dong1,ROWS($1:61)),))</f>
        <v>Cước vận chuyển</v>
      </c>
      <c r="F74" s="87" t="str">
        <f ca="1">IF(ROWS($1:61)&gt;COUNT(Dong1),"",IF(OFFSET(TH!M$1,SMALL(Dong1,ROWS($1:61)),)="1111",OFFSET(TH!L$1,SMALL(Dong1,ROWS($1:61)),),OFFSET(TH!M$1,SMALL(Dong1,ROWS($1:61)),)))</f>
        <v>642</v>
      </c>
      <c r="G74" s="88">
        <f ca="1">IF(ROWS($1:61)&gt;COUNT(Dong1),"",IF(OFFSET(TH!L$1,SMALL(Dong1,ROWS($1:61)),)="1111",OFFSET(TH!K$1,SMALL(Dong1,ROWS($1:61)),),0))</f>
        <v>0</v>
      </c>
      <c r="H74" s="86">
        <f ca="1">IF(ROWS($1:61)&gt;COUNT(Dong1),"",IF(OFFSET(TH!M$1,SMALL(Dong1,ROWS($1:61)),)="1111",OFFSET(TH!K$1,SMALL(Dong1,ROWS($1:61)),),0))</f>
        <v>3000000</v>
      </c>
      <c r="I74" s="84">
        <f t="shared" ca="1" si="3"/>
        <v>2428512626</v>
      </c>
      <c r="J74" s="89"/>
      <c r="N74" s="314"/>
      <c r="O74" s="314"/>
    </row>
    <row r="75" spans="1:15" ht="21.75" customHeight="1">
      <c r="A75" s="83">
        <f ca="1">IF(ROWS($1:62)&gt;COUNT(Dong1),"",OFFSET(TH!C$1,SMALL(Dong1,ROWS($1:62)),))</f>
        <v>41274</v>
      </c>
      <c r="B75" s="83">
        <f ca="1">IF(ROWS($1:62)&gt;COUNT(Dong1),"",OFFSET(TH!E$1,SMALL(Dong1,ROWS($1:62)),))</f>
        <v>41274</v>
      </c>
      <c r="C75" s="84" t="str">
        <f ca="1">IF(ROWS($1:62)&gt;COUNT(Dong1),"",IF(OFFSET(TH!L$1,SMALL(Dong1,ROWS($1:62)),)="1111",OFFSET(TH!D$1,SMALL(Dong1,ROWS($1:62)),),""))</f>
        <v/>
      </c>
      <c r="D75" s="85" t="str">
        <f ca="1">IF(ROWS($1:62)&gt;COUNT(Dong1),"",IF(OFFSET(TH!M$1,SMALL(Dong1,ROWS($1:62)),)="1111",OFFSET(TH!D$1,SMALL(Dong1,ROWS($1:62)),),""))</f>
        <v>C32</v>
      </c>
      <c r="E75" s="127" t="str">
        <f ca="1">IF(ROWS($1:62)&gt;COUNT(Dong1),"",OFFSET(TH!F$1,SMALL(Dong1,ROWS($1:62)),))</f>
        <v>VAT Cước vận chuyển</v>
      </c>
      <c r="F75" s="87" t="str">
        <f ca="1">IF(ROWS($1:62)&gt;COUNT(Dong1),"",IF(OFFSET(TH!M$1,SMALL(Dong1,ROWS($1:62)),)="1111",OFFSET(TH!L$1,SMALL(Dong1,ROWS($1:62)),),OFFSET(TH!M$1,SMALL(Dong1,ROWS($1:62)),)))</f>
        <v>1331</v>
      </c>
      <c r="G75" s="88">
        <f ca="1">IF(ROWS($1:62)&gt;COUNT(Dong1),"",IF(OFFSET(TH!L$1,SMALL(Dong1,ROWS($1:62)),)="1111",OFFSET(TH!K$1,SMALL(Dong1,ROWS($1:62)),),0))</f>
        <v>0</v>
      </c>
      <c r="H75" s="86">
        <f ca="1">IF(ROWS($1:62)&gt;COUNT(Dong1),"",IF(OFFSET(TH!M$1,SMALL(Dong1,ROWS($1:62)),)="1111",OFFSET(TH!K$1,SMALL(Dong1,ROWS($1:62)),),0))</f>
        <v>300000</v>
      </c>
      <c r="I75" s="84">
        <f t="shared" ca="1" si="3"/>
        <v>2428212626</v>
      </c>
      <c r="J75" s="89"/>
      <c r="N75" s="314"/>
      <c r="O75" s="314"/>
    </row>
    <row r="76" spans="1:15" ht="21.75" customHeight="1">
      <c r="A76" s="83">
        <f ca="1">IF(ROWS($1:63)&gt;COUNT(Dong1),"",OFFSET(TH!C$1,SMALL(Dong1,ROWS($1:63)),))</f>
        <v>41274</v>
      </c>
      <c r="B76" s="83">
        <f ca="1">IF(ROWS($1:63)&gt;COUNT(Dong1),"",OFFSET(TH!E$1,SMALL(Dong1,ROWS($1:63)),))</f>
        <v>41274</v>
      </c>
      <c r="C76" s="84" t="str">
        <f ca="1">IF(ROWS($1:63)&gt;COUNT(Dong1),"",IF(OFFSET(TH!L$1,SMALL(Dong1,ROWS($1:63)),)="1111",OFFSET(TH!D$1,SMALL(Dong1,ROWS($1:63)),),""))</f>
        <v/>
      </c>
      <c r="D76" s="85" t="str">
        <f ca="1">IF(ROWS($1:63)&gt;COUNT(Dong1),"",IF(OFFSET(TH!M$1,SMALL(Dong1,ROWS($1:63)),)="1111",OFFSET(TH!D$1,SMALL(Dong1,ROWS($1:63)),),""))</f>
        <v>C33</v>
      </c>
      <c r="E76" s="127" t="str">
        <f ca="1">IF(ROWS($1:63)&gt;COUNT(Dong1),"",OFFSET(TH!F$1,SMALL(Dong1,ROWS($1:63)),))</f>
        <v>Mực in</v>
      </c>
      <c r="F76" s="87" t="str">
        <f ca="1">IF(ROWS($1:63)&gt;COUNT(Dong1),"",IF(OFFSET(TH!M$1,SMALL(Dong1,ROWS($1:63)),)="1111",OFFSET(TH!L$1,SMALL(Dong1,ROWS($1:63)),),OFFSET(TH!M$1,SMALL(Dong1,ROWS($1:63)),)))</f>
        <v>154</v>
      </c>
      <c r="G76" s="88">
        <f ca="1">IF(ROWS($1:63)&gt;COUNT(Dong1),"",IF(OFFSET(TH!L$1,SMALL(Dong1,ROWS($1:63)),)="1111",OFFSET(TH!K$1,SMALL(Dong1,ROWS($1:63)),),0))</f>
        <v>0</v>
      </c>
      <c r="H76" s="86">
        <f ca="1">IF(ROWS($1:63)&gt;COUNT(Dong1),"",IF(OFFSET(TH!M$1,SMALL(Dong1,ROWS($1:63)),)="1111",OFFSET(TH!K$1,SMALL(Dong1,ROWS($1:63)),),0))</f>
        <v>1137500</v>
      </c>
      <c r="I76" s="84">
        <f t="shared" ca="1" si="3"/>
        <v>2427075126</v>
      </c>
      <c r="J76" s="89"/>
      <c r="N76" s="314"/>
      <c r="O76" s="314"/>
    </row>
    <row r="77" spans="1:15" ht="21.75" customHeight="1">
      <c r="A77" s="83">
        <f ca="1">IF(ROWS($1:64)&gt;COUNT(Dong1),"",OFFSET(TH!C$1,SMALL(Dong1,ROWS($1:64)),))</f>
        <v>41274</v>
      </c>
      <c r="B77" s="83">
        <f ca="1">IF(ROWS($1:64)&gt;COUNT(Dong1),"",OFFSET(TH!E$1,SMALL(Dong1,ROWS($1:64)),))</f>
        <v>41274</v>
      </c>
      <c r="C77" s="84" t="str">
        <f ca="1">IF(ROWS($1:64)&gt;COUNT(Dong1),"",IF(OFFSET(TH!L$1,SMALL(Dong1,ROWS($1:64)),)="1111",OFFSET(TH!D$1,SMALL(Dong1,ROWS($1:64)),),""))</f>
        <v/>
      </c>
      <c r="D77" s="85" t="str">
        <f ca="1">IF(ROWS($1:64)&gt;COUNT(Dong1),"",IF(OFFSET(TH!M$1,SMALL(Dong1,ROWS($1:64)),)="1111",OFFSET(TH!D$1,SMALL(Dong1,ROWS($1:64)),),""))</f>
        <v>C34</v>
      </c>
      <c r="E77" s="127" t="str">
        <f ca="1">IF(ROWS($1:64)&gt;COUNT(Dong1),"",OFFSET(TH!F$1,SMALL(Dong1,ROWS($1:64)),))</f>
        <v>Thanh toán lương T12/2012</v>
      </c>
      <c r="F77" s="87" t="str">
        <f ca="1">IF(ROWS($1:64)&gt;COUNT(Dong1),"",IF(OFFSET(TH!M$1,SMALL(Dong1,ROWS($1:64)),)="1111",OFFSET(TH!L$1,SMALL(Dong1,ROWS($1:64)),),OFFSET(TH!M$1,SMALL(Dong1,ROWS($1:64)),)))</f>
        <v>3341</v>
      </c>
      <c r="G77" s="88">
        <f ca="1">IF(ROWS($1:64)&gt;COUNT(Dong1),"",IF(OFFSET(TH!L$1,SMALL(Dong1,ROWS($1:64)),)="1111",OFFSET(TH!K$1,SMALL(Dong1,ROWS($1:64)),),0))</f>
        <v>0</v>
      </c>
      <c r="H77" s="86">
        <f ca="1">IF(ROWS($1:64)&gt;COUNT(Dong1),"",IF(OFFSET(TH!M$1,SMALL(Dong1,ROWS($1:64)),)="1111",OFFSET(TH!K$1,SMALL(Dong1,ROWS($1:64)),),0))</f>
        <v>15285000</v>
      </c>
      <c r="I77" s="84">
        <f t="shared" ca="1" si="3"/>
        <v>2411790126</v>
      </c>
      <c r="J77" s="89"/>
      <c r="N77" s="314"/>
      <c r="O77" s="314"/>
    </row>
    <row r="78" spans="1:15" ht="21.75" customHeight="1">
      <c r="A78" s="83" t="str">
        <f ca="1">IF(ROWS($1:65)&gt;COUNT(Dong1),"",OFFSET(TH!C$1,SMALL(Dong1,ROWS($1:65)),))</f>
        <v/>
      </c>
      <c r="B78" s="83" t="str">
        <f ca="1">IF(ROWS($1:65)&gt;COUNT(Dong1),"",OFFSET(TH!E$1,SMALL(Dong1,ROWS($1:65)),))</f>
        <v/>
      </c>
      <c r="C78" s="84" t="str">
        <f ca="1">IF(ROWS($1:65)&gt;COUNT(Dong1),"",IF(OFFSET(TH!L$1,SMALL(Dong1,ROWS($1:65)),)="1111",OFFSET(TH!D$1,SMALL(Dong1,ROWS($1:65)),),""))</f>
        <v/>
      </c>
      <c r="D78" s="85" t="str">
        <f ca="1">IF(ROWS($1:65)&gt;COUNT(Dong1),"",IF(OFFSET(TH!M$1,SMALL(Dong1,ROWS($1:65)),)="1111",OFFSET(TH!D$1,SMALL(Dong1,ROWS($1:65)),),""))</f>
        <v/>
      </c>
      <c r="E78" s="127" t="str">
        <f ca="1">IF(ROWS($1:65)&gt;COUNT(Dong1),"",OFFSET(TH!F$1,SMALL(Dong1,ROWS($1:65)),))</f>
        <v/>
      </c>
      <c r="F78" s="87" t="str">
        <f ca="1">IF(ROWS($1:65)&gt;COUNT(Dong1),"",IF(OFFSET(TH!M$1,SMALL(Dong1,ROWS($1:65)),)="1111",OFFSET(TH!L$1,SMALL(Dong1,ROWS($1:65)),),OFFSET(TH!M$1,SMALL(Dong1,ROWS($1:65)),)))</f>
        <v/>
      </c>
      <c r="G78" s="88" t="str">
        <f ca="1">IF(ROWS($1:65)&gt;COUNT(Dong1),"",IF(OFFSET(TH!L$1,SMALL(Dong1,ROWS($1:65)),)="1111",OFFSET(TH!K$1,SMALL(Dong1,ROWS($1:65)),),0))</f>
        <v/>
      </c>
      <c r="H78" s="86" t="str">
        <f ca="1">IF(ROWS($1:65)&gt;COUNT(Dong1),"",IF(OFFSET(TH!M$1,SMALL(Dong1,ROWS($1:65)),)="1111",OFFSET(TH!K$1,SMALL(Dong1,ROWS($1:65)),),0))</f>
        <v/>
      </c>
      <c r="I78" s="84">
        <f t="shared" ref="I78" ca="1" si="4">IF(E78&lt;&gt;"",I77+G78-H78,0)</f>
        <v>0</v>
      </c>
      <c r="J78" s="89"/>
    </row>
    <row r="79" spans="1:15" s="79" customFormat="1" ht="21.75" customHeight="1">
      <c r="A79" s="90"/>
      <c r="B79" s="90"/>
      <c r="C79" s="90"/>
      <c r="D79" s="90"/>
      <c r="E79" s="90" t="s">
        <v>128</v>
      </c>
      <c r="F79" s="91" t="s">
        <v>19</v>
      </c>
      <c r="G79" s="90">
        <f ca="1">SUM(G14:G78)</f>
        <v>219757545</v>
      </c>
      <c r="H79" s="90">
        <f ca="1">SUM(H14:H78)</f>
        <v>239713953</v>
      </c>
      <c r="I79" s="91" t="s">
        <v>19</v>
      </c>
      <c r="J79" s="91" t="s">
        <v>19</v>
      </c>
    </row>
    <row r="80" spans="1:15" s="79" customFormat="1" ht="21.75" customHeight="1">
      <c r="A80" s="92"/>
      <c r="B80" s="92"/>
      <c r="C80" s="92"/>
      <c r="D80" s="92"/>
      <c r="E80" s="92" t="s">
        <v>129</v>
      </c>
      <c r="F80" s="93" t="s">
        <v>19</v>
      </c>
      <c r="G80" s="93" t="s">
        <v>19</v>
      </c>
      <c r="H80" s="93" t="s">
        <v>19</v>
      </c>
      <c r="I80" s="94">
        <f ca="1">I13+G79-H79</f>
        <v>2411790126</v>
      </c>
      <c r="J80" s="93" t="s">
        <v>19</v>
      </c>
    </row>
    <row r="81" spans="1:12">
      <c r="L81" s="130" t="s">
        <v>149</v>
      </c>
    </row>
    <row r="82" spans="1:12">
      <c r="A82" s="130" t="s">
        <v>150</v>
      </c>
      <c r="L82" s="130" t="s">
        <v>150</v>
      </c>
    </row>
    <row r="83" spans="1:12">
      <c r="A83" s="106" t="str">
        <f ca="1">"- Ngày mở sổ: "&amp;DAY($A$14)&amp;"/"&amp;MONTH($A$14)&amp;"/ " &amp;YEAR($A$14)</f>
        <v>- Ngày mở sổ: 5/10/ 2012</v>
      </c>
      <c r="L83" s="130" t="s">
        <v>130</v>
      </c>
    </row>
    <row r="84" spans="1:12">
      <c r="I84" s="111" t="str">
        <f ca="1">"Ngày "&amp;IF(OR($L$11=4,$L$11=6,$L$11=9,$L$11=11),"30",IF($L$11=2,"28","31"))&amp;" tháng "&amp;$O$11&amp;"  năm  "&amp;YEAR($A$14)</f>
        <v>Ngày 31 tháng 12  năm  2012</v>
      </c>
      <c r="L84" s="130" t="s">
        <v>147</v>
      </c>
    </row>
    <row r="85" spans="1:12" s="96" customFormat="1" ht="14.25">
      <c r="C85" s="96" t="s">
        <v>11</v>
      </c>
      <c r="E85" s="96" t="s">
        <v>12</v>
      </c>
      <c r="I85" s="96" t="s">
        <v>104</v>
      </c>
    </row>
    <row r="86" spans="1:12" s="97" customFormat="1">
      <c r="C86" s="97" t="s">
        <v>13</v>
      </c>
      <c r="E86" s="97" t="s">
        <v>13</v>
      </c>
      <c r="I86" s="97" t="s">
        <v>131</v>
      </c>
    </row>
    <row r="87" spans="1:12" s="97" customFormat="1"/>
    <row r="88" spans="1:12" s="97" customFormat="1"/>
    <row r="89" spans="1:12" s="97" customFormat="1"/>
    <row r="90" spans="1:12" s="97" customFormat="1"/>
    <row r="93" spans="1:12" ht="15.75">
      <c r="C93" s="125"/>
      <c r="I93" s="126"/>
    </row>
    <row r="94" spans="1:12">
      <c r="E94" s="74">
        <f ca="1">SUMIF($D$14:$D$36,#REF!,H14:H36)</f>
        <v>0</v>
      </c>
    </row>
    <row r="97" spans="1:10">
      <c r="A97" s="74">
        <v>2</v>
      </c>
      <c r="B97" s="74">
        <v>3</v>
      </c>
      <c r="C97" s="74">
        <v>4</v>
      </c>
      <c r="D97" s="74">
        <v>5</v>
      </c>
      <c r="E97" s="74">
        <v>6</v>
      </c>
      <c r="F97" s="74">
        <v>9</v>
      </c>
      <c r="G97" s="74">
        <v>10</v>
      </c>
      <c r="H97" s="74">
        <v>11</v>
      </c>
      <c r="I97" s="74">
        <v>12</v>
      </c>
      <c r="J97" s="74">
        <v>13</v>
      </c>
    </row>
  </sheetData>
  <autoFilter ref="A12:J80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78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MỘT THÀNH VIÊN KHỞI NGUYÊN AN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02 -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839" t="str">
        <f>TH!A2</f>
        <v>Địa chỉ: Thửa đất số 144, tờ bản đồ số 12TĐH.1, tổ 1, khu phố Đông Tác, Phường Tân Đông Hiệp, Thị Xã Dĩ An, Tỉnh Bình Dương, Việt Nam</v>
      </c>
      <c r="C2" s="839"/>
      <c r="D2" s="839"/>
      <c r="E2" s="839"/>
      <c r="F2" s="839"/>
      <c r="G2" s="839"/>
      <c r="H2" s="839"/>
      <c r="I2" s="83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839"/>
      <c r="C3" s="839"/>
      <c r="D3" s="839"/>
      <c r="E3" s="839"/>
      <c r="F3" s="839"/>
      <c r="G3" s="839"/>
      <c r="H3" s="839"/>
      <c r="I3" s="839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2"/>
      <c r="Q3" s="277"/>
      <c r="R3" s="116"/>
      <c r="S3" s="117" t="s">
        <v>259</v>
      </c>
      <c r="T3" s="116"/>
      <c r="U3" s="117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3"/>
      <c r="H4" s="44" t="str">
        <f>IF(LEFT($U$4,1)="T","PHIẾU THU","PHIẾU CHI")</f>
        <v>PHIẾU CHI</v>
      </c>
      <c r="I4" s="28"/>
      <c r="J4" s="43"/>
      <c r="K4" s="45"/>
      <c r="L4" s="28"/>
      <c r="M4" s="45"/>
      <c r="N4" s="45"/>
      <c r="O4" s="45"/>
      <c r="P4" s="46"/>
      <c r="Q4" s="278"/>
      <c r="R4" s="47"/>
      <c r="S4" s="309">
        <v>4</v>
      </c>
      <c r="T4" s="47"/>
      <c r="U4" s="279" t="s">
        <v>4</v>
      </c>
      <c r="V4" s="71"/>
      <c r="W4" s="280">
        <v>1</v>
      </c>
    </row>
    <row r="5" spans="1:23" ht="15">
      <c r="A5" s="28"/>
      <c r="B5" s="37"/>
      <c r="C5" s="27"/>
      <c r="D5" s="27"/>
      <c r="E5" s="27"/>
      <c r="F5" s="28"/>
      <c r="G5" s="43"/>
      <c r="H5" s="48" t="str">
        <f>IF(ISNA(VLOOKUP($M$7,TM,3,0)),"","Ngày  "&amp;DAY(VLOOKUP($M$7,TM,3,0))&amp;"  tháng  "&amp;MONTH(VLOOKUP($M$7,TM,3,0))&amp;"  năm  "&amp;YEAR(VLOOKUP($M$7,TM,3,0)))</f>
        <v>Ngày  13  tháng  10  năm  2012</v>
      </c>
      <c r="I5" s="28"/>
      <c r="J5" s="43"/>
      <c r="K5" s="45"/>
      <c r="L5" s="28"/>
      <c r="M5" s="45"/>
      <c r="N5" s="45"/>
      <c r="O5" s="45"/>
      <c r="P5" s="46"/>
      <c r="Q5" s="277"/>
      <c r="R5" s="28"/>
      <c r="S5" s="28"/>
      <c r="T5" s="28"/>
      <c r="U5" s="28"/>
      <c r="V5" s="36"/>
      <c r="W5" s="41"/>
    </row>
    <row r="6" spans="1:23" ht="13.5">
      <c r="A6" s="51"/>
      <c r="B6" s="49"/>
      <c r="C6" s="50"/>
      <c r="D6" s="50"/>
      <c r="E6" s="50"/>
      <c r="F6" s="51"/>
      <c r="G6" s="52"/>
      <c r="H6" s="52"/>
      <c r="I6" s="52"/>
      <c r="J6" s="51"/>
      <c r="K6" s="51"/>
      <c r="L6" s="53" t="str">
        <f>"Quyển số: 0"&amp;$S$4</f>
        <v>Quyển số: 04</v>
      </c>
      <c r="M6" s="51"/>
      <c r="N6" s="51"/>
      <c r="O6" s="54"/>
      <c r="P6" s="55"/>
      <c r="Q6" s="51"/>
      <c r="R6" s="51"/>
      <c r="S6" s="51"/>
      <c r="T6" s="51"/>
      <c r="U6" s="51"/>
      <c r="V6" s="56"/>
      <c r="W6" s="41"/>
    </row>
    <row r="7" spans="1:23" ht="13.5" customHeight="1">
      <c r="A7" s="51"/>
      <c r="B7" s="51"/>
      <c r="C7" s="51"/>
      <c r="D7" s="51"/>
      <c r="E7" s="49"/>
      <c r="F7" s="52"/>
      <c r="G7" s="52"/>
      <c r="H7" s="52"/>
      <c r="I7" s="52"/>
      <c r="J7" s="51"/>
      <c r="K7" s="51"/>
      <c r="L7" s="57" t="str">
        <f>"Số :    "</f>
        <v xml:space="preserve">Số :    </v>
      </c>
      <c r="M7" s="591" t="str">
        <f>$U$4&amp;IF($W$4&gt;=10,$W$4,"0"&amp;$W$4)</f>
        <v>C01</v>
      </c>
      <c r="N7" s="54"/>
      <c r="O7" s="54"/>
      <c r="P7" s="55"/>
      <c r="Q7" s="51"/>
      <c r="R7" s="51"/>
      <c r="S7" s="51"/>
      <c r="T7" s="51"/>
      <c r="U7" s="51"/>
      <c r="V7" s="51"/>
      <c r="W7" s="51"/>
    </row>
    <row r="8" spans="1:23" ht="13.5">
      <c r="A8" s="51"/>
      <c r="B8" s="51"/>
      <c r="C8" s="51"/>
      <c r="D8" s="51"/>
      <c r="E8" s="49"/>
      <c r="F8" s="49"/>
      <c r="G8" s="49"/>
      <c r="H8" s="49"/>
      <c r="I8" s="49"/>
      <c r="J8" s="51"/>
      <c r="K8" s="58"/>
      <c r="L8" s="53" t="s">
        <v>101</v>
      </c>
      <c r="M8" s="59" t="str">
        <f>IF($U$4="T","1111",IF($U$4="C",IF(ISNA(VLOOKUP($M$7,TM,13,0)),"",VLOOKUP($M$7,TM,12,0)),""))</f>
        <v>331</v>
      </c>
      <c r="N8" s="54"/>
      <c r="O8" s="54"/>
      <c r="P8" s="60"/>
      <c r="Q8" s="51"/>
      <c r="R8" s="51"/>
      <c r="S8" s="51"/>
      <c r="T8" s="51"/>
      <c r="U8" s="51"/>
      <c r="V8" s="51"/>
      <c r="W8" s="51"/>
    </row>
    <row r="9" spans="1:23" ht="13.5">
      <c r="A9" s="51"/>
      <c r="B9" s="51"/>
      <c r="C9" s="51"/>
      <c r="D9" s="51"/>
      <c r="E9" s="49"/>
      <c r="F9" s="49"/>
      <c r="G9" s="49"/>
      <c r="H9" s="49"/>
      <c r="I9" s="49"/>
      <c r="J9" s="51"/>
      <c r="K9" s="58"/>
      <c r="L9" s="57" t="s">
        <v>102</v>
      </c>
      <c r="M9" s="59" t="str">
        <f>IF($U$4="C","1111",IF($U$4="T",IF(ISNA(VLOOKUP($M$7,TM,12,0)),"",VLOOKUP($M$7,TM,13,0)),""))</f>
        <v>1111</v>
      </c>
      <c r="N9" s="54"/>
      <c r="O9" s="54"/>
      <c r="P9" s="60"/>
      <c r="Q9" s="51"/>
      <c r="R9" s="51"/>
      <c r="S9" s="51"/>
      <c r="T9" s="51"/>
      <c r="U9" s="51"/>
      <c r="V9" s="51"/>
      <c r="W9" s="51"/>
    </row>
    <row r="10" spans="1:23" ht="15">
      <c r="A10" s="51"/>
      <c r="B10" s="51"/>
      <c r="C10" s="61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49"/>
      <c r="E10" s="51"/>
      <c r="F10" s="49"/>
      <c r="G10" s="49"/>
      <c r="H10" s="49"/>
      <c r="I10" s="49"/>
      <c r="J10" s="51"/>
      <c r="K10" s="49"/>
      <c r="L10" s="57"/>
      <c r="M10" s="59"/>
      <c r="N10" s="54"/>
      <c r="O10" s="49"/>
      <c r="P10" s="55"/>
      <c r="Q10" s="51"/>
      <c r="R10" s="51"/>
      <c r="S10" s="51"/>
      <c r="T10" s="51"/>
      <c r="U10" s="51"/>
      <c r="V10" s="51"/>
      <c r="W10" s="51"/>
    </row>
    <row r="11" spans="1:23" ht="15">
      <c r="A11" s="28"/>
      <c r="B11" s="28"/>
      <c r="C11" s="61" t="str">
        <f>"Địa chỉ :"</f>
        <v>Địa chỉ :</v>
      </c>
      <c r="D11" s="2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42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1" t="str">
        <f>IF($U$4="T","Lý do nộp :","Lý do chi :")&amp;" "&amp;IF(ISNA(VLOOKUP($M$7,TM,6,0)),"",VLOOKUP($M$7,TM,6,0))</f>
        <v>Lý do chi : Thanh toán tiền hàng</v>
      </c>
      <c r="D12" s="28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2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3">
        <f ca="1">SUMIF(TM,$M$7,TH)</f>
        <v>7012500</v>
      </c>
      <c r="E13" s="28" t="s">
        <v>103</v>
      </c>
      <c r="F13" s="63"/>
      <c r="G13" s="6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str">
        <f ca="1">"Viết bằng chữ: " &amp;[1]!VND('IN-TC'!D13, TRUE)</f>
        <v>Viết bằng chữ: Bảy triệu, không trăm mười hai ngàn, năm trăm đồng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2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61"/>
      <c r="E15" s="28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4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5"/>
      <c r="L16" s="65"/>
      <c r="M16" s="72" t="str">
        <f>H5</f>
        <v>Ngày  13  tháng  10  năm  2012</v>
      </c>
      <c r="N16" s="65"/>
      <c r="O16" s="65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6" t="s">
        <v>104</v>
      </c>
      <c r="D17" s="67"/>
      <c r="E17" s="66" t="s">
        <v>12</v>
      </c>
      <c r="F17" s="67"/>
      <c r="G17" s="67"/>
      <c r="H17" s="66" t="str">
        <f>IF($U$4="C","Thủ quỹ","Người nộp tiền")</f>
        <v>Thủ quỹ</v>
      </c>
      <c r="I17" s="28"/>
      <c r="J17" s="66" t="s">
        <v>105</v>
      </c>
      <c r="K17" s="67"/>
      <c r="L17" s="28"/>
      <c r="M17" s="68" t="str">
        <f>IF($U$4="T","Thủ quỹ","Người nhận tiền")</f>
        <v>Người nhận tiền</v>
      </c>
      <c r="N17" s="69"/>
      <c r="O17" s="69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7"/>
      <c r="B18" s="67"/>
      <c r="C18" s="70" t="s">
        <v>106</v>
      </c>
      <c r="D18" s="28"/>
      <c r="E18" s="70" t="s">
        <v>107</v>
      </c>
      <c r="F18" s="28"/>
      <c r="G18" s="28"/>
      <c r="H18" s="70" t="s">
        <v>107</v>
      </c>
      <c r="I18" s="67"/>
      <c r="J18" s="70" t="s">
        <v>107</v>
      </c>
      <c r="K18" s="28"/>
      <c r="L18" s="67"/>
      <c r="M18" s="70" t="s">
        <v>107</v>
      </c>
      <c r="N18" s="28"/>
      <c r="O18" s="28"/>
      <c r="P18" s="67"/>
      <c r="Q18" s="67"/>
      <c r="R18" s="67"/>
      <c r="S18" s="67"/>
      <c r="T18" s="67"/>
      <c r="U18" s="67"/>
      <c r="V18" s="67"/>
      <c r="W18" s="67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4"/>
      <c r="D24" s="28"/>
      <c r="E24" s="28"/>
      <c r="F24" s="28"/>
      <c r="G24" s="28"/>
      <c r="H24" s="124"/>
      <c r="I24" s="28"/>
      <c r="J24" s="124"/>
      <c r="K24" s="28"/>
      <c r="L24" s="28"/>
      <c r="M24" s="124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1"/>
      <c r="C26" s="61" t="s">
        <v>109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1"/>
      <c r="C27" s="61" t="s">
        <v>110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28"/>
      <c r="Q27" s="28"/>
      <c r="R27" s="28"/>
      <c r="S27" s="28"/>
      <c r="T27" s="28"/>
      <c r="U27" s="28"/>
      <c r="V27" s="28"/>
      <c r="W27" s="2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8"/>
  <sheetViews>
    <sheetView topLeftCell="A5" zoomScale="90" zoomScaleNormal="90" workbookViewId="0">
      <pane ySplit="7" topLeftCell="A12" activePane="bottomLeft" state="frozen"/>
      <selection activeCell="A5" sqref="A5"/>
      <selection pane="bottomLeft" activeCell="K9" sqref="K9"/>
    </sheetView>
  </sheetViews>
  <sheetFormatPr defaultRowHeight="15"/>
  <cols>
    <col min="1" max="1" width="8.7109375" style="102" customWidth="1"/>
    <col min="2" max="2" width="6.85546875" style="596" customWidth="1"/>
    <col min="3" max="3" width="9" style="102" customWidth="1"/>
    <col min="4" max="4" width="38.7109375" style="100" customWidth="1"/>
    <col min="5" max="5" width="7.5703125" style="100" customWidth="1"/>
    <col min="6" max="7" width="14.140625" style="100" customWidth="1"/>
    <col min="8" max="8" width="14.140625" style="304" customWidth="1"/>
    <col min="9" max="9" width="6.5703125" style="100" customWidth="1"/>
    <col min="10" max="10" width="2.85546875" style="100" customWidth="1"/>
    <col min="11" max="11" width="9.140625" style="100" customWidth="1"/>
    <col min="12" max="12" width="3.28515625" style="100" customWidth="1"/>
    <col min="13" max="13" width="8" style="100" customWidth="1"/>
    <col min="14" max="15" width="3.85546875" style="100" hidden="1" customWidth="1"/>
    <col min="16" max="16" width="1.7109375" style="100" customWidth="1"/>
    <col min="17" max="17" width="12.85546875" style="100" bestFit="1" customWidth="1"/>
    <col min="18" max="18" width="12.7109375" style="100" customWidth="1"/>
    <col min="19" max="19" width="15.140625" style="100" customWidth="1"/>
    <col min="20" max="20" width="12" style="100" bestFit="1" customWidth="1"/>
    <col min="21" max="16384" width="9.140625" style="100"/>
  </cols>
  <sheetData>
    <row r="1" spans="1:20" ht="16.5" customHeight="1">
      <c r="A1" s="98" t="str">
        <f>TH!A1</f>
        <v>Đơn vị: CÔNG TY TNHH MỘT THÀNH VIÊN KHỞI NGUYÊN AN</v>
      </c>
      <c r="B1" s="101"/>
      <c r="F1" s="128"/>
      <c r="G1" s="128" t="s">
        <v>148</v>
      </c>
      <c r="H1" s="659"/>
      <c r="I1" s="128"/>
      <c r="K1" s="362"/>
      <c r="L1" s="362"/>
    </row>
    <row r="2" spans="1:20" ht="16.5" customHeight="1">
      <c r="A2" s="838" t="str">
        <f>TH!A2</f>
        <v>Địa chỉ: Thửa đất số 144, tờ bản đồ số 12TĐH.1, tổ 1, khu phố Đông Tác, Phường Tân Đông Hiệp, Thị Xã Dĩ An, Tỉnh Bình Dương, Việt Nam</v>
      </c>
      <c r="B2" s="838"/>
      <c r="C2" s="838"/>
      <c r="D2" s="838"/>
      <c r="E2" s="838"/>
      <c r="F2" s="850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50"/>
      <c r="H2" s="850"/>
      <c r="I2" s="129"/>
      <c r="K2" s="363"/>
      <c r="L2" s="363"/>
    </row>
    <row r="3" spans="1:20" ht="16.5" customHeight="1">
      <c r="A3" s="838"/>
      <c r="B3" s="838"/>
      <c r="C3" s="838"/>
      <c r="D3" s="838"/>
      <c r="E3" s="838"/>
      <c r="F3" s="850"/>
      <c r="G3" s="850"/>
      <c r="H3" s="850"/>
      <c r="I3" s="129"/>
    </row>
    <row r="4" spans="1:20" ht="22.5" customHeight="1">
      <c r="A4" s="853" t="s">
        <v>132</v>
      </c>
      <c r="B4" s="853"/>
      <c r="C4" s="853"/>
      <c r="D4" s="853"/>
      <c r="E4" s="853"/>
      <c r="F4" s="853"/>
      <c r="G4" s="853"/>
      <c r="H4" s="853"/>
      <c r="I4" s="853"/>
    </row>
    <row r="5" spans="1:20">
      <c r="A5" s="842" t="str">
        <f>"Nơi mở tài khoản giao dịch:  "&amp;IF($M$9="VCB"," Ngân Hàng Vietcombank"," Ngân Hàng Eximbank - Chi Nhánh Chợ Lớn")</f>
        <v>Nơi mở tài khoản giao dịch:   Ngân Hàng Vietcombank</v>
      </c>
      <c r="B5" s="842"/>
      <c r="C5" s="842"/>
      <c r="D5" s="842"/>
      <c r="E5" s="842"/>
      <c r="F5" s="842"/>
      <c r="G5" s="842"/>
      <c r="H5" s="842"/>
      <c r="I5" s="842"/>
    </row>
    <row r="6" spans="1:20">
      <c r="A6" s="100"/>
      <c r="B6" s="100"/>
      <c r="C6" s="100"/>
      <c r="D6" s="133" t="s">
        <v>152</v>
      </c>
      <c r="E6" s="842" t="str">
        <f>IF($M$9="VCB","046 1000 435 129","")</f>
        <v>046 1000 435 129</v>
      </c>
      <c r="F6" s="842"/>
      <c r="G6" s="842"/>
      <c r="H6" s="304" t="s">
        <v>103</v>
      </c>
      <c r="I6" s="134" t="str">
        <f>IF(H6="VNĐ","1121",IF(H6="USD","1122",""))</f>
        <v>1121</v>
      </c>
      <c r="N6" s="833" t="s">
        <v>256</v>
      </c>
      <c r="O6" s="833"/>
      <c r="Q6" s="851" t="s">
        <v>250</v>
      </c>
      <c r="R6" s="851" t="s">
        <v>305</v>
      </c>
      <c r="S6" s="851"/>
    </row>
    <row r="7" spans="1:20" ht="8.25" customHeight="1" thickBot="1">
      <c r="A7" s="103"/>
      <c r="C7" s="103"/>
      <c r="D7" s="596"/>
      <c r="E7" s="596"/>
      <c r="F7" s="596"/>
      <c r="G7" s="596"/>
      <c r="H7" s="305"/>
      <c r="I7" s="596"/>
      <c r="Q7" s="852"/>
      <c r="R7" s="852"/>
      <c r="S7" s="852"/>
    </row>
    <row r="8" spans="1:20" s="660" customFormat="1" ht="22.5" customHeight="1" thickBot="1">
      <c r="A8" s="843" t="s">
        <v>133</v>
      </c>
      <c r="B8" s="845" t="s">
        <v>1</v>
      </c>
      <c r="C8" s="846"/>
      <c r="D8" s="840" t="s">
        <v>0</v>
      </c>
      <c r="E8" s="847" t="s">
        <v>14</v>
      </c>
      <c r="F8" s="849" t="s">
        <v>134</v>
      </c>
      <c r="G8" s="849"/>
      <c r="H8" s="846"/>
      <c r="I8" s="840" t="s">
        <v>122</v>
      </c>
      <c r="K8" s="595"/>
      <c r="L8" s="100"/>
      <c r="N8" s="661">
        <f>IF(K9="Quý I",1,IF(K9="Quý II",4,IF(K9="Quý III",7,IF(K9="Quý IV",10,""))))</f>
        <v>10</v>
      </c>
      <c r="O8" s="662">
        <f>IF(K9="Quý I",3,IF(K9="Quý II",6,IF(K9="Quý III",9,IF(K9="Quý IV",12,""))))</f>
        <v>12</v>
      </c>
      <c r="Q8" s="663" t="s">
        <v>251</v>
      </c>
      <c r="R8" s="664">
        <v>0</v>
      </c>
      <c r="S8" s="664"/>
      <c r="T8" s="665">
        <f>SUM(R8:S8)</f>
        <v>0</v>
      </c>
    </row>
    <row r="9" spans="1:20" s="660" customFormat="1" ht="28.5" customHeight="1" thickBot="1">
      <c r="A9" s="844"/>
      <c r="B9" s="666" t="s">
        <v>15</v>
      </c>
      <c r="C9" s="667" t="s">
        <v>135</v>
      </c>
      <c r="D9" s="841"/>
      <c r="E9" s="848"/>
      <c r="F9" s="666" t="s">
        <v>136</v>
      </c>
      <c r="G9" s="668" t="s">
        <v>137</v>
      </c>
      <c r="H9" s="669" t="s">
        <v>138</v>
      </c>
      <c r="I9" s="841"/>
      <c r="K9" s="352" t="s">
        <v>291</v>
      </c>
      <c r="L9" s="100"/>
      <c r="M9" s="670" t="s">
        <v>305</v>
      </c>
      <c r="Q9" s="100"/>
      <c r="R9" s="100"/>
      <c r="S9" s="100"/>
      <c r="T9" s="100"/>
    </row>
    <row r="10" spans="1:20">
      <c r="A10" s="671" t="s">
        <v>2</v>
      </c>
      <c r="B10" s="672" t="s">
        <v>3</v>
      </c>
      <c r="C10" s="671" t="s">
        <v>4</v>
      </c>
      <c r="D10" s="672" t="s">
        <v>5</v>
      </c>
      <c r="E10" s="672" t="s">
        <v>6</v>
      </c>
      <c r="F10" s="672">
        <v>1</v>
      </c>
      <c r="G10" s="672">
        <v>2</v>
      </c>
      <c r="H10" s="672">
        <v>3</v>
      </c>
      <c r="I10" s="672" t="s">
        <v>125</v>
      </c>
    </row>
    <row r="11" spans="1:20" ht="18.75" customHeight="1">
      <c r="A11" s="673"/>
      <c r="B11" s="672"/>
      <c r="C11" s="673"/>
      <c r="D11" s="674" t="s">
        <v>7</v>
      </c>
      <c r="E11" s="674"/>
      <c r="F11" s="675"/>
      <c r="G11" s="675"/>
      <c r="H11" s="675">
        <f>IF($M$9="VCB",$R$8,$S$8)+SUMIF(_N112,"x",TH)-SUMIF(_C112,"x",TH)</f>
        <v>21520176</v>
      </c>
      <c r="I11" s="676"/>
      <c r="Q11" s="660"/>
      <c r="R11" s="660"/>
      <c r="S11" s="660"/>
      <c r="T11" s="660"/>
    </row>
    <row r="12" spans="1:20" s="660" customFormat="1" ht="18.75" customHeight="1">
      <c r="A12" s="677">
        <f ca="1">IF(ROWS($1:1)&gt;COUNT(Dong2),"",OFFSET(TH!C$1,SMALL(Dong2,ROWS($1:1)),))</f>
        <v>41183</v>
      </c>
      <c r="B12" s="677" t="str">
        <f ca="1">IF(ROWS($1:1)&gt;COUNT(Dong2),"",OFFSET(TH!D$1,SMALL(Dong2,ROWS($1:1)),))</f>
        <v>GBC</v>
      </c>
      <c r="C12" s="677">
        <f ca="1">IF(ROWS($1:1)&gt;COUNT(Dong2),"",OFFSET(TH!E$1,SMALL(Dong2,ROWS($1:1)),))</f>
        <v>41183</v>
      </c>
      <c r="D12" s="678" t="str">
        <f ca="1">IF(ROWS($1:1)&gt;COUNT(Dong2),"",OFFSET(TH!F$1,SMALL(Dong2,ROWS($1:1)),))</f>
        <v>Thu tiền hàng</v>
      </c>
      <c r="E12" s="677" t="str">
        <f ca="1">IF(ROWS($1:1)&gt;COUNT(Dong2),"",IF(OFFSET(TH!M$1,SMALL(Dong2,ROWS($1:1)),)=$I$6,OFFSET(TH!L$1,SMALL(Dong2,ROWS($1:1)),),OFFSET(TH!M$1,SMALL(Dong2,ROWS($1:1)),)))</f>
        <v>131</v>
      </c>
      <c r="F12" s="67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67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80">
        <f ca="1">IF(A12&lt;&gt;"",H11+F12-G12,0)</f>
        <v>29544588</v>
      </c>
      <c r="I12" s="681"/>
      <c r="L12" s="100"/>
    </row>
    <row r="13" spans="1:20" s="660" customFormat="1" ht="18.75" customHeight="1">
      <c r="A13" s="677">
        <f ca="1">IF(ROWS($1:2)&gt;COUNT(Dong2),"",OFFSET(TH!C$1,SMALL(Dong2,ROWS($1:2)),))</f>
        <v>41187</v>
      </c>
      <c r="B13" s="677" t="str">
        <f ca="1">IF(ROWS($1:2)&gt;COUNT(Dong2),"",OFFSET(TH!D$1,SMALL(Dong2,ROWS($1:2)),))</f>
        <v>T01</v>
      </c>
      <c r="C13" s="677">
        <f ca="1">IF(ROWS($1:2)&gt;COUNT(Dong2),"",OFFSET(TH!E$1,SMALL(Dong2,ROWS($1:2)),))</f>
        <v>41187</v>
      </c>
      <c r="D13" s="678" t="str">
        <f ca="1">IF(ROWS($1:2)&gt;COUNT(Dong2),"",OFFSET(TH!F$1,SMALL(Dong2,ROWS($1:2)),))</f>
        <v>Rút sec nhập quỹ tiền mặt</v>
      </c>
      <c r="E13" s="677" t="str">
        <f ca="1">IF(ROWS($1:2)&gt;COUNT(Dong2),"",IF(OFFSET(TH!M$1,SMALL(Dong2,ROWS($1:2)),)=$I$6,OFFSET(TH!L$1,SMALL(Dong2,ROWS($1:2)),),OFFSET(TH!M$1,SMALL(Dong2,ROWS($1:2)),)))</f>
        <v>1111</v>
      </c>
      <c r="F13" s="67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7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680">
        <f t="shared" ref="H13:H29" ca="1" si="0">IF(A13&lt;&gt;"",H12+F13-G13,0)</f>
        <v>1544588</v>
      </c>
      <c r="I13" s="681"/>
      <c r="L13" s="100"/>
    </row>
    <row r="14" spans="1:20" s="660" customFormat="1" ht="18.75" customHeight="1">
      <c r="A14" s="677">
        <f ca="1">IF(ROWS($1:3)&gt;COUNT(Dong2),"",OFFSET(TH!C$1,SMALL(Dong2,ROWS($1:3)),))</f>
        <v>41187</v>
      </c>
      <c r="B14" s="677" t="str">
        <f ca="1">IF(ROWS($1:3)&gt;COUNT(Dong2),"",OFFSET(TH!D$1,SMALL(Dong2,ROWS($1:3)),))</f>
        <v>GBN</v>
      </c>
      <c r="C14" s="677">
        <f ca="1">IF(ROWS($1:3)&gt;COUNT(Dong2),"",OFFSET(TH!E$1,SMALL(Dong2,ROWS($1:3)),))</f>
        <v>41187</v>
      </c>
      <c r="D14" s="678" t="str">
        <f ca="1">IF(ROWS($1:3)&gt;COUNT(Dong2),"",OFFSET(TH!F$1,SMALL(Dong2,ROWS($1:3)),))</f>
        <v>Phí cấp sec</v>
      </c>
      <c r="E14" s="677" t="str">
        <f ca="1">IF(ROWS($1:3)&gt;COUNT(Dong2),"",IF(OFFSET(TH!M$1,SMALL(Dong2,ROWS($1:3)),)=$I$6,OFFSET(TH!L$1,SMALL(Dong2,ROWS($1:3)),),OFFSET(TH!M$1,SMALL(Dong2,ROWS($1:3)),)))</f>
        <v>642</v>
      </c>
      <c r="F14" s="67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7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80">
        <f t="shared" ca="1" si="0"/>
        <v>1524588</v>
      </c>
      <c r="I14" s="681"/>
      <c r="L14" s="100"/>
    </row>
    <row r="15" spans="1:20" s="660" customFormat="1" ht="18.75" customHeight="1">
      <c r="A15" s="677">
        <f ca="1">IF(ROWS($1:4)&gt;COUNT(Dong2),"",OFFSET(TH!C$1,SMALL(Dong2,ROWS($1:4)),))</f>
        <v>41187</v>
      </c>
      <c r="B15" s="677" t="str">
        <f ca="1">IF(ROWS($1:4)&gt;COUNT(Dong2),"",OFFSET(TH!D$1,SMALL(Dong2,ROWS($1:4)),))</f>
        <v>GBN</v>
      </c>
      <c r="C15" s="677">
        <f ca="1">IF(ROWS($1:4)&gt;COUNT(Dong2),"",OFFSET(TH!E$1,SMALL(Dong2,ROWS($1:4)),))</f>
        <v>41187</v>
      </c>
      <c r="D15" s="678" t="str">
        <f ca="1">IF(ROWS($1:4)&gt;COUNT(Dong2),"",OFFSET(TH!F$1,SMALL(Dong2,ROWS($1:4)),))</f>
        <v>VAT Phí cấp sec</v>
      </c>
      <c r="E15" s="677" t="str">
        <f ca="1">IF(ROWS($1:4)&gt;COUNT(Dong2),"",IF(OFFSET(TH!M$1,SMALL(Dong2,ROWS($1:4)),)=$I$6,OFFSET(TH!L$1,SMALL(Dong2,ROWS($1:4)),),OFFSET(TH!M$1,SMALL(Dong2,ROWS($1:4)),)))</f>
        <v>1331</v>
      </c>
      <c r="F15" s="67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7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80">
        <f t="shared" ca="1" si="0"/>
        <v>1522588</v>
      </c>
      <c r="I15" s="681"/>
      <c r="L15" s="100"/>
    </row>
    <row r="16" spans="1:20" s="660" customFormat="1" ht="18.75" customHeight="1">
      <c r="A16" s="677">
        <f ca="1">IF(ROWS($1:5)&gt;COUNT(Dong2),"",OFFSET(TH!C$1,SMALL(Dong2,ROWS($1:5)),))</f>
        <v>41198</v>
      </c>
      <c r="B16" s="677" t="str">
        <f ca="1">IF(ROWS($1:5)&gt;COUNT(Dong2),"",OFFSET(TH!D$1,SMALL(Dong2,ROWS($1:5)),))</f>
        <v>GBC</v>
      </c>
      <c r="C16" s="677">
        <f ca="1">IF(ROWS($1:5)&gt;COUNT(Dong2),"",OFFSET(TH!E$1,SMALL(Dong2,ROWS($1:5)),))</f>
        <v>41198</v>
      </c>
      <c r="D16" s="678" t="str">
        <f ca="1">IF(ROWS($1:5)&gt;COUNT(Dong2),"",OFFSET(TH!F$1,SMALL(Dong2,ROWS($1:5)),))</f>
        <v>Thu tiền hàng</v>
      </c>
      <c r="E16" s="677" t="str">
        <f ca="1">IF(ROWS($1:5)&gt;COUNT(Dong2),"",IF(OFFSET(TH!M$1,SMALL(Dong2,ROWS($1:5)),)=$I$6,OFFSET(TH!L$1,SMALL(Dong2,ROWS($1:5)),),OFFSET(TH!M$1,SMALL(Dong2,ROWS($1:5)),)))</f>
        <v>131</v>
      </c>
      <c r="F16" s="67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67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680">
        <f t="shared" ca="1" si="0"/>
        <v>24254800</v>
      </c>
      <c r="I16" s="681"/>
      <c r="L16" s="100"/>
    </row>
    <row r="17" spans="1:17" s="660" customFormat="1" ht="18.75" customHeight="1">
      <c r="A17" s="677">
        <f ca="1">IF(ROWS($1:6)&gt;COUNT(Dong2),"",OFFSET(TH!C$1,SMALL(Dong2,ROWS($1:6)),))</f>
        <v>41206</v>
      </c>
      <c r="B17" s="677" t="str">
        <f ca="1">IF(ROWS($1:6)&gt;COUNT(Dong2),"",OFFSET(TH!D$1,SMALL(Dong2,ROWS($1:6)),))</f>
        <v>GBC</v>
      </c>
      <c r="C17" s="677">
        <f ca="1">IF(ROWS($1:6)&gt;COUNT(Dong2),"",OFFSET(TH!E$1,SMALL(Dong2,ROWS($1:6)),))</f>
        <v>41206</v>
      </c>
      <c r="D17" s="678" t="str">
        <f ca="1">IF(ROWS($1:6)&gt;COUNT(Dong2),"",OFFSET(TH!F$1,SMALL(Dong2,ROWS($1:6)),))</f>
        <v>Thu tiền hàng</v>
      </c>
      <c r="E17" s="677" t="str">
        <f ca="1">IF(ROWS($1:6)&gt;COUNT(Dong2),"",IF(OFFSET(TH!M$1,SMALL(Dong2,ROWS($1:6)),)=$I$6,OFFSET(TH!L$1,SMALL(Dong2,ROWS($1:6)),),OFFSET(TH!M$1,SMALL(Dong2,ROWS($1:6)),)))</f>
        <v>131</v>
      </c>
      <c r="F17" s="67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67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80">
        <f t="shared" ca="1" si="0"/>
        <v>32548800</v>
      </c>
      <c r="I17" s="681"/>
      <c r="L17" s="100"/>
    </row>
    <row r="18" spans="1:17" s="660" customFormat="1" ht="18.75" customHeight="1">
      <c r="A18" s="677">
        <f ca="1">IF(ROWS($1:7)&gt;COUNT(Dong2),"",OFFSET(TH!C$1,SMALL(Dong2,ROWS($1:7)),))</f>
        <v>41207</v>
      </c>
      <c r="B18" s="677" t="str">
        <f ca="1">IF(ROWS($1:7)&gt;COUNT(Dong2),"",OFFSET(TH!D$1,SMALL(Dong2,ROWS($1:7)),))</f>
        <v>GBN</v>
      </c>
      <c r="C18" s="677">
        <f ca="1">IF(ROWS($1:7)&gt;COUNT(Dong2),"",OFFSET(TH!E$1,SMALL(Dong2,ROWS($1:7)),))</f>
        <v>41207</v>
      </c>
      <c r="D18" s="678" t="str">
        <f ca="1">IF(ROWS($1:7)&gt;COUNT(Dong2),"",OFFSET(TH!F$1,SMALL(Dong2,ROWS($1:7)),))</f>
        <v>Thu phí quản lý tài khoản</v>
      </c>
      <c r="E18" s="677" t="str">
        <f ca="1">IF(ROWS($1:7)&gt;COUNT(Dong2),"",IF(OFFSET(TH!M$1,SMALL(Dong2,ROWS($1:7)),)=$I$6,OFFSET(TH!L$1,SMALL(Dong2,ROWS($1:7)),),OFFSET(TH!M$1,SMALL(Dong2,ROWS($1:7)),)))</f>
        <v>642</v>
      </c>
      <c r="F18" s="67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7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680">
        <f t="shared" ca="1" si="0"/>
        <v>32537800</v>
      </c>
      <c r="I18" s="681"/>
      <c r="L18" s="100"/>
    </row>
    <row r="19" spans="1:17" s="660" customFormat="1" ht="18.75" customHeight="1">
      <c r="A19" s="677">
        <f ca="1">IF(ROWS($1:8)&gt;COUNT(Dong2),"",OFFSET(TH!C$1,SMALL(Dong2,ROWS($1:8)),))</f>
        <v>41207</v>
      </c>
      <c r="B19" s="677" t="str">
        <f ca="1">IF(ROWS($1:8)&gt;COUNT(Dong2),"",OFFSET(TH!D$1,SMALL(Dong2,ROWS($1:8)),))</f>
        <v>GBC</v>
      </c>
      <c r="C19" s="677">
        <f ca="1">IF(ROWS($1:8)&gt;COUNT(Dong2),"",OFFSET(TH!E$1,SMALL(Dong2,ROWS($1:8)),))</f>
        <v>41207</v>
      </c>
      <c r="D19" s="678" t="str">
        <f ca="1">IF(ROWS($1:8)&gt;COUNT(Dong2),"",OFFSET(TH!F$1,SMALL(Dong2,ROWS($1:8)),))</f>
        <v>Lãi tiền gửi</v>
      </c>
      <c r="E19" s="677" t="str">
        <f ca="1">IF(ROWS($1:8)&gt;COUNT(Dong2),"",IF(OFFSET(TH!M$1,SMALL(Dong2,ROWS($1:8)),)=$I$6,OFFSET(TH!L$1,SMALL(Dong2,ROWS($1:8)),),OFFSET(TH!M$1,SMALL(Dong2,ROWS($1:8)),)))</f>
        <v>515</v>
      </c>
      <c r="F19" s="67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67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680">
        <f t="shared" ca="1" si="0"/>
        <v>32560096</v>
      </c>
      <c r="I19" s="681"/>
      <c r="L19" s="100"/>
    </row>
    <row r="20" spans="1:17" s="660" customFormat="1" ht="18.75" customHeight="1">
      <c r="A20" s="677">
        <f ca="1">IF(ROWS($1:9)&gt;COUNT(Dong2),"",OFFSET(TH!C$1,SMALL(Dong2,ROWS($1:9)),))</f>
        <v>41214</v>
      </c>
      <c r="B20" s="677" t="str">
        <f ca="1">IF(ROWS($1:9)&gt;COUNT(Dong2),"",OFFSET(TH!D$1,SMALL(Dong2,ROWS($1:9)),))</f>
        <v>T05</v>
      </c>
      <c r="C20" s="677">
        <f ca="1">IF(ROWS($1:9)&gt;COUNT(Dong2),"",OFFSET(TH!E$1,SMALL(Dong2,ROWS($1:9)),))</f>
        <v>41214</v>
      </c>
      <c r="D20" s="678" t="str">
        <f ca="1">IF(ROWS($1:9)&gt;COUNT(Dong2),"",OFFSET(TH!F$1,SMALL(Dong2,ROWS($1:9)),))</f>
        <v>Rút sec nhập quỹ tiền mặt</v>
      </c>
      <c r="E20" s="677" t="str">
        <f ca="1">IF(ROWS($1:9)&gt;COUNT(Dong2),"",IF(OFFSET(TH!M$1,SMALL(Dong2,ROWS($1:9)),)=$I$6,OFFSET(TH!L$1,SMALL(Dong2,ROWS($1:9)),),OFFSET(TH!M$1,SMALL(Dong2,ROWS($1:9)),)))</f>
        <v>1111</v>
      </c>
      <c r="F20" s="67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7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680">
        <f t="shared" ca="1" si="0"/>
        <v>1560096</v>
      </c>
      <c r="I20" s="681"/>
      <c r="L20" s="100"/>
    </row>
    <row r="21" spans="1:17" s="660" customFormat="1" ht="18.75" customHeight="1">
      <c r="A21" s="677">
        <f ca="1">IF(ROWS($1:10)&gt;COUNT(Dong2),"",OFFSET(TH!C$1,SMALL(Dong2,ROWS($1:10)),))</f>
        <v>41220</v>
      </c>
      <c r="B21" s="677" t="str">
        <f ca="1">IF(ROWS($1:10)&gt;COUNT(Dong2),"",OFFSET(TH!D$1,SMALL(Dong2,ROWS($1:10)),))</f>
        <v>GBC</v>
      </c>
      <c r="C21" s="677">
        <f ca="1">IF(ROWS($1:10)&gt;COUNT(Dong2),"",OFFSET(TH!E$1,SMALL(Dong2,ROWS($1:10)),))</f>
        <v>41220</v>
      </c>
      <c r="D21" s="678" t="str">
        <f ca="1">IF(ROWS($1:10)&gt;COUNT(Dong2),"",OFFSET(TH!F$1,SMALL(Dong2,ROWS($1:10)),))</f>
        <v>Thu tiền hàng</v>
      </c>
      <c r="E21" s="677" t="str">
        <f ca="1">IF(ROWS($1:10)&gt;COUNT(Dong2),"",IF(OFFSET(TH!M$1,SMALL(Dong2,ROWS($1:10)),)=$I$6,OFFSET(TH!L$1,SMALL(Dong2,ROWS($1:10)),),OFFSET(TH!M$1,SMALL(Dong2,ROWS($1:10)),)))</f>
        <v>131</v>
      </c>
      <c r="F21" s="67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67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80">
        <f t="shared" ca="1" si="0"/>
        <v>8516496</v>
      </c>
      <c r="I21" s="681"/>
      <c r="L21" s="100"/>
      <c r="Q21" s="665"/>
    </row>
    <row r="22" spans="1:17" s="660" customFormat="1" ht="18.75" customHeight="1">
      <c r="A22" s="677">
        <f ca="1">IF(ROWS($1:11)&gt;COUNT(Dong2),"",OFFSET(TH!C$1,SMALL(Dong2,ROWS($1:11)),))</f>
        <v>41236</v>
      </c>
      <c r="B22" s="677" t="str">
        <f ca="1">IF(ROWS($1:11)&gt;COUNT(Dong2),"",OFFSET(TH!D$1,SMALL(Dong2,ROWS($1:11)),))</f>
        <v>T11</v>
      </c>
      <c r="C22" s="677">
        <f ca="1">IF(ROWS($1:11)&gt;COUNT(Dong2),"",OFFSET(TH!E$1,SMALL(Dong2,ROWS($1:11)),))</f>
        <v>41236</v>
      </c>
      <c r="D22" s="678" t="str">
        <f ca="1">IF(ROWS($1:11)&gt;COUNT(Dong2),"",OFFSET(TH!F$1,SMALL(Dong2,ROWS($1:11)),))</f>
        <v>Rút sec nhập quỹ tiền mặt</v>
      </c>
      <c r="E22" s="677" t="str">
        <f ca="1">IF(ROWS($1:11)&gt;COUNT(Dong2),"",IF(OFFSET(TH!M$1,SMALL(Dong2,ROWS($1:11)),)=$I$6,OFFSET(TH!L$1,SMALL(Dong2,ROWS($1:11)),),OFFSET(TH!M$1,SMALL(Dong2,ROWS($1:11)),)))</f>
        <v>1111</v>
      </c>
      <c r="F22" s="67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67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680">
        <f t="shared" ca="1" si="0"/>
        <v>1016496</v>
      </c>
      <c r="I22" s="681"/>
      <c r="L22" s="100"/>
    </row>
    <row r="23" spans="1:17" s="660" customFormat="1" ht="18.75" customHeight="1">
      <c r="A23" s="677">
        <f ca="1">IF(ROWS($1:12)&gt;COUNT(Dong2),"",OFFSET(TH!C$1,SMALL(Dong2,ROWS($1:12)),))</f>
        <v>41238</v>
      </c>
      <c r="B23" s="677" t="str">
        <f ca="1">IF(ROWS($1:12)&gt;COUNT(Dong2),"",OFFSET(TH!D$1,SMALL(Dong2,ROWS($1:12)),))</f>
        <v>GBC</v>
      </c>
      <c r="C23" s="677">
        <f ca="1">IF(ROWS($1:12)&gt;COUNT(Dong2),"",OFFSET(TH!E$1,SMALL(Dong2,ROWS($1:12)),))</f>
        <v>41238</v>
      </c>
      <c r="D23" s="678" t="str">
        <f ca="1">IF(ROWS($1:12)&gt;COUNT(Dong2),"",OFFSET(TH!F$1,SMALL(Dong2,ROWS($1:12)),))</f>
        <v>Lãi tiền gửi</v>
      </c>
      <c r="E23" s="677" t="str">
        <f ca="1">IF(ROWS($1:12)&gt;COUNT(Dong2),"",IF(OFFSET(TH!M$1,SMALL(Dong2,ROWS($1:12)),)=$I$6,OFFSET(TH!L$1,SMALL(Dong2,ROWS($1:12)),),OFFSET(TH!M$1,SMALL(Dong2,ROWS($1:12)),)))</f>
        <v>515</v>
      </c>
      <c r="F23" s="67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67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80">
        <f t="shared" ca="1" si="0"/>
        <v>1031786</v>
      </c>
      <c r="I23" s="681"/>
      <c r="L23" s="100"/>
      <c r="Q23" s="682"/>
    </row>
    <row r="24" spans="1:17" s="660" customFormat="1" ht="18.75" customHeight="1">
      <c r="A24" s="677">
        <f ca="1">IF(ROWS($1:13)&gt;COUNT(Dong2),"",OFFSET(TH!C$1,SMALL(Dong2,ROWS($1:13)),))</f>
        <v>41238</v>
      </c>
      <c r="B24" s="677" t="str">
        <f ca="1">IF(ROWS($1:13)&gt;COUNT(Dong2),"",OFFSET(TH!D$1,SMALL(Dong2,ROWS($1:13)),))</f>
        <v>GBN</v>
      </c>
      <c r="C24" s="677">
        <f ca="1">IF(ROWS($1:13)&gt;COUNT(Dong2),"",OFFSET(TH!E$1,SMALL(Dong2,ROWS($1:13)),))</f>
        <v>41238</v>
      </c>
      <c r="D24" s="678" t="str">
        <f ca="1">IF(ROWS($1:13)&gt;COUNT(Dong2),"",OFFSET(TH!F$1,SMALL(Dong2,ROWS($1:13)),))</f>
        <v>Thu phí quản lý tài khoản</v>
      </c>
      <c r="E24" s="677" t="str">
        <f ca="1">IF(ROWS($1:13)&gt;COUNT(Dong2),"",IF(OFFSET(TH!M$1,SMALL(Dong2,ROWS($1:13)),)=$I$6,OFFSET(TH!L$1,SMALL(Dong2,ROWS($1:13)),),OFFSET(TH!M$1,SMALL(Dong2,ROWS($1:13)),)))</f>
        <v>642</v>
      </c>
      <c r="F24" s="67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7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680">
        <f t="shared" ca="1" si="0"/>
        <v>1020786</v>
      </c>
      <c r="I24" s="681"/>
      <c r="L24" s="100"/>
    </row>
    <row r="25" spans="1:17" s="660" customFormat="1" ht="18.75" customHeight="1">
      <c r="A25" s="677">
        <f ca="1">IF(ROWS($1:14)&gt;COUNT(Dong2),"",OFFSET(TH!C$1,SMALL(Dong2,ROWS($1:14)),))</f>
        <v>41242</v>
      </c>
      <c r="B25" s="677" t="str">
        <f ca="1">IF(ROWS($1:14)&gt;COUNT(Dong2),"",OFFSET(TH!D$1,SMALL(Dong2,ROWS($1:14)),))</f>
        <v>GBC</v>
      </c>
      <c r="C25" s="677">
        <f ca="1">IF(ROWS($1:14)&gt;COUNT(Dong2),"",OFFSET(TH!E$1,SMALL(Dong2,ROWS($1:14)),))</f>
        <v>41242</v>
      </c>
      <c r="D25" s="678" t="str">
        <f ca="1">IF(ROWS($1:14)&gt;COUNT(Dong2),"",OFFSET(TH!F$1,SMALL(Dong2,ROWS($1:14)),))</f>
        <v>Thu tiền hàng</v>
      </c>
      <c r="E25" s="677" t="str">
        <f ca="1">IF(ROWS($1:14)&gt;COUNT(Dong2),"",IF(OFFSET(TH!M$1,SMALL(Dong2,ROWS($1:14)),)=$I$6,OFFSET(TH!L$1,SMALL(Dong2,ROWS($1:14)),),OFFSET(TH!M$1,SMALL(Dong2,ROWS($1:14)),)))</f>
        <v>131</v>
      </c>
      <c r="F25" s="67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67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80">
        <f t="shared" ca="1" si="0"/>
        <v>9435786</v>
      </c>
      <c r="I25" s="681"/>
      <c r="L25" s="100"/>
    </row>
    <row r="26" spans="1:17" s="660" customFormat="1" ht="18.75" customHeight="1">
      <c r="A26" s="677">
        <f ca="1">IF(ROWS($1:15)&gt;COUNT(Dong2),"",OFFSET(TH!C$1,SMALL(Dong2,ROWS($1:15)),))</f>
        <v>41250</v>
      </c>
      <c r="B26" s="677" t="str">
        <f ca="1">IF(ROWS($1:15)&gt;COUNT(Dong2),"",OFFSET(TH!D$1,SMALL(Dong2,ROWS($1:15)),))</f>
        <v>T14</v>
      </c>
      <c r="C26" s="677">
        <f ca="1">IF(ROWS($1:15)&gt;COUNT(Dong2),"",OFFSET(TH!E$1,SMALL(Dong2,ROWS($1:15)),))</f>
        <v>41250</v>
      </c>
      <c r="D26" s="678" t="str">
        <f ca="1">IF(ROWS($1:15)&gt;COUNT(Dong2),"",OFFSET(TH!F$1,SMALL(Dong2,ROWS($1:15)),))</f>
        <v>Rút sec nhập quỹ tiền mặt</v>
      </c>
      <c r="E26" s="677" t="str">
        <f ca="1">IF(ROWS($1:15)&gt;COUNT(Dong2),"",IF(OFFSET(TH!M$1,SMALL(Dong2,ROWS($1:15)),)=$I$6,OFFSET(TH!L$1,SMALL(Dong2,ROWS($1:15)),),OFFSET(TH!M$1,SMALL(Dong2,ROWS($1:15)),)))</f>
        <v>1111</v>
      </c>
      <c r="F26" s="67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7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680">
        <f t="shared" ca="1" si="0"/>
        <v>1035786</v>
      </c>
      <c r="I26" s="681"/>
      <c r="L26" s="100"/>
    </row>
    <row r="27" spans="1:17" s="660" customFormat="1" ht="18.75" customHeight="1">
      <c r="A27" s="677">
        <f ca="1">IF(ROWS($1:16)&gt;COUNT(Dong2),"",OFFSET(TH!C$1,SMALL(Dong2,ROWS($1:16)),))</f>
        <v>41268</v>
      </c>
      <c r="B27" s="677" t="str">
        <f ca="1">IF(ROWS($1:16)&gt;COUNT(Dong2),"",OFFSET(TH!D$1,SMALL(Dong2,ROWS($1:16)),))</f>
        <v>GBC</v>
      </c>
      <c r="C27" s="677">
        <f ca="1">IF(ROWS($1:16)&gt;COUNT(Dong2),"",OFFSET(TH!E$1,SMALL(Dong2,ROWS($1:16)),))</f>
        <v>41268</v>
      </c>
      <c r="D27" s="678" t="str">
        <f ca="1">IF(ROWS($1:16)&gt;COUNT(Dong2),"",OFFSET(TH!F$1,SMALL(Dong2,ROWS($1:16)),))</f>
        <v>Thu tiền hàng</v>
      </c>
      <c r="E27" s="677" t="str">
        <f ca="1">IF(ROWS($1:16)&gt;COUNT(Dong2),"",IF(OFFSET(TH!M$1,SMALL(Dong2,ROWS($1:16)),)=$I$6,OFFSET(TH!L$1,SMALL(Dong2,ROWS($1:16)),),OFFSET(TH!M$1,SMALL(Dong2,ROWS($1:16)),)))</f>
        <v>131</v>
      </c>
      <c r="F27" s="67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67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80">
        <f t="shared" ca="1" si="0"/>
        <v>20113570</v>
      </c>
      <c r="I27" s="681"/>
      <c r="L27" s="100"/>
    </row>
    <row r="28" spans="1:17" s="660" customFormat="1" ht="18.75" customHeight="1">
      <c r="A28" s="677">
        <f ca="1">IF(ROWS($1:17)&gt;COUNT(Dong2),"",OFFSET(TH!C$1,SMALL(Dong2,ROWS($1:17)),))</f>
        <v>41271</v>
      </c>
      <c r="B28" s="677" t="str">
        <f ca="1">IF(ROWS($1:17)&gt;COUNT(Dong2),"",OFFSET(TH!D$1,SMALL(Dong2,ROWS($1:17)),))</f>
        <v>T18</v>
      </c>
      <c r="C28" s="677">
        <f ca="1">IF(ROWS($1:17)&gt;COUNT(Dong2),"",OFFSET(TH!E$1,SMALL(Dong2,ROWS($1:17)),))</f>
        <v>41271</v>
      </c>
      <c r="D28" s="678" t="str">
        <f ca="1">IF(ROWS($1:17)&gt;COUNT(Dong2),"",OFFSET(TH!F$1,SMALL(Dong2,ROWS($1:17)),))</f>
        <v>Rút sec nhập quỹ tiền mặt</v>
      </c>
      <c r="E28" s="677" t="str">
        <f ca="1">IF(ROWS($1:17)&gt;COUNT(Dong2),"",IF(OFFSET(TH!M$1,SMALL(Dong2,ROWS($1:17)),)=$I$6,OFFSET(TH!L$1,SMALL(Dong2,ROWS($1:17)),),OFFSET(TH!M$1,SMALL(Dong2,ROWS($1:17)),)))</f>
        <v>1111</v>
      </c>
      <c r="F28" s="67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7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680">
        <f t="shared" ca="1" si="0"/>
        <v>1113570</v>
      </c>
      <c r="I28" s="681"/>
      <c r="L28" s="100"/>
    </row>
    <row r="29" spans="1:17" s="660" customFormat="1" ht="18.75" customHeight="1">
      <c r="A29" s="677">
        <f ca="1">IF(ROWS($1:18)&gt;COUNT(Dong2),"",OFFSET(TH!C$1,SMALL(Dong2,ROWS($1:18)),))</f>
        <v>41274</v>
      </c>
      <c r="B29" s="677" t="str">
        <f ca="1">IF(ROWS($1:18)&gt;COUNT(Dong2),"",OFFSET(TH!D$1,SMALL(Dong2,ROWS($1:18)),))</f>
        <v>GBC</v>
      </c>
      <c r="C29" s="677">
        <f ca="1">IF(ROWS($1:18)&gt;COUNT(Dong2),"",OFFSET(TH!E$1,SMALL(Dong2,ROWS($1:18)),))</f>
        <v>41274</v>
      </c>
      <c r="D29" s="678" t="str">
        <f ca="1">IF(ROWS($1:18)&gt;COUNT(Dong2),"",OFFSET(TH!F$1,SMALL(Dong2,ROWS($1:18)),))</f>
        <v>Lãi tiền gửi</v>
      </c>
      <c r="E29" s="677" t="str">
        <f ca="1">IF(ROWS($1:18)&gt;COUNT(Dong2),"",IF(OFFSET(TH!M$1,SMALL(Dong2,ROWS($1:18)),)=$I$6,OFFSET(TH!L$1,SMALL(Dong2,ROWS($1:18)),),OFFSET(TH!M$1,SMALL(Dong2,ROWS($1:18)),)))</f>
        <v>515</v>
      </c>
      <c r="F29" s="67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67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680">
        <f t="shared" ca="1" si="0"/>
        <v>1120769</v>
      </c>
      <c r="I29" s="681"/>
      <c r="L29" s="100"/>
    </row>
    <row r="30" spans="1:17" s="660" customFormat="1" ht="18.75" customHeight="1">
      <c r="A30" s="677">
        <f ca="1">IF(ROWS($1:19)&gt;COUNT(Dong2),"",OFFSET(TH!C$1,SMALL(Dong2,ROWS($1:19)),))</f>
        <v>41274</v>
      </c>
      <c r="B30" s="677" t="str">
        <f ca="1">IF(ROWS($1:19)&gt;COUNT(Dong2),"",OFFSET(TH!D$1,SMALL(Dong2,ROWS($1:19)),))</f>
        <v>GBN</v>
      </c>
      <c r="C30" s="677">
        <f ca="1">IF(ROWS($1:19)&gt;COUNT(Dong2),"",OFFSET(TH!E$1,SMALL(Dong2,ROWS($1:19)),))</f>
        <v>41274</v>
      </c>
      <c r="D30" s="678" t="str">
        <f ca="1">IF(ROWS($1:19)&gt;COUNT(Dong2),"",OFFSET(TH!F$1,SMALL(Dong2,ROWS($1:19)),))</f>
        <v>Thu phí quản lý tài khoản</v>
      </c>
      <c r="E30" s="677" t="str">
        <f ca="1">IF(ROWS($1:19)&gt;COUNT(Dong2),"",IF(OFFSET(TH!M$1,SMALL(Dong2,ROWS($1:19)),)=$I$6,OFFSET(TH!L$1,SMALL(Dong2,ROWS($1:19)),),OFFSET(TH!M$1,SMALL(Dong2,ROWS($1:19)),)))</f>
        <v>642</v>
      </c>
      <c r="F30" s="67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7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11000</v>
      </c>
      <c r="H30" s="680">
        <f t="shared" ref="H30" ca="1" si="1">IF(A30&lt;&gt;"",H29+F30-G30,0)</f>
        <v>1109769</v>
      </c>
      <c r="I30" s="681"/>
      <c r="L30" s="100"/>
    </row>
    <row r="31" spans="1:17" s="660" customFormat="1" ht="18.75" customHeight="1">
      <c r="A31" s="677" t="str">
        <f ca="1">IF(ROWS($1:30)&gt;COUNT(Dong2),"",OFFSET(TH!C$1,SMALL(Dong2,ROWS($1:30)),))</f>
        <v/>
      </c>
      <c r="B31" s="677" t="str">
        <f ca="1">IF(ROWS($1:30)&gt;COUNT(Dong2),"",OFFSET(TH!D$1,SMALL(Dong2,ROWS($1:30)),))</f>
        <v/>
      </c>
      <c r="C31" s="677" t="str">
        <f ca="1">IF(ROWS($1:30)&gt;COUNT(Dong2),"",OFFSET(TH!E$1,SMALL(Dong2,ROWS($1:30)),))</f>
        <v/>
      </c>
      <c r="D31" s="678" t="str">
        <f ca="1">IF(ROWS($1:30)&gt;COUNT(Dong2),"",OFFSET(TH!F$1,SMALL(Dong2,ROWS($1:30)),))</f>
        <v/>
      </c>
      <c r="E31" s="677" t="str">
        <f ca="1">IF(ROWS($1:30)&gt;COUNT(Dong2),"",IF(OFFSET(TH!M$1,SMALL(Dong2,ROWS($1:30)),)=$I$6,OFFSET(TH!L$1,SMALL(Dong2,ROWS($1:30)),),OFFSET(TH!M$1,SMALL(Dong2,ROWS($1:30)),)))</f>
        <v/>
      </c>
      <c r="F31" s="679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31" s="679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31" s="680">
        <f ca="1">IF(A31&lt;&gt;"",#REF!+F31-G31,0)</f>
        <v>0</v>
      </c>
      <c r="I31" s="681"/>
      <c r="L31" s="100"/>
    </row>
    <row r="32" spans="1:17" ht="18.75" customHeight="1">
      <c r="A32" s="683"/>
      <c r="B32" s="684"/>
      <c r="C32" s="683"/>
      <c r="D32" s="674" t="s">
        <v>128</v>
      </c>
      <c r="E32" s="685"/>
      <c r="F32" s="675">
        <f ca="1">SUM(F12:F31)</f>
        <v>73544593</v>
      </c>
      <c r="G32" s="675">
        <f ca="1">SUM(G12:G31)</f>
        <v>93955000</v>
      </c>
      <c r="H32" s="675">
        <f ca="1">H11+F32-G32</f>
        <v>1109769</v>
      </c>
      <c r="I32" s="686"/>
    </row>
    <row r="33" spans="1:12" ht="18.75" customHeight="1">
      <c r="A33" s="683"/>
      <c r="B33" s="684"/>
      <c r="C33" s="683"/>
      <c r="D33" s="674" t="s">
        <v>10</v>
      </c>
      <c r="E33" s="685"/>
      <c r="F33" s="687"/>
      <c r="G33" s="687"/>
      <c r="H33" s="675">
        <f ca="1">H32</f>
        <v>1109769</v>
      </c>
      <c r="I33" s="685"/>
    </row>
    <row r="34" spans="1:12" ht="22.5" customHeight="1">
      <c r="A34" s="95" t="s">
        <v>149</v>
      </c>
      <c r="B34" s="688"/>
      <c r="C34" s="100"/>
      <c r="F34" s="689"/>
      <c r="I34" s="109"/>
    </row>
    <row r="35" spans="1:12">
      <c r="A35" s="658" t="str">
        <f ca="1">"- Ngày mở sổ: "&amp;DAY($A$12)&amp;"/"&amp;MONTH($A$12)&amp;"/ " &amp;YEAR($A$12)</f>
        <v>- Ngày mở sổ: 1/10/ 2012</v>
      </c>
      <c r="C35" s="100"/>
      <c r="F35" s="689"/>
      <c r="I35" s="109"/>
    </row>
    <row r="36" spans="1:12">
      <c r="A36" s="104"/>
      <c r="B36" s="101"/>
      <c r="C36" s="690"/>
      <c r="F36" s="689"/>
      <c r="G36" s="97" t="str">
        <f ca="1">"Ngày "&amp;IF(OR($K$9=4,$K$9=6,$K$9=9,$K$9=11),"30",IF($K$9=2,"28","31"))&amp;"  tháng  "&amp;$O$8&amp;"  năm   "&amp;YEAR($A$12)</f>
        <v>Ngày 31  tháng  12  năm   2012</v>
      </c>
    </row>
    <row r="37" spans="1:12" ht="17.25" customHeight="1">
      <c r="A37" s="100"/>
      <c r="B37" s="691" t="s">
        <v>11</v>
      </c>
      <c r="C37" s="100"/>
      <c r="D37" s="691" t="s">
        <v>12</v>
      </c>
      <c r="F37" s="692"/>
      <c r="G37" s="693" t="s">
        <v>104</v>
      </c>
      <c r="H37" s="694"/>
      <c r="I37" s="695"/>
      <c r="J37" s="696"/>
      <c r="K37" s="104"/>
      <c r="L37" s="104"/>
    </row>
    <row r="38" spans="1:12">
      <c r="A38" s="100"/>
      <c r="B38" s="697" t="s">
        <v>13</v>
      </c>
      <c r="C38" s="100"/>
      <c r="D38" s="697" t="s">
        <v>13</v>
      </c>
      <c r="F38" s="698"/>
      <c r="G38" s="596" t="s">
        <v>131</v>
      </c>
      <c r="K38" s="699"/>
      <c r="L38" s="699"/>
    </row>
  </sheetData>
  <autoFilter ref="A10:K35"/>
  <mergeCells count="15">
    <mergeCell ref="F2:H3"/>
    <mergeCell ref="N6:O6"/>
    <mergeCell ref="Q6:Q7"/>
    <mergeCell ref="R6:R7"/>
    <mergeCell ref="S6:S7"/>
    <mergeCell ref="A4:I4"/>
    <mergeCell ref="A5:I5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1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F20" sqref="F20:H20"/>
    </sheetView>
  </sheetViews>
  <sheetFormatPr defaultColWidth="8" defaultRowHeight="16.5"/>
  <cols>
    <col min="1" max="1" width="4.7109375" style="620" customWidth="1"/>
    <col min="2" max="2" width="43.7109375" style="620" customWidth="1"/>
    <col min="3" max="4" width="9.7109375" style="620" customWidth="1"/>
    <col min="5" max="6" width="13.5703125" style="620" customWidth="1"/>
    <col min="7" max="8" width="12.85546875" style="620" customWidth="1"/>
    <col min="9" max="16384" width="8" style="620"/>
  </cols>
  <sheetData>
    <row r="1" spans="1:8">
      <c r="A1" s="285" t="str">
        <f>TH!$A$1</f>
        <v>Đơn vị: CÔNG TY TNHH MỘT THÀNH VIÊN KHỞI NGUYÊN AN</v>
      </c>
    </row>
    <row r="2" spans="1:8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8" ht="27" customHeight="1">
      <c r="A3" s="855" t="s">
        <v>258</v>
      </c>
      <c r="B3" s="855"/>
      <c r="C3" s="855"/>
      <c r="D3" s="855"/>
      <c r="E3" s="855"/>
      <c r="F3" s="855"/>
      <c r="G3" s="855"/>
      <c r="H3" s="855"/>
    </row>
    <row r="4" spans="1:8" s="608" customFormat="1" ht="24.75" customHeight="1">
      <c r="A4" s="856" t="s">
        <v>34</v>
      </c>
      <c r="B4" s="858" t="s">
        <v>35</v>
      </c>
      <c r="C4" s="860" t="s">
        <v>36</v>
      </c>
      <c r="D4" s="861"/>
      <c r="E4" s="860" t="s">
        <v>37</v>
      </c>
      <c r="F4" s="861"/>
      <c r="G4" s="860" t="s">
        <v>40</v>
      </c>
      <c r="H4" s="861"/>
    </row>
    <row r="5" spans="1:8" s="608" customFormat="1" ht="24.75" customHeight="1">
      <c r="A5" s="857"/>
      <c r="B5" s="85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8" s="608" customFormat="1" ht="24.75" customHeight="1">
      <c r="A6" s="610">
        <f t="shared" ref="A6:A14" si="0">IF(B6&lt;&gt;"",ROW()-5,"")</f>
        <v>1</v>
      </c>
      <c r="B6" s="611" t="s">
        <v>402</v>
      </c>
      <c r="C6" s="612"/>
      <c r="D6" s="612"/>
      <c r="E6" s="612">
        <f t="array" ref="E6">SUM(IF("131"&amp;B6=KHN&amp;KH,TH))</f>
        <v>8024412</v>
      </c>
      <c r="F6" s="612">
        <f t="array" ref="F6">SUM(IF("131"&amp;B6=KHC&amp;KH,TH))</f>
        <v>8024412</v>
      </c>
      <c r="G6" s="613">
        <f t="shared" ref="G6:G14" si="1">ROUND(MAX(C6+E6-D6-F6,0),2)</f>
        <v>0</v>
      </c>
      <c r="H6" s="613">
        <f t="shared" ref="H6:H14" si="2">ROUND(MAX(D6+F6-C6-E6,0),2)</f>
        <v>0</v>
      </c>
    </row>
    <row r="7" spans="1:8" s="608" customFormat="1" ht="24.75" customHeight="1">
      <c r="A7" s="610">
        <f t="shared" si="0"/>
        <v>2</v>
      </c>
      <c r="B7" s="611" t="s">
        <v>406</v>
      </c>
      <c r="C7" s="612"/>
      <c r="D7" s="612"/>
      <c r="E7" s="612">
        <f t="array" ref="E7">SUM(IF("131"&amp;B7=KHN&amp;KH,TH))</f>
        <v>112654572</v>
      </c>
      <c r="F7" s="612">
        <f t="array" ref="F7">SUM(IF("131"&amp;B7=KHC&amp;KH,TH))</f>
        <v>112654572</v>
      </c>
      <c r="G7" s="613">
        <f t="shared" si="1"/>
        <v>0</v>
      </c>
      <c r="H7" s="613">
        <f t="shared" si="2"/>
        <v>0</v>
      </c>
    </row>
    <row r="8" spans="1:8" s="608" customFormat="1" ht="24.75" customHeight="1">
      <c r="A8" s="610">
        <f t="shared" si="0"/>
        <v>3</v>
      </c>
      <c r="B8" s="611" t="s">
        <v>407</v>
      </c>
      <c r="C8" s="612"/>
      <c r="D8" s="612"/>
      <c r="E8" s="612">
        <f t="array" ref="E8">SUM(IF("131"&amp;B8=KHN&amp;KH,TH))</f>
        <v>17991600</v>
      </c>
      <c r="F8" s="612">
        <f t="array" ref="F8">SUM(IF("131"&amp;B8=KHC&amp;KH,TH))</f>
        <v>8294000</v>
      </c>
      <c r="G8" s="613">
        <f t="shared" si="1"/>
        <v>9697600</v>
      </c>
      <c r="H8" s="613">
        <f t="shared" si="2"/>
        <v>0</v>
      </c>
    </row>
    <row r="9" spans="1:8" s="608" customFormat="1" ht="24.75" customHeight="1">
      <c r="A9" s="610">
        <f t="shared" si="0"/>
        <v>4</v>
      </c>
      <c r="B9" s="611" t="s">
        <v>477</v>
      </c>
      <c r="C9" s="612"/>
      <c r="D9" s="612"/>
      <c r="E9" s="612">
        <f t="array" ref="E9">SUM(IF("131"&amp;B9=KHN&amp;KH,TH))</f>
        <v>42069500</v>
      </c>
      <c r="F9" s="612">
        <f t="array" ref="F9">SUM(IF("131"&amp;B9=KHC&amp;KH,TH))</f>
        <v>8415000</v>
      </c>
      <c r="G9" s="613">
        <f t="shared" si="1"/>
        <v>33654500</v>
      </c>
      <c r="H9" s="613">
        <f t="shared" si="2"/>
        <v>0</v>
      </c>
    </row>
    <row r="10" spans="1:8" s="608" customFormat="1" ht="24.75" customHeight="1">
      <c r="A10" s="610">
        <f t="shared" si="0"/>
        <v>5</v>
      </c>
      <c r="B10" s="611" t="s">
        <v>409</v>
      </c>
      <c r="C10" s="612"/>
      <c r="D10" s="612"/>
      <c r="E10" s="612">
        <f t="array" ref="E10">SUM(IF("131"&amp;B10=KHN&amp;KH,TH))</f>
        <v>20756384</v>
      </c>
      <c r="F10" s="612">
        <f t="array" ref="F10">SUM(IF("131"&amp;B10=KHC&amp;KH,TH))</f>
        <v>20756384</v>
      </c>
      <c r="G10" s="613">
        <f t="shared" si="1"/>
        <v>0</v>
      </c>
      <c r="H10" s="613">
        <f t="shared" si="2"/>
        <v>0</v>
      </c>
    </row>
    <row r="11" spans="1:8" s="608" customFormat="1" ht="24.75" customHeight="1">
      <c r="A11" s="610">
        <f t="shared" si="0"/>
        <v>6</v>
      </c>
      <c r="B11" s="611" t="s">
        <v>513</v>
      </c>
      <c r="C11" s="612"/>
      <c r="D11" s="612"/>
      <c r="E11" s="612">
        <f t="array" ref="E11">SUM(IF("131"&amp;B11=KHN&amp;KH,TH))</f>
        <v>5864760</v>
      </c>
      <c r="F11" s="612">
        <f t="array" ref="F11">SUM(IF("131"&amp;B11=KHC&amp;KH,TH))</f>
        <v>5864760</v>
      </c>
      <c r="G11" s="613">
        <f t="shared" si="1"/>
        <v>0</v>
      </c>
      <c r="H11" s="613">
        <f t="shared" si="2"/>
        <v>0</v>
      </c>
    </row>
    <row r="12" spans="1:8" s="608" customFormat="1" ht="24.75" customHeight="1">
      <c r="A12" s="610">
        <f t="shared" si="0"/>
        <v>7</v>
      </c>
      <c r="B12" s="611" t="s">
        <v>496</v>
      </c>
      <c r="C12" s="612"/>
      <c r="D12" s="612"/>
      <c r="E12" s="612">
        <f t="array" ref="E12">SUM(IF("131"&amp;B12=KHN&amp;KH,TH))</f>
        <v>13395800</v>
      </c>
      <c r="F12" s="612">
        <f t="array" ref="F12">SUM(IF("131"&amp;B12=KHC&amp;KH,TH))</f>
        <v>13395800</v>
      </c>
      <c r="G12" s="613">
        <f t="shared" si="1"/>
        <v>0</v>
      </c>
      <c r="H12" s="613">
        <f t="shared" si="2"/>
        <v>0</v>
      </c>
    </row>
    <row r="13" spans="1:8" s="608" customFormat="1" ht="24.75" customHeight="1">
      <c r="A13" s="610">
        <f t="shared" si="0"/>
        <v>8</v>
      </c>
      <c r="B13" s="611" t="s">
        <v>461</v>
      </c>
      <c r="C13" s="612"/>
      <c r="D13" s="612"/>
      <c r="E13" s="612">
        <f t="array" ref="E13">SUM(IF("131"&amp;B13=KHN&amp;KH,TH))</f>
        <v>42985525</v>
      </c>
      <c r="F13" s="612">
        <f t="array" ref="F13">SUM(IF("131"&amp;B13=KHC&amp;KH,TH))</f>
        <v>42985525</v>
      </c>
      <c r="G13" s="613">
        <f t="shared" si="1"/>
        <v>0</v>
      </c>
      <c r="H13" s="613">
        <f t="shared" si="2"/>
        <v>0</v>
      </c>
    </row>
    <row r="14" spans="1:8" s="608" customFormat="1" ht="24.75" customHeight="1">
      <c r="A14" s="610">
        <f t="shared" si="0"/>
        <v>9</v>
      </c>
      <c r="B14" s="611" t="s">
        <v>489</v>
      </c>
      <c r="C14" s="612"/>
      <c r="D14" s="612"/>
      <c r="E14" s="612">
        <f t="array" ref="E14">SUM(IF("131"&amp;B14=KHN&amp;KH,TH))</f>
        <v>6297500</v>
      </c>
      <c r="F14" s="612">
        <f t="array" ref="F14">SUM(IF("131"&amp;B14=KHC&amp;KH,TH))</f>
        <v>6297500</v>
      </c>
      <c r="G14" s="613">
        <f t="shared" si="1"/>
        <v>0</v>
      </c>
      <c r="H14" s="613">
        <f t="shared" si="2"/>
        <v>0</v>
      </c>
    </row>
    <row r="15" spans="1:8" s="608" customFormat="1" ht="24.75" customHeight="1">
      <c r="A15" s="610" t="str">
        <f t="shared" ref="A15" si="3">IF(B15&lt;&gt;"",ROW()-3,"")</f>
        <v/>
      </c>
      <c r="B15" s="614"/>
      <c r="C15" s="612"/>
      <c r="D15" s="612"/>
      <c r="E15" s="612"/>
      <c r="F15" s="612"/>
      <c r="G15" s="613"/>
      <c r="H15" s="613"/>
    </row>
    <row r="16" spans="1:8" s="618" customFormat="1" ht="24.75" customHeight="1">
      <c r="A16" s="615"/>
      <c r="B16" s="616" t="s">
        <v>38</v>
      </c>
      <c r="C16" s="617">
        <f t="shared" ref="C16:H16" si="4">SUM(C6:C15)</f>
        <v>0</v>
      </c>
      <c r="D16" s="617">
        <f t="shared" si="4"/>
        <v>0</v>
      </c>
      <c r="E16" s="617">
        <f t="shared" si="4"/>
        <v>270040053</v>
      </c>
      <c r="F16" s="617">
        <f t="shared" si="4"/>
        <v>226687953</v>
      </c>
      <c r="G16" s="617">
        <f t="shared" si="4"/>
        <v>43352100</v>
      </c>
      <c r="H16" s="617">
        <f t="shared" si="4"/>
        <v>0</v>
      </c>
    </row>
    <row r="17" spans="5:8">
      <c r="E17" s="619">
        <f>E16-CDPS!E14</f>
        <v>0</v>
      </c>
      <c r="F17" s="619">
        <f>F16-CDPS!F14</f>
        <v>0</v>
      </c>
    </row>
    <row r="19" spans="5:8">
      <c r="E19" s="619"/>
      <c r="F19" s="854" t="str">
        <f>"Ngày 31 tháng  12  năm  "&amp;YEAR(TH!$C$10)</f>
        <v>Ngày 31 tháng  12  năm  2012</v>
      </c>
      <c r="G19" s="854"/>
      <c r="H19" s="854"/>
    </row>
    <row r="20" spans="5:8">
      <c r="F20" s="854" t="s">
        <v>104</v>
      </c>
      <c r="G20" s="854"/>
      <c r="H20" s="854"/>
    </row>
    <row r="21" spans="5:8">
      <c r="E21" s="621"/>
      <c r="F21" s="854" t="s">
        <v>131</v>
      </c>
      <c r="G21" s="854"/>
      <c r="H21" s="854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I7"/>
    </sheetView>
  </sheetViews>
  <sheetFormatPr defaultRowHeight="14.25"/>
  <cols>
    <col min="1" max="1" width="9.42578125" style="636" customWidth="1"/>
    <col min="2" max="2" width="7.85546875" style="636" customWidth="1"/>
    <col min="3" max="3" width="9.7109375" style="636" customWidth="1"/>
    <col min="4" max="4" width="35" style="636" customWidth="1"/>
    <col min="5" max="5" width="6.85546875" style="636" customWidth="1"/>
    <col min="6" max="6" width="11.42578125" style="636" hidden="1" customWidth="1"/>
    <col min="7" max="10" width="13.140625" style="636" customWidth="1"/>
    <col min="11" max="16384" width="9.140625" style="636"/>
  </cols>
  <sheetData>
    <row r="1" spans="1:10" s="276" customFormat="1" ht="14.25" customHeight="1">
      <c r="A1" s="622" t="str">
        <f>TH!A1</f>
        <v>Đơn vị: CÔNG TY TNHH MỘT THÀNH VIÊN KHỞI NGUYÊN AN</v>
      </c>
      <c r="B1" s="593"/>
      <c r="C1" s="593"/>
      <c r="G1" s="2"/>
      <c r="H1" s="821" t="s">
        <v>45</v>
      </c>
      <c r="I1" s="821"/>
      <c r="J1" s="821"/>
    </row>
    <row r="2" spans="1:10" s="276" customFormat="1" ht="14.25" customHeight="1">
      <c r="A2" s="831" t="str">
        <f>TH!A2</f>
        <v>Địa chỉ: Thửa đất số 144, tờ bản đồ số 12TĐH.1, tổ 1, khu phố Đông Tác, Phường Tân Đông Hiệp, Thị Xã Dĩ An, Tỉnh Bình Dương, Việt Nam</v>
      </c>
      <c r="B2" s="831"/>
      <c r="C2" s="831"/>
      <c r="D2" s="831"/>
      <c r="E2" s="831"/>
      <c r="F2" s="831"/>
      <c r="G2" s="831"/>
      <c r="H2" s="82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22"/>
      <c r="J2" s="822"/>
    </row>
    <row r="3" spans="1:10" s="276" customFormat="1" ht="14.25" customHeight="1">
      <c r="A3" s="831"/>
      <c r="B3" s="831"/>
      <c r="C3" s="831"/>
      <c r="D3" s="831"/>
      <c r="E3" s="831"/>
      <c r="F3" s="831"/>
      <c r="G3" s="831"/>
      <c r="H3" s="822"/>
      <c r="I3" s="822"/>
      <c r="J3" s="822"/>
    </row>
    <row r="4" spans="1:10" s="4" customFormat="1" ht="28.5" customHeight="1">
      <c r="A4" s="823" t="s">
        <v>26</v>
      </c>
      <c r="B4" s="823"/>
      <c r="C4" s="823"/>
      <c r="D4" s="823"/>
      <c r="E4" s="823"/>
      <c r="F4" s="823"/>
      <c r="G4" s="823"/>
      <c r="H4" s="823"/>
      <c r="I4" s="823"/>
      <c r="J4" s="823"/>
    </row>
    <row r="5" spans="1:10" s="4" customFormat="1" ht="14.25" customHeight="1">
      <c r="E5" s="594" t="s">
        <v>27</v>
      </c>
    </row>
    <row r="6" spans="1:10" s="4" customFormat="1" ht="14.25" customHeight="1">
      <c r="E6" s="594" t="s">
        <v>261</v>
      </c>
    </row>
    <row r="7" spans="1:10" s="4" customFormat="1" ht="14.25" customHeight="1">
      <c r="D7" s="108" t="s">
        <v>44</v>
      </c>
      <c r="E7" s="863" t="s">
        <v>489</v>
      </c>
      <c r="F7" s="863"/>
      <c r="G7" s="863"/>
      <c r="H7" s="863"/>
      <c r="I7" s="863"/>
    </row>
    <row r="8" spans="1:10" s="4" customFormat="1" ht="14.25" customHeight="1">
      <c r="E8" s="594" t="s">
        <v>29</v>
      </c>
    </row>
    <row r="9" spans="1:10" s="4" customFormat="1" ht="6.75" customHeight="1">
      <c r="B9" s="594"/>
      <c r="C9" s="828"/>
      <c r="D9" s="828"/>
      <c r="E9" s="828"/>
      <c r="F9" s="828"/>
      <c r="G9" s="828"/>
      <c r="H9" s="828"/>
      <c r="I9" s="828"/>
      <c r="J9" s="828"/>
    </row>
    <row r="10" spans="1:10" s="4" customFormat="1" ht="17.25" customHeight="1">
      <c r="A10" s="829" t="s">
        <v>20</v>
      </c>
      <c r="B10" s="862" t="s">
        <v>1</v>
      </c>
      <c r="C10" s="862"/>
      <c r="D10" s="829" t="s">
        <v>0</v>
      </c>
      <c r="E10" s="829" t="s">
        <v>14</v>
      </c>
      <c r="F10" s="829" t="s">
        <v>30</v>
      </c>
      <c r="G10" s="864" t="s">
        <v>21</v>
      </c>
      <c r="H10" s="865"/>
      <c r="I10" s="864" t="s">
        <v>31</v>
      </c>
      <c r="J10" s="865"/>
    </row>
    <row r="11" spans="1:10" s="4" customFormat="1" ht="27.75" customHeight="1">
      <c r="A11" s="829"/>
      <c r="B11" s="623" t="s">
        <v>15</v>
      </c>
      <c r="C11" s="623" t="s">
        <v>32</v>
      </c>
      <c r="D11" s="829"/>
      <c r="E11" s="829"/>
      <c r="F11" s="829"/>
      <c r="G11" s="623" t="s">
        <v>22</v>
      </c>
      <c r="H11" s="623" t="s">
        <v>23</v>
      </c>
      <c r="I11" s="623" t="s">
        <v>22</v>
      </c>
      <c r="J11" s="623" t="s">
        <v>23</v>
      </c>
    </row>
    <row r="12" spans="1:10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1</v>
      </c>
      <c r="G12" s="624">
        <v>2</v>
      </c>
      <c r="H12" s="624">
        <v>3</v>
      </c>
      <c r="I12" s="624">
        <v>4</v>
      </c>
      <c r="J12" s="624">
        <v>5</v>
      </c>
    </row>
    <row r="13" spans="1:10" s="4" customFormat="1" ht="18.75" customHeight="1">
      <c r="A13" s="624"/>
      <c r="B13" s="624"/>
      <c r="C13" s="624"/>
      <c r="D13" s="626" t="s">
        <v>7</v>
      </c>
      <c r="E13" s="624"/>
      <c r="F13" s="627"/>
      <c r="G13" s="627"/>
      <c r="H13" s="627"/>
      <c r="I13" s="382">
        <f>VLOOKUP($E$7,'131'!$B$6:$H$15,2,0)</f>
        <v>0</v>
      </c>
      <c r="J13" s="382">
        <f>VLOOKUP($E$7,'131'!$B$6:$H$15,3,0)</f>
        <v>0</v>
      </c>
    </row>
    <row r="14" spans="1:10" s="4" customFormat="1" ht="18.75" customHeight="1">
      <c r="A14" s="628">
        <f ca="1">IF(ROWS($1:1)&gt;COUNT(Dong14),"",OFFSET(TH!C$1,SMALL(Dong14,ROWS($1:1)),))</f>
        <v>41219</v>
      </c>
      <c r="B14" s="628" t="str">
        <f ca="1">IF(ROWS($1:1)&gt;COUNT(Dong14),"",OFFSET(TH!D$1,SMALL(Dong14,ROWS($1:1)),))</f>
        <v>X09</v>
      </c>
      <c r="C14" s="628">
        <f ca="1">IF(ROWS($1:1)&gt;COUNT(Dong14),"",OFFSET(TH!E$1,SMALL(Dong14,ROWS($1:1)),))</f>
        <v>41219</v>
      </c>
      <c r="D14" s="629" t="str">
        <f ca="1">IF(ROWS($1:1)&gt;COUNT(Dong14),"",OFFSET(TH!F$1,SMALL(Dong14,ROWS($1:1)),))</f>
        <v>Thùng carton (73x33x31)</v>
      </c>
      <c r="E14" s="630" t="str">
        <f ca="1">IF(ROWS($1:1)&gt;COUNT(Dong14),"",IF(OFFSET(TH!L$1,SMALL(Dong14,ROWS($1:1)),)="331",OFFSET(TH!M$1,SMALL(Dong14,ROWS($1:1)),),OFFSET(TH!L$1,SMALL(Dong14,ROWS($1:1)),)))</f>
        <v>131</v>
      </c>
      <c r="F14" s="630"/>
      <c r="G14" s="631">
        <f ca="1">IF(ROWS($1:1)&gt;COUNT(Dong14),"",IF(OFFSET(TH!L$1,SMALL(Dong14,ROWS($1:1)),)="131",OFFSET(TH!K$1,SMALL(Dong14,ROWS($1:1)),),0))</f>
        <v>5725000</v>
      </c>
      <c r="H14" s="631">
        <f ca="1">IF(ROWS($1:1)&gt;COUNT(Dong14),"",IF(OFFSET(TH!M$1,SMALL(Dong14,ROWS($1:1)),)="131",OFFSET(TH!K$1,SMALL(Dong14,ROWS($1:1)),),0))</f>
        <v>0</v>
      </c>
      <c r="I14" s="632">
        <f ca="1">IF(D14&lt;&gt;"",MAX(I13+G14-H14-J13,0),0)</f>
        <v>5725000</v>
      </c>
      <c r="J14" s="632">
        <f ca="1">IF(D14&lt;&gt;"",MAX(J13+H14-I13-G14,0),0)</f>
        <v>0</v>
      </c>
    </row>
    <row r="15" spans="1:10" s="4" customFormat="1" ht="18.75" customHeight="1">
      <c r="A15" s="628">
        <f ca="1">IF(ROWS($1:2)&gt;COUNT(Dong14),"",OFFSET(TH!C$1,SMALL(Dong14,ROWS($1:2)),))</f>
        <v>41219</v>
      </c>
      <c r="B15" s="628" t="str">
        <f ca="1">IF(ROWS($1:2)&gt;COUNT(Dong14),"",OFFSET(TH!D$1,SMALL(Dong14,ROWS($1:2)),))</f>
        <v>X09</v>
      </c>
      <c r="C15" s="628">
        <f ca="1">IF(ROWS($1:2)&gt;COUNT(Dong14),"",OFFSET(TH!E$1,SMALL(Dong14,ROWS($1:2)),))</f>
        <v>41219</v>
      </c>
      <c r="D15" s="629" t="str">
        <f ca="1">IF(ROWS($1:2)&gt;COUNT(Dong14),"",OFFSET(TH!F$1,SMALL(Dong14,ROWS($1:2)),))</f>
        <v>VAT Thùng</v>
      </c>
      <c r="E15" s="630" t="str">
        <f ca="1">IF(ROWS($1:2)&gt;COUNT(Dong14),"",IF(OFFSET(TH!L$1,SMALL(Dong14,ROWS($1:2)),)="331",OFFSET(TH!M$1,SMALL(Dong14,ROWS($1:2)),),OFFSET(TH!L$1,SMALL(Dong14,ROWS($1:2)),)))</f>
        <v>131</v>
      </c>
      <c r="F15" s="630"/>
      <c r="G15" s="631">
        <f ca="1">IF(ROWS($1:2)&gt;COUNT(Dong14),"",IF(OFFSET(TH!L$1,SMALL(Dong14,ROWS($1:2)),)="131",OFFSET(TH!K$1,SMALL(Dong14,ROWS($1:2)),),0))</f>
        <v>572500</v>
      </c>
      <c r="H15" s="631">
        <f ca="1">IF(ROWS($1:2)&gt;COUNT(Dong14),"",IF(OFFSET(TH!M$1,SMALL(Dong14,ROWS($1:2)),)="131",OFFSET(TH!K$1,SMALL(Dong14,ROWS($1:2)),),0))</f>
        <v>0</v>
      </c>
      <c r="I15" s="632">
        <f t="shared" ref="I15:I29" ca="1" si="0">IF(D15&lt;&gt;"",MAX(I14+G15-H15-J14,0),0)</f>
        <v>6297500</v>
      </c>
      <c r="J15" s="632">
        <f t="shared" ref="J15:J29" ca="1" si="1">IF(D15&lt;&gt;"",MAX(J14+H15-I14-G15,0),0)</f>
        <v>0</v>
      </c>
    </row>
    <row r="16" spans="1:10" s="4" customFormat="1" ht="18.75" customHeight="1">
      <c r="A16" s="628">
        <f ca="1">IF(ROWS($1:3)&gt;COUNT(Dong14),"",OFFSET(TH!C$1,SMALL(Dong14,ROWS($1:3)),))</f>
        <v>41219</v>
      </c>
      <c r="B16" s="628" t="str">
        <f ca="1">IF(ROWS($1:3)&gt;COUNT(Dong14),"",OFFSET(TH!D$1,SMALL(Dong14,ROWS($1:3)),))</f>
        <v>T08</v>
      </c>
      <c r="C16" s="628">
        <f ca="1">IF(ROWS($1:3)&gt;COUNT(Dong14),"",OFFSET(TH!E$1,SMALL(Dong14,ROWS($1:3)),))</f>
        <v>41219</v>
      </c>
      <c r="D16" s="629" t="str">
        <f ca="1">IF(ROWS($1:3)&gt;COUNT(Dong14),"",OFFSET(TH!F$1,SMALL(Dong14,ROWS($1:3)),))</f>
        <v>Thu tiền hàng</v>
      </c>
      <c r="E16" s="630" t="str">
        <f ca="1">IF(ROWS($1:3)&gt;COUNT(Dong14),"",IF(OFFSET(TH!L$1,SMALL(Dong14,ROWS($1:3)),)="331",OFFSET(TH!M$1,SMALL(Dong14,ROWS($1:3)),),OFFSET(TH!L$1,SMALL(Dong14,ROWS($1:3)),)))</f>
        <v>1111</v>
      </c>
      <c r="F16" s="630"/>
      <c r="G16" s="631">
        <f ca="1">IF(ROWS($1:3)&gt;COUNT(Dong14),"",IF(OFFSET(TH!L$1,SMALL(Dong14,ROWS($1:3)),)="131",OFFSET(TH!K$1,SMALL(Dong14,ROWS($1:3)),),0))</f>
        <v>0</v>
      </c>
      <c r="H16" s="631">
        <f ca="1">IF(ROWS($1:3)&gt;COUNT(Dong14),"",IF(OFFSET(TH!M$1,SMALL(Dong14,ROWS($1:3)),)="131",OFFSET(TH!K$1,SMALL(Dong14,ROWS($1:3)),),0))</f>
        <v>6297500</v>
      </c>
      <c r="I16" s="632">
        <f t="shared" ca="1" si="0"/>
        <v>0</v>
      </c>
      <c r="J16" s="632">
        <f t="shared" ca="1" si="1"/>
        <v>0</v>
      </c>
    </row>
    <row r="17" spans="1:10" s="4" customFormat="1" ht="18.75" customHeight="1">
      <c r="A17" s="628" t="str">
        <f ca="1">IF(ROWS($1:4)&gt;COUNT(Dong14),"",OFFSET(TH!C$1,SMALL(Dong14,ROWS($1:4)),))</f>
        <v/>
      </c>
      <c r="B17" s="628" t="str">
        <f ca="1">IF(ROWS($1:4)&gt;COUNT(Dong14),"",OFFSET(TH!D$1,SMALL(Dong14,ROWS($1:4)),))</f>
        <v/>
      </c>
      <c r="C17" s="628" t="str">
        <f ca="1">IF(ROWS($1:4)&gt;COUNT(Dong14),"",OFFSET(TH!E$1,SMALL(Dong14,ROWS($1:4)),))</f>
        <v/>
      </c>
      <c r="D17" s="629" t="str">
        <f ca="1">IF(ROWS($1:4)&gt;COUNT(Dong14),"",OFFSET(TH!F$1,SMALL(Dong14,ROWS($1:4)),))</f>
        <v/>
      </c>
      <c r="E17" s="630" t="str">
        <f ca="1">IF(ROWS($1:4)&gt;COUNT(Dong14),"",IF(OFFSET(TH!L$1,SMALL(Dong14,ROWS($1:4)),)="331",OFFSET(TH!M$1,SMALL(Dong14,ROWS($1:4)),),OFFSET(TH!L$1,SMALL(Dong14,ROWS($1:4)),)))</f>
        <v/>
      </c>
      <c r="F17" s="630"/>
      <c r="G17" s="631" t="str">
        <f ca="1">IF(ROWS($1:4)&gt;COUNT(Dong14),"",IF(OFFSET(TH!L$1,SMALL(Dong14,ROWS($1:4)),)="131",OFFSET(TH!K$1,SMALL(Dong14,ROWS($1:4)),),0))</f>
        <v/>
      </c>
      <c r="H17" s="631" t="str">
        <f ca="1">IF(ROWS($1:4)&gt;COUNT(Dong14),"",IF(OFFSET(TH!M$1,SMALL(Dong14,ROWS($1:4)),)="131",OFFSET(TH!K$1,SMALL(Dong14,ROWS($1:4)),),0))</f>
        <v/>
      </c>
      <c r="I17" s="632">
        <f t="shared" ca="1" si="0"/>
        <v>0</v>
      </c>
      <c r="J17" s="632">
        <f t="shared" ca="1" si="1"/>
        <v>0</v>
      </c>
    </row>
    <row r="18" spans="1:10" s="4" customFormat="1" ht="18.75" customHeight="1">
      <c r="A18" s="628" t="str">
        <f ca="1">IF(ROWS($1:5)&gt;COUNT(Dong14),"",OFFSET(TH!C$1,SMALL(Dong14,ROWS($1:5)),))</f>
        <v/>
      </c>
      <c r="B18" s="628" t="str">
        <f ca="1">IF(ROWS($1:5)&gt;COUNT(Dong14),"",OFFSET(TH!D$1,SMALL(Dong14,ROWS($1:5)),))</f>
        <v/>
      </c>
      <c r="C18" s="628" t="str">
        <f ca="1">IF(ROWS($1:5)&gt;COUNT(Dong14),"",OFFSET(TH!E$1,SMALL(Dong14,ROWS($1:5)),))</f>
        <v/>
      </c>
      <c r="D18" s="629" t="str">
        <f ca="1">IF(ROWS($1:5)&gt;COUNT(Dong14),"",OFFSET(TH!F$1,SMALL(Dong14,ROWS($1:5)),))</f>
        <v/>
      </c>
      <c r="E18" s="630" t="str">
        <f ca="1">IF(ROWS($1:5)&gt;COUNT(Dong14),"",IF(OFFSET(TH!L$1,SMALL(Dong14,ROWS($1:5)),)="331",OFFSET(TH!M$1,SMALL(Dong14,ROWS($1:5)),),OFFSET(TH!L$1,SMALL(Dong14,ROWS($1:5)),)))</f>
        <v/>
      </c>
      <c r="F18" s="630"/>
      <c r="G18" s="631" t="str">
        <f ca="1">IF(ROWS($1:5)&gt;COUNT(Dong14),"",IF(OFFSET(TH!L$1,SMALL(Dong14,ROWS($1:5)),)="131",OFFSET(TH!K$1,SMALL(Dong14,ROWS($1:5)),),0))</f>
        <v/>
      </c>
      <c r="H18" s="631" t="str">
        <f ca="1">IF(ROWS($1:5)&gt;COUNT(Dong14),"",IF(OFFSET(TH!M$1,SMALL(Dong14,ROWS($1:5)),)="131",OFFSET(TH!K$1,SMALL(Dong14,ROWS($1:5)),),0))</f>
        <v/>
      </c>
      <c r="I18" s="632">
        <f t="shared" ca="1" si="0"/>
        <v>0</v>
      </c>
      <c r="J18" s="632">
        <f t="shared" ca="1" si="1"/>
        <v>0</v>
      </c>
    </row>
    <row r="19" spans="1:10" s="4" customFormat="1" ht="18.75" customHeight="1">
      <c r="A19" s="628" t="str">
        <f ca="1">IF(ROWS($1:6)&gt;COUNT(Dong14),"",OFFSET(TH!C$1,SMALL(Dong14,ROWS($1:6)),))</f>
        <v/>
      </c>
      <c r="B19" s="628" t="str">
        <f ca="1">IF(ROWS($1:6)&gt;COUNT(Dong14),"",OFFSET(TH!D$1,SMALL(Dong14,ROWS($1:6)),))</f>
        <v/>
      </c>
      <c r="C19" s="628" t="str">
        <f ca="1">IF(ROWS($1:6)&gt;COUNT(Dong14),"",OFFSET(TH!E$1,SMALL(Dong14,ROWS($1:6)),))</f>
        <v/>
      </c>
      <c r="D19" s="629" t="str">
        <f ca="1">IF(ROWS($1:6)&gt;COUNT(Dong14),"",OFFSET(TH!F$1,SMALL(Dong14,ROWS($1:6)),))</f>
        <v/>
      </c>
      <c r="E19" s="630" t="str">
        <f ca="1">IF(ROWS($1:6)&gt;COUNT(Dong14),"",IF(OFFSET(TH!L$1,SMALL(Dong14,ROWS($1:6)),)="331",OFFSET(TH!M$1,SMALL(Dong14,ROWS($1:6)),),OFFSET(TH!L$1,SMALL(Dong14,ROWS($1:6)),)))</f>
        <v/>
      </c>
      <c r="F19" s="630"/>
      <c r="G19" s="631" t="str">
        <f ca="1">IF(ROWS($1:6)&gt;COUNT(Dong14),"",IF(OFFSET(TH!L$1,SMALL(Dong14,ROWS($1:6)),)="131",OFFSET(TH!K$1,SMALL(Dong14,ROWS($1:6)),),0))</f>
        <v/>
      </c>
      <c r="H19" s="631" t="str">
        <f ca="1">IF(ROWS($1:6)&gt;COUNT(Dong14),"",IF(OFFSET(TH!M$1,SMALL(Dong14,ROWS($1:6)),)="131",OFFSET(TH!K$1,SMALL(Dong14,ROWS($1:6)),),0))</f>
        <v/>
      </c>
      <c r="I19" s="632">
        <f t="shared" ca="1" si="0"/>
        <v>0</v>
      </c>
      <c r="J19" s="632">
        <f t="shared" ca="1" si="1"/>
        <v>0</v>
      </c>
    </row>
    <row r="20" spans="1:10" s="4" customFormat="1" ht="18.75" customHeight="1">
      <c r="A20" s="628" t="str">
        <f ca="1">IF(ROWS($1:7)&gt;COUNT(Dong14),"",OFFSET(TH!C$1,SMALL(Dong14,ROWS($1:7)),))</f>
        <v/>
      </c>
      <c r="B20" s="628" t="str">
        <f ca="1">IF(ROWS($1:7)&gt;COUNT(Dong14),"",OFFSET(TH!D$1,SMALL(Dong14,ROWS($1:7)),))</f>
        <v/>
      </c>
      <c r="C20" s="628" t="str">
        <f ca="1">IF(ROWS($1:7)&gt;COUNT(Dong14),"",OFFSET(TH!E$1,SMALL(Dong14,ROWS($1:7)),))</f>
        <v/>
      </c>
      <c r="D20" s="629" t="str">
        <f ca="1">IF(ROWS($1:7)&gt;COUNT(Dong14),"",OFFSET(TH!F$1,SMALL(Dong14,ROWS($1:7)),))</f>
        <v/>
      </c>
      <c r="E20" s="630" t="str">
        <f ca="1">IF(ROWS($1:7)&gt;COUNT(Dong14),"",IF(OFFSET(TH!L$1,SMALL(Dong14,ROWS($1:7)),)="331",OFFSET(TH!M$1,SMALL(Dong14,ROWS($1:7)),),OFFSET(TH!L$1,SMALL(Dong14,ROWS($1:7)),)))</f>
        <v/>
      </c>
      <c r="F20" s="630"/>
      <c r="G20" s="631" t="str">
        <f ca="1">IF(ROWS($1:7)&gt;COUNT(Dong14),"",IF(OFFSET(TH!L$1,SMALL(Dong14,ROWS($1:7)),)="131",OFFSET(TH!K$1,SMALL(Dong14,ROWS($1:7)),),0))</f>
        <v/>
      </c>
      <c r="H20" s="631" t="str">
        <f ca="1">IF(ROWS($1:7)&gt;COUNT(Dong14),"",IF(OFFSET(TH!M$1,SMALL(Dong14,ROWS($1:7)),)="131",OFFSET(TH!K$1,SMALL(Dong14,ROWS($1:7)),),0))</f>
        <v/>
      </c>
      <c r="I20" s="632">
        <f t="shared" ca="1" si="0"/>
        <v>0</v>
      </c>
      <c r="J20" s="632">
        <f t="shared" ca="1" si="1"/>
        <v>0</v>
      </c>
    </row>
    <row r="21" spans="1:10" s="4" customFormat="1" ht="18.75" customHeight="1">
      <c r="A21" s="628" t="str">
        <f ca="1">IF(ROWS($1:8)&gt;COUNT(Dong14),"",OFFSET(TH!C$1,SMALL(Dong14,ROWS($1:8)),))</f>
        <v/>
      </c>
      <c r="B21" s="628" t="str">
        <f ca="1">IF(ROWS($1:8)&gt;COUNT(Dong14),"",OFFSET(TH!D$1,SMALL(Dong14,ROWS($1:8)),))</f>
        <v/>
      </c>
      <c r="C21" s="628" t="str">
        <f ca="1">IF(ROWS($1:8)&gt;COUNT(Dong14),"",OFFSET(TH!E$1,SMALL(Dong14,ROWS($1:8)),))</f>
        <v/>
      </c>
      <c r="D21" s="629" t="str">
        <f ca="1">IF(ROWS($1:8)&gt;COUNT(Dong14),"",OFFSET(TH!F$1,SMALL(Dong14,ROWS($1:8)),))</f>
        <v/>
      </c>
      <c r="E21" s="630" t="str">
        <f ca="1">IF(ROWS($1:8)&gt;COUNT(Dong14),"",IF(OFFSET(TH!L$1,SMALL(Dong14,ROWS($1:8)),)="331",OFFSET(TH!M$1,SMALL(Dong14,ROWS($1:8)),),OFFSET(TH!L$1,SMALL(Dong14,ROWS($1:8)),)))</f>
        <v/>
      </c>
      <c r="F21" s="630"/>
      <c r="G21" s="631" t="str">
        <f ca="1">IF(ROWS($1:8)&gt;COUNT(Dong14),"",IF(OFFSET(TH!L$1,SMALL(Dong14,ROWS($1:8)),)="131",OFFSET(TH!K$1,SMALL(Dong14,ROWS($1:8)),),0))</f>
        <v/>
      </c>
      <c r="H21" s="631" t="str">
        <f ca="1">IF(ROWS($1:8)&gt;COUNT(Dong14),"",IF(OFFSET(TH!M$1,SMALL(Dong14,ROWS($1:8)),)="131",OFFSET(TH!K$1,SMALL(Dong14,ROWS($1:8)),),0))</f>
        <v/>
      </c>
      <c r="I21" s="632">
        <f t="shared" ca="1" si="0"/>
        <v>0</v>
      </c>
      <c r="J21" s="632">
        <f t="shared" ca="1" si="1"/>
        <v>0</v>
      </c>
    </row>
    <row r="22" spans="1:10" s="4" customFormat="1" ht="18.75" customHeight="1">
      <c r="A22" s="628" t="str">
        <f ca="1">IF(ROWS($1:9)&gt;COUNT(Dong14),"",OFFSET(TH!C$1,SMALL(Dong14,ROWS($1:9)),))</f>
        <v/>
      </c>
      <c r="B22" s="628" t="str">
        <f ca="1">IF(ROWS($1:9)&gt;COUNT(Dong14),"",OFFSET(TH!D$1,SMALL(Dong14,ROWS($1:9)),))</f>
        <v/>
      </c>
      <c r="C22" s="628" t="str">
        <f ca="1">IF(ROWS($1:9)&gt;COUNT(Dong14),"",OFFSET(TH!E$1,SMALL(Dong14,ROWS($1:9)),))</f>
        <v/>
      </c>
      <c r="D22" s="629" t="str">
        <f ca="1">IF(ROWS($1:9)&gt;COUNT(Dong14),"",OFFSET(TH!F$1,SMALL(Dong14,ROWS($1:9)),))</f>
        <v/>
      </c>
      <c r="E22" s="630" t="str">
        <f ca="1">IF(ROWS($1:9)&gt;COUNT(Dong14),"",IF(OFFSET(TH!L$1,SMALL(Dong14,ROWS($1:9)),)="331",OFFSET(TH!M$1,SMALL(Dong14,ROWS($1:9)),),OFFSET(TH!L$1,SMALL(Dong14,ROWS($1:9)),)))</f>
        <v/>
      </c>
      <c r="F22" s="630"/>
      <c r="G22" s="631" t="str">
        <f ca="1">IF(ROWS($1:9)&gt;COUNT(Dong14),"",IF(OFFSET(TH!L$1,SMALL(Dong14,ROWS($1:9)),)="131",OFFSET(TH!K$1,SMALL(Dong14,ROWS($1:9)),),0))</f>
        <v/>
      </c>
      <c r="H22" s="631" t="str">
        <f ca="1">IF(ROWS($1:9)&gt;COUNT(Dong14),"",IF(OFFSET(TH!M$1,SMALL(Dong14,ROWS($1:9)),)="131",OFFSET(TH!K$1,SMALL(Dong14,ROWS($1:9)),),0))</f>
        <v/>
      </c>
      <c r="I22" s="632">
        <f t="shared" ca="1" si="0"/>
        <v>0</v>
      </c>
      <c r="J22" s="632">
        <f t="shared" ca="1" si="1"/>
        <v>0</v>
      </c>
    </row>
    <row r="23" spans="1:10" s="4" customFormat="1" ht="18.75" customHeight="1">
      <c r="A23" s="628" t="str">
        <f ca="1">IF(ROWS($1:10)&gt;COUNT(Dong14),"",OFFSET(TH!C$1,SMALL(Dong14,ROWS($1:10)),))</f>
        <v/>
      </c>
      <c r="B23" s="628" t="str">
        <f ca="1">IF(ROWS($1:10)&gt;COUNT(Dong14),"",OFFSET(TH!D$1,SMALL(Dong14,ROWS($1:10)),))</f>
        <v/>
      </c>
      <c r="C23" s="628" t="str">
        <f ca="1">IF(ROWS($1:10)&gt;COUNT(Dong14),"",OFFSET(TH!E$1,SMALL(Dong14,ROWS($1:10)),))</f>
        <v/>
      </c>
      <c r="D23" s="629" t="str">
        <f ca="1">IF(ROWS($1:10)&gt;COUNT(Dong14),"",OFFSET(TH!F$1,SMALL(Dong14,ROWS($1:10)),))</f>
        <v/>
      </c>
      <c r="E23" s="630" t="str">
        <f ca="1">IF(ROWS($1:10)&gt;COUNT(Dong14),"",IF(OFFSET(TH!L$1,SMALL(Dong14,ROWS($1:10)),)="331",OFFSET(TH!M$1,SMALL(Dong14,ROWS($1:10)),),OFFSET(TH!L$1,SMALL(Dong14,ROWS($1:10)),)))</f>
        <v/>
      </c>
      <c r="F23" s="630"/>
      <c r="G23" s="631" t="str">
        <f ca="1">IF(ROWS($1:10)&gt;COUNT(Dong14),"",IF(OFFSET(TH!L$1,SMALL(Dong14,ROWS($1:10)),)="131",OFFSET(TH!K$1,SMALL(Dong14,ROWS($1:10)),),0))</f>
        <v/>
      </c>
      <c r="H23" s="631" t="str">
        <f ca="1">IF(ROWS($1:10)&gt;COUNT(Dong14),"",IF(OFFSET(TH!M$1,SMALL(Dong14,ROWS($1:10)),)="131",OFFSET(TH!K$1,SMALL(Dong14,ROWS($1:10)),),0))</f>
        <v/>
      </c>
      <c r="I23" s="632">
        <f t="shared" ca="1" si="0"/>
        <v>0</v>
      </c>
      <c r="J23" s="632">
        <f t="shared" ca="1" si="1"/>
        <v>0</v>
      </c>
    </row>
    <row r="24" spans="1:10" s="4" customFormat="1" ht="18.75" customHeight="1">
      <c r="A24" s="628" t="str">
        <f ca="1">IF(ROWS($1:11)&gt;COUNT(Dong14),"",OFFSET(TH!C$1,SMALL(Dong14,ROWS($1:11)),))</f>
        <v/>
      </c>
      <c r="B24" s="628" t="str">
        <f ca="1">IF(ROWS($1:11)&gt;COUNT(Dong14),"",OFFSET(TH!D$1,SMALL(Dong14,ROWS($1:11)),))</f>
        <v/>
      </c>
      <c r="C24" s="628" t="str">
        <f ca="1">IF(ROWS($1:11)&gt;COUNT(Dong14),"",OFFSET(TH!E$1,SMALL(Dong14,ROWS($1:11)),))</f>
        <v/>
      </c>
      <c r="D24" s="629" t="str">
        <f ca="1">IF(ROWS($1:11)&gt;COUNT(Dong14),"",OFFSET(TH!F$1,SMALL(Dong14,ROWS($1:11)),))</f>
        <v/>
      </c>
      <c r="E24" s="630" t="str">
        <f ca="1">IF(ROWS($1:11)&gt;COUNT(Dong14),"",IF(OFFSET(TH!L$1,SMALL(Dong14,ROWS($1:11)),)="331",OFFSET(TH!M$1,SMALL(Dong14,ROWS($1:11)),),OFFSET(TH!L$1,SMALL(Dong14,ROWS($1:11)),)))</f>
        <v/>
      </c>
      <c r="F24" s="630"/>
      <c r="G24" s="631" t="str">
        <f ca="1">IF(ROWS($1:11)&gt;COUNT(Dong14),"",IF(OFFSET(TH!L$1,SMALL(Dong14,ROWS($1:11)),)="131",OFFSET(TH!K$1,SMALL(Dong14,ROWS($1:11)),),0))</f>
        <v/>
      </c>
      <c r="H24" s="631" t="str">
        <f ca="1">IF(ROWS($1:11)&gt;COUNT(Dong14),"",IF(OFFSET(TH!M$1,SMALL(Dong14,ROWS($1:11)),)="131",OFFSET(TH!K$1,SMALL(Dong14,ROWS($1:11)),),0))</f>
        <v/>
      </c>
      <c r="I24" s="632">
        <f t="shared" ca="1" si="0"/>
        <v>0</v>
      </c>
      <c r="J24" s="632">
        <f t="shared" ca="1" si="1"/>
        <v>0</v>
      </c>
    </row>
    <row r="25" spans="1:10" s="4" customFormat="1" ht="18.75" customHeight="1">
      <c r="A25" s="628" t="str">
        <f ca="1">IF(ROWS($1:12)&gt;COUNT(Dong14),"",OFFSET(TH!C$1,SMALL(Dong14,ROWS($1:12)),))</f>
        <v/>
      </c>
      <c r="B25" s="628" t="str">
        <f ca="1">IF(ROWS($1:12)&gt;COUNT(Dong14),"",OFFSET(TH!D$1,SMALL(Dong14,ROWS($1:12)),))</f>
        <v/>
      </c>
      <c r="C25" s="628" t="str">
        <f ca="1">IF(ROWS($1:12)&gt;COUNT(Dong14),"",OFFSET(TH!E$1,SMALL(Dong14,ROWS($1:12)),))</f>
        <v/>
      </c>
      <c r="D25" s="629" t="str">
        <f ca="1">IF(ROWS($1:12)&gt;COUNT(Dong14),"",OFFSET(TH!F$1,SMALL(Dong14,ROWS($1:12)),))</f>
        <v/>
      </c>
      <c r="E25" s="630" t="str">
        <f ca="1">IF(ROWS($1:12)&gt;COUNT(Dong14),"",IF(OFFSET(TH!L$1,SMALL(Dong14,ROWS($1:12)),)="331",OFFSET(TH!M$1,SMALL(Dong14,ROWS($1:12)),),OFFSET(TH!L$1,SMALL(Dong14,ROWS($1:12)),)))</f>
        <v/>
      </c>
      <c r="F25" s="630"/>
      <c r="G25" s="631" t="str">
        <f ca="1">IF(ROWS($1:12)&gt;COUNT(Dong14),"",IF(OFFSET(TH!L$1,SMALL(Dong14,ROWS($1:12)),)="131",OFFSET(TH!K$1,SMALL(Dong14,ROWS($1:12)),),0))</f>
        <v/>
      </c>
      <c r="H25" s="631" t="str">
        <f ca="1">IF(ROWS($1:12)&gt;COUNT(Dong14),"",IF(OFFSET(TH!M$1,SMALL(Dong14,ROWS($1:12)),)="131",OFFSET(TH!K$1,SMALL(Dong14,ROWS($1:12)),),0))</f>
        <v/>
      </c>
      <c r="I25" s="632">
        <f t="shared" ca="1" si="0"/>
        <v>0</v>
      </c>
      <c r="J25" s="632">
        <f t="shared" ca="1" si="1"/>
        <v>0</v>
      </c>
    </row>
    <row r="26" spans="1:10" s="4" customFormat="1" ht="18.75" customHeight="1">
      <c r="A26" s="628" t="str">
        <f ca="1">IF(ROWS($1:13)&gt;COUNT(Dong14),"",OFFSET(TH!C$1,SMALL(Dong14,ROWS($1:13)),))</f>
        <v/>
      </c>
      <c r="B26" s="628" t="str">
        <f ca="1">IF(ROWS($1:13)&gt;COUNT(Dong14),"",OFFSET(TH!D$1,SMALL(Dong14,ROWS($1:13)),))</f>
        <v/>
      </c>
      <c r="C26" s="628" t="str">
        <f ca="1">IF(ROWS($1:13)&gt;COUNT(Dong14),"",OFFSET(TH!E$1,SMALL(Dong14,ROWS($1:13)),))</f>
        <v/>
      </c>
      <c r="D26" s="629" t="str">
        <f ca="1">IF(ROWS($1:13)&gt;COUNT(Dong14),"",OFFSET(TH!F$1,SMALL(Dong14,ROWS($1:13)),))</f>
        <v/>
      </c>
      <c r="E26" s="630" t="str">
        <f ca="1">IF(ROWS($1:13)&gt;COUNT(Dong14),"",IF(OFFSET(TH!L$1,SMALL(Dong14,ROWS($1:13)),)="331",OFFSET(TH!M$1,SMALL(Dong14,ROWS($1:13)),),OFFSET(TH!L$1,SMALL(Dong14,ROWS($1:13)),)))</f>
        <v/>
      </c>
      <c r="F26" s="630"/>
      <c r="G26" s="631" t="str">
        <f ca="1">IF(ROWS($1:13)&gt;COUNT(Dong14),"",IF(OFFSET(TH!L$1,SMALL(Dong14,ROWS($1:13)),)="131",OFFSET(TH!K$1,SMALL(Dong14,ROWS($1:13)),),0))</f>
        <v/>
      </c>
      <c r="H26" s="631" t="str">
        <f ca="1">IF(ROWS($1:13)&gt;COUNT(Dong14),"",IF(OFFSET(TH!M$1,SMALL(Dong14,ROWS($1:13)),)="131",OFFSET(TH!K$1,SMALL(Dong14,ROWS($1:13)),),0))</f>
        <v/>
      </c>
      <c r="I26" s="632">
        <f t="shared" ca="1" si="0"/>
        <v>0</v>
      </c>
      <c r="J26" s="632">
        <f t="shared" ca="1" si="1"/>
        <v>0</v>
      </c>
    </row>
    <row r="27" spans="1:10" s="4" customFormat="1" ht="18.75" customHeight="1">
      <c r="A27" s="628" t="str">
        <f ca="1">IF(ROWS($1:14)&gt;COUNT(Dong14),"",OFFSET(TH!C$1,SMALL(Dong14,ROWS($1:14)),))</f>
        <v/>
      </c>
      <c r="B27" s="628" t="str">
        <f ca="1">IF(ROWS($1:14)&gt;COUNT(Dong14),"",OFFSET(TH!D$1,SMALL(Dong14,ROWS($1:14)),))</f>
        <v/>
      </c>
      <c r="C27" s="628" t="str">
        <f ca="1">IF(ROWS($1:14)&gt;COUNT(Dong14),"",OFFSET(TH!E$1,SMALL(Dong14,ROWS($1:14)),))</f>
        <v/>
      </c>
      <c r="D27" s="629" t="str">
        <f ca="1">IF(ROWS($1:14)&gt;COUNT(Dong14),"",OFFSET(TH!F$1,SMALL(Dong14,ROWS($1:14)),))</f>
        <v/>
      </c>
      <c r="E27" s="630" t="str">
        <f ca="1">IF(ROWS($1:14)&gt;COUNT(Dong14),"",IF(OFFSET(TH!L$1,SMALL(Dong14,ROWS($1:14)),)="331",OFFSET(TH!M$1,SMALL(Dong14,ROWS($1:14)),),OFFSET(TH!L$1,SMALL(Dong14,ROWS($1:14)),)))</f>
        <v/>
      </c>
      <c r="F27" s="630"/>
      <c r="G27" s="631" t="str">
        <f ca="1">IF(ROWS($1:14)&gt;COUNT(Dong14),"",IF(OFFSET(TH!L$1,SMALL(Dong14,ROWS($1:14)),)="131",OFFSET(TH!K$1,SMALL(Dong14,ROWS($1:14)),),0))</f>
        <v/>
      </c>
      <c r="H27" s="631" t="str">
        <f ca="1">IF(ROWS($1:14)&gt;COUNT(Dong14),"",IF(OFFSET(TH!M$1,SMALL(Dong14,ROWS($1:14)),)="131",OFFSET(TH!K$1,SMALL(Dong14,ROWS($1:14)),),0))</f>
        <v/>
      </c>
      <c r="I27" s="632">
        <f t="shared" ca="1" si="0"/>
        <v>0</v>
      </c>
      <c r="J27" s="632">
        <f t="shared" ca="1" si="1"/>
        <v>0</v>
      </c>
    </row>
    <row r="28" spans="1:10" s="4" customFormat="1" ht="18.75" customHeight="1">
      <c r="A28" s="628" t="str">
        <f ca="1">IF(ROWS($1:15)&gt;COUNT(Dong14),"",OFFSET(TH!C$1,SMALL(Dong14,ROWS($1:15)),))</f>
        <v/>
      </c>
      <c r="B28" s="628" t="str">
        <f ca="1">IF(ROWS($1:15)&gt;COUNT(Dong14),"",OFFSET(TH!D$1,SMALL(Dong14,ROWS($1:15)),))</f>
        <v/>
      </c>
      <c r="C28" s="628" t="str">
        <f ca="1">IF(ROWS($1:15)&gt;COUNT(Dong14),"",OFFSET(TH!E$1,SMALL(Dong14,ROWS($1:15)),))</f>
        <v/>
      </c>
      <c r="D28" s="629" t="str">
        <f ca="1">IF(ROWS($1:15)&gt;COUNT(Dong14),"",OFFSET(TH!F$1,SMALL(Dong14,ROWS($1:15)),))</f>
        <v/>
      </c>
      <c r="E28" s="630" t="str">
        <f ca="1">IF(ROWS($1:15)&gt;COUNT(Dong14),"",IF(OFFSET(TH!L$1,SMALL(Dong14,ROWS($1:15)),)="331",OFFSET(TH!M$1,SMALL(Dong14,ROWS($1:15)),),OFFSET(TH!L$1,SMALL(Dong14,ROWS($1:15)),)))</f>
        <v/>
      </c>
      <c r="F28" s="630"/>
      <c r="G28" s="631" t="str">
        <f ca="1">IF(ROWS($1:15)&gt;COUNT(Dong14),"",IF(OFFSET(TH!L$1,SMALL(Dong14,ROWS($1:15)),)="131",OFFSET(TH!K$1,SMALL(Dong14,ROWS($1:15)),),0))</f>
        <v/>
      </c>
      <c r="H28" s="631" t="str">
        <f ca="1">IF(ROWS($1:15)&gt;COUNT(Dong14),"",IF(OFFSET(TH!M$1,SMALL(Dong14,ROWS($1:15)),)="131",OFFSET(TH!K$1,SMALL(Dong14,ROWS($1:15)),),0))</f>
        <v/>
      </c>
      <c r="I28" s="632">
        <f t="shared" ca="1" si="0"/>
        <v>0</v>
      </c>
      <c r="J28" s="632">
        <f t="shared" ca="1" si="1"/>
        <v>0</v>
      </c>
    </row>
    <row r="29" spans="1:10" s="4" customFormat="1" ht="18.75" customHeight="1">
      <c r="A29" s="628" t="str">
        <f ca="1">IF(ROWS($1:16)&gt;COUNT(Dong14),"",OFFSET(TH!C$1,SMALL(Dong14,ROWS($1:16)),))</f>
        <v/>
      </c>
      <c r="B29" s="628" t="str">
        <f ca="1">IF(ROWS($1:16)&gt;COUNT(Dong14),"",OFFSET(TH!D$1,SMALL(Dong14,ROWS($1:16)),))</f>
        <v/>
      </c>
      <c r="C29" s="628" t="str">
        <f ca="1">IF(ROWS($1:16)&gt;COUNT(Dong14),"",OFFSET(TH!E$1,SMALL(Dong14,ROWS($1:16)),))</f>
        <v/>
      </c>
      <c r="D29" s="629" t="str">
        <f ca="1">IF(ROWS($1:16)&gt;COUNT(Dong14),"",OFFSET(TH!F$1,SMALL(Dong14,ROWS($1:16)),))</f>
        <v/>
      </c>
      <c r="E29" s="630" t="str">
        <f ca="1">IF(ROWS($1:16)&gt;COUNT(Dong14),"",IF(OFFSET(TH!L$1,SMALL(Dong14,ROWS($1:16)),)="331",OFFSET(TH!M$1,SMALL(Dong14,ROWS($1:16)),),OFFSET(TH!L$1,SMALL(Dong14,ROWS($1:16)),)))</f>
        <v/>
      </c>
      <c r="F29" s="630"/>
      <c r="G29" s="631" t="str">
        <f ca="1">IF(ROWS($1:16)&gt;COUNT(Dong14),"",IF(OFFSET(TH!L$1,SMALL(Dong14,ROWS($1:16)),)="131",OFFSET(TH!K$1,SMALL(Dong14,ROWS($1:16)),),0))</f>
        <v/>
      </c>
      <c r="H29" s="631" t="str">
        <f ca="1">IF(ROWS($1:16)&gt;COUNT(Dong14),"",IF(OFFSET(TH!M$1,SMALL(Dong14,ROWS($1:16)),)="131",OFFSET(TH!K$1,SMALL(Dong14,ROWS($1:16)),),0))</f>
        <v/>
      </c>
      <c r="I29" s="632">
        <f t="shared" ca="1" si="0"/>
        <v>0</v>
      </c>
      <c r="J29" s="632">
        <f t="shared" ca="1" si="1"/>
        <v>0</v>
      </c>
    </row>
    <row r="30" spans="1:10" s="4" customFormat="1" ht="18.75" customHeight="1">
      <c r="A30" s="628" t="str">
        <f ca="1">IF(ROWS($1:17)&gt;COUNT(Dong14),"",OFFSET(TH!C$1,SMALL(Dong14,ROWS($1:17)),))</f>
        <v/>
      </c>
      <c r="B30" s="628" t="str">
        <f ca="1">IF(ROWS($1:17)&gt;COUNT(Dong14),"",OFFSET(TH!D$1,SMALL(Dong14,ROWS($1:17)),))</f>
        <v/>
      </c>
      <c r="C30" s="628" t="str">
        <f ca="1">IF(ROWS($1:17)&gt;COUNT(Dong14),"",OFFSET(TH!E$1,SMALL(Dong14,ROWS($1:17)),))</f>
        <v/>
      </c>
      <c r="D30" s="629" t="str">
        <f ca="1">IF(ROWS($1:17)&gt;COUNT(Dong14),"",OFFSET(TH!F$1,SMALL(Dong14,ROWS($1:17)),))</f>
        <v/>
      </c>
      <c r="E30" s="630" t="str">
        <f ca="1">IF(ROWS($1:17)&gt;COUNT(Dong14),"",IF(OFFSET(TH!L$1,SMALL(Dong14,ROWS($1:17)),)="331",OFFSET(TH!M$1,SMALL(Dong14,ROWS($1:17)),),OFFSET(TH!L$1,SMALL(Dong14,ROWS($1:17)),)))</f>
        <v/>
      </c>
      <c r="F30" s="630"/>
      <c r="G30" s="631" t="str">
        <f ca="1">IF(ROWS($1:17)&gt;COUNT(Dong14),"",IF(OFFSET(TH!L$1,SMALL(Dong14,ROWS($1:17)),)="131",OFFSET(TH!K$1,SMALL(Dong14,ROWS($1:17)),),0))</f>
        <v/>
      </c>
      <c r="H30" s="631" t="str">
        <f ca="1">IF(ROWS($1:17)&gt;COUNT(Dong14),"",IF(OFFSET(TH!M$1,SMALL(Dong14,ROWS($1:17)),)="131",OFFSET(TH!K$1,SMALL(Dong14,ROWS($1:17)),),0))</f>
        <v/>
      </c>
      <c r="I30" s="632">
        <f t="shared" ref="I30:I37" ca="1" si="2">IF(D30&lt;&gt;"",MAX(I29+G30-H30-J29,0),0)</f>
        <v>0</v>
      </c>
      <c r="J30" s="632">
        <f t="shared" ref="J30:J37" ca="1" si="3">IF(D30&lt;&gt;"",MAX(J29+H30-I29-G30,0),0)</f>
        <v>0</v>
      </c>
    </row>
    <row r="31" spans="1:10" s="4" customFormat="1" ht="18.75" customHeight="1">
      <c r="A31" s="628" t="str">
        <f ca="1">IF(ROWS($1:18)&gt;COUNT(Dong14),"",OFFSET(TH!C$1,SMALL(Dong14,ROWS($1:18)),))</f>
        <v/>
      </c>
      <c r="B31" s="628" t="str">
        <f ca="1">IF(ROWS($1:18)&gt;COUNT(Dong14),"",OFFSET(TH!D$1,SMALL(Dong14,ROWS($1:18)),))</f>
        <v/>
      </c>
      <c r="C31" s="628" t="str">
        <f ca="1">IF(ROWS($1:18)&gt;COUNT(Dong14),"",OFFSET(TH!E$1,SMALL(Dong14,ROWS($1:18)),))</f>
        <v/>
      </c>
      <c r="D31" s="629" t="str">
        <f ca="1">IF(ROWS($1:18)&gt;COUNT(Dong14),"",OFFSET(TH!F$1,SMALL(Dong14,ROWS($1:18)),))</f>
        <v/>
      </c>
      <c r="E31" s="630" t="str">
        <f ca="1">IF(ROWS($1:18)&gt;COUNT(Dong14),"",IF(OFFSET(TH!L$1,SMALL(Dong14,ROWS($1:18)),)="331",OFFSET(TH!M$1,SMALL(Dong14,ROWS($1:18)),),OFFSET(TH!L$1,SMALL(Dong14,ROWS($1:18)),)))</f>
        <v/>
      </c>
      <c r="F31" s="630"/>
      <c r="G31" s="631" t="str">
        <f ca="1">IF(ROWS($1:18)&gt;COUNT(Dong14),"",IF(OFFSET(TH!L$1,SMALL(Dong14,ROWS($1:18)),)="131",OFFSET(TH!K$1,SMALL(Dong14,ROWS($1:18)),),0))</f>
        <v/>
      </c>
      <c r="H31" s="631" t="str">
        <f ca="1">IF(ROWS($1:18)&gt;COUNT(Dong14),"",IF(OFFSET(TH!M$1,SMALL(Dong14,ROWS($1:18)),)="131",OFFSET(TH!K$1,SMALL(Dong14,ROWS($1:18)),),0))</f>
        <v/>
      </c>
      <c r="I31" s="632">
        <f t="shared" ca="1" si="2"/>
        <v>0</v>
      </c>
      <c r="J31" s="632">
        <f t="shared" ca="1" si="3"/>
        <v>0</v>
      </c>
    </row>
    <row r="32" spans="1:10" s="4" customFormat="1" ht="18.75" customHeight="1">
      <c r="A32" s="628" t="str">
        <f ca="1">IF(ROWS($1:19)&gt;COUNT(Dong14),"",OFFSET(TH!C$1,SMALL(Dong14,ROWS($1:19)),))</f>
        <v/>
      </c>
      <c r="B32" s="628" t="str">
        <f ca="1">IF(ROWS($1:19)&gt;COUNT(Dong14),"",OFFSET(TH!D$1,SMALL(Dong14,ROWS($1:19)),))</f>
        <v/>
      </c>
      <c r="C32" s="628" t="str">
        <f ca="1">IF(ROWS($1:19)&gt;COUNT(Dong14),"",OFFSET(TH!E$1,SMALL(Dong14,ROWS($1:19)),))</f>
        <v/>
      </c>
      <c r="D32" s="629" t="str">
        <f ca="1">IF(ROWS($1:19)&gt;COUNT(Dong14),"",OFFSET(TH!F$1,SMALL(Dong14,ROWS($1:19)),))</f>
        <v/>
      </c>
      <c r="E32" s="630" t="str">
        <f ca="1">IF(ROWS($1:19)&gt;COUNT(Dong14),"",IF(OFFSET(TH!L$1,SMALL(Dong14,ROWS($1:19)),)="331",OFFSET(TH!M$1,SMALL(Dong14,ROWS($1:19)),),OFFSET(TH!L$1,SMALL(Dong14,ROWS($1:19)),)))</f>
        <v/>
      </c>
      <c r="F32" s="630"/>
      <c r="G32" s="631" t="str">
        <f ca="1">IF(ROWS($1:19)&gt;COUNT(Dong14),"",IF(OFFSET(TH!L$1,SMALL(Dong14,ROWS($1:19)),)="131",OFFSET(TH!K$1,SMALL(Dong14,ROWS($1:19)),),0))</f>
        <v/>
      </c>
      <c r="H32" s="631" t="str">
        <f ca="1">IF(ROWS($1:19)&gt;COUNT(Dong14),"",IF(OFFSET(TH!M$1,SMALL(Dong14,ROWS($1:19)),)="131",OFFSET(TH!K$1,SMALL(Dong14,ROWS($1:19)),),0))</f>
        <v/>
      </c>
      <c r="I32" s="632">
        <f t="shared" ca="1" si="2"/>
        <v>0</v>
      </c>
      <c r="J32" s="632">
        <f t="shared" ca="1" si="3"/>
        <v>0</v>
      </c>
    </row>
    <row r="33" spans="1:10" s="4" customFormat="1" ht="18.75" customHeight="1">
      <c r="A33" s="628" t="str">
        <f ca="1">IF(ROWS($1:20)&gt;COUNT(Dong14),"",OFFSET(TH!C$1,SMALL(Dong14,ROWS($1:20)),))</f>
        <v/>
      </c>
      <c r="B33" s="628" t="str">
        <f ca="1">IF(ROWS($1:20)&gt;COUNT(Dong14),"",OFFSET(TH!D$1,SMALL(Dong14,ROWS($1:20)),))</f>
        <v/>
      </c>
      <c r="C33" s="628" t="str">
        <f ca="1">IF(ROWS($1:20)&gt;COUNT(Dong14),"",OFFSET(TH!E$1,SMALL(Dong14,ROWS($1:20)),))</f>
        <v/>
      </c>
      <c r="D33" s="629" t="str">
        <f ca="1">IF(ROWS($1:20)&gt;COUNT(Dong14),"",OFFSET(TH!F$1,SMALL(Dong14,ROWS($1:20)),))</f>
        <v/>
      </c>
      <c r="E33" s="630" t="str">
        <f ca="1">IF(ROWS($1:20)&gt;COUNT(Dong14),"",IF(OFFSET(TH!L$1,SMALL(Dong14,ROWS($1:20)),)="331",OFFSET(TH!M$1,SMALL(Dong14,ROWS($1:20)),),OFFSET(TH!L$1,SMALL(Dong14,ROWS($1:20)),)))</f>
        <v/>
      </c>
      <c r="F33" s="630"/>
      <c r="G33" s="631" t="str">
        <f ca="1">IF(ROWS($1:20)&gt;COUNT(Dong14),"",IF(OFFSET(TH!L$1,SMALL(Dong14,ROWS($1:20)),)="131",OFFSET(TH!K$1,SMALL(Dong14,ROWS($1:20)),),0))</f>
        <v/>
      </c>
      <c r="H33" s="631" t="str">
        <f ca="1">IF(ROWS($1:20)&gt;COUNT(Dong14),"",IF(OFFSET(TH!M$1,SMALL(Dong14,ROWS($1:20)),)="131",OFFSET(TH!K$1,SMALL(Dong14,ROWS($1:20)),),0))</f>
        <v/>
      </c>
      <c r="I33" s="632">
        <f t="shared" ca="1" si="2"/>
        <v>0</v>
      </c>
      <c r="J33" s="632">
        <f t="shared" ca="1" si="3"/>
        <v>0</v>
      </c>
    </row>
    <row r="34" spans="1:10" s="4" customFormat="1" ht="18.75" customHeight="1">
      <c r="A34" s="628" t="str">
        <f ca="1">IF(ROWS($1:21)&gt;COUNT(Dong14),"",OFFSET(TH!C$1,SMALL(Dong14,ROWS($1:21)),))</f>
        <v/>
      </c>
      <c r="B34" s="628" t="str">
        <f ca="1">IF(ROWS($1:21)&gt;COUNT(Dong14),"",OFFSET(TH!D$1,SMALL(Dong14,ROWS($1:21)),))</f>
        <v/>
      </c>
      <c r="C34" s="628" t="str">
        <f ca="1">IF(ROWS($1:21)&gt;COUNT(Dong14),"",OFFSET(TH!E$1,SMALL(Dong14,ROWS($1:21)),))</f>
        <v/>
      </c>
      <c r="D34" s="629" t="str">
        <f ca="1">IF(ROWS($1:21)&gt;COUNT(Dong14),"",OFFSET(TH!F$1,SMALL(Dong14,ROWS($1:21)),))</f>
        <v/>
      </c>
      <c r="E34" s="630" t="str">
        <f ca="1">IF(ROWS($1:21)&gt;COUNT(Dong14),"",IF(OFFSET(TH!L$1,SMALL(Dong14,ROWS($1:21)),)="331",OFFSET(TH!M$1,SMALL(Dong14,ROWS($1:21)),),OFFSET(TH!L$1,SMALL(Dong14,ROWS($1:21)),)))</f>
        <v/>
      </c>
      <c r="F34" s="630"/>
      <c r="G34" s="631" t="str">
        <f ca="1">IF(ROWS($1:21)&gt;COUNT(Dong14),"",IF(OFFSET(TH!L$1,SMALL(Dong14,ROWS($1:21)),)="131",OFFSET(TH!K$1,SMALL(Dong14,ROWS($1:21)),),0))</f>
        <v/>
      </c>
      <c r="H34" s="631" t="str">
        <f ca="1">IF(ROWS($1:21)&gt;COUNT(Dong14),"",IF(OFFSET(TH!M$1,SMALL(Dong14,ROWS($1:21)),)="131",OFFSET(TH!K$1,SMALL(Dong14,ROWS($1:21)),),0))</f>
        <v/>
      </c>
      <c r="I34" s="632">
        <f t="shared" ca="1" si="2"/>
        <v>0</v>
      </c>
      <c r="J34" s="632">
        <f t="shared" ca="1" si="3"/>
        <v>0</v>
      </c>
    </row>
    <row r="35" spans="1:10" s="4" customFormat="1" ht="18.75" customHeight="1">
      <c r="A35" s="628" t="str">
        <f ca="1">IF(ROWS($1:22)&gt;COUNT(Dong14),"",OFFSET(TH!C$1,SMALL(Dong14,ROWS($1:22)),))</f>
        <v/>
      </c>
      <c r="B35" s="628" t="str">
        <f ca="1">IF(ROWS($1:22)&gt;COUNT(Dong14),"",OFFSET(TH!D$1,SMALL(Dong14,ROWS($1:22)),))</f>
        <v/>
      </c>
      <c r="C35" s="628" t="str">
        <f ca="1">IF(ROWS($1:22)&gt;COUNT(Dong14),"",OFFSET(TH!E$1,SMALL(Dong14,ROWS($1:22)),))</f>
        <v/>
      </c>
      <c r="D35" s="629" t="str">
        <f ca="1">IF(ROWS($1:22)&gt;COUNT(Dong14),"",OFFSET(TH!F$1,SMALL(Dong14,ROWS($1:22)),))</f>
        <v/>
      </c>
      <c r="E35" s="630" t="str">
        <f ca="1">IF(ROWS($1:22)&gt;COUNT(Dong14),"",IF(OFFSET(TH!L$1,SMALL(Dong14,ROWS($1:22)),)="331",OFFSET(TH!M$1,SMALL(Dong14,ROWS($1:22)),),OFFSET(TH!L$1,SMALL(Dong14,ROWS($1:22)),)))</f>
        <v/>
      </c>
      <c r="F35" s="630"/>
      <c r="G35" s="631" t="str">
        <f ca="1">IF(ROWS($1:22)&gt;COUNT(Dong14),"",IF(OFFSET(TH!L$1,SMALL(Dong14,ROWS($1:22)),)="131",OFFSET(TH!K$1,SMALL(Dong14,ROWS($1:22)),),0))</f>
        <v/>
      </c>
      <c r="H35" s="631" t="str">
        <f ca="1">IF(ROWS($1:22)&gt;COUNT(Dong14),"",IF(OFFSET(TH!M$1,SMALL(Dong14,ROWS($1:22)),)="131",OFFSET(TH!K$1,SMALL(Dong14,ROWS($1:22)),),0))</f>
        <v/>
      </c>
      <c r="I35" s="632">
        <f t="shared" ca="1" si="2"/>
        <v>0</v>
      </c>
      <c r="J35" s="632">
        <f t="shared" ca="1" si="3"/>
        <v>0</v>
      </c>
    </row>
    <row r="36" spans="1:10" s="4" customFormat="1" ht="18.75" customHeight="1">
      <c r="A36" s="628" t="str">
        <f ca="1">IF(ROWS($1:23)&gt;COUNT(Dong14),"",OFFSET(TH!C$1,SMALL(Dong14,ROWS($1:23)),))</f>
        <v/>
      </c>
      <c r="B36" s="628" t="str">
        <f ca="1">IF(ROWS($1:23)&gt;COUNT(Dong14),"",OFFSET(TH!D$1,SMALL(Dong14,ROWS($1:23)),))</f>
        <v/>
      </c>
      <c r="C36" s="628" t="str">
        <f ca="1">IF(ROWS($1:23)&gt;COUNT(Dong14),"",OFFSET(TH!E$1,SMALL(Dong14,ROWS($1:23)),))</f>
        <v/>
      </c>
      <c r="D36" s="629" t="str">
        <f ca="1">IF(ROWS($1:23)&gt;COUNT(Dong14),"",OFFSET(TH!F$1,SMALL(Dong14,ROWS($1:23)),))</f>
        <v/>
      </c>
      <c r="E36" s="630" t="str">
        <f ca="1">IF(ROWS($1:23)&gt;COUNT(Dong14),"",IF(OFFSET(TH!L$1,SMALL(Dong14,ROWS($1:23)),)="331",OFFSET(TH!M$1,SMALL(Dong14,ROWS($1:23)),),OFFSET(TH!L$1,SMALL(Dong14,ROWS($1:23)),)))</f>
        <v/>
      </c>
      <c r="F36" s="630"/>
      <c r="G36" s="631" t="str">
        <f ca="1">IF(ROWS($1:23)&gt;COUNT(Dong14),"",IF(OFFSET(TH!L$1,SMALL(Dong14,ROWS($1:23)),)="131",OFFSET(TH!K$1,SMALL(Dong14,ROWS($1:23)),),0))</f>
        <v/>
      </c>
      <c r="H36" s="631" t="str">
        <f ca="1">IF(ROWS($1:23)&gt;COUNT(Dong14),"",IF(OFFSET(TH!M$1,SMALL(Dong14,ROWS($1:23)),)="131",OFFSET(TH!K$1,SMALL(Dong14,ROWS($1:23)),),0))</f>
        <v/>
      </c>
      <c r="I36" s="632">
        <f t="shared" ca="1" si="2"/>
        <v>0</v>
      </c>
      <c r="J36" s="632">
        <f t="shared" ca="1" si="3"/>
        <v>0</v>
      </c>
    </row>
    <row r="37" spans="1:10" s="4" customFormat="1" ht="18.75" customHeight="1">
      <c r="A37" s="628" t="str">
        <f ca="1">IF(ROWS($1:24)&gt;COUNT(Dong14),"",OFFSET(TH!C$1,SMALL(Dong14,ROWS($1:24)),))</f>
        <v/>
      </c>
      <c r="B37" s="628" t="str">
        <f ca="1">IF(ROWS($1:24)&gt;COUNT(Dong14),"",OFFSET(TH!D$1,SMALL(Dong14,ROWS($1:24)),))</f>
        <v/>
      </c>
      <c r="C37" s="628" t="str">
        <f ca="1">IF(ROWS($1:24)&gt;COUNT(Dong14),"",OFFSET(TH!E$1,SMALL(Dong14,ROWS($1:24)),))</f>
        <v/>
      </c>
      <c r="D37" s="629" t="str">
        <f ca="1">IF(ROWS($1:24)&gt;COUNT(Dong14),"",OFFSET(TH!F$1,SMALL(Dong14,ROWS($1:24)),))</f>
        <v/>
      </c>
      <c r="E37" s="630" t="str">
        <f ca="1">IF(ROWS($1:24)&gt;COUNT(Dong14),"",IF(OFFSET(TH!L$1,SMALL(Dong14,ROWS($1:24)),)="331",OFFSET(TH!M$1,SMALL(Dong14,ROWS($1:24)),),OFFSET(TH!L$1,SMALL(Dong14,ROWS($1:24)),)))</f>
        <v/>
      </c>
      <c r="F37" s="630"/>
      <c r="G37" s="631" t="str">
        <f ca="1">IF(ROWS($1:24)&gt;COUNT(Dong14),"",IF(OFFSET(TH!L$1,SMALL(Dong14,ROWS($1:24)),)="131",OFFSET(TH!K$1,SMALL(Dong14,ROWS($1:24)),),0))</f>
        <v/>
      </c>
      <c r="H37" s="631" t="str">
        <f ca="1">IF(ROWS($1:24)&gt;COUNT(Dong14),"",IF(OFFSET(TH!M$1,SMALL(Dong14,ROWS($1:24)),)="131",OFFSET(TH!K$1,SMALL(Dong14,ROWS($1:24)),),0))</f>
        <v/>
      </c>
      <c r="I37" s="632">
        <f t="shared" ca="1" si="2"/>
        <v>0</v>
      </c>
      <c r="J37" s="632">
        <f t="shared" ca="1" si="3"/>
        <v>0</v>
      </c>
    </row>
    <row r="38" spans="1:10" s="4" customFormat="1" ht="18.75" customHeight="1">
      <c r="A38" s="628" t="str">
        <f ca="1">IF(ROWS($1:25)&gt;COUNT(Dong14),"",OFFSET(TH!C$1,SMALL(Dong14,ROWS($1:25)),))</f>
        <v/>
      </c>
      <c r="B38" s="628" t="str">
        <f ca="1">IF(ROWS($1:25)&gt;COUNT(Dong14),"",OFFSET(TH!D$1,SMALL(Dong14,ROWS($1:25)),))</f>
        <v/>
      </c>
      <c r="C38" s="628" t="str">
        <f ca="1">IF(ROWS($1:25)&gt;COUNT(Dong14),"",OFFSET(TH!E$1,SMALL(Dong14,ROWS($1:25)),))</f>
        <v/>
      </c>
      <c r="D38" s="629" t="str">
        <f ca="1">IF(ROWS($1:25)&gt;COUNT(Dong14),"",OFFSET(TH!F$1,SMALL(Dong14,ROWS($1:25)),))</f>
        <v/>
      </c>
      <c r="E38" s="630" t="str">
        <f ca="1">IF(ROWS($1:25)&gt;COUNT(Dong14),"",IF(OFFSET(TH!L$1,SMALL(Dong14,ROWS($1:25)),)="331",OFFSET(TH!M$1,SMALL(Dong14,ROWS($1:25)),),OFFSET(TH!L$1,SMALL(Dong14,ROWS($1:25)),)))</f>
        <v/>
      </c>
      <c r="F38" s="630"/>
      <c r="G38" s="631" t="str">
        <f ca="1">IF(ROWS($1:25)&gt;COUNT(Dong14),"",IF(OFFSET(TH!L$1,SMALL(Dong14,ROWS($1:25)),)="131",OFFSET(TH!K$1,SMALL(Dong14,ROWS($1:25)),),0))</f>
        <v/>
      </c>
      <c r="H38" s="631" t="str">
        <f ca="1">IF(ROWS($1:25)&gt;COUNT(Dong14),"",IF(OFFSET(TH!M$1,SMALL(Dong14,ROWS($1:25)),)="131",OFFSET(TH!K$1,SMALL(Dong14,ROWS($1:25)),),0))</f>
        <v/>
      </c>
      <c r="I38" s="632">
        <f t="shared" ref="I38:I49" ca="1" si="4">IF(D38&lt;&gt;"",MAX(I37+G38-H38-J37,0),0)</f>
        <v>0</v>
      </c>
      <c r="J38" s="632">
        <f t="shared" ref="J38:J49" ca="1" si="5">IF(D38&lt;&gt;"",MAX(J37+H38-I37-G38,0),0)</f>
        <v>0</v>
      </c>
    </row>
    <row r="39" spans="1:10" s="4" customFormat="1" ht="18.75" customHeight="1">
      <c r="A39" s="628" t="str">
        <f ca="1">IF(ROWS($1:26)&gt;COUNT(Dong14),"",OFFSET(TH!C$1,SMALL(Dong14,ROWS($1:26)),))</f>
        <v/>
      </c>
      <c r="B39" s="628" t="str">
        <f ca="1">IF(ROWS($1:26)&gt;COUNT(Dong14),"",OFFSET(TH!D$1,SMALL(Dong14,ROWS($1:26)),))</f>
        <v/>
      </c>
      <c r="C39" s="628" t="str">
        <f ca="1">IF(ROWS($1:26)&gt;COUNT(Dong14),"",OFFSET(TH!E$1,SMALL(Dong14,ROWS($1:26)),))</f>
        <v/>
      </c>
      <c r="D39" s="629" t="str">
        <f ca="1">IF(ROWS($1:26)&gt;COUNT(Dong14),"",OFFSET(TH!F$1,SMALL(Dong14,ROWS($1:26)),))</f>
        <v/>
      </c>
      <c r="E39" s="630" t="str">
        <f ca="1">IF(ROWS($1:26)&gt;COUNT(Dong14),"",IF(OFFSET(TH!L$1,SMALL(Dong14,ROWS($1:26)),)="331",OFFSET(TH!M$1,SMALL(Dong14,ROWS($1:26)),),OFFSET(TH!L$1,SMALL(Dong14,ROWS($1:26)),)))</f>
        <v/>
      </c>
      <c r="F39" s="630"/>
      <c r="G39" s="631" t="str">
        <f ca="1">IF(ROWS($1:26)&gt;COUNT(Dong14),"",IF(OFFSET(TH!L$1,SMALL(Dong14,ROWS($1:26)),)="131",OFFSET(TH!K$1,SMALL(Dong14,ROWS($1:26)),),0))</f>
        <v/>
      </c>
      <c r="H39" s="631" t="str">
        <f ca="1">IF(ROWS($1:26)&gt;COUNT(Dong14),"",IF(OFFSET(TH!M$1,SMALL(Dong14,ROWS($1:26)),)="131",OFFSET(TH!K$1,SMALL(Dong14,ROWS($1:26)),),0))</f>
        <v/>
      </c>
      <c r="I39" s="632">
        <f t="shared" ca="1" si="4"/>
        <v>0</v>
      </c>
      <c r="J39" s="632">
        <f t="shared" ca="1" si="5"/>
        <v>0</v>
      </c>
    </row>
    <row r="40" spans="1:10" s="4" customFormat="1" ht="18.75" customHeight="1">
      <c r="A40" s="628" t="str">
        <f ca="1">IF(ROWS($1:27)&gt;COUNT(Dong14),"",OFFSET(TH!C$1,SMALL(Dong14,ROWS($1:27)),))</f>
        <v/>
      </c>
      <c r="B40" s="628" t="str">
        <f ca="1">IF(ROWS($1:27)&gt;COUNT(Dong14),"",OFFSET(TH!D$1,SMALL(Dong14,ROWS($1:27)),))</f>
        <v/>
      </c>
      <c r="C40" s="628" t="str">
        <f ca="1">IF(ROWS($1:27)&gt;COUNT(Dong14),"",OFFSET(TH!E$1,SMALL(Dong14,ROWS($1:27)),))</f>
        <v/>
      </c>
      <c r="D40" s="629" t="str">
        <f ca="1">IF(ROWS($1:27)&gt;COUNT(Dong14),"",OFFSET(TH!F$1,SMALL(Dong14,ROWS($1:27)),))</f>
        <v/>
      </c>
      <c r="E40" s="630" t="str">
        <f ca="1">IF(ROWS($1:27)&gt;COUNT(Dong14),"",IF(OFFSET(TH!L$1,SMALL(Dong14,ROWS($1:27)),)="331",OFFSET(TH!M$1,SMALL(Dong14,ROWS($1:27)),),OFFSET(TH!L$1,SMALL(Dong14,ROWS($1:27)),)))</f>
        <v/>
      </c>
      <c r="F40" s="630"/>
      <c r="G40" s="631" t="str">
        <f ca="1">IF(ROWS($1:27)&gt;COUNT(Dong14),"",IF(OFFSET(TH!L$1,SMALL(Dong14,ROWS($1:27)),)="131",OFFSET(TH!K$1,SMALL(Dong14,ROWS($1:27)),),0))</f>
        <v/>
      </c>
      <c r="H40" s="631" t="str">
        <f ca="1">IF(ROWS($1:27)&gt;COUNT(Dong14),"",IF(OFFSET(TH!M$1,SMALL(Dong14,ROWS($1:27)),)="131",OFFSET(TH!K$1,SMALL(Dong14,ROWS($1:27)),),0))</f>
        <v/>
      </c>
      <c r="I40" s="632">
        <f t="shared" ca="1" si="4"/>
        <v>0</v>
      </c>
      <c r="J40" s="632">
        <f t="shared" ca="1" si="5"/>
        <v>0</v>
      </c>
    </row>
    <row r="41" spans="1:10" s="4" customFormat="1" ht="18.75" customHeight="1">
      <c r="A41" s="628" t="str">
        <f ca="1">IF(ROWS($1:28)&gt;COUNT(Dong14),"",OFFSET(TH!C$1,SMALL(Dong14,ROWS($1:28)),))</f>
        <v/>
      </c>
      <c r="B41" s="628" t="str">
        <f ca="1">IF(ROWS($1:28)&gt;COUNT(Dong14),"",OFFSET(TH!D$1,SMALL(Dong14,ROWS($1:28)),))</f>
        <v/>
      </c>
      <c r="C41" s="628" t="str">
        <f ca="1">IF(ROWS($1:28)&gt;COUNT(Dong14),"",OFFSET(TH!E$1,SMALL(Dong14,ROWS($1:28)),))</f>
        <v/>
      </c>
      <c r="D41" s="629" t="str">
        <f ca="1">IF(ROWS($1:28)&gt;COUNT(Dong14),"",OFFSET(TH!F$1,SMALL(Dong14,ROWS($1:28)),))</f>
        <v/>
      </c>
      <c r="E41" s="630" t="str">
        <f ca="1">IF(ROWS($1:28)&gt;COUNT(Dong14),"",IF(OFFSET(TH!L$1,SMALL(Dong14,ROWS($1:28)),)="331",OFFSET(TH!M$1,SMALL(Dong14,ROWS($1:28)),),OFFSET(TH!L$1,SMALL(Dong14,ROWS($1:28)),)))</f>
        <v/>
      </c>
      <c r="F41" s="630"/>
      <c r="G41" s="631" t="str">
        <f ca="1">IF(ROWS($1:28)&gt;COUNT(Dong14),"",IF(OFFSET(TH!L$1,SMALL(Dong14,ROWS($1:28)),)="131",OFFSET(TH!K$1,SMALL(Dong14,ROWS($1:28)),),0))</f>
        <v/>
      </c>
      <c r="H41" s="631" t="str">
        <f ca="1">IF(ROWS($1:28)&gt;COUNT(Dong14),"",IF(OFFSET(TH!M$1,SMALL(Dong14,ROWS($1:28)),)="131",OFFSET(TH!K$1,SMALL(Dong14,ROWS($1:28)),),0))</f>
        <v/>
      </c>
      <c r="I41" s="632">
        <f t="shared" ca="1" si="4"/>
        <v>0</v>
      </c>
      <c r="J41" s="632">
        <f t="shared" ca="1" si="5"/>
        <v>0</v>
      </c>
    </row>
    <row r="42" spans="1:10" s="4" customFormat="1" ht="18.75" customHeight="1">
      <c r="A42" s="628" t="str">
        <f ca="1">IF(ROWS($1:29)&gt;COUNT(Dong14),"",OFFSET(TH!C$1,SMALL(Dong14,ROWS($1:29)),))</f>
        <v/>
      </c>
      <c r="B42" s="628" t="str">
        <f ca="1">IF(ROWS($1:29)&gt;COUNT(Dong14),"",OFFSET(TH!D$1,SMALL(Dong14,ROWS($1:29)),))</f>
        <v/>
      </c>
      <c r="C42" s="628" t="str">
        <f ca="1">IF(ROWS($1:29)&gt;COUNT(Dong14),"",OFFSET(TH!E$1,SMALL(Dong14,ROWS($1:29)),))</f>
        <v/>
      </c>
      <c r="D42" s="629" t="str">
        <f ca="1">IF(ROWS($1:29)&gt;COUNT(Dong14),"",OFFSET(TH!F$1,SMALL(Dong14,ROWS($1:29)),))</f>
        <v/>
      </c>
      <c r="E42" s="630" t="str">
        <f ca="1">IF(ROWS($1:29)&gt;COUNT(Dong14),"",IF(OFFSET(TH!L$1,SMALL(Dong14,ROWS($1:29)),)="331",OFFSET(TH!M$1,SMALL(Dong14,ROWS($1:29)),),OFFSET(TH!L$1,SMALL(Dong14,ROWS($1:29)),)))</f>
        <v/>
      </c>
      <c r="F42" s="630"/>
      <c r="G42" s="631" t="str">
        <f ca="1">IF(ROWS($1:29)&gt;COUNT(Dong14),"",IF(OFFSET(TH!L$1,SMALL(Dong14,ROWS($1:29)),)="131",OFFSET(TH!K$1,SMALL(Dong14,ROWS($1:29)),),0))</f>
        <v/>
      </c>
      <c r="H42" s="631" t="str">
        <f ca="1">IF(ROWS($1:29)&gt;COUNT(Dong14),"",IF(OFFSET(TH!M$1,SMALL(Dong14,ROWS($1:29)),)="131",OFFSET(TH!K$1,SMALL(Dong14,ROWS($1:29)),),0))</f>
        <v/>
      </c>
      <c r="I42" s="632">
        <f t="shared" ca="1" si="4"/>
        <v>0</v>
      </c>
      <c r="J42" s="632">
        <f t="shared" ca="1" si="5"/>
        <v>0</v>
      </c>
    </row>
    <row r="43" spans="1:10" s="4" customFormat="1" ht="18.75" customHeight="1">
      <c r="A43" s="628" t="str">
        <f ca="1">IF(ROWS($1:30)&gt;COUNT(Dong14),"",OFFSET(TH!C$1,SMALL(Dong14,ROWS($1:30)),))</f>
        <v/>
      </c>
      <c r="B43" s="628" t="str">
        <f ca="1">IF(ROWS($1:30)&gt;COUNT(Dong14),"",OFFSET(TH!D$1,SMALL(Dong14,ROWS($1:30)),))</f>
        <v/>
      </c>
      <c r="C43" s="628" t="str">
        <f ca="1">IF(ROWS($1:30)&gt;COUNT(Dong14),"",OFFSET(TH!E$1,SMALL(Dong14,ROWS($1:30)),))</f>
        <v/>
      </c>
      <c r="D43" s="629" t="str">
        <f ca="1">IF(ROWS($1:30)&gt;COUNT(Dong14),"",OFFSET(TH!F$1,SMALL(Dong14,ROWS($1:30)),))</f>
        <v/>
      </c>
      <c r="E43" s="630" t="str">
        <f ca="1">IF(ROWS($1:30)&gt;COUNT(Dong14),"",IF(OFFSET(TH!L$1,SMALL(Dong14,ROWS($1:30)),)="331",OFFSET(TH!M$1,SMALL(Dong14,ROWS($1:30)),),OFFSET(TH!L$1,SMALL(Dong14,ROWS($1:30)),)))</f>
        <v/>
      </c>
      <c r="F43" s="630"/>
      <c r="G43" s="631" t="str">
        <f ca="1">IF(ROWS($1:30)&gt;COUNT(Dong14),"",IF(OFFSET(TH!L$1,SMALL(Dong14,ROWS($1:30)),)="131",OFFSET(TH!K$1,SMALL(Dong14,ROWS($1:30)),),0))</f>
        <v/>
      </c>
      <c r="H43" s="631" t="str">
        <f ca="1">IF(ROWS($1:30)&gt;COUNT(Dong14),"",IF(OFFSET(TH!M$1,SMALL(Dong14,ROWS($1:30)),)="131",OFFSET(TH!K$1,SMALL(Dong14,ROWS($1:30)),),0))</f>
        <v/>
      </c>
      <c r="I43" s="632">
        <f t="shared" ca="1" si="4"/>
        <v>0</v>
      </c>
      <c r="J43" s="632">
        <f t="shared" ca="1" si="5"/>
        <v>0</v>
      </c>
    </row>
    <row r="44" spans="1:10" s="4" customFormat="1" ht="18.75" customHeight="1">
      <c r="A44" s="628" t="str">
        <f ca="1">IF(ROWS($1:31)&gt;COUNT(Dong14),"",OFFSET(TH!C$1,SMALL(Dong14,ROWS($1:31)),))</f>
        <v/>
      </c>
      <c r="B44" s="628" t="str">
        <f ca="1">IF(ROWS($1:31)&gt;COUNT(Dong14),"",OFFSET(TH!D$1,SMALL(Dong14,ROWS($1:31)),))</f>
        <v/>
      </c>
      <c r="C44" s="628" t="str">
        <f ca="1">IF(ROWS($1:31)&gt;COUNT(Dong14),"",OFFSET(TH!E$1,SMALL(Dong14,ROWS($1:31)),))</f>
        <v/>
      </c>
      <c r="D44" s="629" t="str">
        <f ca="1">IF(ROWS($1:31)&gt;COUNT(Dong14),"",OFFSET(TH!F$1,SMALL(Dong14,ROWS($1:31)),))</f>
        <v/>
      </c>
      <c r="E44" s="630" t="str">
        <f ca="1">IF(ROWS($1:31)&gt;COUNT(Dong14),"",IF(OFFSET(TH!L$1,SMALL(Dong14,ROWS($1:31)),)="331",OFFSET(TH!M$1,SMALL(Dong14,ROWS($1:31)),),OFFSET(TH!L$1,SMALL(Dong14,ROWS($1:31)),)))</f>
        <v/>
      </c>
      <c r="F44" s="630"/>
      <c r="G44" s="631" t="str">
        <f ca="1">IF(ROWS($1:31)&gt;COUNT(Dong14),"",IF(OFFSET(TH!L$1,SMALL(Dong14,ROWS($1:31)),)="131",OFFSET(TH!K$1,SMALL(Dong14,ROWS($1:31)),),0))</f>
        <v/>
      </c>
      <c r="H44" s="631" t="str">
        <f ca="1">IF(ROWS($1:31)&gt;COUNT(Dong14),"",IF(OFFSET(TH!M$1,SMALL(Dong14,ROWS($1:31)),)="131",OFFSET(TH!K$1,SMALL(Dong14,ROWS($1:31)),),0))</f>
        <v/>
      </c>
      <c r="I44" s="632">
        <f t="shared" ca="1" si="4"/>
        <v>0</v>
      </c>
      <c r="J44" s="632">
        <f t="shared" ca="1" si="5"/>
        <v>0</v>
      </c>
    </row>
    <row r="45" spans="1:10" s="4" customFormat="1" ht="18.75" customHeight="1">
      <c r="A45" s="628" t="str">
        <f ca="1">IF(ROWS($1:32)&gt;COUNT(Dong14),"",OFFSET(TH!C$1,SMALL(Dong14,ROWS($1:32)),))</f>
        <v/>
      </c>
      <c r="B45" s="628" t="str">
        <f ca="1">IF(ROWS($1:32)&gt;COUNT(Dong14),"",OFFSET(TH!D$1,SMALL(Dong14,ROWS($1:32)),))</f>
        <v/>
      </c>
      <c r="C45" s="628" t="str">
        <f ca="1">IF(ROWS($1:32)&gt;COUNT(Dong14),"",OFFSET(TH!E$1,SMALL(Dong14,ROWS($1:32)),))</f>
        <v/>
      </c>
      <c r="D45" s="629" t="str">
        <f ca="1">IF(ROWS($1:32)&gt;COUNT(Dong14),"",OFFSET(TH!F$1,SMALL(Dong14,ROWS($1:32)),))</f>
        <v/>
      </c>
      <c r="E45" s="630" t="str">
        <f ca="1">IF(ROWS($1:32)&gt;COUNT(Dong14),"",IF(OFFSET(TH!L$1,SMALL(Dong14,ROWS($1:32)),)="331",OFFSET(TH!M$1,SMALL(Dong14,ROWS($1:32)),),OFFSET(TH!L$1,SMALL(Dong14,ROWS($1:32)),)))</f>
        <v/>
      </c>
      <c r="F45" s="630"/>
      <c r="G45" s="631" t="str">
        <f ca="1">IF(ROWS($1:32)&gt;COUNT(Dong14),"",IF(OFFSET(TH!L$1,SMALL(Dong14,ROWS($1:32)),)="131",OFFSET(TH!K$1,SMALL(Dong14,ROWS($1:32)),),0))</f>
        <v/>
      </c>
      <c r="H45" s="631" t="str">
        <f ca="1">IF(ROWS($1:32)&gt;COUNT(Dong14),"",IF(OFFSET(TH!M$1,SMALL(Dong14,ROWS($1:32)),)="131",OFFSET(TH!K$1,SMALL(Dong14,ROWS($1:32)),),0))</f>
        <v/>
      </c>
      <c r="I45" s="632">
        <f t="shared" ca="1" si="4"/>
        <v>0</v>
      </c>
      <c r="J45" s="632">
        <f t="shared" ca="1" si="5"/>
        <v>0</v>
      </c>
    </row>
    <row r="46" spans="1:10" s="4" customFormat="1" ht="18.75" customHeight="1">
      <c r="A46" s="628" t="str">
        <f ca="1">IF(ROWS($1:33)&gt;COUNT(Dong14),"",OFFSET(TH!C$1,SMALL(Dong14,ROWS($1:33)),))</f>
        <v/>
      </c>
      <c r="B46" s="628" t="str">
        <f ca="1">IF(ROWS($1:33)&gt;COUNT(Dong14),"",OFFSET(TH!D$1,SMALL(Dong14,ROWS($1:33)),))</f>
        <v/>
      </c>
      <c r="C46" s="628" t="str">
        <f ca="1">IF(ROWS($1:33)&gt;COUNT(Dong14),"",OFFSET(TH!E$1,SMALL(Dong14,ROWS($1:33)),))</f>
        <v/>
      </c>
      <c r="D46" s="629" t="str">
        <f ca="1">IF(ROWS($1:33)&gt;COUNT(Dong14),"",OFFSET(TH!F$1,SMALL(Dong14,ROWS($1:33)),))</f>
        <v/>
      </c>
      <c r="E46" s="630" t="str">
        <f ca="1">IF(ROWS($1:33)&gt;COUNT(Dong14),"",IF(OFFSET(TH!L$1,SMALL(Dong14,ROWS($1:33)),)="331",OFFSET(TH!M$1,SMALL(Dong14,ROWS($1:33)),),OFFSET(TH!L$1,SMALL(Dong14,ROWS($1:33)),)))</f>
        <v/>
      </c>
      <c r="F46" s="630"/>
      <c r="G46" s="631" t="str">
        <f ca="1">IF(ROWS($1:33)&gt;COUNT(Dong14),"",IF(OFFSET(TH!L$1,SMALL(Dong14,ROWS($1:33)),)="131",OFFSET(TH!K$1,SMALL(Dong14,ROWS($1:33)),),0))</f>
        <v/>
      </c>
      <c r="H46" s="631" t="str">
        <f ca="1">IF(ROWS($1:33)&gt;COUNT(Dong14),"",IF(OFFSET(TH!M$1,SMALL(Dong14,ROWS($1:33)),)="131",OFFSET(TH!K$1,SMALL(Dong14,ROWS($1:33)),),0))</f>
        <v/>
      </c>
      <c r="I46" s="632">
        <f t="shared" ca="1" si="4"/>
        <v>0</v>
      </c>
      <c r="J46" s="632">
        <f t="shared" ca="1" si="5"/>
        <v>0</v>
      </c>
    </row>
    <row r="47" spans="1:10" s="4" customFormat="1" ht="18.75" customHeight="1">
      <c r="A47" s="628" t="str">
        <f ca="1">IF(ROWS($1:34)&gt;COUNT(Dong14),"",OFFSET(TH!C$1,SMALL(Dong14,ROWS($1:34)),))</f>
        <v/>
      </c>
      <c r="B47" s="628" t="str">
        <f ca="1">IF(ROWS($1:34)&gt;COUNT(Dong14),"",OFFSET(TH!D$1,SMALL(Dong14,ROWS($1:34)),))</f>
        <v/>
      </c>
      <c r="C47" s="628" t="str">
        <f ca="1">IF(ROWS($1:34)&gt;COUNT(Dong14),"",OFFSET(TH!E$1,SMALL(Dong14,ROWS($1:34)),))</f>
        <v/>
      </c>
      <c r="D47" s="629" t="str">
        <f ca="1">IF(ROWS($1:34)&gt;COUNT(Dong14),"",OFFSET(TH!F$1,SMALL(Dong14,ROWS($1:34)),))</f>
        <v/>
      </c>
      <c r="E47" s="630" t="str">
        <f ca="1">IF(ROWS($1:34)&gt;COUNT(Dong14),"",IF(OFFSET(TH!L$1,SMALL(Dong14,ROWS($1:34)),)="331",OFFSET(TH!M$1,SMALL(Dong14,ROWS($1:34)),),OFFSET(TH!L$1,SMALL(Dong14,ROWS($1:34)),)))</f>
        <v/>
      </c>
      <c r="F47" s="630"/>
      <c r="G47" s="631" t="str">
        <f ca="1">IF(ROWS($1:34)&gt;COUNT(Dong14),"",IF(OFFSET(TH!L$1,SMALL(Dong14,ROWS($1:34)),)="131",OFFSET(TH!K$1,SMALL(Dong14,ROWS($1:34)),),0))</f>
        <v/>
      </c>
      <c r="H47" s="631" t="str">
        <f ca="1">IF(ROWS($1:34)&gt;COUNT(Dong14),"",IF(OFFSET(TH!M$1,SMALL(Dong14,ROWS($1:34)),)="131",OFFSET(TH!K$1,SMALL(Dong14,ROWS($1:34)),),0))</f>
        <v/>
      </c>
      <c r="I47" s="632">
        <f t="shared" ca="1" si="4"/>
        <v>0</v>
      </c>
      <c r="J47" s="632">
        <f t="shared" ca="1" si="5"/>
        <v>0</v>
      </c>
    </row>
    <row r="48" spans="1:10" s="4" customFormat="1" ht="18.75" customHeight="1">
      <c r="A48" s="628" t="str">
        <f ca="1">IF(ROWS($1:35)&gt;COUNT(Dong14),"",OFFSET(TH!C$1,SMALL(Dong14,ROWS($1:35)),))</f>
        <v/>
      </c>
      <c r="B48" s="628" t="str">
        <f ca="1">IF(ROWS($1:35)&gt;COUNT(Dong14),"",OFFSET(TH!D$1,SMALL(Dong14,ROWS($1:35)),))</f>
        <v/>
      </c>
      <c r="C48" s="628" t="str">
        <f ca="1">IF(ROWS($1:35)&gt;COUNT(Dong14),"",OFFSET(TH!E$1,SMALL(Dong14,ROWS($1:35)),))</f>
        <v/>
      </c>
      <c r="D48" s="629" t="str">
        <f ca="1">IF(ROWS($1:35)&gt;COUNT(Dong14),"",OFFSET(TH!F$1,SMALL(Dong14,ROWS($1:35)),))</f>
        <v/>
      </c>
      <c r="E48" s="630" t="str">
        <f ca="1">IF(ROWS($1:35)&gt;COUNT(Dong14),"",IF(OFFSET(TH!L$1,SMALL(Dong14,ROWS($1:35)),)="331",OFFSET(TH!M$1,SMALL(Dong14,ROWS($1:35)),),OFFSET(TH!L$1,SMALL(Dong14,ROWS($1:35)),)))</f>
        <v/>
      </c>
      <c r="F48" s="630"/>
      <c r="G48" s="631" t="str">
        <f ca="1">IF(ROWS($1:35)&gt;COUNT(Dong14),"",IF(OFFSET(TH!L$1,SMALL(Dong14,ROWS($1:35)),)="131",OFFSET(TH!K$1,SMALL(Dong14,ROWS($1:35)),),0))</f>
        <v/>
      </c>
      <c r="H48" s="631" t="str">
        <f ca="1">IF(ROWS($1:35)&gt;COUNT(Dong14),"",IF(OFFSET(TH!M$1,SMALL(Dong14,ROWS($1:35)),)="131",OFFSET(TH!K$1,SMALL(Dong14,ROWS($1:35)),),0))</f>
        <v/>
      </c>
      <c r="I48" s="632">
        <f t="shared" ca="1" si="4"/>
        <v>0</v>
      </c>
      <c r="J48" s="632">
        <f t="shared" ca="1" si="5"/>
        <v>0</v>
      </c>
    </row>
    <row r="49" spans="1:11" s="4" customFormat="1" ht="18.75" customHeight="1">
      <c r="A49" s="628" t="str">
        <f ca="1">IF(ROWS($1:36)&gt;COUNT(Dong14),"",OFFSET(TH!C$1,SMALL(Dong14,ROWS($1:36)),))</f>
        <v/>
      </c>
      <c r="B49" s="628" t="str">
        <f ca="1">IF(ROWS($1:36)&gt;COUNT(Dong14),"",OFFSET(TH!D$1,SMALL(Dong14,ROWS($1:36)),))</f>
        <v/>
      </c>
      <c r="C49" s="628" t="str">
        <f ca="1">IF(ROWS($1:36)&gt;COUNT(Dong14),"",OFFSET(TH!E$1,SMALL(Dong14,ROWS($1:36)),))</f>
        <v/>
      </c>
      <c r="D49" s="629" t="str">
        <f ca="1">IF(ROWS($1:36)&gt;COUNT(Dong14),"",OFFSET(TH!F$1,SMALL(Dong14,ROWS($1:36)),))</f>
        <v/>
      </c>
      <c r="E49" s="630" t="str">
        <f ca="1">IF(ROWS($1:36)&gt;COUNT(Dong14),"",IF(OFFSET(TH!L$1,SMALL(Dong14,ROWS($1:36)),)="331",OFFSET(TH!M$1,SMALL(Dong14,ROWS($1:36)),),OFFSET(TH!L$1,SMALL(Dong14,ROWS($1:36)),)))</f>
        <v/>
      </c>
      <c r="F49" s="630"/>
      <c r="G49" s="631" t="str">
        <f ca="1">IF(ROWS($1:36)&gt;COUNT(Dong14),"",IF(OFFSET(TH!L$1,SMALL(Dong14,ROWS($1:36)),)="131",OFFSET(TH!K$1,SMALL(Dong14,ROWS($1:36)),),0))</f>
        <v/>
      </c>
      <c r="H49" s="631" t="str">
        <f ca="1">IF(ROWS($1:36)&gt;COUNT(Dong14),"",IF(OFFSET(TH!M$1,SMALL(Dong14,ROWS($1:36)),)="131",OFFSET(TH!K$1,SMALL(Dong14,ROWS($1:36)),),0))</f>
        <v/>
      </c>
      <c r="I49" s="632">
        <f t="shared" ca="1" si="4"/>
        <v>0</v>
      </c>
      <c r="J49" s="632">
        <f t="shared" ca="1" si="5"/>
        <v>0</v>
      </c>
    </row>
    <row r="50" spans="1:11" s="4" customFormat="1" ht="18.75" customHeight="1">
      <c r="A50" s="628" t="str">
        <f ca="1">IF(ROWS($1:37)&gt;COUNT(Dong14),"",OFFSET(TH!C$1,SMALL(Dong14,ROWS($1:37)),))</f>
        <v/>
      </c>
      <c r="B50" s="628" t="str">
        <f ca="1">IF(ROWS($1:37)&gt;COUNT(Dong14),"",OFFSET(TH!D$1,SMALL(Dong14,ROWS($1:37)),))</f>
        <v/>
      </c>
      <c r="C50" s="628" t="str">
        <f ca="1">IF(ROWS($1:37)&gt;COUNT(Dong14),"",OFFSET(TH!E$1,SMALL(Dong14,ROWS($1:37)),))</f>
        <v/>
      </c>
      <c r="D50" s="629" t="str">
        <f ca="1">IF(ROWS($1:37)&gt;COUNT(Dong14),"",OFFSET(TH!F$1,SMALL(Dong14,ROWS($1:37)),))</f>
        <v/>
      </c>
      <c r="E50" s="630" t="str">
        <f ca="1">IF(ROWS($1:37)&gt;COUNT(Dong14),"",IF(OFFSET(TH!L$1,SMALL(Dong14,ROWS($1:37)),)="331",OFFSET(TH!M$1,SMALL(Dong14,ROWS($1:37)),),OFFSET(TH!L$1,SMALL(Dong14,ROWS($1:37)),)))</f>
        <v/>
      </c>
      <c r="F50" s="630"/>
      <c r="G50" s="631" t="str">
        <f ca="1">IF(ROWS($1:37)&gt;COUNT(Dong14),"",IF(OFFSET(TH!L$1,SMALL(Dong14,ROWS($1:37)),)="131",OFFSET(TH!K$1,SMALL(Dong14,ROWS($1:37)),),0))</f>
        <v/>
      </c>
      <c r="H50" s="631" t="str">
        <f ca="1">IF(ROWS($1:37)&gt;COUNT(Dong14),"",IF(OFFSET(TH!M$1,SMALL(Dong14,ROWS($1:37)),)="131",OFFSET(TH!K$1,SMALL(Dong14,ROWS($1:37)),),0))</f>
        <v/>
      </c>
      <c r="I50" s="632">
        <f t="shared" ref="I50" ca="1" si="6">IF(D50&lt;&gt;"",MAX(I49+G50-H50-J49,0),0)</f>
        <v>0</v>
      </c>
      <c r="J50" s="632">
        <f t="shared" ref="J50" ca="1" si="7">IF(D50&lt;&gt;"",MAX(J49+H50-I49-G50,0),0)</f>
        <v>0</v>
      </c>
    </row>
    <row r="51" spans="1:11" s="4" customFormat="1" ht="18.75" customHeight="1">
      <c r="A51" s="627"/>
      <c r="B51" s="624"/>
      <c r="C51" s="633"/>
      <c r="D51" s="626" t="s">
        <v>33</v>
      </c>
      <c r="E51" s="624" t="s">
        <v>19</v>
      </c>
      <c r="F51" s="624" t="s">
        <v>19</v>
      </c>
      <c r="G51" s="634">
        <f ca="1">SUM(G14:G50)</f>
        <v>6297500</v>
      </c>
      <c r="H51" s="634">
        <f ca="1">SUM(H14:H50)</f>
        <v>6297500</v>
      </c>
      <c r="I51" s="634" t="s">
        <v>19</v>
      </c>
      <c r="J51" s="634" t="s">
        <v>19</v>
      </c>
    </row>
    <row r="52" spans="1:11" s="4" customFormat="1" ht="18.75" customHeight="1">
      <c r="A52" s="627"/>
      <c r="B52" s="624"/>
      <c r="C52" s="624"/>
      <c r="D52" s="626" t="s">
        <v>10</v>
      </c>
      <c r="E52" s="624" t="s">
        <v>19</v>
      </c>
      <c r="F52" s="624" t="s">
        <v>19</v>
      </c>
      <c r="G52" s="634" t="s">
        <v>19</v>
      </c>
      <c r="H52" s="634" t="s">
        <v>19</v>
      </c>
      <c r="I52" s="634">
        <f ca="1">MAX(I13+G51-H51-J13,0)</f>
        <v>0</v>
      </c>
      <c r="J52" s="634">
        <f ca="1">MAX(J13+H51-G51-I13,0)</f>
        <v>0</v>
      </c>
    </row>
    <row r="53" spans="1:11" s="4" customFormat="1" ht="6" customHeight="1">
      <c r="B53" s="594"/>
      <c r="C53" s="594"/>
      <c r="E53" s="594"/>
    </row>
    <row r="54" spans="1:11" s="4" customFormat="1" ht="14.25" customHeight="1">
      <c r="A54" s="635" t="s">
        <v>146</v>
      </c>
      <c r="B54" s="594"/>
      <c r="C54" s="594"/>
      <c r="E54" s="594"/>
      <c r="K54" s="635"/>
    </row>
    <row r="55" spans="1:11" s="4" customFormat="1" ht="14.25" customHeight="1">
      <c r="A55" s="635" t="str">
        <f ca="1">"- Ngày mở sổ: "&amp;DAY($A$14)&amp;"/"&amp;MONTH($A$14)&amp;"/ " &amp;YEAR($A$14)</f>
        <v>- Ngày mở sổ: 6/11/ 2012</v>
      </c>
      <c r="B55" s="594"/>
      <c r="C55" s="594"/>
      <c r="E55" s="594"/>
      <c r="K55" s="635"/>
    </row>
    <row r="56" spans="1:11" s="4" customFormat="1" ht="13.5" customHeight="1">
      <c r="B56" s="594"/>
      <c r="C56" s="594"/>
      <c r="E56" s="825" t="str">
        <f ca="1">"Ngày 31 tháng  12  năm  "&amp;YEAR($A$14)</f>
        <v>Ngày 31 tháng  12  năm  2012</v>
      </c>
      <c r="F56" s="825"/>
      <c r="G56" s="825"/>
      <c r="H56" s="825"/>
      <c r="I56" s="825"/>
      <c r="J56" s="825"/>
    </row>
    <row r="57" spans="1:11" s="4" customFormat="1" ht="13.5" customHeight="1">
      <c r="C57" s="594" t="s">
        <v>11</v>
      </c>
      <c r="E57" s="825" t="s">
        <v>12</v>
      </c>
      <c r="F57" s="825"/>
      <c r="G57" s="825"/>
      <c r="H57" s="825"/>
      <c r="I57" s="825"/>
      <c r="J57" s="825"/>
    </row>
    <row r="58" spans="1:11" s="4" customFormat="1" ht="13.5" customHeight="1">
      <c r="C58" s="594" t="s">
        <v>13</v>
      </c>
      <c r="E58" s="825" t="s">
        <v>13</v>
      </c>
      <c r="F58" s="825"/>
      <c r="G58" s="825"/>
      <c r="H58" s="825"/>
      <c r="I58" s="825"/>
      <c r="J58" s="825"/>
    </row>
  </sheetData>
  <autoFilter ref="A12:J25"/>
  <mergeCells count="16">
    <mergeCell ref="G10:H10"/>
    <mergeCell ref="I10:J10"/>
    <mergeCell ref="E56:J56"/>
    <mergeCell ref="E57:J57"/>
    <mergeCell ref="E58:J58"/>
    <mergeCell ref="H1:J1"/>
    <mergeCell ref="H2:J3"/>
    <mergeCell ref="A4:J4"/>
    <mergeCell ref="C9:J9"/>
    <mergeCell ref="A2:G3"/>
    <mergeCell ref="E7:I7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F12" sqref="F12:H12"/>
    </sheetView>
  </sheetViews>
  <sheetFormatPr defaultColWidth="8" defaultRowHeight="16.5"/>
  <cols>
    <col min="1" max="1" width="5.5703125" style="620" customWidth="1"/>
    <col min="2" max="2" width="40" style="620" customWidth="1"/>
    <col min="3" max="4" width="10.42578125" style="620" customWidth="1"/>
    <col min="5" max="8" width="13.7109375" style="620" customWidth="1"/>
    <col min="9" max="16384" width="8" style="620"/>
  </cols>
  <sheetData>
    <row r="1" spans="1:9">
      <c r="A1" s="285" t="str">
        <f>TH!$A$1</f>
        <v>Đơn vị: CÔNG TY TNHH MỘT THÀNH VIÊN KHỞI NGUYÊN AN</v>
      </c>
    </row>
    <row r="2" spans="1:9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36.75" customHeight="1">
      <c r="A3" s="855" t="s">
        <v>98</v>
      </c>
      <c r="B3" s="855"/>
      <c r="C3" s="855"/>
      <c r="D3" s="855"/>
      <c r="E3" s="855"/>
      <c r="F3" s="855"/>
      <c r="G3" s="855"/>
      <c r="H3" s="855"/>
    </row>
    <row r="4" spans="1:9" s="608" customFormat="1" ht="24.75" customHeight="1">
      <c r="A4" s="856" t="s">
        <v>34</v>
      </c>
      <c r="B4" s="858" t="s">
        <v>35</v>
      </c>
      <c r="C4" s="860" t="s">
        <v>36</v>
      </c>
      <c r="D4" s="861"/>
      <c r="E4" s="860" t="s">
        <v>37</v>
      </c>
      <c r="F4" s="861"/>
      <c r="G4" s="860" t="s">
        <v>40</v>
      </c>
      <c r="H4" s="861"/>
    </row>
    <row r="5" spans="1:9" s="608" customFormat="1" ht="24.75" customHeight="1">
      <c r="A5" s="857"/>
      <c r="B5" s="85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9" s="608" customFormat="1" ht="24.75" customHeight="1">
      <c r="A6" s="610">
        <f>IF(B6&lt;&gt;"",ROW()-5,"")</f>
        <v>1</v>
      </c>
      <c r="B6" s="700" t="s">
        <v>317</v>
      </c>
      <c r="C6" s="612"/>
      <c r="D6" s="612"/>
      <c r="E6" s="612">
        <f t="array" ref="E6">SUM(IF("331"&amp;B6=KHN&amp;KH,TH))</f>
        <v>198481472</v>
      </c>
      <c r="F6" s="612">
        <f t="array" ref="F6">SUM(IF("331"&amp;B6=KHC&amp;KH,TH))</f>
        <v>198481472</v>
      </c>
      <c r="G6" s="613">
        <f t="shared" ref="G6:G7" si="0">ROUND(MAX(C6+E6-D6-F6,0),2)</f>
        <v>0</v>
      </c>
      <c r="H6" s="613">
        <f t="shared" ref="H6:H7" si="1">ROUND(MAX(D6+F6-C6-E6,0),2)</f>
        <v>0</v>
      </c>
      <c r="I6" s="608" t="str">
        <f>IF(ISNA(VLOOKUP(B6,'331'!$B$4:$B$14,1,0)),"","x")</f>
        <v>x</v>
      </c>
    </row>
    <row r="7" spans="1:9" s="608" customFormat="1" ht="24.75" customHeight="1">
      <c r="A7" s="610">
        <f t="shared" ref="A7" si="2">IF(B7&lt;&gt;"",ROW()-5,"")</f>
        <v>2</v>
      </c>
      <c r="B7" s="700" t="s">
        <v>340</v>
      </c>
      <c r="C7" s="612"/>
      <c r="D7" s="612"/>
      <c r="E7" s="612">
        <f t="array" ref="E7">SUM(IF("331"&amp;B7=KHN&amp;KH,TH))</f>
        <v>13550900</v>
      </c>
      <c r="F7" s="612">
        <f t="array" ref="F7">SUM(IF("331"&amp;B7=KHC&amp;KH,TH))</f>
        <v>13550900</v>
      </c>
      <c r="G7" s="613">
        <f t="shared" si="0"/>
        <v>0</v>
      </c>
      <c r="H7" s="613">
        <f t="shared" si="1"/>
        <v>0</v>
      </c>
      <c r="I7" s="608" t="str">
        <f>IF(ISNA(VLOOKUP(B7,'331'!$B$4:$B$14,1,0)),"","x")</f>
        <v>x</v>
      </c>
    </row>
    <row r="8" spans="1:9" s="608" customFormat="1" ht="24.75" customHeight="1">
      <c r="A8" s="610" t="str">
        <f>IF(B8&lt;&gt;"",ROW()-3,"")</f>
        <v/>
      </c>
      <c r="B8" s="614"/>
      <c r="C8" s="612"/>
      <c r="D8" s="612"/>
      <c r="E8" s="701"/>
      <c r="F8" s="701"/>
      <c r="G8" s="702"/>
      <c r="H8" s="702"/>
      <c r="I8" s="608" t="str">
        <f>IF(ISNA(VLOOKUP(B8,'331'!$B$4:$B$14,1,0)),"","x")</f>
        <v/>
      </c>
    </row>
    <row r="9" spans="1:9" s="618" customFormat="1" ht="24.75" customHeight="1">
      <c r="A9" s="615"/>
      <c r="B9" s="616" t="s">
        <v>38</v>
      </c>
      <c r="C9" s="617">
        <f t="shared" ref="C9:H9" si="3">SUM(C6:C8)</f>
        <v>0</v>
      </c>
      <c r="D9" s="617">
        <f t="shared" si="3"/>
        <v>0</v>
      </c>
      <c r="E9" s="617">
        <f t="shared" si="3"/>
        <v>212032372</v>
      </c>
      <c r="F9" s="617">
        <f t="shared" si="3"/>
        <v>212032372</v>
      </c>
      <c r="G9" s="617">
        <f t="shared" si="3"/>
        <v>0</v>
      </c>
      <c r="H9" s="617">
        <f t="shared" si="3"/>
        <v>0</v>
      </c>
    </row>
    <row r="10" spans="1:9">
      <c r="E10" s="619">
        <f>E9-CDPS!E21</f>
        <v>0</v>
      </c>
      <c r="F10" s="619">
        <f>F9-CDPS!F21</f>
        <v>0</v>
      </c>
    </row>
    <row r="12" spans="1:9">
      <c r="E12" s="619"/>
      <c r="F12" s="854" t="str">
        <f>"Ngày 31 tháng  12  năm  "&amp;YEAR(TH!$C$10)</f>
        <v>Ngày 31 tháng  12  năm  2012</v>
      </c>
      <c r="G12" s="854"/>
      <c r="H12" s="854"/>
    </row>
    <row r="13" spans="1:9">
      <c r="F13" s="854" t="s">
        <v>104</v>
      </c>
      <c r="G13" s="854"/>
      <c r="H13" s="854"/>
    </row>
    <row r="14" spans="1:9">
      <c r="E14" s="621"/>
      <c r="F14" s="854" t="s">
        <v>131</v>
      </c>
      <c r="G14" s="854"/>
      <c r="H14" s="854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5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6"/>
  <sheetViews>
    <sheetView topLeftCell="A6" zoomScale="90" zoomScaleNormal="90" workbookViewId="0">
      <pane ySplit="8" topLeftCell="A71" activePane="bottomLeft" state="frozen"/>
      <selection activeCell="A6" sqref="A6"/>
      <selection pane="bottomLeft" activeCell="C84" sqref="C84"/>
    </sheetView>
  </sheetViews>
  <sheetFormatPr defaultRowHeight="14.25"/>
  <cols>
    <col min="1" max="1" width="8.28515625" style="636" customWidth="1"/>
    <col min="2" max="2" width="7.7109375" style="636" customWidth="1"/>
    <col min="3" max="3" width="8.7109375" style="636" customWidth="1"/>
    <col min="4" max="4" width="35.5703125" style="636" customWidth="1"/>
    <col min="5" max="5" width="6.85546875" style="636" customWidth="1"/>
    <col min="6" max="7" width="14" style="636" customWidth="1"/>
    <col min="8" max="8" width="11.85546875" style="636" customWidth="1"/>
    <col min="9" max="9" width="14" style="636" customWidth="1"/>
    <col min="10" max="16384" width="9.140625" style="636"/>
  </cols>
  <sheetData>
    <row r="1" spans="1:9" s="276" customFormat="1" ht="14.25" customHeight="1">
      <c r="A1" s="622" t="str">
        <f>TH!A1</f>
        <v>Đơn vị: CÔNG TY TNHH MỘT THÀNH VIÊN KHỞI NGUYÊN AN</v>
      </c>
      <c r="B1" s="593"/>
      <c r="C1" s="593"/>
      <c r="F1" s="2"/>
      <c r="G1" s="821" t="s">
        <v>45</v>
      </c>
      <c r="H1" s="821"/>
      <c r="I1" s="821"/>
    </row>
    <row r="2" spans="1:9" s="276" customFormat="1" ht="14.25" customHeight="1">
      <c r="A2" s="831" t="str">
        <f>TH!A2</f>
        <v>Địa chỉ: Thửa đất số 144, tờ bản đồ số 12TĐH.1, tổ 1, khu phố Đông Tác, Phường Tân Đông Hiệp, Thị Xã Dĩ An, Tỉnh Bình Dương, Việt Nam</v>
      </c>
      <c r="B2" s="831"/>
      <c r="C2" s="831"/>
      <c r="D2" s="831"/>
      <c r="E2" s="831"/>
      <c r="F2" s="831"/>
      <c r="G2" s="82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22"/>
      <c r="I2" s="822"/>
    </row>
    <row r="3" spans="1:9" s="276" customFormat="1" ht="14.25" customHeight="1">
      <c r="A3" s="831"/>
      <c r="B3" s="831"/>
      <c r="C3" s="831"/>
      <c r="D3" s="831"/>
      <c r="E3" s="831"/>
      <c r="F3" s="831"/>
      <c r="G3" s="822"/>
      <c r="H3" s="822"/>
      <c r="I3" s="822"/>
    </row>
    <row r="4" spans="1:9" s="4" customFormat="1" ht="28.5" customHeight="1">
      <c r="A4" s="823" t="s">
        <v>26</v>
      </c>
      <c r="B4" s="823"/>
      <c r="C4" s="823"/>
      <c r="D4" s="823"/>
      <c r="E4" s="823"/>
      <c r="F4" s="823"/>
      <c r="G4" s="823"/>
      <c r="H4" s="823"/>
      <c r="I4" s="823"/>
    </row>
    <row r="5" spans="1:9" s="4" customFormat="1" ht="14.25" customHeight="1">
      <c r="E5" s="594" t="s">
        <v>27</v>
      </c>
    </row>
    <row r="6" spans="1:9" s="4" customFormat="1" ht="14.25" customHeight="1">
      <c r="E6" s="594" t="s">
        <v>28</v>
      </c>
    </row>
    <row r="7" spans="1:9" s="4" customFormat="1" ht="14.25" customHeight="1">
      <c r="D7" s="108" t="s">
        <v>44</v>
      </c>
      <c r="E7" s="863" t="s">
        <v>317</v>
      </c>
      <c r="F7" s="863"/>
      <c r="G7" s="863"/>
      <c r="H7" s="863"/>
    </row>
    <row r="8" spans="1:9" s="4" customFormat="1" ht="14.25" customHeight="1">
      <c r="E8" s="594" t="s">
        <v>29</v>
      </c>
    </row>
    <row r="9" spans="1:9" s="4" customFormat="1" ht="6.75" customHeight="1">
      <c r="B9" s="594"/>
      <c r="C9" s="828"/>
      <c r="D9" s="828"/>
      <c r="E9" s="828"/>
      <c r="F9" s="828"/>
      <c r="G9" s="828"/>
      <c r="H9" s="828"/>
      <c r="I9" s="828"/>
    </row>
    <row r="10" spans="1:9" s="4" customFormat="1" ht="18.75" customHeight="1">
      <c r="A10" s="829" t="s">
        <v>20</v>
      </c>
      <c r="B10" s="862" t="s">
        <v>1</v>
      </c>
      <c r="C10" s="862"/>
      <c r="D10" s="829" t="s">
        <v>0</v>
      </c>
      <c r="E10" s="829" t="s">
        <v>14</v>
      </c>
      <c r="F10" s="864" t="s">
        <v>21</v>
      </c>
      <c r="G10" s="865"/>
      <c r="H10" s="864" t="s">
        <v>31</v>
      </c>
      <c r="I10" s="865"/>
    </row>
    <row r="11" spans="1:9" s="4" customFormat="1" ht="30" customHeight="1">
      <c r="A11" s="829"/>
      <c r="B11" s="623" t="s">
        <v>15</v>
      </c>
      <c r="C11" s="623" t="s">
        <v>32</v>
      </c>
      <c r="D11" s="829"/>
      <c r="E11" s="829"/>
      <c r="F11" s="623" t="s">
        <v>22</v>
      </c>
      <c r="G11" s="623" t="s">
        <v>23</v>
      </c>
      <c r="H11" s="623" t="s">
        <v>22</v>
      </c>
      <c r="I11" s="623" t="s">
        <v>23</v>
      </c>
    </row>
    <row r="12" spans="1:9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2</v>
      </c>
      <c r="G12" s="624">
        <v>3</v>
      </c>
      <c r="H12" s="624">
        <v>4</v>
      </c>
      <c r="I12" s="624">
        <v>5</v>
      </c>
    </row>
    <row r="13" spans="1:9" s="4" customFormat="1" ht="18" customHeight="1">
      <c r="A13" s="624"/>
      <c r="B13" s="624"/>
      <c r="C13" s="624"/>
      <c r="D13" s="626" t="s">
        <v>7</v>
      </c>
      <c r="E13" s="624"/>
      <c r="F13" s="627"/>
      <c r="G13" s="627"/>
      <c r="H13" s="382">
        <f>VLOOKUP($E$7,'331'!$B$6:$H$8,2,0)</f>
        <v>0</v>
      </c>
      <c r="I13" s="382">
        <f>VLOOKUP($E$7,'331'!$B$6:$H$8,3,0)</f>
        <v>0</v>
      </c>
    </row>
    <row r="14" spans="1:9" s="4" customFormat="1" ht="18" customHeight="1">
      <c r="A14" s="628">
        <f ca="1">IF(ROWS($1:1)&gt;COUNT(Dong),"",OFFSET(TH!C$1,SMALL(Dong,ROWS($1:1)),))</f>
        <v>41153</v>
      </c>
      <c r="B14" s="628" t="str">
        <f ca="1">IF(ROWS($1:1)&gt;COUNT(Dong),"",OFFSET(TH!D$1,SMALL(Dong,ROWS($1:1)),))</f>
        <v>N01</v>
      </c>
      <c r="C14" s="628">
        <f ca="1">IF(ROWS($1:1)&gt;COUNT(Dong),"",OFFSET(TH!E$1,SMALL(Dong,ROWS($1:1)),))</f>
        <v>41153</v>
      </c>
      <c r="D14" s="629" t="str">
        <f ca="1">IF(ROWS($1:1)&gt;COUNT(Dong),"",OFFSET(TH!F$1,SMALL(Dong,ROWS($1:1)),))</f>
        <v>Giấy tấm 1N +2X (110x162)</v>
      </c>
      <c r="E14" s="630" t="str">
        <f ca="1">IF(ROWS($1:1)&gt;COUNT(Dong),"",IF(OFFSET(TH!L$1,SMALL(Dong,ROWS($1:1)),)="331",OFFSET(TH!M$1,SMALL(Dong,ROWS($1:1)),),OFFSET(TH!L$1,SMALL(Dong,ROWS($1:1)),)))</f>
        <v>156</v>
      </c>
      <c r="F14" s="631">
        <f ca="1">IF(ROWS($1:1)&gt;COUNT(Dong),"",IF(OFFSET(TH!L$1,SMALL(Dong,ROWS($1:1)),)="331",OFFSET(TH!K$1,SMALL(Dong,ROWS($1:1)),),0))</f>
        <v>0</v>
      </c>
      <c r="G14" s="631">
        <f ca="1">IF(ROWS($1:1)&gt;COUNT(Dong),"",IF(OFFSET(TH!M$1,SMALL(Dong,ROWS($1:1)),)="331",OFFSET(TH!K$1,SMALL(Dong,ROWS($1:1)),),0))</f>
        <v>6628800</v>
      </c>
      <c r="H14" s="632">
        <f t="shared" ref="H14:H49" ca="1" si="0">IF(D14&lt;&gt;"",MAX(H13+F14-G14-I13,0),0)</f>
        <v>0</v>
      </c>
      <c r="I14" s="632">
        <f t="shared" ref="I14:I49" ca="1" si="1">IF(D14&lt;&gt;"",MAX(I13+G14-H13-F14,0),0)</f>
        <v>6628800</v>
      </c>
    </row>
    <row r="15" spans="1:9" s="4" customFormat="1" ht="18" customHeight="1">
      <c r="A15" s="628">
        <f ca="1">IF(ROWS($1:2)&gt;COUNT(Dong),"",OFFSET(TH!C$1,SMALL(Dong,ROWS($1:2)),))</f>
        <v>41153</v>
      </c>
      <c r="B15" s="628" t="str">
        <f ca="1">IF(ROWS($1:2)&gt;COUNT(Dong),"",OFFSET(TH!D$1,SMALL(Dong,ROWS($1:2)),))</f>
        <v>N01</v>
      </c>
      <c r="C15" s="628">
        <f ca="1">IF(ROWS($1:2)&gt;COUNT(Dong),"",OFFSET(TH!E$1,SMALL(Dong,ROWS($1:2)),))</f>
        <v>41153</v>
      </c>
      <c r="D15" s="629" t="str">
        <f ca="1">IF(ROWS($1:2)&gt;COUNT(Dong),"",OFFSET(TH!F$1,SMALL(Dong,ROWS($1:2)),))</f>
        <v>Giấy tấm 1N +2X (110x159)</v>
      </c>
      <c r="E15" s="630" t="str">
        <f ca="1">IF(ROWS($1:2)&gt;COUNT(Dong),"",IF(OFFSET(TH!L$1,SMALL(Dong,ROWS($1:2)),)="331",OFFSET(TH!M$1,SMALL(Dong,ROWS($1:2)),),OFFSET(TH!L$1,SMALL(Dong,ROWS($1:2)),)))</f>
        <v>156</v>
      </c>
      <c r="F15" s="631">
        <f ca="1">IF(ROWS($1:2)&gt;COUNT(Dong),"",IF(OFFSET(TH!L$1,SMALL(Dong,ROWS($1:2)),)="331",OFFSET(TH!K$1,SMALL(Dong,ROWS($1:2)),),0))</f>
        <v>0</v>
      </c>
      <c r="G15" s="631">
        <f ca="1">IF(ROWS($1:2)&gt;COUNT(Dong),"",IF(OFFSET(TH!M$1,SMALL(Dong,ROWS($1:2)),)="331",OFFSET(TH!K$1,SMALL(Dong,ROWS($1:2)),),0))</f>
        <v>6506400</v>
      </c>
      <c r="H15" s="632">
        <f t="shared" ca="1" si="0"/>
        <v>0</v>
      </c>
      <c r="I15" s="632">
        <f t="shared" ca="1" si="1"/>
        <v>13135200</v>
      </c>
    </row>
    <row r="16" spans="1:9" s="4" customFormat="1" ht="18" customHeight="1">
      <c r="A16" s="628">
        <f ca="1">IF(ROWS($1:3)&gt;COUNT(Dong),"",OFFSET(TH!C$1,SMALL(Dong,ROWS($1:3)),))</f>
        <v>41153</v>
      </c>
      <c r="B16" s="628" t="str">
        <f ca="1">IF(ROWS($1:3)&gt;COUNT(Dong),"",OFFSET(TH!D$1,SMALL(Dong,ROWS($1:3)),))</f>
        <v>N01</v>
      </c>
      <c r="C16" s="628">
        <f ca="1">IF(ROWS($1:3)&gt;COUNT(Dong),"",OFFSET(TH!E$1,SMALL(Dong,ROWS($1:3)),))</f>
        <v>41153</v>
      </c>
      <c r="D16" s="629" t="str">
        <f ca="1">IF(ROWS($1:3)&gt;COUNT(Dong),"",OFFSET(TH!F$1,SMALL(Dong,ROWS($1:3)),))</f>
        <v xml:space="preserve">VAT Giấy tấm </v>
      </c>
      <c r="E16" s="630" t="str">
        <f ca="1">IF(ROWS($1:3)&gt;COUNT(Dong),"",IF(OFFSET(TH!L$1,SMALL(Dong,ROWS($1:3)),)="331",OFFSET(TH!M$1,SMALL(Dong,ROWS($1:3)),),OFFSET(TH!L$1,SMALL(Dong,ROWS($1:3)),)))</f>
        <v>1331</v>
      </c>
      <c r="F16" s="631">
        <f ca="1">IF(ROWS($1:3)&gt;COUNT(Dong),"",IF(OFFSET(TH!L$1,SMALL(Dong,ROWS($1:3)),)="331",OFFSET(TH!K$1,SMALL(Dong,ROWS($1:3)),),0))</f>
        <v>0</v>
      </c>
      <c r="G16" s="631">
        <f ca="1">IF(ROWS($1:3)&gt;COUNT(Dong),"",IF(OFFSET(TH!M$1,SMALL(Dong,ROWS($1:3)),)="331",OFFSET(TH!K$1,SMALL(Dong,ROWS($1:3)),),0))</f>
        <v>1313520</v>
      </c>
      <c r="H16" s="632">
        <f t="shared" ca="1" si="0"/>
        <v>0</v>
      </c>
      <c r="I16" s="632">
        <f t="shared" ca="1" si="1"/>
        <v>14448720</v>
      </c>
    </row>
    <row r="17" spans="1:9" s="4" customFormat="1" ht="18" customHeight="1">
      <c r="A17" s="628">
        <f ca="1">IF(ROWS($1:4)&gt;COUNT(Dong),"",OFFSET(TH!C$1,SMALL(Dong,ROWS($1:4)),))</f>
        <v>41153</v>
      </c>
      <c r="B17" s="628" t="str">
        <f ca="1">IF(ROWS($1:4)&gt;COUNT(Dong),"",OFFSET(TH!D$1,SMALL(Dong,ROWS($1:4)),))</f>
        <v>C04</v>
      </c>
      <c r="C17" s="628">
        <f ca="1">IF(ROWS($1:4)&gt;COUNT(Dong),"",OFFSET(TH!E$1,SMALL(Dong,ROWS($1:4)),))</f>
        <v>41153</v>
      </c>
      <c r="D17" s="629" t="str">
        <f ca="1">IF(ROWS($1:4)&gt;COUNT(Dong),"",OFFSET(TH!F$1,SMALL(Dong,ROWS($1:4)),))</f>
        <v>Thanh toán tiền hàng</v>
      </c>
      <c r="E17" s="630" t="str">
        <f ca="1">IF(ROWS($1:4)&gt;COUNT(Dong),"",IF(OFFSET(TH!L$1,SMALL(Dong,ROWS($1:4)),)="331",OFFSET(TH!M$1,SMALL(Dong,ROWS($1:4)),),OFFSET(TH!L$1,SMALL(Dong,ROWS($1:4)),)))</f>
        <v>1111</v>
      </c>
      <c r="F17" s="631">
        <f ca="1">IF(ROWS($1:4)&gt;COUNT(Dong),"",IF(OFFSET(TH!L$1,SMALL(Dong,ROWS($1:4)),)="331",OFFSET(TH!K$1,SMALL(Dong,ROWS($1:4)),),0))</f>
        <v>14448720</v>
      </c>
      <c r="G17" s="631">
        <f ca="1">IF(ROWS($1:4)&gt;COUNT(Dong),"",IF(OFFSET(TH!M$1,SMALL(Dong,ROWS($1:4)),)="331",OFFSET(TH!K$1,SMALL(Dong,ROWS($1:4)),),0))</f>
        <v>0</v>
      </c>
      <c r="H17" s="632">
        <f t="shared" ca="1" si="0"/>
        <v>0</v>
      </c>
      <c r="I17" s="632">
        <f t="shared" ca="1" si="1"/>
        <v>0</v>
      </c>
    </row>
    <row r="18" spans="1:9" s="4" customFormat="1" ht="18" customHeight="1">
      <c r="A18" s="628">
        <f ca="1">IF(ROWS($1:5)&gt;COUNT(Dong),"",OFFSET(TH!C$1,SMALL(Dong,ROWS($1:5)),))</f>
        <v>41155</v>
      </c>
      <c r="B18" s="628" t="str">
        <f ca="1">IF(ROWS($1:5)&gt;COUNT(Dong),"",OFFSET(TH!D$1,SMALL(Dong,ROWS($1:5)),))</f>
        <v>N02</v>
      </c>
      <c r="C18" s="628">
        <f ca="1">IF(ROWS($1:5)&gt;COUNT(Dong),"",OFFSET(TH!E$1,SMALL(Dong,ROWS($1:5)),))</f>
        <v>41155</v>
      </c>
      <c r="D18" s="629" t="str">
        <f ca="1">IF(ROWS($1:5)&gt;COUNT(Dong),"",OFFSET(TH!F$1,SMALL(Dong,ROWS($1:5)),))</f>
        <v>Giấy tấm 1N +2X (105x159)</v>
      </c>
      <c r="E18" s="630" t="str">
        <f ca="1">IF(ROWS($1:5)&gt;COUNT(Dong),"",IF(OFFSET(TH!L$1,SMALL(Dong,ROWS($1:5)),)="331",OFFSET(TH!M$1,SMALL(Dong,ROWS($1:5)),),OFFSET(TH!L$1,SMALL(Dong,ROWS($1:5)),)))</f>
        <v>156</v>
      </c>
      <c r="F18" s="631">
        <f ca="1">IF(ROWS($1:5)&gt;COUNT(Dong),"",IF(OFFSET(TH!L$1,SMALL(Dong,ROWS($1:5)),)="331",OFFSET(TH!K$1,SMALL(Dong,ROWS($1:5)),),0))</f>
        <v>0</v>
      </c>
      <c r="G18" s="631">
        <f ca="1">IF(ROWS($1:5)&gt;COUNT(Dong),"",IF(OFFSET(TH!M$1,SMALL(Dong,ROWS($1:5)),)="331",OFFSET(TH!K$1,SMALL(Dong,ROWS($1:5)),),0))</f>
        <v>5143000</v>
      </c>
      <c r="H18" s="632">
        <f t="shared" ca="1" si="0"/>
        <v>0</v>
      </c>
      <c r="I18" s="632">
        <f t="shared" ca="1" si="1"/>
        <v>5143000</v>
      </c>
    </row>
    <row r="19" spans="1:9" s="4" customFormat="1" ht="18" customHeight="1">
      <c r="A19" s="628">
        <f ca="1">IF(ROWS($1:6)&gt;COUNT(Dong),"",OFFSET(TH!C$1,SMALL(Dong,ROWS($1:6)),))</f>
        <v>41155</v>
      </c>
      <c r="B19" s="628" t="str">
        <f ca="1">IF(ROWS($1:6)&gt;COUNT(Dong),"",OFFSET(TH!D$1,SMALL(Dong,ROWS($1:6)),))</f>
        <v>N02</v>
      </c>
      <c r="C19" s="628">
        <f ca="1">IF(ROWS($1:6)&gt;COUNT(Dong),"",OFFSET(TH!E$1,SMALL(Dong,ROWS($1:6)),))</f>
        <v>41155</v>
      </c>
      <c r="D19" s="629" t="str">
        <f ca="1">IF(ROWS($1:6)&gt;COUNT(Dong),"",OFFSET(TH!F$1,SMALL(Dong,ROWS($1:6)),))</f>
        <v>Giấy tấm 1N +2X (115x163)</v>
      </c>
      <c r="E19" s="630" t="str">
        <f ca="1">IF(ROWS($1:6)&gt;COUNT(Dong),"",IF(OFFSET(TH!L$1,SMALL(Dong,ROWS($1:6)),)="331",OFFSET(TH!M$1,SMALL(Dong,ROWS($1:6)),),OFFSET(TH!L$1,SMALL(Dong,ROWS($1:6)),)))</f>
        <v>156</v>
      </c>
      <c r="F19" s="631">
        <f ca="1">IF(ROWS($1:6)&gt;COUNT(Dong),"",IF(OFFSET(TH!L$1,SMALL(Dong,ROWS($1:6)),)="331",OFFSET(TH!K$1,SMALL(Dong,ROWS($1:6)),),0))</f>
        <v>0</v>
      </c>
      <c r="G19" s="631">
        <f ca="1">IF(ROWS($1:6)&gt;COUNT(Dong),"",IF(OFFSET(TH!M$1,SMALL(Dong,ROWS($1:6)),)="331",OFFSET(TH!K$1,SMALL(Dong,ROWS($1:6)),),0))</f>
        <v>5811000</v>
      </c>
      <c r="H19" s="632">
        <f t="shared" ca="1" si="0"/>
        <v>0</v>
      </c>
      <c r="I19" s="632">
        <f t="shared" ca="1" si="1"/>
        <v>10954000</v>
      </c>
    </row>
    <row r="20" spans="1:9" s="4" customFormat="1" ht="18" customHeight="1">
      <c r="A20" s="628">
        <f ca="1">IF(ROWS($1:7)&gt;COUNT(Dong),"",OFFSET(TH!C$1,SMALL(Dong,ROWS($1:7)),))</f>
        <v>41155</v>
      </c>
      <c r="B20" s="628" t="str">
        <f ca="1">IF(ROWS($1:7)&gt;COUNT(Dong),"",OFFSET(TH!D$1,SMALL(Dong,ROWS($1:7)),))</f>
        <v>N02</v>
      </c>
      <c r="C20" s="628">
        <f ca="1">IF(ROWS($1:7)&gt;COUNT(Dong),"",OFFSET(TH!E$1,SMALL(Dong,ROWS($1:7)),))</f>
        <v>41155</v>
      </c>
      <c r="D20" s="629" t="str">
        <f ca="1">IF(ROWS($1:7)&gt;COUNT(Dong),"",OFFSET(TH!F$1,SMALL(Dong,ROWS($1:7)),))</f>
        <v xml:space="preserve">VAT Giấy tấm </v>
      </c>
      <c r="E20" s="630" t="str">
        <f ca="1">IF(ROWS($1:7)&gt;COUNT(Dong),"",IF(OFFSET(TH!L$1,SMALL(Dong,ROWS($1:7)),)="331",OFFSET(TH!M$1,SMALL(Dong,ROWS($1:7)),),OFFSET(TH!L$1,SMALL(Dong,ROWS($1:7)),)))</f>
        <v>1331</v>
      </c>
      <c r="F20" s="631">
        <f ca="1">IF(ROWS($1:7)&gt;COUNT(Dong),"",IF(OFFSET(TH!L$1,SMALL(Dong,ROWS($1:7)),)="331",OFFSET(TH!K$1,SMALL(Dong,ROWS($1:7)),),0))</f>
        <v>0</v>
      </c>
      <c r="G20" s="631">
        <f ca="1">IF(ROWS($1:7)&gt;COUNT(Dong),"",IF(OFFSET(TH!M$1,SMALL(Dong,ROWS($1:7)),)="331",OFFSET(TH!K$1,SMALL(Dong,ROWS($1:7)),),0))</f>
        <v>1095400</v>
      </c>
      <c r="H20" s="632">
        <f t="shared" ca="1" si="0"/>
        <v>0</v>
      </c>
      <c r="I20" s="632">
        <f t="shared" ca="1" si="1"/>
        <v>12049400</v>
      </c>
    </row>
    <row r="21" spans="1:9" s="4" customFormat="1" ht="18" customHeight="1">
      <c r="A21" s="628">
        <f ca="1">IF(ROWS($1:8)&gt;COUNT(Dong),"",OFFSET(TH!C$1,SMALL(Dong,ROWS($1:8)),))</f>
        <v>41155</v>
      </c>
      <c r="B21" s="628" t="str">
        <f ca="1">IF(ROWS($1:8)&gt;COUNT(Dong),"",OFFSET(TH!D$1,SMALL(Dong,ROWS($1:8)),))</f>
        <v>C05</v>
      </c>
      <c r="C21" s="628">
        <f ca="1">IF(ROWS($1:8)&gt;COUNT(Dong),"",OFFSET(TH!E$1,SMALL(Dong,ROWS($1:8)),))</f>
        <v>41155</v>
      </c>
      <c r="D21" s="629" t="str">
        <f ca="1">IF(ROWS($1:8)&gt;COUNT(Dong),"",OFFSET(TH!F$1,SMALL(Dong,ROWS($1:8)),))</f>
        <v>Thanh toán tiền hàng</v>
      </c>
      <c r="E21" s="630" t="str">
        <f ca="1">IF(ROWS($1:8)&gt;COUNT(Dong),"",IF(OFFSET(TH!L$1,SMALL(Dong,ROWS($1:8)),)="331",OFFSET(TH!M$1,SMALL(Dong,ROWS($1:8)),),OFFSET(TH!L$1,SMALL(Dong,ROWS($1:8)),)))</f>
        <v>1111</v>
      </c>
      <c r="F21" s="631">
        <f ca="1">IF(ROWS($1:8)&gt;COUNT(Dong),"",IF(OFFSET(TH!L$1,SMALL(Dong,ROWS($1:8)),)="331",OFFSET(TH!K$1,SMALL(Dong,ROWS($1:8)),),0))</f>
        <v>12049400</v>
      </c>
      <c r="G21" s="631">
        <f ca="1">IF(ROWS($1:8)&gt;COUNT(Dong),"",IF(OFFSET(TH!M$1,SMALL(Dong,ROWS($1:8)),)="331",OFFSET(TH!K$1,SMALL(Dong,ROWS($1:8)),),0))</f>
        <v>0</v>
      </c>
      <c r="H21" s="632">
        <f t="shared" ca="1" si="0"/>
        <v>0</v>
      </c>
      <c r="I21" s="632">
        <f t="shared" ca="1" si="1"/>
        <v>0</v>
      </c>
    </row>
    <row r="22" spans="1:9" s="4" customFormat="1" ht="18" customHeight="1">
      <c r="A22" s="628">
        <f ca="1">IF(ROWS($1:9)&gt;COUNT(Dong),"",OFFSET(TH!C$1,SMALL(Dong,ROWS($1:9)),))</f>
        <v>41156</v>
      </c>
      <c r="B22" s="628" t="str">
        <f ca="1">IF(ROWS($1:9)&gt;COUNT(Dong),"",OFFSET(TH!D$1,SMALL(Dong,ROWS($1:9)),))</f>
        <v>N03</v>
      </c>
      <c r="C22" s="628">
        <f ca="1">IF(ROWS($1:9)&gt;COUNT(Dong),"",OFFSET(TH!E$1,SMALL(Dong,ROWS($1:9)),))</f>
        <v>41156</v>
      </c>
      <c r="D22" s="629" t="str">
        <f ca="1">IF(ROWS($1:9)&gt;COUNT(Dong),"",OFFSET(TH!F$1,SMALL(Dong,ROWS($1:9)),))</f>
        <v>Giấy tấm 1N +2X (110x151)</v>
      </c>
      <c r="E22" s="630" t="str">
        <f ca="1">IF(ROWS($1:9)&gt;COUNT(Dong),"",IF(OFFSET(TH!L$1,SMALL(Dong,ROWS($1:9)),)="331",OFFSET(TH!M$1,SMALL(Dong,ROWS($1:9)),),OFFSET(TH!L$1,SMALL(Dong,ROWS($1:9)),)))</f>
        <v>156</v>
      </c>
      <c r="F22" s="631">
        <f ca="1">IF(ROWS($1:9)&gt;COUNT(Dong),"",IF(OFFSET(TH!L$1,SMALL(Dong,ROWS($1:9)),)="331",OFFSET(TH!K$1,SMALL(Dong,ROWS($1:9)),),0))</f>
        <v>0</v>
      </c>
      <c r="G22" s="631">
        <f ca="1">IF(ROWS($1:9)&gt;COUNT(Dong),"",IF(OFFSET(TH!M$1,SMALL(Dong,ROWS($1:9)),)="331",OFFSET(TH!K$1,SMALL(Dong,ROWS($1:9)),),0))</f>
        <v>5663900</v>
      </c>
      <c r="H22" s="632">
        <f t="shared" ca="1" si="0"/>
        <v>0</v>
      </c>
      <c r="I22" s="632">
        <f t="shared" ca="1" si="1"/>
        <v>5663900</v>
      </c>
    </row>
    <row r="23" spans="1:9" s="4" customFormat="1" ht="18" customHeight="1">
      <c r="A23" s="628">
        <f ca="1">IF(ROWS($1:10)&gt;COUNT(Dong),"",OFFSET(TH!C$1,SMALL(Dong,ROWS($1:10)),))</f>
        <v>41156</v>
      </c>
      <c r="B23" s="628" t="str">
        <f ca="1">IF(ROWS($1:10)&gt;COUNT(Dong),"",OFFSET(TH!D$1,SMALL(Dong,ROWS($1:10)),))</f>
        <v>N03</v>
      </c>
      <c r="C23" s="628">
        <f ca="1">IF(ROWS($1:10)&gt;COUNT(Dong),"",OFFSET(TH!E$1,SMALL(Dong,ROWS($1:10)),))</f>
        <v>41156</v>
      </c>
      <c r="D23" s="629" t="str">
        <f ca="1">IF(ROWS($1:10)&gt;COUNT(Dong),"",OFFSET(TH!F$1,SMALL(Dong,ROWS($1:10)),))</f>
        <v>Giấy tấm 1N +2X (145x144)</v>
      </c>
      <c r="E23" s="630" t="str">
        <f ca="1">IF(ROWS($1:10)&gt;COUNT(Dong),"",IF(OFFSET(TH!L$1,SMALL(Dong,ROWS($1:10)),)="331",OFFSET(TH!M$1,SMALL(Dong,ROWS($1:10)),),OFFSET(TH!L$1,SMALL(Dong,ROWS($1:10)),)))</f>
        <v>156</v>
      </c>
      <c r="F23" s="631">
        <f ca="1">IF(ROWS($1:10)&gt;COUNT(Dong),"",IF(OFFSET(TH!L$1,SMALL(Dong,ROWS($1:10)),)="331",OFFSET(TH!K$1,SMALL(Dong,ROWS($1:10)),),0))</f>
        <v>0</v>
      </c>
      <c r="G23" s="631">
        <f ca="1">IF(ROWS($1:10)&gt;COUNT(Dong),"",IF(OFFSET(TH!M$1,SMALL(Dong,ROWS($1:10)),)="331",OFFSET(TH!K$1,SMALL(Dong,ROWS($1:10)),),0))</f>
        <v>8544360</v>
      </c>
      <c r="H23" s="632">
        <f t="shared" ca="1" si="0"/>
        <v>0</v>
      </c>
      <c r="I23" s="632">
        <f t="shared" ca="1" si="1"/>
        <v>14208260</v>
      </c>
    </row>
    <row r="24" spans="1:9" s="4" customFormat="1" ht="18" customHeight="1">
      <c r="A24" s="628">
        <f ca="1">IF(ROWS($1:11)&gt;COUNT(Dong),"",OFFSET(TH!C$1,SMALL(Dong,ROWS($1:11)),))</f>
        <v>41156</v>
      </c>
      <c r="B24" s="628" t="str">
        <f ca="1">IF(ROWS($1:11)&gt;COUNT(Dong),"",OFFSET(TH!D$1,SMALL(Dong,ROWS($1:11)),))</f>
        <v>N03</v>
      </c>
      <c r="C24" s="628">
        <f ca="1">IF(ROWS($1:11)&gt;COUNT(Dong),"",OFFSET(TH!E$1,SMALL(Dong,ROWS($1:11)),))</f>
        <v>41156</v>
      </c>
      <c r="D24" s="629" t="str">
        <f ca="1">IF(ROWS($1:11)&gt;COUNT(Dong),"",OFFSET(TH!F$1,SMALL(Dong,ROWS($1:11)),))</f>
        <v xml:space="preserve">VAT Giấy tấm </v>
      </c>
      <c r="E24" s="630" t="str">
        <f ca="1">IF(ROWS($1:11)&gt;COUNT(Dong),"",IF(OFFSET(TH!L$1,SMALL(Dong,ROWS($1:11)),)="331",OFFSET(TH!M$1,SMALL(Dong,ROWS($1:11)),),OFFSET(TH!L$1,SMALL(Dong,ROWS($1:11)),)))</f>
        <v>1331</v>
      </c>
      <c r="F24" s="631">
        <f ca="1">IF(ROWS($1:11)&gt;COUNT(Dong),"",IF(OFFSET(TH!L$1,SMALL(Dong,ROWS($1:11)),)="331",OFFSET(TH!K$1,SMALL(Dong,ROWS($1:11)),),0))</f>
        <v>0</v>
      </c>
      <c r="G24" s="631">
        <f ca="1">IF(ROWS($1:11)&gt;COUNT(Dong),"",IF(OFFSET(TH!M$1,SMALL(Dong,ROWS($1:11)),)="331",OFFSET(TH!K$1,SMALL(Dong,ROWS($1:11)),),0))</f>
        <v>1420826</v>
      </c>
      <c r="H24" s="632">
        <f t="shared" ca="1" si="0"/>
        <v>0</v>
      </c>
      <c r="I24" s="632">
        <f t="shared" ca="1" si="1"/>
        <v>15629086</v>
      </c>
    </row>
    <row r="25" spans="1:9" s="4" customFormat="1" ht="18" customHeight="1">
      <c r="A25" s="628">
        <f ca="1">IF(ROWS($1:12)&gt;COUNT(Dong),"",OFFSET(TH!C$1,SMALL(Dong,ROWS($1:12)),))</f>
        <v>41156</v>
      </c>
      <c r="B25" s="628" t="str">
        <f ca="1">IF(ROWS($1:12)&gt;COUNT(Dong),"",OFFSET(TH!D$1,SMALL(Dong,ROWS($1:12)),))</f>
        <v>C06</v>
      </c>
      <c r="C25" s="628">
        <f ca="1">IF(ROWS($1:12)&gt;COUNT(Dong),"",OFFSET(TH!E$1,SMALL(Dong,ROWS($1:12)),))</f>
        <v>41156</v>
      </c>
      <c r="D25" s="629" t="str">
        <f ca="1">IF(ROWS($1:12)&gt;COUNT(Dong),"",OFFSET(TH!F$1,SMALL(Dong,ROWS($1:12)),))</f>
        <v>Thanh toán tiền hàng</v>
      </c>
      <c r="E25" s="630" t="str">
        <f ca="1">IF(ROWS($1:12)&gt;COUNT(Dong),"",IF(OFFSET(TH!L$1,SMALL(Dong,ROWS($1:12)),)="331",OFFSET(TH!M$1,SMALL(Dong,ROWS($1:12)),),OFFSET(TH!L$1,SMALL(Dong,ROWS($1:12)),)))</f>
        <v>1111</v>
      </c>
      <c r="F25" s="631">
        <f ca="1">IF(ROWS($1:12)&gt;COUNT(Dong),"",IF(OFFSET(TH!L$1,SMALL(Dong,ROWS($1:12)),)="331",OFFSET(TH!K$1,SMALL(Dong,ROWS($1:12)),),0))</f>
        <v>15629086</v>
      </c>
      <c r="G25" s="631">
        <f ca="1">IF(ROWS($1:12)&gt;COUNT(Dong),"",IF(OFFSET(TH!M$1,SMALL(Dong,ROWS($1:12)),)="331",OFFSET(TH!K$1,SMALL(Dong,ROWS($1:12)),),0))</f>
        <v>0</v>
      </c>
      <c r="H25" s="632">
        <f t="shared" ca="1" si="0"/>
        <v>0</v>
      </c>
      <c r="I25" s="632">
        <f t="shared" ca="1" si="1"/>
        <v>0</v>
      </c>
    </row>
    <row r="26" spans="1:9" s="4" customFormat="1" ht="18" customHeight="1">
      <c r="A26" s="628">
        <f ca="1">IF(ROWS($1:13)&gt;COUNT(Dong),"",OFFSET(TH!C$1,SMALL(Dong,ROWS($1:13)),))</f>
        <v>41160</v>
      </c>
      <c r="B26" s="628" t="str">
        <f ca="1">IF(ROWS($1:13)&gt;COUNT(Dong),"",OFFSET(TH!D$1,SMALL(Dong,ROWS($1:13)),))</f>
        <v>N04</v>
      </c>
      <c r="C26" s="628">
        <f ca="1">IF(ROWS($1:13)&gt;COUNT(Dong),"",OFFSET(TH!E$1,SMALL(Dong,ROWS($1:13)),))</f>
        <v>41160</v>
      </c>
      <c r="D26" s="629" t="str">
        <f ca="1">IF(ROWS($1:13)&gt;COUNT(Dong),"",OFFSET(TH!F$1,SMALL(Dong,ROWS($1:13)),))</f>
        <v>Giấy tấm 1N +2X (145x144)</v>
      </c>
      <c r="E26" s="630" t="str">
        <f ca="1">IF(ROWS($1:13)&gt;COUNT(Dong),"",IF(OFFSET(TH!L$1,SMALL(Dong,ROWS($1:13)),)="331",OFFSET(TH!M$1,SMALL(Dong,ROWS($1:13)),),OFFSET(TH!L$1,SMALL(Dong,ROWS($1:13)),)))</f>
        <v>156</v>
      </c>
      <c r="F26" s="631">
        <f ca="1">IF(ROWS($1:13)&gt;COUNT(Dong),"",IF(OFFSET(TH!L$1,SMALL(Dong,ROWS($1:13)),)="331",OFFSET(TH!K$1,SMALL(Dong,ROWS($1:13)),),0))</f>
        <v>0</v>
      </c>
      <c r="G26" s="631">
        <f ca="1">IF(ROWS($1:13)&gt;COUNT(Dong),"",IF(OFFSET(TH!M$1,SMALL(Dong,ROWS($1:13)),)="331",OFFSET(TH!K$1,SMALL(Dong,ROWS($1:13)),),0))</f>
        <v>5133600</v>
      </c>
      <c r="H26" s="632">
        <f t="shared" ca="1" si="0"/>
        <v>0</v>
      </c>
      <c r="I26" s="632">
        <f t="shared" ca="1" si="1"/>
        <v>5133600</v>
      </c>
    </row>
    <row r="27" spans="1:9" s="4" customFormat="1" ht="18" customHeight="1">
      <c r="A27" s="628">
        <f ca="1">IF(ROWS($1:14)&gt;COUNT(Dong),"",OFFSET(TH!C$1,SMALL(Dong,ROWS($1:14)),))</f>
        <v>41160</v>
      </c>
      <c r="B27" s="628" t="str">
        <f ca="1">IF(ROWS($1:14)&gt;COUNT(Dong),"",OFFSET(TH!D$1,SMALL(Dong,ROWS($1:14)),))</f>
        <v>N04</v>
      </c>
      <c r="C27" s="628">
        <f ca="1">IF(ROWS($1:14)&gt;COUNT(Dong),"",OFFSET(TH!E$1,SMALL(Dong,ROWS($1:14)),))</f>
        <v>41160</v>
      </c>
      <c r="D27" s="629" t="str">
        <f ca="1">IF(ROWS($1:14)&gt;COUNT(Dong),"",OFFSET(TH!F$1,SMALL(Dong,ROWS($1:14)),))</f>
        <v xml:space="preserve">VAT Giấy tấm </v>
      </c>
      <c r="E27" s="630" t="str">
        <f ca="1">IF(ROWS($1:14)&gt;COUNT(Dong),"",IF(OFFSET(TH!L$1,SMALL(Dong,ROWS($1:14)),)="331",OFFSET(TH!M$1,SMALL(Dong,ROWS($1:14)),),OFFSET(TH!L$1,SMALL(Dong,ROWS($1:14)),)))</f>
        <v>1331</v>
      </c>
      <c r="F27" s="631">
        <f ca="1">IF(ROWS($1:14)&gt;COUNT(Dong),"",IF(OFFSET(TH!L$1,SMALL(Dong,ROWS($1:14)),)="331",OFFSET(TH!K$1,SMALL(Dong,ROWS($1:14)),),0))</f>
        <v>0</v>
      </c>
      <c r="G27" s="631">
        <f ca="1">IF(ROWS($1:14)&gt;COUNT(Dong),"",IF(OFFSET(TH!M$1,SMALL(Dong,ROWS($1:14)),)="331",OFFSET(TH!K$1,SMALL(Dong,ROWS($1:14)),),0))</f>
        <v>513360</v>
      </c>
      <c r="H27" s="632">
        <f t="shared" ca="1" si="0"/>
        <v>0</v>
      </c>
      <c r="I27" s="632">
        <f t="shared" ca="1" si="1"/>
        <v>5646960</v>
      </c>
    </row>
    <row r="28" spans="1:9" s="4" customFormat="1" ht="18" customHeight="1">
      <c r="A28" s="628">
        <f ca="1">IF(ROWS($1:15)&gt;COUNT(Dong),"",OFFSET(TH!C$1,SMALL(Dong,ROWS($1:15)),))</f>
        <v>41160</v>
      </c>
      <c r="B28" s="628" t="str">
        <f ca="1">IF(ROWS($1:15)&gt;COUNT(Dong),"",OFFSET(TH!D$1,SMALL(Dong,ROWS($1:15)),))</f>
        <v>C07</v>
      </c>
      <c r="C28" s="628">
        <f ca="1">IF(ROWS($1:15)&gt;COUNT(Dong),"",OFFSET(TH!E$1,SMALL(Dong,ROWS($1:15)),))</f>
        <v>41160</v>
      </c>
      <c r="D28" s="629" t="str">
        <f ca="1">IF(ROWS($1:15)&gt;COUNT(Dong),"",OFFSET(TH!F$1,SMALL(Dong,ROWS($1:15)),))</f>
        <v>Thanh toán tiền hàng</v>
      </c>
      <c r="E28" s="630" t="str">
        <f ca="1">IF(ROWS($1:15)&gt;COUNT(Dong),"",IF(OFFSET(TH!L$1,SMALL(Dong,ROWS($1:15)),)="331",OFFSET(TH!M$1,SMALL(Dong,ROWS($1:15)),),OFFSET(TH!L$1,SMALL(Dong,ROWS($1:15)),)))</f>
        <v>1111</v>
      </c>
      <c r="F28" s="631">
        <f ca="1">IF(ROWS($1:15)&gt;COUNT(Dong),"",IF(OFFSET(TH!L$1,SMALL(Dong,ROWS($1:15)),)="331",OFFSET(TH!K$1,SMALL(Dong,ROWS($1:15)),),0))</f>
        <v>5646960</v>
      </c>
      <c r="G28" s="631">
        <f ca="1">IF(ROWS($1:15)&gt;COUNT(Dong),"",IF(OFFSET(TH!M$1,SMALL(Dong,ROWS($1:15)),)="331",OFFSET(TH!K$1,SMALL(Dong,ROWS($1:15)),),0))</f>
        <v>0</v>
      </c>
      <c r="H28" s="632">
        <f t="shared" ca="1" si="0"/>
        <v>0</v>
      </c>
      <c r="I28" s="632">
        <f t="shared" ca="1" si="1"/>
        <v>0</v>
      </c>
    </row>
    <row r="29" spans="1:9" s="4" customFormat="1" ht="18" customHeight="1">
      <c r="A29" s="628">
        <f ca="1">IF(ROWS($1:16)&gt;COUNT(Dong),"",OFFSET(TH!C$1,SMALL(Dong,ROWS($1:16)),))</f>
        <v>41172</v>
      </c>
      <c r="B29" s="628" t="str">
        <f ca="1">IF(ROWS($1:16)&gt;COUNT(Dong),"",OFFSET(TH!D$1,SMALL(Dong,ROWS($1:16)),))</f>
        <v>N05</v>
      </c>
      <c r="C29" s="628">
        <f ca="1">IF(ROWS($1:16)&gt;COUNT(Dong),"",OFFSET(TH!E$1,SMALL(Dong,ROWS($1:16)),))</f>
        <v>41172</v>
      </c>
      <c r="D29" s="629" t="str">
        <f ca="1">IF(ROWS($1:16)&gt;COUNT(Dong),"",OFFSET(TH!F$1,SMALL(Dong,ROWS($1:16)),))</f>
        <v>Giấy tấm 1N +2X (165x158)</v>
      </c>
      <c r="E29" s="630" t="str">
        <f ca="1">IF(ROWS($1:16)&gt;COUNT(Dong),"",IF(OFFSET(TH!L$1,SMALL(Dong,ROWS($1:16)),)="331",OFFSET(TH!M$1,SMALL(Dong,ROWS($1:16)),),OFFSET(TH!L$1,SMALL(Dong,ROWS($1:16)),)))</f>
        <v>156</v>
      </c>
      <c r="F29" s="631">
        <f ca="1">IF(ROWS($1:16)&gt;COUNT(Dong),"",IF(OFFSET(TH!L$1,SMALL(Dong,ROWS($1:16)),)="331",OFFSET(TH!K$1,SMALL(Dong,ROWS($1:16)),),0))</f>
        <v>0</v>
      </c>
      <c r="G29" s="631">
        <f ca="1">IF(ROWS($1:16)&gt;COUNT(Dong),"",IF(OFFSET(TH!M$1,SMALL(Dong,ROWS($1:16)),)="331",OFFSET(TH!K$1,SMALL(Dong,ROWS($1:16)),),0))</f>
        <v>5143000</v>
      </c>
      <c r="H29" s="632">
        <f t="shared" ca="1" si="0"/>
        <v>0</v>
      </c>
      <c r="I29" s="632">
        <f t="shared" ca="1" si="1"/>
        <v>5143000</v>
      </c>
    </row>
    <row r="30" spans="1:9" s="4" customFormat="1" ht="18" customHeight="1">
      <c r="A30" s="628">
        <f ca="1">IF(ROWS($1:17)&gt;COUNT(Dong),"",OFFSET(TH!C$1,SMALL(Dong,ROWS($1:17)),))</f>
        <v>41172</v>
      </c>
      <c r="B30" s="628" t="str">
        <f ca="1">IF(ROWS($1:17)&gt;COUNT(Dong),"",OFFSET(TH!D$1,SMALL(Dong,ROWS($1:17)),))</f>
        <v>N05</v>
      </c>
      <c r="C30" s="628">
        <f ca="1">IF(ROWS($1:17)&gt;COUNT(Dong),"",OFFSET(TH!E$1,SMALL(Dong,ROWS($1:17)),))</f>
        <v>41172</v>
      </c>
      <c r="D30" s="629" t="str">
        <f ca="1">IF(ROWS($1:17)&gt;COUNT(Dong),"",OFFSET(TH!F$1,SMALL(Dong,ROWS($1:17)),))</f>
        <v xml:space="preserve">VAT Giấy tấm </v>
      </c>
      <c r="E30" s="630" t="str">
        <f ca="1">IF(ROWS($1:17)&gt;COUNT(Dong),"",IF(OFFSET(TH!L$1,SMALL(Dong,ROWS($1:17)),)="331",OFFSET(TH!M$1,SMALL(Dong,ROWS($1:17)),),OFFSET(TH!L$1,SMALL(Dong,ROWS($1:17)),)))</f>
        <v>1331</v>
      </c>
      <c r="F30" s="631">
        <f ca="1">IF(ROWS($1:17)&gt;COUNT(Dong),"",IF(OFFSET(TH!L$1,SMALL(Dong,ROWS($1:17)),)="331",OFFSET(TH!K$1,SMALL(Dong,ROWS($1:17)),),0))</f>
        <v>0</v>
      </c>
      <c r="G30" s="631">
        <f ca="1">IF(ROWS($1:17)&gt;COUNT(Dong),"",IF(OFFSET(TH!M$1,SMALL(Dong,ROWS($1:17)),)="331",OFFSET(TH!K$1,SMALL(Dong,ROWS($1:17)),),0))</f>
        <v>514300</v>
      </c>
      <c r="H30" s="632">
        <f t="shared" ca="1" si="0"/>
        <v>0</v>
      </c>
      <c r="I30" s="632">
        <f t="shared" ca="1" si="1"/>
        <v>5657300</v>
      </c>
    </row>
    <row r="31" spans="1:9" s="4" customFormat="1" ht="18" customHeight="1">
      <c r="A31" s="628">
        <f ca="1">IF(ROWS($1:18)&gt;COUNT(Dong),"",OFFSET(TH!C$1,SMALL(Dong,ROWS($1:18)),))</f>
        <v>41172</v>
      </c>
      <c r="B31" s="628" t="str">
        <f ca="1">IF(ROWS($1:18)&gt;COUNT(Dong),"",OFFSET(TH!D$1,SMALL(Dong,ROWS($1:18)),))</f>
        <v>C09</v>
      </c>
      <c r="C31" s="628">
        <f ca="1">IF(ROWS($1:18)&gt;COUNT(Dong),"",OFFSET(TH!E$1,SMALL(Dong,ROWS($1:18)),))</f>
        <v>41172</v>
      </c>
      <c r="D31" s="629" t="str">
        <f ca="1">IF(ROWS($1:18)&gt;COUNT(Dong),"",OFFSET(TH!F$1,SMALL(Dong,ROWS($1:18)),))</f>
        <v>Thanh toán tiền hàng</v>
      </c>
      <c r="E31" s="630" t="str">
        <f ca="1">IF(ROWS($1:18)&gt;COUNT(Dong),"",IF(OFFSET(TH!L$1,SMALL(Dong,ROWS($1:18)),)="331",OFFSET(TH!M$1,SMALL(Dong,ROWS($1:18)),),OFFSET(TH!L$1,SMALL(Dong,ROWS($1:18)),)))</f>
        <v>1111</v>
      </c>
      <c r="F31" s="631">
        <f ca="1">IF(ROWS($1:18)&gt;COUNT(Dong),"",IF(OFFSET(TH!L$1,SMALL(Dong,ROWS($1:18)),)="331",OFFSET(TH!K$1,SMALL(Dong,ROWS($1:18)),),0))</f>
        <v>5657300</v>
      </c>
      <c r="G31" s="631">
        <f ca="1">IF(ROWS($1:18)&gt;COUNT(Dong),"",IF(OFFSET(TH!M$1,SMALL(Dong,ROWS($1:18)),)="331",OFFSET(TH!K$1,SMALL(Dong,ROWS($1:18)),),0))</f>
        <v>0</v>
      </c>
      <c r="H31" s="632">
        <f t="shared" ca="1" si="0"/>
        <v>0</v>
      </c>
      <c r="I31" s="632">
        <f t="shared" ca="1" si="1"/>
        <v>0</v>
      </c>
    </row>
    <row r="32" spans="1:9" s="4" customFormat="1" ht="18" customHeight="1">
      <c r="A32" s="628">
        <f ca="1">IF(ROWS($1:19)&gt;COUNT(Dong),"",OFFSET(TH!C$1,SMALL(Dong,ROWS($1:19)),))</f>
        <v>41195</v>
      </c>
      <c r="B32" s="628" t="str">
        <f ca="1">IF(ROWS($1:19)&gt;COUNT(Dong),"",OFFSET(TH!D$1,SMALL(Dong,ROWS($1:19)),))</f>
        <v>N01</v>
      </c>
      <c r="C32" s="628">
        <f ca="1">IF(ROWS($1:19)&gt;COUNT(Dong),"",OFFSET(TH!E$1,SMALL(Dong,ROWS($1:19)),))</f>
        <v>41195</v>
      </c>
      <c r="D32" s="629" t="str">
        <f ca="1">IF(ROWS($1:19)&gt;COUNT(Dong),"",OFFSET(TH!F$1,SMALL(Dong,ROWS($1:19)),))</f>
        <v>Giấy tấm 2N +1X (110x173)</v>
      </c>
      <c r="E32" s="630" t="str">
        <f ca="1">IF(ROWS($1:19)&gt;COUNT(Dong),"",IF(OFFSET(TH!L$1,SMALL(Dong,ROWS($1:19)),)="331",OFFSET(TH!M$1,SMALL(Dong,ROWS($1:19)),),OFFSET(TH!L$1,SMALL(Dong,ROWS($1:19)),)))</f>
        <v>156</v>
      </c>
      <c r="F32" s="631">
        <f ca="1">IF(ROWS($1:19)&gt;COUNT(Dong),"",IF(OFFSET(TH!L$1,SMALL(Dong,ROWS($1:19)),)="331",OFFSET(TH!K$1,SMALL(Dong,ROWS($1:19)),),0))</f>
        <v>0</v>
      </c>
      <c r="G32" s="631">
        <f ca="1">IF(ROWS($1:19)&gt;COUNT(Dong),"",IF(OFFSET(TH!M$1,SMALL(Dong,ROWS($1:19)),)="331",OFFSET(TH!K$1,SMALL(Dong,ROWS($1:19)),),0))</f>
        <v>6375000</v>
      </c>
      <c r="H32" s="632">
        <f t="shared" ca="1" si="0"/>
        <v>0</v>
      </c>
      <c r="I32" s="632">
        <f t="shared" ca="1" si="1"/>
        <v>6375000</v>
      </c>
    </row>
    <row r="33" spans="1:9" s="4" customFormat="1" ht="18" customHeight="1">
      <c r="A33" s="628">
        <f ca="1">IF(ROWS($1:20)&gt;COUNT(Dong),"",OFFSET(TH!C$1,SMALL(Dong,ROWS($1:20)),))</f>
        <v>41195</v>
      </c>
      <c r="B33" s="628" t="str">
        <f ca="1">IF(ROWS($1:20)&gt;COUNT(Dong),"",OFFSET(TH!D$1,SMALL(Dong,ROWS($1:20)),))</f>
        <v>N01</v>
      </c>
      <c r="C33" s="628">
        <f ca="1">IF(ROWS($1:20)&gt;COUNT(Dong),"",OFFSET(TH!E$1,SMALL(Dong,ROWS($1:20)),))</f>
        <v>41195</v>
      </c>
      <c r="D33" s="629" t="str">
        <f ca="1">IF(ROWS($1:20)&gt;COUNT(Dong),"",OFFSET(TH!F$1,SMALL(Dong,ROWS($1:20)),))</f>
        <v xml:space="preserve">VAT Giấy tấm </v>
      </c>
      <c r="E33" s="630" t="str">
        <f ca="1">IF(ROWS($1:20)&gt;COUNT(Dong),"",IF(OFFSET(TH!L$1,SMALL(Dong,ROWS($1:20)),)="331",OFFSET(TH!M$1,SMALL(Dong,ROWS($1:20)),),OFFSET(TH!L$1,SMALL(Dong,ROWS($1:20)),)))</f>
        <v>1331</v>
      </c>
      <c r="F33" s="631">
        <f ca="1">IF(ROWS($1:20)&gt;COUNT(Dong),"",IF(OFFSET(TH!L$1,SMALL(Dong,ROWS($1:20)),)="331",OFFSET(TH!K$1,SMALL(Dong,ROWS($1:20)),),0))</f>
        <v>0</v>
      </c>
      <c r="G33" s="631">
        <f ca="1">IF(ROWS($1:20)&gt;COUNT(Dong),"",IF(OFFSET(TH!M$1,SMALL(Dong,ROWS($1:20)),)="331",OFFSET(TH!K$1,SMALL(Dong,ROWS($1:20)),),0))</f>
        <v>637500</v>
      </c>
      <c r="H33" s="632">
        <f t="shared" ca="1" si="0"/>
        <v>0</v>
      </c>
      <c r="I33" s="632">
        <f t="shared" ca="1" si="1"/>
        <v>7012500</v>
      </c>
    </row>
    <row r="34" spans="1:9" s="4" customFormat="1" ht="18" customHeight="1">
      <c r="A34" s="628">
        <f ca="1">IF(ROWS($1:21)&gt;COUNT(Dong),"",OFFSET(TH!C$1,SMALL(Dong,ROWS($1:21)),))</f>
        <v>41195</v>
      </c>
      <c r="B34" s="628" t="str">
        <f ca="1">IF(ROWS($1:21)&gt;COUNT(Dong),"",OFFSET(TH!D$1,SMALL(Dong,ROWS($1:21)),))</f>
        <v>C01</v>
      </c>
      <c r="C34" s="628">
        <f ca="1">IF(ROWS($1:21)&gt;COUNT(Dong),"",OFFSET(TH!E$1,SMALL(Dong,ROWS($1:21)),))</f>
        <v>41195</v>
      </c>
      <c r="D34" s="629" t="str">
        <f ca="1">IF(ROWS($1:21)&gt;COUNT(Dong),"",OFFSET(TH!F$1,SMALL(Dong,ROWS($1:21)),))</f>
        <v>Thanh toán tiền hàng</v>
      </c>
      <c r="E34" s="630" t="str">
        <f ca="1">IF(ROWS($1:21)&gt;COUNT(Dong),"",IF(OFFSET(TH!L$1,SMALL(Dong,ROWS($1:21)),)="331",OFFSET(TH!M$1,SMALL(Dong,ROWS($1:21)),),OFFSET(TH!L$1,SMALL(Dong,ROWS($1:21)),)))</f>
        <v>1111</v>
      </c>
      <c r="F34" s="631">
        <f ca="1">IF(ROWS($1:21)&gt;COUNT(Dong),"",IF(OFFSET(TH!L$1,SMALL(Dong,ROWS($1:21)),)="331",OFFSET(TH!K$1,SMALL(Dong,ROWS($1:21)),),0))</f>
        <v>7012500</v>
      </c>
      <c r="G34" s="631">
        <f ca="1">IF(ROWS($1:21)&gt;COUNT(Dong),"",IF(OFFSET(TH!M$1,SMALL(Dong,ROWS($1:21)),)="331",OFFSET(TH!K$1,SMALL(Dong,ROWS($1:21)),),0))</f>
        <v>0</v>
      </c>
      <c r="H34" s="632">
        <f t="shared" ca="1" si="0"/>
        <v>0</v>
      </c>
      <c r="I34" s="632">
        <f t="shared" ca="1" si="1"/>
        <v>0</v>
      </c>
    </row>
    <row r="35" spans="1:9" s="4" customFormat="1" ht="18" customHeight="1">
      <c r="A35" s="628">
        <f ca="1">IF(ROWS($1:22)&gt;COUNT(Dong),"",OFFSET(TH!C$1,SMALL(Dong,ROWS($1:22)),))</f>
        <v>41201</v>
      </c>
      <c r="B35" s="628" t="str">
        <f ca="1">IF(ROWS($1:22)&gt;COUNT(Dong),"",OFFSET(TH!D$1,SMALL(Dong,ROWS($1:22)),))</f>
        <v>N02</v>
      </c>
      <c r="C35" s="628">
        <f ca="1">IF(ROWS($1:22)&gt;COUNT(Dong),"",OFFSET(TH!E$1,SMALL(Dong,ROWS($1:22)),))</f>
        <v>41201</v>
      </c>
      <c r="D35" s="629" t="str">
        <f ca="1">IF(ROWS($1:22)&gt;COUNT(Dong),"",OFFSET(TH!F$1,SMALL(Dong,ROWS($1:22)),))</f>
        <v>Giấy tấm 1N +2X (115x163)</v>
      </c>
      <c r="E35" s="630" t="str">
        <f ca="1">IF(ROWS($1:22)&gt;COUNT(Dong),"",IF(OFFSET(TH!L$1,SMALL(Dong,ROWS($1:22)),)="331",OFFSET(TH!M$1,SMALL(Dong,ROWS($1:22)),),OFFSET(TH!L$1,SMALL(Dong,ROWS($1:22)),)))</f>
        <v>156</v>
      </c>
      <c r="F35" s="631">
        <f ca="1">IF(ROWS($1:22)&gt;COUNT(Dong),"",IF(OFFSET(TH!L$1,SMALL(Dong,ROWS($1:22)),)="331",OFFSET(TH!K$1,SMALL(Dong,ROWS($1:22)),),0))</f>
        <v>0</v>
      </c>
      <c r="G35" s="631">
        <f ca="1">IF(ROWS($1:22)&gt;COUNT(Dong),"",IF(OFFSET(TH!M$1,SMALL(Dong,ROWS($1:22)),)="331",OFFSET(TH!K$1,SMALL(Dong,ROWS($1:22)),),0))</f>
        <v>5811000</v>
      </c>
      <c r="H35" s="632">
        <f t="shared" ca="1" si="0"/>
        <v>0</v>
      </c>
      <c r="I35" s="632">
        <f t="shared" ca="1" si="1"/>
        <v>5811000</v>
      </c>
    </row>
    <row r="36" spans="1:9" s="4" customFormat="1" ht="18" customHeight="1">
      <c r="A36" s="628">
        <f ca="1">IF(ROWS($1:23)&gt;COUNT(Dong),"",OFFSET(TH!C$1,SMALL(Dong,ROWS($1:23)),))</f>
        <v>41201</v>
      </c>
      <c r="B36" s="628" t="str">
        <f ca="1">IF(ROWS($1:23)&gt;COUNT(Dong),"",OFFSET(TH!D$1,SMALL(Dong,ROWS($1:23)),))</f>
        <v>N02</v>
      </c>
      <c r="C36" s="628">
        <f ca="1">IF(ROWS($1:23)&gt;COUNT(Dong),"",OFFSET(TH!E$1,SMALL(Dong,ROWS($1:23)),))</f>
        <v>41201</v>
      </c>
      <c r="D36" s="629" t="str">
        <f ca="1">IF(ROWS($1:23)&gt;COUNT(Dong),"",OFFSET(TH!F$1,SMALL(Dong,ROWS($1:23)),))</f>
        <v>Giấy tấm 1N +2X (150x92)</v>
      </c>
      <c r="E36" s="630" t="str">
        <f ca="1">IF(ROWS($1:23)&gt;COUNT(Dong),"",IF(OFFSET(TH!L$1,SMALL(Dong,ROWS($1:23)),)="331",OFFSET(TH!M$1,SMALL(Dong,ROWS($1:23)),),OFFSET(TH!L$1,SMALL(Dong,ROWS($1:23)),)))</f>
        <v>156</v>
      </c>
      <c r="F36" s="631">
        <f ca="1">IF(ROWS($1:23)&gt;COUNT(Dong),"",IF(OFFSET(TH!L$1,SMALL(Dong,ROWS($1:23)),)="331",OFFSET(TH!K$1,SMALL(Dong,ROWS($1:23)),),0))</f>
        <v>0</v>
      </c>
      <c r="G36" s="631">
        <f ca="1">IF(ROWS($1:23)&gt;COUNT(Dong),"",IF(OFFSET(TH!M$1,SMALL(Dong,ROWS($1:23)),)="331",OFFSET(TH!K$1,SMALL(Dong,ROWS($1:23)),),0))</f>
        <v>4278000</v>
      </c>
      <c r="H36" s="632">
        <f t="shared" ca="1" si="0"/>
        <v>0</v>
      </c>
      <c r="I36" s="632">
        <f t="shared" ca="1" si="1"/>
        <v>10089000</v>
      </c>
    </row>
    <row r="37" spans="1:9" s="4" customFormat="1" ht="18" customHeight="1">
      <c r="A37" s="628">
        <f ca="1">IF(ROWS($1:24)&gt;COUNT(Dong),"",OFFSET(TH!C$1,SMALL(Dong,ROWS($1:24)),))</f>
        <v>41201</v>
      </c>
      <c r="B37" s="628" t="str">
        <f ca="1">IF(ROWS($1:24)&gt;COUNT(Dong),"",OFFSET(TH!D$1,SMALL(Dong,ROWS($1:24)),))</f>
        <v>N02</v>
      </c>
      <c r="C37" s="628">
        <f ca="1">IF(ROWS($1:24)&gt;COUNT(Dong),"",OFFSET(TH!E$1,SMALL(Dong,ROWS($1:24)),))</f>
        <v>41201</v>
      </c>
      <c r="D37" s="629" t="str">
        <f ca="1">IF(ROWS($1:24)&gt;COUNT(Dong),"",OFFSET(TH!F$1,SMALL(Dong,ROWS($1:24)),))</f>
        <v xml:space="preserve">VAT Giấy tấm </v>
      </c>
      <c r="E37" s="630" t="str">
        <f ca="1">IF(ROWS($1:24)&gt;COUNT(Dong),"",IF(OFFSET(TH!L$1,SMALL(Dong,ROWS($1:24)),)="331",OFFSET(TH!M$1,SMALL(Dong,ROWS($1:24)),),OFFSET(TH!L$1,SMALL(Dong,ROWS($1:24)),)))</f>
        <v>1331</v>
      </c>
      <c r="F37" s="631">
        <f ca="1">IF(ROWS($1:24)&gt;COUNT(Dong),"",IF(OFFSET(TH!L$1,SMALL(Dong,ROWS($1:24)),)="331",OFFSET(TH!K$1,SMALL(Dong,ROWS($1:24)),),0))</f>
        <v>0</v>
      </c>
      <c r="G37" s="631">
        <f ca="1">IF(ROWS($1:24)&gt;COUNT(Dong),"",IF(OFFSET(TH!M$1,SMALL(Dong,ROWS($1:24)),)="331",OFFSET(TH!K$1,SMALL(Dong,ROWS($1:24)),),0))</f>
        <v>1008900</v>
      </c>
      <c r="H37" s="632">
        <f t="shared" ca="1" si="0"/>
        <v>0</v>
      </c>
      <c r="I37" s="632">
        <f t="shared" ca="1" si="1"/>
        <v>11097900</v>
      </c>
    </row>
    <row r="38" spans="1:9" s="4" customFormat="1" ht="18" customHeight="1">
      <c r="A38" s="628">
        <f ca="1">IF(ROWS($1:25)&gt;COUNT(Dong),"",OFFSET(TH!C$1,SMALL(Dong,ROWS($1:25)),))</f>
        <v>41201</v>
      </c>
      <c r="B38" s="628" t="str">
        <f ca="1">IF(ROWS($1:25)&gt;COUNT(Dong),"",OFFSET(TH!D$1,SMALL(Dong,ROWS($1:25)),))</f>
        <v>C04</v>
      </c>
      <c r="C38" s="628">
        <f ca="1">IF(ROWS($1:25)&gt;COUNT(Dong),"",OFFSET(TH!E$1,SMALL(Dong,ROWS($1:25)),))</f>
        <v>41201</v>
      </c>
      <c r="D38" s="629" t="str">
        <f ca="1">IF(ROWS($1:25)&gt;COUNT(Dong),"",OFFSET(TH!F$1,SMALL(Dong,ROWS($1:25)),))</f>
        <v>Thanh toán tiền hàng</v>
      </c>
      <c r="E38" s="630" t="str">
        <f ca="1">IF(ROWS($1:25)&gt;COUNT(Dong),"",IF(OFFSET(TH!L$1,SMALL(Dong,ROWS($1:25)),)="331",OFFSET(TH!M$1,SMALL(Dong,ROWS($1:25)),),OFFSET(TH!L$1,SMALL(Dong,ROWS($1:25)),)))</f>
        <v>1111</v>
      </c>
      <c r="F38" s="631">
        <f ca="1">IF(ROWS($1:25)&gt;COUNT(Dong),"",IF(OFFSET(TH!L$1,SMALL(Dong,ROWS($1:25)),)="331",OFFSET(TH!K$1,SMALL(Dong,ROWS($1:25)),),0))</f>
        <v>11097900</v>
      </c>
      <c r="G38" s="631">
        <f ca="1">IF(ROWS($1:25)&gt;COUNT(Dong),"",IF(OFFSET(TH!M$1,SMALL(Dong,ROWS($1:25)),)="331",OFFSET(TH!K$1,SMALL(Dong,ROWS($1:25)),),0))</f>
        <v>0</v>
      </c>
      <c r="H38" s="632">
        <f t="shared" ca="1" si="0"/>
        <v>0</v>
      </c>
      <c r="I38" s="632">
        <f t="shared" ca="1" si="1"/>
        <v>0</v>
      </c>
    </row>
    <row r="39" spans="1:9" s="4" customFormat="1" ht="18" customHeight="1">
      <c r="A39" s="628">
        <f ca="1">IF(ROWS($1:26)&gt;COUNT(Dong),"",OFFSET(TH!C$1,SMALL(Dong,ROWS($1:26)),))</f>
        <v>41207</v>
      </c>
      <c r="B39" s="628" t="str">
        <f ca="1">IF(ROWS($1:26)&gt;COUNT(Dong),"",OFFSET(TH!D$1,SMALL(Dong,ROWS($1:26)),))</f>
        <v>N03</v>
      </c>
      <c r="C39" s="628">
        <f ca="1">IF(ROWS($1:26)&gt;COUNT(Dong),"",OFFSET(TH!E$1,SMALL(Dong,ROWS($1:26)),))</f>
        <v>41207</v>
      </c>
      <c r="D39" s="629" t="str">
        <f ca="1">IF(ROWS($1:26)&gt;COUNT(Dong),"",OFFSET(TH!F$1,SMALL(Dong,ROWS($1:26)),))</f>
        <v>Giấy tấm 1N +2X (105x158)</v>
      </c>
      <c r="E39" s="630" t="str">
        <f ca="1">IF(ROWS($1:26)&gt;COUNT(Dong),"",IF(OFFSET(TH!L$1,SMALL(Dong,ROWS($1:26)),)="331",OFFSET(TH!M$1,SMALL(Dong,ROWS($1:26)),),OFFSET(TH!L$1,SMALL(Dong,ROWS($1:26)),)))</f>
        <v>156</v>
      </c>
      <c r="F39" s="631">
        <f ca="1">IF(ROWS($1:26)&gt;COUNT(Dong),"",IF(OFFSET(TH!L$1,SMALL(Dong,ROWS($1:26)),)="331",OFFSET(TH!K$1,SMALL(Dong,ROWS($1:26)),),0))</f>
        <v>0</v>
      </c>
      <c r="G39" s="631">
        <f ca="1">IF(ROWS($1:26)&gt;COUNT(Dong),"",IF(OFFSET(TH!M$1,SMALL(Dong,ROWS($1:26)),)="331",OFFSET(TH!K$1,SMALL(Dong,ROWS($1:26)),),0))</f>
        <v>5143000</v>
      </c>
      <c r="H39" s="632">
        <f t="shared" ca="1" si="0"/>
        <v>0</v>
      </c>
      <c r="I39" s="632">
        <f t="shared" ca="1" si="1"/>
        <v>5143000</v>
      </c>
    </row>
    <row r="40" spans="1:9" s="4" customFormat="1" ht="18" customHeight="1">
      <c r="A40" s="628">
        <f ca="1">IF(ROWS($1:27)&gt;COUNT(Dong),"",OFFSET(TH!C$1,SMALL(Dong,ROWS($1:27)),))</f>
        <v>41207</v>
      </c>
      <c r="B40" s="628" t="str">
        <f ca="1">IF(ROWS($1:27)&gt;COUNT(Dong),"",OFFSET(TH!D$1,SMALL(Dong,ROWS($1:27)),))</f>
        <v>N03</v>
      </c>
      <c r="C40" s="628">
        <f ca="1">IF(ROWS($1:27)&gt;COUNT(Dong),"",OFFSET(TH!E$1,SMALL(Dong,ROWS($1:27)),))</f>
        <v>41207</v>
      </c>
      <c r="D40" s="629" t="str">
        <f ca="1">IF(ROWS($1:27)&gt;COUNT(Dong),"",OFFSET(TH!F$1,SMALL(Dong,ROWS($1:27)),))</f>
        <v>Giấy tấm 1N +2X (120x175)</v>
      </c>
      <c r="E40" s="630" t="str">
        <f ca="1">IF(ROWS($1:27)&gt;COUNT(Dong),"",IF(OFFSET(TH!L$1,SMALL(Dong,ROWS($1:27)),)="331",OFFSET(TH!M$1,SMALL(Dong,ROWS($1:27)),),OFFSET(TH!L$1,SMALL(Dong,ROWS($1:27)),)))</f>
        <v>156</v>
      </c>
      <c r="F40" s="631">
        <f ca="1">IF(ROWS($1:27)&gt;COUNT(Dong),"",IF(OFFSET(TH!L$1,SMALL(Dong,ROWS($1:27)),)="331",OFFSET(TH!K$1,SMALL(Dong,ROWS($1:27)),),0))</f>
        <v>0</v>
      </c>
      <c r="G40" s="631">
        <f ca="1">IF(ROWS($1:27)&gt;COUNT(Dong),"",IF(OFFSET(TH!M$1,SMALL(Dong,ROWS($1:27)),)="331",OFFSET(TH!K$1,SMALL(Dong,ROWS($1:27)),),0))</f>
        <v>6510000</v>
      </c>
      <c r="H40" s="632">
        <f t="shared" ca="1" si="0"/>
        <v>0</v>
      </c>
      <c r="I40" s="632">
        <f t="shared" ca="1" si="1"/>
        <v>11653000</v>
      </c>
    </row>
    <row r="41" spans="1:9" s="4" customFormat="1" ht="18" customHeight="1">
      <c r="A41" s="628">
        <f ca="1">IF(ROWS($1:28)&gt;COUNT(Dong),"",OFFSET(TH!C$1,SMALL(Dong,ROWS($1:28)),))</f>
        <v>41207</v>
      </c>
      <c r="B41" s="628" t="str">
        <f ca="1">IF(ROWS($1:28)&gt;COUNT(Dong),"",OFFSET(TH!D$1,SMALL(Dong,ROWS($1:28)),))</f>
        <v>N03</v>
      </c>
      <c r="C41" s="628">
        <f ca="1">IF(ROWS($1:28)&gt;COUNT(Dong),"",OFFSET(TH!E$1,SMALL(Dong,ROWS($1:28)),))</f>
        <v>41207</v>
      </c>
      <c r="D41" s="629" t="str">
        <f ca="1">IF(ROWS($1:28)&gt;COUNT(Dong),"",OFFSET(TH!F$1,SMALL(Dong,ROWS($1:28)),))</f>
        <v xml:space="preserve">VAT Giấy tấm </v>
      </c>
      <c r="E41" s="630" t="str">
        <f ca="1">IF(ROWS($1:28)&gt;COUNT(Dong),"",IF(OFFSET(TH!L$1,SMALL(Dong,ROWS($1:28)),)="331",OFFSET(TH!M$1,SMALL(Dong,ROWS($1:28)),),OFFSET(TH!L$1,SMALL(Dong,ROWS($1:28)),)))</f>
        <v>1331</v>
      </c>
      <c r="F41" s="631">
        <f ca="1">IF(ROWS($1:28)&gt;COUNT(Dong),"",IF(OFFSET(TH!L$1,SMALL(Dong,ROWS($1:28)),)="331",OFFSET(TH!K$1,SMALL(Dong,ROWS($1:28)),),0))</f>
        <v>0</v>
      </c>
      <c r="G41" s="631">
        <f ca="1">IF(ROWS($1:28)&gt;COUNT(Dong),"",IF(OFFSET(TH!M$1,SMALL(Dong,ROWS($1:28)),)="331",OFFSET(TH!K$1,SMALL(Dong,ROWS($1:28)),),0))</f>
        <v>1165300</v>
      </c>
      <c r="H41" s="632">
        <f t="shared" ca="1" si="0"/>
        <v>0</v>
      </c>
      <c r="I41" s="632">
        <f t="shared" ca="1" si="1"/>
        <v>12818300</v>
      </c>
    </row>
    <row r="42" spans="1:9" s="4" customFormat="1" ht="18" customHeight="1">
      <c r="A42" s="628">
        <f ca="1">IF(ROWS($1:29)&gt;COUNT(Dong),"",OFFSET(TH!C$1,SMALL(Dong,ROWS($1:29)),))</f>
        <v>41207</v>
      </c>
      <c r="B42" s="628" t="str">
        <f ca="1">IF(ROWS($1:29)&gt;COUNT(Dong),"",OFFSET(TH!D$1,SMALL(Dong,ROWS($1:29)),))</f>
        <v>C06</v>
      </c>
      <c r="C42" s="628">
        <f ca="1">IF(ROWS($1:29)&gt;COUNT(Dong),"",OFFSET(TH!E$1,SMALL(Dong,ROWS($1:29)),))</f>
        <v>41207</v>
      </c>
      <c r="D42" s="629" t="str">
        <f ca="1">IF(ROWS($1:29)&gt;COUNT(Dong),"",OFFSET(TH!F$1,SMALL(Dong,ROWS($1:29)),))</f>
        <v>Thanh toán tiền hàng</v>
      </c>
      <c r="E42" s="630" t="str">
        <f ca="1">IF(ROWS($1:29)&gt;COUNT(Dong),"",IF(OFFSET(TH!L$1,SMALL(Dong,ROWS($1:29)),)="331",OFFSET(TH!M$1,SMALL(Dong,ROWS($1:29)),),OFFSET(TH!L$1,SMALL(Dong,ROWS($1:29)),)))</f>
        <v>1111</v>
      </c>
      <c r="F42" s="631">
        <f ca="1">IF(ROWS($1:29)&gt;COUNT(Dong),"",IF(OFFSET(TH!L$1,SMALL(Dong,ROWS($1:29)),)="331",OFFSET(TH!K$1,SMALL(Dong,ROWS($1:29)),),0))</f>
        <v>12818300</v>
      </c>
      <c r="G42" s="631">
        <f ca="1">IF(ROWS($1:29)&gt;COUNT(Dong),"",IF(OFFSET(TH!M$1,SMALL(Dong,ROWS($1:29)),)="331",OFFSET(TH!K$1,SMALL(Dong,ROWS($1:29)),),0))</f>
        <v>0</v>
      </c>
      <c r="H42" s="632">
        <f t="shared" ca="1" si="0"/>
        <v>0</v>
      </c>
      <c r="I42" s="632">
        <f t="shared" ca="1" si="1"/>
        <v>0</v>
      </c>
    </row>
    <row r="43" spans="1:9" s="4" customFormat="1" ht="18" customHeight="1">
      <c r="A43" s="628">
        <f ca="1">IF(ROWS($1:30)&gt;COUNT(Dong),"",OFFSET(TH!C$1,SMALL(Dong,ROWS($1:30)),))</f>
        <v>41208</v>
      </c>
      <c r="B43" s="628" t="str">
        <f ca="1">IF(ROWS($1:30)&gt;COUNT(Dong),"",OFFSET(TH!D$1,SMALL(Dong,ROWS($1:30)),))</f>
        <v>N04</v>
      </c>
      <c r="C43" s="628">
        <f ca="1">IF(ROWS($1:30)&gt;COUNT(Dong),"",OFFSET(TH!E$1,SMALL(Dong,ROWS($1:30)),))</f>
        <v>41208</v>
      </c>
      <c r="D43" s="629" t="str">
        <f ca="1">IF(ROWS($1:30)&gt;COUNT(Dong),"",OFFSET(TH!F$1,SMALL(Dong,ROWS($1:30)),))</f>
        <v>Giấy tấm 2N +1X (87x208)</v>
      </c>
      <c r="E43" s="630" t="str">
        <f ca="1">IF(ROWS($1:30)&gt;COUNT(Dong),"",IF(OFFSET(TH!L$1,SMALL(Dong,ROWS($1:30)),)="331",OFFSET(TH!M$1,SMALL(Dong,ROWS($1:30)),),OFFSET(TH!L$1,SMALL(Dong,ROWS($1:30)),)))</f>
        <v>156</v>
      </c>
      <c r="F43" s="631">
        <f ca="1">IF(ROWS($1:30)&gt;COUNT(Dong),"",IF(OFFSET(TH!L$1,SMALL(Dong,ROWS($1:30)),)="331",OFFSET(TH!K$1,SMALL(Dong,ROWS($1:30)),),0))</f>
        <v>0</v>
      </c>
      <c r="G43" s="631">
        <f ca="1">IF(ROWS($1:30)&gt;COUNT(Dong),"",IF(OFFSET(TH!M$1,SMALL(Dong,ROWS($1:30)),)="331",OFFSET(TH!K$1,SMALL(Dong,ROWS($1:30)),),0))</f>
        <v>6122620</v>
      </c>
      <c r="H43" s="632">
        <f t="shared" ca="1" si="0"/>
        <v>0</v>
      </c>
      <c r="I43" s="632">
        <f t="shared" ca="1" si="1"/>
        <v>6122620</v>
      </c>
    </row>
    <row r="44" spans="1:9" s="4" customFormat="1" ht="18" customHeight="1">
      <c r="A44" s="628">
        <f ca="1">IF(ROWS($1:31)&gt;COUNT(Dong),"",OFFSET(TH!C$1,SMALL(Dong,ROWS($1:31)),))</f>
        <v>41208</v>
      </c>
      <c r="B44" s="628" t="str">
        <f ca="1">IF(ROWS($1:31)&gt;COUNT(Dong),"",OFFSET(TH!D$1,SMALL(Dong,ROWS($1:31)),))</f>
        <v>N04</v>
      </c>
      <c r="C44" s="628">
        <f ca="1">IF(ROWS($1:31)&gt;COUNT(Dong),"",OFFSET(TH!E$1,SMALL(Dong,ROWS($1:31)),))</f>
        <v>41208</v>
      </c>
      <c r="D44" s="629" t="str">
        <f ca="1">IF(ROWS($1:31)&gt;COUNT(Dong),"",OFFSET(TH!F$1,SMALL(Dong,ROWS($1:31)),))</f>
        <v xml:space="preserve">VAT Giấy tấm </v>
      </c>
      <c r="E44" s="630" t="str">
        <f ca="1">IF(ROWS($1:31)&gt;COUNT(Dong),"",IF(OFFSET(TH!L$1,SMALL(Dong,ROWS($1:31)),)="331",OFFSET(TH!M$1,SMALL(Dong,ROWS($1:31)),),OFFSET(TH!L$1,SMALL(Dong,ROWS($1:31)),)))</f>
        <v>1331</v>
      </c>
      <c r="F44" s="631">
        <f ca="1">IF(ROWS($1:31)&gt;COUNT(Dong),"",IF(OFFSET(TH!L$1,SMALL(Dong,ROWS($1:31)),)="331",OFFSET(TH!K$1,SMALL(Dong,ROWS($1:31)),),0))</f>
        <v>0</v>
      </c>
      <c r="G44" s="631">
        <f ca="1">IF(ROWS($1:31)&gt;COUNT(Dong),"",IF(OFFSET(TH!M$1,SMALL(Dong,ROWS($1:31)),)="331",OFFSET(TH!K$1,SMALL(Dong,ROWS($1:31)),),0))</f>
        <v>612262</v>
      </c>
      <c r="H44" s="632">
        <f t="shared" ca="1" si="0"/>
        <v>0</v>
      </c>
      <c r="I44" s="632">
        <f t="shared" ca="1" si="1"/>
        <v>6734882</v>
      </c>
    </row>
    <row r="45" spans="1:9" s="4" customFormat="1" ht="18" customHeight="1">
      <c r="A45" s="628">
        <f ca="1">IF(ROWS($1:32)&gt;COUNT(Dong),"",OFFSET(TH!C$1,SMALL(Dong,ROWS($1:32)),))</f>
        <v>41208</v>
      </c>
      <c r="B45" s="628" t="str">
        <f ca="1">IF(ROWS($1:32)&gt;COUNT(Dong),"",OFFSET(TH!D$1,SMALL(Dong,ROWS($1:32)),))</f>
        <v>C07</v>
      </c>
      <c r="C45" s="628">
        <f ca="1">IF(ROWS($1:32)&gt;COUNT(Dong),"",OFFSET(TH!E$1,SMALL(Dong,ROWS($1:32)),))</f>
        <v>41208</v>
      </c>
      <c r="D45" s="629" t="str">
        <f ca="1">IF(ROWS($1:32)&gt;COUNT(Dong),"",OFFSET(TH!F$1,SMALL(Dong,ROWS($1:32)),))</f>
        <v>Thanh toán tiền hàng</v>
      </c>
      <c r="E45" s="630" t="str">
        <f ca="1">IF(ROWS($1:32)&gt;COUNT(Dong),"",IF(OFFSET(TH!L$1,SMALL(Dong,ROWS($1:32)),)="331",OFFSET(TH!M$1,SMALL(Dong,ROWS($1:32)),),OFFSET(TH!L$1,SMALL(Dong,ROWS($1:32)),)))</f>
        <v>1111</v>
      </c>
      <c r="F45" s="631">
        <f ca="1">IF(ROWS($1:32)&gt;COUNT(Dong),"",IF(OFFSET(TH!L$1,SMALL(Dong,ROWS($1:32)),)="331",OFFSET(TH!K$1,SMALL(Dong,ROWS($1:32)),),0))</f>
        <v>6734882</v>
      </c>
      <c r="G45" s="631">
        <f ca="1">IF(ROWS($1:32)&gt;COUNT(Dong),"",IF(OFFSET(TH!M$1,SMALL(Dong,ROWS($1:32)),)="331",OFFSET(TH!K$1,SMALL(Dong,ROWS($1:32)),),0))</f>
        <v>0</v>
      </c>
      <c r="H45" s="632">
        <f t="shared" ca="1" si="0"/>
        <v>0</v>
      </c>
      <c r="I45" s="632">
        <f t="shared" ca="1" si="1"/>
        <v>0</v>
      </c>
    </row>
    <row r="46" spans="1:9" s="4" customFormat="1" ht="18" customHeight="1">
      <c r="A46" s="628">
        <f ca="1">IF(ROWS($1:33)&gt;COUNT(Dong),"",OFFSET(TH!C$1,SMALL(Dong,ROWS($1:33)),))</f>
        <v>41215</v>
      </c>
      <c r="B46" s="628" t="str">
        <f ca="1">IF(ROWS($1:33)&gt;COUNT(Dong),"",OFFSET(TH!D$1,SMALL(Dong,ROWS($1:33)),))</f>
        <v>N06</v>
      </c>
      <c r="C46" s="628">
        <f ca="1">IF(ROWS($1:33)&gt;COUNT(Dong),"",OFFSET(TH!E$1,SMALL(Dong,ROWS($1:33)),))</f>
        <v>41215</v>
      </c>
      <c r="D46" s="629" t="str">
        <f ca="1">IF(ROWS($1:33)&gt;COUNT(Dong),"",OFFSET(TH!F$1,SMALL(Dong,ROWS($1:33)),))</f>
        <v>Giấy tấm 2N +1X (110x173)</v>
      </c>
      <c r="E46" s="630" t="str">
        <f ca="1">IF(ROWS($1:33)&gt;COUNT(Dong),"",IF(OFFSET(TH!L$1,SMALL(Dong,ROWS($1:33)),)="331",OFFSET(TH!M$1,SMALL(Dong,ROWS($1:33)),),OFFSET(TH!L$1,SMALL(Dong,ROWS($1:33)),)))</f>
        <v>156</v>
      </c>
      <c r="F46" s="631">
        <f ca="1">IF(ROWS($1:33)&gt;COUNT(Dong),"",IF(OFFSET(TH!L$1,SMALL(Dong,ROWS($1:33)),)="331",OFFSET(TH!K$1,SMALL(Dong,ROWS($1:33)),),0))</f>
        <v>0</v>
      </c>
      <c r="G46" s="631">
        <f ca="1">IF(ROWS($1:33)&gt;COUNT(Dong),"",IF(OFFSET(TH!M$1,SMALL(Dong,ROWS($1:33)),)="331",OFFSET(TH!K$1,SMALL(Dong,ROWS($1:33)),),0))</f>
        <v>12750000</v>
      </c>
      <c r="H46" s="632">
        <f t="shared" ca="1" si="0"/>
        <v>0</v>
      </c>
      <c r="I46" s="632">
        <f t="shared" ca="1" si="1"/>
        <v>12750000</v>
      </c>
    </row>
    <row r="47" spans="1:9" s="4" customFormat="1" ht="18" customHeight="1">
      <c r="A47" s="628">
        <f ca="1">IF(ROWS($1:34)&gt;COUNT(Dong),"",OFFSET(TH!C$1,SMALL(Dong,ROWS($1:34)),))</f>
        <v>41215</v>
      </c>
      <c r="B47" s="628" t="str">
        <f ca="1">IF(ROWS($1:34)&gt;COUNT(Dong),"",OFFSET(TH!D$1,SMALL(Dong,ROWS($1:34)),))</f>
        <v>N06</v>
      </c>
      <c r="C47" s="628">
        <f ca="1">IF(ROWS($1:34)&gt;COUNT(Dong),"",OFFSET(TH!E$1,SMALL(Dong,ROWS($1:34)),))</f>
        <v>41215</v>
      </c>
      <c r="D47" s="629" t="str">
        <f ca="1">IF(ROWS($1:34)&gt;COUNT(Dong),"",OFFSET(TH!F$1,SMALL(Dong,ROWS($1:34)),))</f>
        <v xml:space="preserve">VAT Giấy tấm </v>
      </c>
      <c r="E47" s="630" t="str">
        <f ca="1">IF(ROWS($1:34)&gt;COUNT(Dong),"",IF(OFFSET(TH!L$1,SMALL(Dong,ROWS($1:34)),)="331",OFFSET(TH!M$1,SMALL(Dong,ROWS($1:34)),),OFFSET(TH!L$1,SMALL(Dong,ROWS($1:34)),)))</f>
        <v>1331</v>
      </c>
      <c r="F47" s="631">
        <f ca="1">IF(ROWS($1:34)&gt;COUNT(Dong),"",IF(OFFSET(TH!L$1,SMALL(Dong,ROWS($1:34)),)="331",OFFSET(TH!K$1,SMALL(Dong,ROWS($1:34)),),0))</f>
        <v>0</v>
      </c>
      <c r="G47" s="631">
        <f ca="1">IF(ROWS($1:34)&gt;COUNT(Dong),"",IF(OFFSET(TH!M$1,SMALL(Dong,ROWS($1:34)),)="331",OFFSET(TH!K$1,SMALL(Dong,ROWS($1:34)),),0))</f>
        <v>1275000</v>
      </c>
      <c r="H47" s="632">
        <f t="shared" ca="1" si="0"/>
        <v>0</v>
      </c>
      <c r="I47" s="632">
        <f t="shared" ca="1" si="1"/>
        <v>14025000</v>
      </c>
    </row>
    <row r="48" spans="1:9" s="4" customFormat="1" ht="18" customHeight="1">
      <c r="A48" s="628">
        <f ca="1">IF(ROWS($1:35)&gt;COUNT(Dong),"",OFFSET(TH!C$1,SMALL(Dong,ROWS($1:35)),))</f>
        <v>41215</v>
      </c>
      <c r="B48" s="628" t="str">
        <f ca="1">IF(ROWS($1:35)&gt;COUNT(Dong),"",OFFSET(TH!D$1,SMALL(Dong,ROWS($1:35)),))</f>
        <v>C11</v>
      </c>
      <c r="C48" s="628">
        <f ca="1">IF(ROWS($1:35)&gt;COUNT(Dong),"",OFFSET(TH!E$1,SMALL(Dong,ROWS($1:35)),))</f>
        <v>41215</v>
      </c>
      <c r="D48" s="629" t="str">
        <f ca="1">IF(ROWS($1:35)&gt;COUNT(Dong),"",OFFSET(TH!F$1,SMALL(Dong,ROWS($1:35)),))</f>
        <v>Thanh toán tiền hàng</v>
      </c>
      <c r="E48" s="630" t="str">
        <f ca="1">IF(ROWS($1:35)&gt;COUNT(Dong),"",IF(OFFSET(TH!L$1,SMALL(Dong,ROWS($1:35)),)="331",OFFSET(TH!M$1,SMALL(Dong,ROWS($1:35)),),OFFSET(TH!L$1,SMALL(Dong,ROWS($1:35)),)))</f>
        <v>1111</v>
      </c>
      <c r="F48" s="631">
        <f ca="1">IF(ROWS($1:35)&gt;COUNT(Dong),"",IF(OFFSET(TH!L$1,SMALL(Dong,ROWS($1:35)),)="331",OFFSET(TH!K$1,SMALL(Dong,ROWS($1:35)),),0))</f>
        <v>14025000</v>
      </c>
      <c r="G48" s="631">
        <f ca="1">IF(ROWS($1:35)&gt;COUNT(Dong),"",IF(OFFSET(TH!M$1,SMALL(Dong,ROWS($1:35)),)="331",OFFSET(TH!K$1,SMALL(Dong,ROWS($1:35)),),0))</f>
        <v>0</v>
      </c>
      <c r="H48" s="632">
        <f t="shared" ca="1" si="0"/>
        <v>0</v>
      </c>
      <c r="I48" s="632">
        <f t="shared" ca="1" si="1"/>
        <v>0</v>
      </c>
    </row>
    <row r="49" spans="1:9" s="4" customFormat="1" ht="18" customHeight="1">
      <c r="A49" s="628">
        <f ca="1">IF(ROWS($1:36)&gt;COUNT(Dong),"",OFFSET(TH!C$1,SMALL(Dong,ROWS($1:36)),))</f>
        <v>41215</v>
      </c>
      <c r="B49" s="628" t="str">
        <f ca="1">IF(ROWS($1:36)&gt;COUNT(Dong),"",OFFSET(TH!D$1,SMALL(Dong,ROWS($1:36)),))</f>
        <v>N07</v>
      </c>
      <c r="C49" s="628">
        <f ca="1">IF(ROWS($1:36)&gt;COUNT(Dong),"",OFFSET(TH!E$1,SMALL(Dong,ROWS($1:36)),))</f>
        <v>41215</v>
      </c>
      <c r="D49" s="629" t="str">
        <f ca="1">IF(ROWS($1:36)&gt;COUNT(Dong),"",OFFSET(TH!F$1,SMALL(Dong,ROWS($1:36)),))</f>
        <v>Giấy tấm 1N +2X (110x151)</v>
      </c>
      <c r="E49" s="630" t="str">
        <f ca="1">IF(ROWS($1:36)&gt;COUNT(Dong),"",IF(OFFSET(TH!L$1,SMALL(Dong,ROWS($1:36)),)="331",OFFSET(TH!M$1,SMALL(Dong,ROWS($1:36)),),OFFSET(TH!L$1,SMALL(Dong,ROWS($1:36)),)))</f>
        <v>156</v>
      </c>
      <c r="F49" s="631">
        <f ca="1">IF(ROWS($1:36)&gt;COUNT(Dong),"",IF(OFFSET(TH!L$1,SMALL(Dong,ROWS($1:36)),)="331",OFFSET(TH!K$1,SMALL(Dong,ROWS($1:36)),),0))</f>
        <v>0</v>
      </c>
      <c r="G49" s="631">
        <f ca="1">IF(ROWS($1:36)&gt;COUNT(Dong),"",IF(OFFSET(TH!M$1,SMALL(Dong,ROWS($1:36)),)="331",OFFSET(TH!K$1,SMALL(Dong,ROWS($1:36)),),0))</f>
        <v>5149000</v>
      </c>
      <c r="H49" s="632">
        <f t="shared" ca="1" si="0"/>
        <v>0</v>
      </c>
      <c r="I49" s="632">
        <f t="shared" ca="1" si="1"/>
        <v>5149000</v>
      </c>
    </row>
    <row r="50" spans="1:9" s="4" customFormat="1" ht="18" customHeight="1">
      <c r="A50" s="628">
        <f ca="1">IF(ROWS($1:37)&gt;COUNT(Dong),"",OFFSET(TH!C$1,SMALL(Dong,ROWS($1:37)),))</f>
        <v>41215</v>
      </c>
      <c r="B50" s="628" t="str">
        <f ca="1">IF(ROWS($1:37)&gt;COUNT(Dong),"",OFFSET(TH!D$1,SMALL(Dong,ROWS($1:37)),))</f>
        <v>N07</v>
      </c>
      <c r="C50" s="628">
        <f ca="1">IF(ROWS($1:37)&gt;COUNT(Dong),"",OFFSET(TH!E$1,SMALL(Dong,ROWS($1:37)),))</f>
        <v>41215</v>
      </c>
      <c r="D50" s="629" t="str">
        <f ca="1">IF(ROWS($1:37)&gt;COUNT(Dong),"",OFFSET(TH!F$1,SMALL(Dong,ROWS($1:37)),))</f>
        <v xml:space="preserve">VAT Giấy tấm </v>
      </c>
      <c r="E50" s="630" t="str">
        <f ca="1">IF(ROWS($1:37)&gt;COUNT(Dong),"",IF(OFFSET(TH!L$1,SMALL(Dong,ROWS($1:37)),)="331",OFFSET(TH!M$1,SMALL(Dong,ROWS($1:37)),),OFFSET(TH!L$1,SMALL(Dong,ROWS($1:37)),)))</f>
        <v>1331</v>
      </c>
      <c r="F50" s="631">
        <f ca="1">IF(ROWS($1:37)&gt;COUNT(Dong),"",IF(OFFSET(TH!L$1,SMALL(Dong,ROWS($1:37)),)="331",OFFSET(TH!K$1,SMALL(Dong,ROWS($1:37)),),0))</f>
        <v>0</v>
      </c>
      <c r="G50" s="631">
        <f ca="1">IF(ROWS($1:37)&gt;COUNT(Dong),"",IF(OFFSET(TH!M$1,SMALL(Dong,ROWS($1:37)),)="331",OFFSET(TH!K$1,SMALL(Dong,ROWS($1:37)),),0))</f>
        <v>514900</v>
      </c>
      <c r="H50" s="632">
        <f t="shared" ref="H50:H78" ca="1" si="2">IF(D50&lt;&gt;"",MAX(H49+F50-G50-I49,0),0)</f>
        <v>0</v>
      </c>
      <c r="I50" s="632">
        <f t="shared" ref="I50:I78" ca="1" si="3">IF(D50&lt;&gt;"",MAX(I49+G50-H49-F50,0),0)</f>
        <v>5663900</v>
      </c>
    </row>
    <row r="51" spans="1:9" s="4" customFormat="1" ht="18" customHeight="1">
      <c r="A51" s="628">
        <f ca="1">IF(ROWS($1:38)&gt;COUNT(Dong),"",OFFSET(TH!C$1,SMALL(Dong,ROWS($1:38)),))</f>
        <v>41215</v>
      </c>
      <c r="B51" s="628" t="str">
        <f ca="1">IF(ROWS($1:38)&gt;COUNT(Dong),"",OFFSET(TH!D$1,SMALL(Dong,ROWS($1:38)),))</f>
        <v>C12</v>
      </c>
      <c r="C51" s="628">
        <f ca="1">IF(ROWS($1:38)&gt;COUNT(Dong),"",OFFSET(TH!E$1,SMALL(Dong,ROWS($1:38)),))</f>
        <v>41215</v>
      </c>
      <c r="D51" s="629" t="str">
        <f ca="1">IF(ROWS($1:38)&gt;COUNT(Dong),"",OFFSET(TH!F$1,SMALL(Dong,ROWS($1:38)),))</f>
        <v>Thanh toán tiền hàng</v>
      </c>
      <c r="E51" s="630" t="str">
        <f ca="1">IF(ROWS($1:38)&gt;COUNT(Dong),"",IF(OFFSET(TH!L$1,SMALL(Dong,ROWS($1:38)),)="331",OFFSET(TH!M$1,SMALL(Dong,ROWS($1:38)),),OFFSET(TH!L$1,SMALL(Dong,ROWS($1:38)),)))</f>
        <v>1111</v>
      </c>
      <c r="F51" s="631">
        <f ca="1">IF(ROWS($1:38)&gt;COUNT(Dong),"",IF(OFFSET(TH!L$1,SMALL(Dong,ROWS($1:38)),)="331",OFFSET(TH!K$1,SMALL(Dong,ROWS($1:38)),),0))</f>
        <v>5663900</v>
      </c>
      <c r="G51" s="631">
        <f ca="1">IF(ROWS($1:38)&gt;COUNT(Dong),"",IF(OFFSET(TH!M$1,SMALL(Dong,ROWS($1:38)),)="331",OFFSET(TH!K$1,SMALL(Dong,ROWS($1:38)),),0))</f>
        <v>0</v>
      </c>
      <c r="H51" s="632">
        <f t="shared" ca="1" si="2"/>
        <v>0</v>
      </c>
      <c r="I51" s="632">
        <f t="shared" ca="1" si="3"/>
        <v>0</v>
      </c>
    </row>
    <row r="52" spans="1:9" s="4" customFormat="1" ht="18" customHeight="1">
      <c r="A52" s="628">
        <f ca="1">IF(ROWS($1:39)&gt;COUNT(Dong),"",OFFSET(TH!C$1,SMALL(Dong,ROWS($1:39)),))</f>
        <v>41230</v>
      </c>
      <c r="B52" s="628" t="str">
        <f ca="1">IF(ROWS($1:39)&gt;COUNT(Dong),"",OFFSET(TH!D$1,SMALL(Dong,ROWS($1:39)),))</f>
        <v>N08</v>
      </c>
      <c r="C52" s="628">
        <f ca="1">IF(ROWS($1:39)&gt;COUNT(Dong),"",OFFSET(TH!E$1,SMALL(Dong,ROWS($1:39)),))</f>
        <v>41230</v>
      </c>
      <c r="D52" s="629" t="str">
        <f ca="1">IF(ROWS($1:39)&gt;COUNT(Dong),"",OFFSET(TH!F$1,SMALL(Dong,ROWS($1:39)),))</f>
        <v>Giấy tấm 1N +2X (105x158)</v>
      </c>
      <c r="E52" s="630" t="str">
        <f ca="1">IF(ROWS($1:39)&gt;COUNT(Dong),"",IF(OFFSET(TH!L$1,SMALL(Dong,ROWS($1:39)),)="331",OFFSET(TH!M$1,SMALL(Dong,ROWS($1:39)),),OFFSET(TH!L$1,SMALL(Dong,ROWS($1:39)),)))</f>
        <v>156</v>
      </c>
      <c r="F52" s="631">
        <f ca="1">IF(ROWS($1:39)&gt;COUNT(Dong),"",IF(OFFSET(TH!L$1,SMALL(Dong,ROWS($1:39)),)="331",OFFSET(TH!K$1,SMALL(Dong,ROWS($1:39)),),0))</f>
        <v>0</v>
      </c>
      <c r="G52" s="631">
        <f ca="1">IF(ROWS($1:39)&gt;COUNT(Dong),"",IF(OFFSET(TH!M$1,SMALL(Dong,ROWS($1:39)),)="331",OFFSET(TH!K$1,SMALL(Dong,ROWS($1:39)),),0))</f>
        <v>10286000</v>
      </c>
      <c r="H52" s="632">
        <f t="shared" ca="1" si="2"/>
        <v>0</v>
      </c>
      <c r="I52" s="632">
        <f t="shared" ca="1" si="3"/>
        <v>10286000</v>
      </c>
    </row>
    <row r="53" spans="1:9" s="4" customFormat="1" ht="18" customHeight="1">
      <c r="A53" s="628">
        <f ca="1">IF(ROWS($1:40)&gt;COUNT(Dong),"",OFFSET(TH!C$1,SMALL(Dong,ROWS($1:40)),))</f>
        <v>41230</v>
      </c>
      <c r="B53" s="628" t="str">
        <f ca="1">IF(ROWS($1:40)&gt;COUNT(Dong),"",OFFSET(TH!D$1,SMALL(Dong,ROWS($1:40)),))</f>
        <v>N08</v>
      </c>
      <c r="C53" s="628">
        <f ca="1">IF(ROWS($1:40)&gt;COUNT(Dong),"",OFFSET(TH!E$1,SMALL(Dong,ROWS($1:40)),))</f>
        <v>41230</v>
      </c>
      <c r="D53" s="629" t="str">
        <f ca="1">IF(ROWS($1:40)&gt;COUNT(Dong),"",OFFSET(TH!F$1,SMALL(Dong,ROWS($1:40)),))</f>
        <v>Giấy tấm 1N +2X (105x162)</v>
      </c>
      <c r="E53" s="630" t="str">
        <f ca="1">IF(ROWS($1:40)&gt;COUNT(Dong),"",IF(OFFSET(TH!L$1,SMALL(Dong,ROWS($1:40)),)="331",OFFSET(TH!M$1,SMALL(Dong,ROWS($1:40)),),OFFSET(TH!L$1,SMALL(Dong,ROWS($1:40)),)))</f>
        <v>156</v>
      </c>
      <c r="F53" s="631">
        <f ca="1">IF(ROWS($1:40)&gt;COUNT(Dong),"",IF(OFFSET(TH!L$1,SMALL(Dong,ROWS($1:40)),)="331",OFFSET(TH!K$1,SMALL(Dong,ROWS($1:40)),),0))</f>
        <v>0</v>
      </c>
      <c r="G53" s="631">
        <f ca="1">IF(ROWS($1:40)&gt;COUNT(Dong),"",IF(OFFSET(TH!M$1,SMALL(Dong,ROWS($1:40)),)="331",OFFSET(TH!K$1,SMALL(Dong,ROWS($1:40)),),0))</f>
        <v>1845550</v>
      </c>
      <c r="H53" s="632">
        <f t="shared" ca="1" si="2"/>
        <v>0</v>
      </c>
      <c r="I53" s="632">
        <f t="shared" ca="1" si="3"/>
        <v>12131550</v>
      </c>
    </row>
    <row r="54" spans="1:9" s="4" customFormat="1" ht="18" customHeight="1">
      <c r="A54" s="628">
        <f ca="1">IF(ROWS($1:41)&gt;COUNT(Dong),"",OFFSET(TH!C$1,SMALL(Dong,ROWS($1:41)),))</f>
        <v>41230</v>
      </c>
      <c r="B54" s="628" t="str">
        <f ca="1">IF(ROWS($1:41)&gt;COUNT(Dong),"",OFFSET(TH!D$1,SMALL(Dong,ROWS($1:41)),))</f>
        <v>N08</v>
      </c>
      <c r="C54" s="628">
        <f ca="1">IF(ROWS($1:41)&gt;COUNT(Dong),"",OFFSET(TH!E$1,SMALL(Dong,ROWS($1:41)),))</f>
        <v>41230</v>
      </c>
      <c r="D54" s="629" t="str">
        <f ca="1">IF(ROWS($1:41)&gt;COUNT(Dong),"",OFFSET(TH!F$1,SMALL(Dong,ROWS($1:41)),))</f>
        <v>Giấy tấm 1N +2X (150x92)</v>
      </c>
      <c r="E54" s="630" t="str">
        <f ca="1">IF(ROWS($1:41)&gt;COUNT(Dong),"",IF(OFFSET(TH!L$1,SMALL(Dong,ROWS($1:41)),)="331",OFFSET(TH!M$1,SMALL(Dong,ROWS($1:41)),),OFFSET(TH!L$1,SMALL(Dong,ROWS($1:41)),)))</f>
        <v>156</v>
      </c>
      <c r="F54" s="631">
        <f ca="1">IF(ROWS($1:41)&gt;COUNT(Dong),"",IF(OFFSET(TH!L$1,SMALL(Dong,ROWS($1:41)),)="331",OFFSET(TH!K$1,SMALL(Dong,ROWS($1:41)),),0))</f>
        <v>0</v>
      </c>
      <c r="G54" s="631">
        <f ca="1">IF(ROWS($1:41)&gt;COUNT(Dong),"",IF(OFFSET(TH!M$1,SMALL(Dong,ROWS($1:41)),)="331",OFFSET(TH!K$1,SMALL(Dong,ROWS($1:41)),),0))</f>
        <v>5133600</v>
      </c>
      <c r="H54" s="632">
        <f t="shared" ca="1" si="2"/>
        <v>0</v>
      </c>
      <c r="I54" s="632">
        <f t="shared" ca="1" si="3"/>
        <v>17265150</v>
      </c>
    </row>
    <row r="55" spans="1:9" s="4" customFormat="1" ht="18" customHeight="1">
      <c r="A55" s="628">
        <f ca="1">IF(ROWS($1:42)&gt;COUNT(Dong),"",OFFSET(TH!C$1,SMALL(Dong,ROWS($1:42)),))</f>
        <v>41230</v>
      </c>
      <c r="B55" s="628" t="str">
        <f ca="1">IF(ROWS($1:42)&gt;COUNT(Dong),"",OFFSET(TH!D$1,SMALL(Dong,ROWS($1:42)),))</f>
        <v>N08</v>
      </c>
      <c r="C55" s="628">
        <f ca="1">IF(ROWS($1:42)&gt;COUNT(Dong),"",OFFSET(TH!E$1,SMALL(Dong,ROWS($1:42)),))</f>
        <v>41230</v>
      </c>
      <c r="D55" s="629" t="str">
        <f ca="1">IF(ROWS($1:42)&gt;COUNT(Dong),"",OFFSET(TH!F$1,SMALL(Dong,ROWS($1:42)),))</f>
        <v xml:space="preserve">VAT Giấy tấm </v>
      </c>
      <c r="E55" s="630" t="str">
        <f ca="1">IF(ROWS($1:42)&gt;COUNT(Dong),"",IF(OFFSET(TH!L$1,SMALL(Dong,ROWS($1:42)),)="331",OFFSET(TH!M$1,SMALL(Dong,ROWS($1:42)),),OFFSET(TH!L$1,SMALL(Dong,ROWS($1:42)),)))</f>
        <v>1331</v>
      </c>
      <c r="F55" s="631">
        <f ca="1">IF(ROWS($1:42)&gt;COUNT(Dong),"",IF(OFFSET(TH!L$1,SMALL(Dong,ROWS($1:42)),)="331",OFFSET(TH!K$1,SMALL(Dong,ROWS($1:42)),),0))</f>
        <v>0</v>
      </c>
      <c r="G55" s="631">
        <f ca="1">IF(ROWS($1:42)&gt;COUNT(Dong),"",IF(OFFSET(TH!M$1,SMALL(Dong,ROWS($1:42)),)="331",OFFSET(TH!K$1,SMALL(Dong,ROWS($1:42)),),0))</f>
        <v>1726515</v>
      </c>
      <c r="H55" s="632">
        <f t="shared" ca="1" si="2"/>
        <v>0</v>
      </c>
      <c r="I55" s="632">
        <f t="shared" ca="1" si="3"/>
        <v>18991665</v>
      </c>
    </row>
    <row r="56" spans="1:9" s="4" customFormat="1" ht="18" customHeight="1">
      <c r="A56" s="628">
        <f ca="1">IF(ROWS($1:43)&gt;COUNT(Dong),"",OFFSET(TH!C$1,SMALL(Dong,ROWS($1:43)),))</f>
        <v>41230</v>
      </c>
      <c r="B56" s="628" t="str">
        <f ca="1">IF(ROWS($1:43)&gt;COUNT(Dong),"",OFFSET(TH!D$1,SMALL(Dong,ROWS($1:43)),))</f>
        <v>C16</v>
      </c>
      <c r="C56" s="628">
        <f ca="1">IF(ROWS($1:43)&gt;COUNT(Dong),"",OFFSET(TH!E$1,SMALL(Dong,ROWS($1:43)),))</f>
        <v>41230</v>
      </c>
      <c r="D56" s="629" t="str">
        <f ca="1">IF(ROWS($1:43)&gt;COUNT(Dong),"",OFFSET(TH!F$1,SMALL(Dong,ROWS($1:43)),))</f>
        <v>Thanh toán tiền hàng</v>
      </c>
      <c r="E56" s="630" t="str">
        <f ca="1">IF(ROWS($1:43)&gt;COUNT(Dong),"",IF(OFFSET(TH!L$1,SMALL(Dong,ROWS($1:43)),)="331",OFFSET(TH!M$1,SMALL(Dong,ROWS($1:43)),),OFFSET(TH!L$1,SMALL(Dong,ROWS($1:43)),)))</f>
        <v>1111</v>
      </c>
      <c r="F56" s="631">
        <f ca="1">IF(ROWS($1:43)&gt;COUNT(Dong),"",IF(OFFSET(TH!L$1,SMALL(Dong,ROWS($1:43)),)="331",OFFSET(TH!K$1,SMALL(Dong,ROWS($1:43)),),0))</f>
        <v>18991665</v>
      </c>
      <c r="G56" s="631">
        <f ca="1">IF(ROWS($1:43)&gt;COUNT(Dong),"",IF(OFFSET(TH!M$1,SMALL(Dong,ROWS($1:43)),)="331",OFFSET(TH!K$1,SMALL(Dong,ROWS($1:43)),),0))</f>
        <v>0</v>
      </c>
      <c r="H56" s="632">
        <f t="shared" ca="1" si="2"/>
        <v>0</v>
      </c>
      <c r="I56" s="632">
        <f t="shared" ca="1" si="3"/>
        <v>0</v>
      </c>
    </row>
    <row r="57" spans="1:9" s="4" customFormat="1" ht="18" customHeight="1">
      <c r="A57" s="628">
        <f ca="1">IF(ROWS($1:44)&gt;COUNT(Dong),"",OFFSET(TH!C$1,SMALL(Dong,ROWS($1:44)),))</f>
        <v>41235</v>
      </c>
      <c r="B57" s="628" t="str">
        <f ca="1">IF(ROWS($1:44)&gt;COUNT(Dong),"",OFFSET(TH!D$1,SMALL(Dong,ROWS($1:44)),))</f>
        <v>N09</v>
      </c>
      <c r="C57" s="628">
        <f ca="1">IF(ROWS($1:44)&gt;COUNT(Dong),"",OFFSET(TH!E$1,SMALL(Dong,ROWS($1:44)),))</f>
        <v>41235</v>
      </c>
      <c r="D57" s="629" t="str">
        <f ca="1">IF(ROWS($1:44)&gt;COUNT(Dong),"",OFFSET(TH!F$1,SMALL(Dong,ROWS($1:44)),))</f>
        <v>Giấy tấm 1N +2X (115x164)</v>
      </c>
      <c r="E57" s="630" t="str">
        <f ca="1">IF(ROWS($1:44)&gt;COUNT(Dong),"",IF(OFFSET(TH!L$1,SMALL(Dong,ROWS($1:44)),)="331",OFFSET(TH!M$1,SMALL(Dong,ROWS($1:44)),),OFFSET(TH!L$1,SMALL(Dong,ROWS($1:44)),)))</f>
        <v>156</v>
      </c>
      <c r="F57" s="631">
        <f ca="1">IF(ROWS($1:44)&gt;COUNT(Dong),"",IF(OFFSET(TH!L$1,SMALL(Dong,ROWS($1:44)),)="331",OFFSET(TH!K$1,SMALL(Dong,ROWS($1:44)),),0))</f>
        <v>0</v>
      </c>
      <c r="G57" s="631">
        <f ca="1">IF(ROWS($1:44)&gt;COUNT(Dong),"",IF(OFFSET(TH!M$1,SMALL(Dong,ROWS($1:44)),)="331",OFFSET(TH!K$1,SMALL(Dong,ROWS($1:44)),),0))</f>
        <v>9354400</v>
      </c>
      <c r="H57" s="632">
        <f t="shared" ca="1" si="2"/>
        <v>0</v>
      </c>
      <c r="I57" s="632">
        <f t="shared" ca="1" si="3"/>
        <v>9354400</v>
      </c>
    </row>
    <row r="58" spans="1:9" s="4" customFormat="1" ht="18" customHeight="1">
      <c r="A58" s="628">
        <f ca="1">IF(ROWS($1:45)&gt;COUNT(Dong),"",OFFSET(TH!C$1,SMALL(Dong,ROWS($1:45)),))</f>
        <v>41235</v>
      </c>
      <c r="B58" s="628" t="str">
        <f ca="1">IF(ROWS($1:45)&gt;COUNT(Dong),"",OFFSET(TH!D$1,SMALL(Dong,ROWS($1:45)),))</f>
        <v>N09</v>
      </c>
      <c r="C58" s="628">
        <f ca="1">IF(ROWS($1:45)&gt;COUNT(Dong),"",OFFSET(TH!E$1,SMALL(Dong,ROWS($1:45)),))</f>
        <v>41235</v>
      </c>
      <c r="D58" s="629" t="str">
        <f ca="1">IF(ROWS($1:45)&gt;COUNT(Dong),"",OFFSET(TH!F$1,SMALL(Dong,ROWS($1:45)),))</f>
        <v>Giấy tấm 2N +3X (105x200)</v>
      </c>
      <c r="E58" s="630" t="str">
        <f ca="1">IF(ROWS($1:45)&gt;COUNT(Dong),"",IF(OFFSET(TH!L$1,SMALL(Dong,ROWS($1:45)),)="331",OFFSET(TH!M$1,SMALL(Dong,ROWS($1:45)),),OFFSET(TH!L$1,SMALL(Dong,ROWS($1:45)),)))</f>
        <v>156</v>
      </c>
      <c r="F58" s="631">
        <f ca="1">IF(ROWS($1:45)&gt;COUNT(Dong),"",IF(OFFSET(TH!L$1,SMALL(Dong,ROWS($1:45)),)="331",OFFSET(TH!K$1,SMALL(Dong,ROWS($1:45)),),0))</f>
        <v>0</v>
      </c>
      <c r="G58" s="631">
        <f ca="1">IF(ROWS($1:45)&gt;COUNT(Dong),"",IF(OFFSET(TH!M$1,SMALL(Dong,ROWS($1:45)),)="331",OFFSET(TH!K$1,SMALL(Dong,ROWS($1:45)),),0))</f>
        <v>6115200</v>
      </c>
      <c r="H58" s="632">
        <f t="shared" ca="1" si="2"/>
        <v>0</v>
      </c>
      <c r="I58" s="632">
        <f t="shared" ca="1" si="3"/>
        <v>15469600</v>
      </c>
    </row>
    <row r="59" spans="1:9" s="4" customFormat="1" ht="18" customHeight="1">
      <c r="A59" s="628">
        <f ca="1">IF(ROWS($1:46)&gt;COUNT(Dong),"",OFFSET(TH!C$1,SMALL(Dong,ROWS($1:46)),))</f>
        <v>41235</v>
      </c>
      <c r="B59" s="628" t="str">
        <f ca="1">IF(ROWS($1:46)&gt;COUNT(Dong),"",OFFSET(TH!D$1,SMALL(Dong,ROWS($1:46)),))</f>
        <v>N09</v>
      </c>
      <c r="C59" s="628">
        <f ca="1">IF(ROWS($1:46)&gt;COUNT(Dong),"",OFFSET(TH!E$1,SMALL(Dong,ROWS($1:46)),))</f>
        <v>41235</v>
      </c>
      <c r="D59" s="629" t="str">
        <f ca="1">IF(ROWS($1:46)&gt;COUNT(Dong),"",OFFSET(TH!F$1,SMALL(Dong,ROWS($1:46)),))</f>
        <v xml:space="preserve">VAT Giấy tấm </v>
      </c>
      <c r="E59" s="630" t="str">
        <f ca="1">IF(ROWS($1:46)&gt;COUNT(Dong),"",IF(OFFSET(TH!L$1,SMALL(Dong,ROWS($1:46)),)="331",OFFSET(TH!M$1,SMALL(Dong,ROWS($1:46)),),OFFSET(TH!L$1,SMALL(Dong,ROWS($1:46)),)))</f>
        <v>1331</v>
      </c>
      <c r="F59" s="631">
        <f ca="1">IF(ROWS($1:46)&gt;COUNT(Dong),"",IF(OFFSET(TH!L$1,SMALL(Dong,ROWS($1:46)),)="331",OFFSET(TH!K$1,SMALL(Dong,ROWS($1:46)),),0))</f>
        <v>0</v>
      </c>
      <c r="G59" s="631">
        <f ca="1">IF(ROWS($1:46)&gt;COUNT(Dong),"",IF(OFFSET(TH!M$1,SMALL(Dong,ROWS($1:46)),)="331",OFFSET(TH!K$1,SMALL(Dong,ROWS($1:46)),),0))</f>
        <v>1546960</v>
      </c>
      <c r="H59" s="632">
        <f t="shared" ca="1" si="2"/>
        <v>0</v>
      </c>
      <c r="I59" s="632">
        <f t="shared" ca="1" si="3"/>
        <v>17016560</v>
      </c>
    </row>
    <row r="60" spans="1:9" s="4" customFormat="1" ht="18" customHeight="1">
      <c r="A60" s="628">
        <f ca="1">IF(ROWS($1:47)&gt;COUNT(Dong),"",OFFSET(TH!C$1,SMALL(Dong,ROWS($1:47)),))</f>
        <v>41235</v>
      </c>
      <c r="B60" s="628" t="str">
        <f ca="1">IF(ROWS($1:47)&gt;COUNT(Dong),"",OFFSET(TH!D$1,SMALL(Dong,ROWS($1:47)),))</f>
        <v>C18</v>
      </c>
      <c r="C60" s="628">
        <f ca="1">IF(ROWS($1:47)&gt;COUNT(Dong),"",OFFSET(TH!E$1,SMALL(Dong,ROWS($1:47)),))</f>
        <v>41235</v>
      </c>
      <c r="D60" s="629" t="str">
        <f ca="1">IF(ROWS($1:47)&gt;COUNT(Dong),"",OFFSET(TH!F$1,SMALL(Dong,ROWS($1:47)),))</f>
        <v>Thanh toán tiền hàng</v>
      </c>
      <c r="E60" s="630" t="str">
        <f ca="1">IF(ROWS($1:47)&gt;COUNT(Dong),"",IF(OFFSET(TH!L$1,SMALL(Dong,ROWS($1:47)),)="331",OFFSET(TH!M$1,SMALL(Dong,ROWS($1:47)),),OFFSET(TH!L$1,SMALL(Dong,ROWS($1:47)),)))</f>
        <v>1111</v>
      </c>
      <c r="F60" s="631">
        <f ca="1">IF(ROWS($1:47)&gt;COUNT(Dong),"",IF(OFFSET(TH!L$1,SMALL(Dong,ROWS($1:47)),)="331",OFFSET(TH!K$1,SMALL(Dong,ROWS($1:47)),),0))</f>
        <v>17016560</v>
      </c>
      <c r="G60" s="631">
        <f ca="1">IF(ROWS($1:47)&gt;COUNT(Dong),"",IF(OFFSET(TH!M$1,SMALL(Dong,ROWS($1:47)),)="331",OFFSET(TH!K$1,SMALL(Dong,ROWS($1:47)),),0))</f>
        <v>0</v>
      </c>
      <c r="H60" s="632">
        <f t="shared" ca="1" si="2"/>
        <v>0</v>
      </c>
      <c r="I60" s="632">
        <f t="shared" ca="1" si="3"/>
        <v>0</v>
      </c>
    </row>
    <row r="61" spans="1:9" s="4" customFormat="1" ht="18" customHeight="1">
      <c r="A61" s="628">
        <f ca="1">IF(ROWS($1:48)&gt;COUNT(Dong),"",OFFSET(TH!C$1,SMALL(Dong,ROWS($1:48)),))</f>
        <v>41237</v>
      </c>
      <c r="B61" s="628" t="str">
        <f ca="1">IF(ROWS($1:48)&gt;COUNT(Dong),"",OFFSET(TH!D$1,SMALL(Dong,ROWS($1:48)),))</f>
        <v>N10</v>
      </c>
      <c r="C61" s="628">
        <f ca="1">IF(ROWS($1:48)&gt;COUNT(Dong),"",OFFSET(TH!E$1,SMALL(Dong,ROWS($1:48)),))</f>
        <v>41237</v>
      </c>
      <c r="D61" s="629" t="str">
        <f ca="1">IF(ROWS($1:48)&gt;COUNT(Dong),"",OFFSET(TH!F$1,SMALL(Dong,ROWS($1:48)),))</f>
        <v>Giấy tấm 1N +2X (110x150)</v>
      </c>
      <c r="E61" s="630" t="str">
        <f ca="1">IF(ROWS($1:48)&gt;COUNT(Dong),"",IF(OFFSET(TH!L$1,SMALL(Dong,ROWS($1:48)),)="331",OFFSET(TH!M$1,SMALL(Dong,ROWS($1:48)),),OFFSET(TH!L$1,SMALL(Dong,ROWS($1:48)),)))</f>
        <v>156</v>
      </c>
      <c r="F61" s="631">
        <f ca="1">IF(ROWS($1:48)&gt;COUNT(Dong),"",IF(OFFSET(TH!L$1,SMALL(Dong,ROWS($1:48)),)="331",OFFSET(TH!K$1,SMALL(Dong,ROWS($1:48)),),0))</f>
        <v>0</v>
      </c>
      <c r="G61" s="631">
        <f ca="1">IF(ROWS($1:48)&gt;COUNT(Dong),"",IF(OFFSET(TH!M$1,SMALL(Dong,ROWS($1:48)),)="331",OFFSET(TH!K$1,SMALL(Dong,ROWS($1:48)),),0))</f>
        <v>1534500</v>
      </c>
      <c r="H61" s="632">
        <f t="shared" ca="1" si="2"/>
        <v>0</v>
      </c>
      <c r="I61" s="632">
        <f t="shared" ca="1" si="3"/>
        <v>1534500</v>
      </c>
    </row>
    <row r="62" spans="1:9" s="4" customFormat="1" ht="18" customHeight="1">
      <c r="A62" s="628">
        <f ca="1">IF(ROWS($1:49)&gt;COUNT(Dong),"",OFFSET(TH!C$1,SMALL(Dong,ROWS($1:49)),))</f>
        <v>41237</v>
      </c>
      <c r="B62" s="628" t="str">
        <f ca="1">IF(ROWS($1:49)&gt;COUNT(Dong),"",OFFSET(TH!D$1,SMALL(Dong,ROWS($1:49)),))</f>
        <v>N10</v>
      </c>
      <c r="C62" s="628">
        <f ca="1">IF(ROWS($1:49)&gt;COUNT(Dong),"",OFFSET(TH!E$1,SMALL(Dong,ROWS($1:49)),))</f>
        <v>41237</v>
      </c>
      <c r="D62" s="629" t="str">
        <f ca="1">IF(ROWS($1:49)&gt;COUNT(Dong),"",OFFSET(TH!F$1,SMALL(Dong,ROWS($1:49)),))</f>
        <v>Giấy tấm 2N +1X (105x159)</v>
      </c>
      <c r="E62" s="630" t="str">
        <f ca="1">IF(ROWS($1:49)&gt;COUNT(Dong),"",IF(OFFSET(TH!L$1,SMALL(Dong,ROWS($1:49)),)="331",OFFSET(TH!M$1,SMALL(Dong,ROWS($1:49)),),OFFSET(TH!L$1,SMALL(Dong,ROWS($1:49)),)))</f>
        <v>156</v>
      </c>
      <c r="F62" s="631">
        <f ca="1">IF(ROWS($1:49)&gt;COUNT(Dong),"",IF(OFFSET(TH!L$1,SMALL(Dong,ROWS($1:49)),)="331",OFFSET(TH!K$1,SMALL(Dong,ROWS($1:49)),),0))</f>
        <v>0</v>
      </c>
      <c r="G62" s="631">
        <f ca="1">IF(ROWS($1:49)&gt;COUNT(Dong),"",IF(OFFSET(TH!M$1,SMALL(Dong,ROWS($1:49)),)="331",OFFSET(TH!K$1,SMALL(Dong,ROWS($1:49)),),0))</f>
        <v>5615372</v>
      </c>
      <c r="H62" s="632">
        <f t="shared" ca="1" si="2"/>
        <v>0</v>
      </c>
      <c r="I62" s="632">
        <f t="shared" ca="1" si="3"/>
        <v>7149872</v>
      </c>
    </row>
    <row r="63" spans="1:9" s="4" customFormat="1" ht="18" customHeight="1">
      <c r="A63" s="628">
        <f ca="1">IF(ROWS($1:50)&gt;COUNT(Dong),"",OFFSET(TH!C$1,SMALL(Dong,ROWS($1:50)),))</f>
        <v>41237</v>
      </c>
      <c r="B63" s="628" t="str">
        <f ca="1">IF(ROWS($1:50)&gt;COUNT(Dong),"",OFFSET(TH!D$1,SMALL(Dong,ROWS($1:50)),))</f>
        <v>N10</v>
      </c>
      <c r="C63" s="628">
        <f ca="1">IF(ROWS($1:50)&gt;COUNT(Dong),"",OFFSET(TH!E$1,SMALL(Dong,ROWS($1:50)),))</f>
        <v>41237</v>
      </c>
      <c r="D63" s="629" t="str">
        <f ca="1">IF(ROWS($1:50)&gt;COUNT(Dong),"",OFFSET(TH!F$1,SMALL(Dong,ROWS($1:50)),))</f>
        <v xml:space="preserve">VAT Giấy tấm </v>
      </c>
      <c r="E63" s="630" t="str">
        <f ca="1">IF(ROWS($1:50)&gt;COUNT(Dong),"",IF(OFFSET(TH!L$1,SMALL(Dong,ROWS($1:50)),)="331",OFFSET(TH!M$1,SMALL(Dong,ROWS($1:50)),),OFFSET(TH!L$1,SMALL(Dong,ROWS($1:50)),)))</f>
        <v>1331</v>
      </c>
      <c r="F63" s="631">
        <f ca="1">IF(ROWS($1:50)&gt;COUNT(Dong),"",IF(OFFSET(TH!L$1,SMALL(Dong,ROWS($1:50)),)="331",OFFSET(TH!K$1,SMALL(Dong,ROWS($1:50)),),0))</f>
        <v>0</v>
      </c>
      <c r="G63" s="631">
        <f ca="1">IF(ROWS($1:50)&gt;COUNT(Dong),"",IF(OFFSET(TH!M$1,SMALL(Dong,ROWS($1:50)),)="331",OFFSET(TH!K$1,SMALL(Dong,ROWS($1:50)),),0))</f>
        <v>714987</v>
      </c>
      <c r="H63" s="632">
        <f t="shared" ca="1" si="2"/>
        <v>0</v>
      </c>
      <c r="I63" s="632">
        <f t="shared" ca="1" si="3"/>
        <v>7864859</v>
      </c>
    </row>
    <row r="64" spans="1:9" s="4" customFormat="1" ht="18" customHeight="1">
      <c r="A64" s="628">
        <f ca="1">IF(ROWS($1:51)&gt;COUNT(Dong),"",OFFSET(TH!C$1,SMALL(Dong,ROWS($1:51)),))</f>
        <v>41237</v>
      </c>
      <c r="B64" s="628" t="str">
        <f ca="1">IF(ROWS($1:51)&gt;COUNT(Dong),"",OFFSET(TH!D$1,SMALL(Dong,ROWS($1:51)),))</f>
        <v>C19</v>
      </c>
      <c r="C64" s="628">
        <f ca="1">IF(ROWS($1:51)&gt;COUNT(Dong),"",OFFSET(TH!E$1,SMALL(Dong,ROWS($1:51)),))</f>
        <v>41237</v>
      </c>
      <c r="D64" s="629" t="str">
        <f ca="1">IF(ROWS($1:51)&gt;COUNT(Dong),"",OFFSET(TH!F$1,SMALL(Dong,ROWS($1:51)),))</f>
        <v>Thanh toán tiền hàng</v>
      </c>
      <c r="E64" s="630" t="str">
        <f ca="1">IF(ROWS($1:51)&gt;COUNT(Dong),"",IF(OFFSET(TH!L$1,SMALL(Dong,ROWS($1:51)),)="331",OFFSET(TH!M$1,SMALL(Dong,ROWS($1:51)),),OFFSET(TH!L$1,SMALL(Dong,ROWS($1:51)),)))</f>
        <v>1111</v>
      </c>
      <c r="F64" s="631">
        <f ca="1">IF(ROWS($1:51)&gt;COUNT(Dong),"",IF(OFFSET(TH!L$1,SMALL(Dong,ROWS($1:51)),)="331",OFFSET(TH!K$1,SMALL(Dong,ROWS($1:51)),),0))</f>
        <v>7864859</v>
      </c>
      <c r="G64" s="631">
        <f ca="1">IF(ROWS($1:51)&gt;COUNT(Dong),"",IF(OFFSET(TH!M$1,SMALL(Dong,ROWS($1:51)),)="331",OFFSET(TH!K$1,SMALL(Dong,ROWS($1:51)),),0))</f>
        <v>0</v>
      </c>
      <c r="H64" s="632">
        <f t="shared" ca="1" si="2"/>
        <v>0</v>
      </c>
      <c r="I64" s="632">
        <f t="shared" ca="1" si="3"/>
        <v>0</v>
      </c>
    </row>
    <row r="65" spans="1:9" s="4" customFormat="1" ht="18" customHeight="1">
      <c r="A65" s="628">
        <f ca="1">IF(ROWS($1:52)&gt;COUNT(Dong),"",OFFSET(TH!C$1,SMALL(Dong,ROWS($1:52)),))</f>
        <v>41246</v>
      </c>
      <c r="B65" s="628" t="str">
        <f ca="1">IF(ROWS($1:52)&gt;COUNT(Dong),"",OFFSET(TH!D$1,SMALL(Dong,ROWS($1:52)),))</f>
        <v>N11</v>
      </c>
      <c r="C65" s="628">
        <f ca="1">IF(ROWS($1:52)&gt;COUNT(Dong),"",OFFSET(TH!E$1,SMALL(Dong,ROWS($1:52)),))</f>
        <v>41246</v>
      </c>
      <c r="D65" s="629" t="str">
        <f ca="1">IF(ROWS($1:52)&gt;COUNT(Dong),"",OFFSET(TH!F$1,SMALL(Dong,ROWS($1:52)),))</f>
        <v>Giấy tấm 2N +1X (87.5x208)</v>
      </c>
      <c r="E65" s="630" t="str">
        <f ca="1">IF(ROWS($1:52)&gt;COUNT(Dong),"",IF(OFFSET(TH!L$1,SMALL(Dong,ROWS($1:52)),)="331",OFFSET(TH!M$1,SMALL(Dong,ROWS($1:52)),),OFFSET(TH!L$1,SMALL(Dong,ROWS($1:52)),)))</f>
        <v>156</v>
      </c>
      <c r="F65" s="631">
        <f ca="1">IF(ROWS($1:52)&gt;COUNT(Dong),"",IF(OFFSET(TH!L$1,SMALL(Dong,ROWS($1:52)),)="331",OFFSET(TH!K$1,SMALL(Dong,ROWS($1:52)),),0))</f>
        <v>0</v>
      </c>
      <c r="G65" s="631">
        <f ca="1">IF(ROWS($1:52)&gt;COUNT(Dong),"",IF(OFFSET(TH!M$1,SMALL(Dong,ROWS($1:52)),)="331",OFFSET(TH!K$1,SMALL(Dong,ROWS($1:52)),),0))</f>
        <v>6097000</v>
      </c>
      <c r="H65" s="632">
        <f t="shared" ca="1" si="2"/>
        <v>0</v>
      </c>
      <c r="I65" s="632">
        <f t="shared" ca="1" si="3"/>
        <v>6097000</v>
      </c>
    </row>
    <row r="66" spans="1:9" s="4" customFormat="1" ht="18" customHeight="1">
      <c r="A66" s="628">
        <f ca="1">IF(ROWS($1:53)&gt;COUNT(Dong),"",OFFSET(TH!C$1,SMALL(Dong,ROWS($1:53)),))</f>
        <v>41246</v>
      </c>
      <c r="B66" s="628" t="str">
        <f ca="1">IF(ROWS($1:53)&gt;COUNT(Dong),"",OFFSET(TH!D$1,SMALL(Dong,ROWS($1:53)),))</f>
        <v>N11</v>
      </c>
      <c r="C66" s="628">
        <f ca="1">IF(ROWS($1:53)&gt;COUNT(Dong),"",OFFSET(TH!E$1,SMALL(Dong,ROWS($1:53)),))</f>
        <v>41246</v>
      </c>
      <c r="D66" s="629" t="str">
        <f ca="1">IF(ROWS($1:53)&gt;COUNT(Dong),"",OFFSET(TH!F$1,SMALL(Dong,ROWS($1:53)),))</f>
        <v>Giấy tấm 1N +2X (100x156)</v>
      </c>
      <c r="E66" s="630" t="str">
        <f ca="1">IF(ROWS($1:53)&gt;COUNT(Dong),"",IF(OFFSET(TH!L$1,SMALL(Dong,ROWS($1:53)),)="331",OFFSET(TH!M$1,SMALL(Dong,ROWS($1:53)),),OFFSET(TH!L$1,SMALL(Dong,ROWS($1:53)),)))</f>
        <v>156</v>
      </c>
      <c r="F66" s="631">
        <f ca="1">IF(ROWS($1:53)&gt;COUNT(Dong),"",IF(OFFSET(TH!L$1,SMALL(Dong,ROWS($1:53)),)="331",OFFSET(TH!K$1,SMALL(Dong,ROWS($1:53)),),0))</f>
        <v>0</v>
      </c>
      <c r="G66" s="631">
        <f ca="1">IF(ROWS($1:53)&gt;COUNT(Dong),"",IF(OFFSET(TH!M$1,SMALL(Dong,ROWS($1:53)),)="331",OFFSET(TH!K$1,SMALL(Dong,ROWS($1:53)),),0))</f>
        <v>7254000</v>
      </c>
      <c r="H66" s="632">
        <f t="shared" ca="1" si="2"/>
        <v>0</v>
      </c>
      <c r="I66" s="632">
        <f t="shared" ca="1" si="3"/>
        <v>13351000</v>
      </c>
    </row>
    <row r="67" spans="1:9" s="4" customFormat="1" ht="18" customHeight="1">
      <c r="A67" s="628">
        <f ca="1">IF(ROWS($1:54)&gt;COUNT(Dong),"",OFFSET(TH!C$1,SMALL(Dong,ROWS($1:54)),))</f>
        <v>41246</v>
      </c>
      <c r="B67" s="628" t="str">
        <f ca="1">IF(ROWS($1:54)&gt;COUNT(Dong),"",OFFSET(TH!D$1,SMALL(Dong,ROWS($1:54)),))</f>
        <v>N11</v>
      </c>
      <c r="C67" s="628">
        <f ca="1">IF(ROWS($1:54)&gt;COUNT(Dong),"",OFFSET(TH!E$1,SMALL(Dong,ROWS($1:54)),))</f>
        <v>41246</v>
      </c>
      <c r="D67" s="629" t="str">
        <f ca="1">IF(ROWS($1:54)&gt;COUNT(Dong),"",OFFSET(TH!F$1,SMALL(Dong,ROWS($1:54)),))</f>
        <v xml:space="preserve">VAT Giấy tấm </v>
      </c>
      <c r="E67" s="630" t="str">
        <f ca="1">IF(ROWS($1:54)&gt;COUNT(Dong),"",IF(OFFSET(TH!L$1,SMALL(Dong,ROWS($1:54)),)="331",OFFSET(TH!M$1,SMALL(Dong,ROWS($1:54)),),OFFSET(TH!L$1,SMALL(Dong,ROWS($1:54)),)))</f>
        <v>1331</v>
      </c>
      <c r="F67" s="631">
        <f ca="1">IF(ROWS($1:54)&gt;COUNT(Dong),"",IF(OFFSET(TH!L$1,SMALL(Dong,ROWS($1:54)),)="331",OFFSET(TH!K$1,SMALL(Dong,ROWS($1:54)),),0))</f>
        <v>0</v>
      </c>
      <c r="G67" s="631">
        <f ca="1">IF(ROWS($1:54)&gt;COUNT(Dong),"",IF(OFFSET(TH!M$1,SMALL(Dong,ROWS($1:54)),)="331",OFFSET(TH!K$1,SMALL(Dong,ROWS($1:54)),),0))</f>
        <v>1335100</v>
      </c>
      <c r="H67" s="632">
        <f t="shared" ca="1" si="2"/>
        <v>0</v>
      </c>
      <c r="I67" s="632">
        <f t="shared" ca="1" si="3"/>
        <v>14686100</v>
      </c>
    </row>
    <row r="68" spans="1:9" s="4" customFormat="1" ht="18" customHeight="1">
      <c r="A68" s="628">
        <f ca="1">IF(ROWS($1:55)&gt;COUNT(Dong),"",OFFSET(TH!C$1,SMALL(Dong,ROWS($1:55)),))</f>
        <v>41246</v>
      </c>
      <c r="B68" s="628" t="str">
        <f ca="1">IF(ROWS($1:55)&gt;COUNT(Dong),"",OFFSET(TH!D$1,SMALL(Dong,ROWS($1:55)),))</f>
        <v>C24</v>
      </c>
      <c r="C68" s="628">
        <f ca="1">IF(ROWS($1:55)&gt;COUNT(Dong),"",OFFSET(TH!E$1,SMALL(Dong,ROWS($1:55)),))</f>
        <v>41246</v>
      </c>
      <c r="D68" s="629" t="str">
        <f ca="1">IF(ROWS($1:55)&gt;COUNT(Dong),"",OFFSET(TH!F$1,SMALL(Dong,ROWS($1:55)),))</f>
        <v>Thanh toán tiền hàng</v>
      </c>
      <c r="E68" s="630" t="str">
        <f ca="1">IF(ROWS($1:55)&gt;COUNT(Dong),"",IF(OFFSET(TH!L$1,SMALL(Dong,ROWS($1:55)),)="331",OFFSET(TH!M$1,SMALL(Dong,ROWS($1:55)),),OFFSET(TH!L$1,SMALL(Dong,ROWS($1:55)),)))</f>
        <v>1111</v>
      </c>
      <c r="F68" s="631">
        <f ca="1">IF(ROWS($1:55)&gt;COUNT(Dong),"",IF(OFFSET(TH!L$1,SMALL(Dong,ROWS($1:55)),)="331",OFFSET(TH!K$1,SMALL(Dong,ROWS($1:55)),),0))</f>
        <v>14686100</v>
      </c>
      <c r="G68" s="631">
        <f ca="1">IF(ROWS($1:55)&gt;COUNT(Dong),"",IF(OFFSET(TH!M$1,SMALL(Dong,ROWS($1:55)),)="331",OFFSET(TH!K$1,SMALL(Dong,ROWS($1:55)),),0))</f>
        <v>0</v>
      </c>
      <c r="H68" s="632">
        <f t="shared" ca="1" si="2"/>
        <v>0</v>
      </c>
      <c r="I68" s="632">
        <f t="shared" ca="1" si="3"/>
        <v>0</v>
      </c>
    </row>
    <row r="69" spans="1:9" s="4" customFormat="1" ht="18" customHeight="1">
      <c r="A69" s="628">
        <f ca="1">IF(ROWS($1:56)&gt;COUNT(Dong),"",OFFSET(TH!C$1,SMALL(Dong,ROWS($1:56)),))</f>
        <v>41251</v>
      </c>
      <c r="B69" s="628" t="str">
        <f ca="1">IF(ROWS($1:56)&gt;COUNT(Dong),"",OFFSET(TH!D$1,SMALL(Dong,ROWS($1:56)),))</f>
        <v>N12</v>
      </c>
      <c r="C69" s="628">
        <f ca="1">IF(ROWS($1:56)&gt;COUNT(Dong),"",OFFSET(TH!E$1,SMALL(Dong,ROWS($1:56)),))</f>
        <v>41251</v>
      </c>
      <c r="D69" s="629" t="str">
        <f ca="1">IF(ROWS($1:56)&gt;COUNT(Dong),"",OFFSET(TH!F$1,SMALL(Dong,ROWS($1:56)),))</f>
        <v>Giấy tấm 1N +2X (105x158)</v>
      </c>
      <c r="E69" s="630" t="str">
        <f ca="1">IF(ROWS($1:56)&gt;COUNT(Dong),"",IF(OFFSET(TH!L$1,SMALL(Dong,ROWS($1:56)),)="331",OFFSET(TH!M$1,SMALL(Dong,ROWS($1:56)),),OFFSET(TH!L$1,SMALL(Dong,ROWS($1:56)),)))</f>
        <v>156</v>
      </c>
      <c r="F69" s="631">
        <f ca="1">IF(ROWS($1:56)&gt;COUNT(Dong),"",IF(OFFSET(TH!L$1,SMALL(Dong,ROWS($1:56)),)="331",OFFSET(TH!K$1,SMALL(Dong,ROWS($1:56)),),0))</f>
        <v>0</v>
      </c>
      <c r="G69" s="631">
        <f ca="1">IF(ROWS($1:56)&gt;COUNT(Dong),"",IF(OFFSET(TH!M$1,SMALL(Dong,ROWS($1:56)),)="331",OFFSET(TH!K$1,SMALL(Dong,ROWS($1:56)),),0))</f>
        <v>5143000</v>
      </c>
      <c r="H69" s="632">
        <f t="shared" ca="1" si="2"/>
        <v>0</v>
      </c>
      <c r="I69" s="632">
        <f t="shared" ca="1" si="3"/>
        <v>5143000</v>
      </c>
    </row>
    <row r="70" spans="1:9" s="4" customFormat="1" ht="18" customHeight="1">
      <c r="A70" s="628">
        <f ca="1">IF(ROWS($1:57)&gt;COUNT(Dong),"",OFFSET(TH!C$1,SMALL(Dong,ROWS($1:57)),))</f>
        <v>41251</v>
      </c>
      <c r="B70" s="628" t="str">
        <f ca="1">IF(ROWS($1:57)&gt;COUNT(Dong),"",OFFSET(TH!D$1,SMALL(Dong,ROWS($1:57)),))</f>
        <v>N12</v>
      </c>
      <c r="C70" s="628">
        <f ca="1">IF(ROWS($1:57)&gt;COUNT(Dong),"",OFFSET(TH!E$1,SMALL(Dong,ROWS($1:57)),))</f>
        <v>41251</v>
      </c>
      <c r="D70" s="629" t="str">
        <f ca="1">IF(ROWS($1:57)&gt;COUNT(Dong),"",OFFSET(TH!F$1,SMALL(Dong,ROWS($1:57)),))</f>
        <v>Giấy tấm 1N +2X (110x151)</v>
      </c>
      <c r="E70" s="630" t="str">
        <f ca="1">IF(ROWS($1:57)&gt;COUNT(Dong),"",IF(OFFSET(TH!L$1,SMALL(Dong,ROWS($1:57)),)="331",OFFSET(TH!M$1,SMALL(Dong,ROWS($1:57)),),OFFSET(TH!L$1,SMALL(Dong,ROWS($1:57)),)))</f>
        <v>156</v>
      </c>
      <c r="F70" s="631">
        <f ca="1">IF(ROWS($1:57)&gt;COUNT(Dong),"",IF(OFFSET(TH!L$1,SMALL(Dong,ROWS($1:57)),)="331",OFFSET(TH!K$1,SMALL(Dong,ROWS($1:57)),),0))</f>
        <v>0</v>
      </c>
      <c r="G70" s="631">
        <f ca="1">IF(ROWS($1:57)&gt;COUNT(Dong),"",IF(OFFSET(TH!M$1,SMALL(Dong,ROWS($1:57)),)="331",OFFSET(TH!K$1,SMALL(Dong,ROWS($1:57)),),0))</f>
        <v>5149000</v>
      </c>
      <c r="H70" s="632">
        <f t="shared" ca="1" si="2"/>
        <v>0</v>
      </c>
      <c r="I70" s="632">
        <f t="shared" ca="1" si="3"/>
        <v>10292000</v>
      </c>
    </row>
    <row r="71" spans="1:9" s="4" customFormat="1" ht="18" customHeight="1">
      <c r="A71" s="628">
        <f ca="1">IF(ROWS($1:58)&gt;COUNT(Dong),"",OFFSET(TH!C$1,SMALL(Dong,ROWS($1:58)),))</f>
        <v>41251</v>
      </c>
      <c r="B71" s="628" t="str">
        <f ca="1">IF(ROWS($1:58)&gt;COUNT(Dong),"",OFFSET(TH!D$1,SMALL(Dong,ROWS($1:58)),))</f>
        <v>N12</v>
      </c>
      <c r="C71" s="628">
        <f ca="1">IF(ROWS($1:58)&gt;COUNT(Dong),"",OFFSET(TH!E$1,SMALL(Dong,ROWS($1:58)),))</f>
        <v>41251</v>
      </c>
      <c r="D71" s="629" t="str">
        <f ca="1">IF(ROWS($1:58)&gt;COUNT(Dong),"",OFFSET(TH!F$1,SMALL(Dong,ROWS($1:58)),))</f>
        <v xml:space="preserve">VAT Giấy tấm </v>
      </c>
      <c r="E71" s="630" t="str">
        <f ca="1">IF(ROWS($1:58)&gt;COUNT(Dong),"",IF(OFFSET(TH!L$1,SMALL(Dong,ROWS($1:58)),)="331",OFFSET(TH!M$1,SMALL(Dong,ROWS($1:58)),),OFFSET(TH!L$1,SMALL(Dong,ROWS($1:58)),)))</f>
        <v>1331</v>
      </c>
      <c r="F71" s="631">
        <f ca="1">IF(ROWS($1:58)&gt;COUNT(Dong),"",IF(OFFSET(TH!L$1,SMALL(Dong,ROWS($1:58)),)="331",OFFSET(TH!K$1,SMALL(Dong,ROWS($1:58)),),0))</f>
        <v>0</v>
      </c>
      <c r="G71" s="631">
        <f ca="1">IF(ROWS($1:58)&gt;COUNT(Dong),"",IF(OFFSET(TH!M$1,SMALL(Dong,ROWS($1:58)),)="331",OFFSET(TH!K$1,SMALL(Dong,ROWS($1:58)),),0))</f>
        <v>1029200</v>
      </c>
      <c r="H71" s="632">
        <f t="shared" ca="1" si="2"/>
        <v>0</v>
      </c>
      <c r="I71" s="632">
        <f t="shared" ca="1" si="3"/>
        <v>11321200</v>
      </c>
    </row>
    <row r="72" spans="1:9" s="4" customFormat="1" ht="18" customHeight="1">
      <c r="A72" s="628">
        <f ca="1">IF(ROWS($1:59)&gt;COUNT(Dong),"",OFFSET(TH!C$1,SMALL(Dong,ROWS($1:59)),))</f>
        <v>41251</v>
      </c>
      <c r="B72" s="628" t="str">
        <f ca="1">IF(ROWS($1:59)&gt;COUNT(Dong),"",OFFSET(TH!D$1,SMALL(Dong,ROWS($1:59)),))</f>
        <v>C25</v>
      </c>
      <c r="C72" s="628">
        <f ca="1">IF(ROWS($1:59)&gt;COUNT(Dong),"",OFFSET(TH!E$1,SMALL(Dong,ROWS($1:59)),))</f>
        <v>41251</v>
      </c>
      <c r="D72" s="629" t="str">
        <f ca="1">IF(ROWS($1:59)&gt;COUNT(Dong),"",OFFSET(TH!F$1,SMALL(Dong,ROWS($1:59)),))</f>
        <v>Thanh toán tiền hàng</v>
      </c>
      <c r="E72" s="630" t="str">
        <f ca="1">IF(ROWS($1:59)&gt;COUNT(Dong),"",IF(OFFSET(TH!L$1,SMALL(Dong,ROWS($1:59)),)="331",OFFSET(TH!M$1,SMALL(Dong,ROWS($1:59)),),OFFSET(TH!L$1,SMALL(Dong,ROWS($1:59)),)))</f>
        <v>1111</v>
      </c>
      <c r="F72" s="631">
        <f ca="1">IF(ROWS($1:59)&gt;COUNT(Dong),"",IF(OFFSET(TH!L$1,SMALL(Dong,ROWS($1:59)),)="331",OFFSET(TH!K$1,SMALL(Dong,ROWS($1:59)),),0))</f>
        <v>11321200</v>
      </c>
      <c r="G72" s="631">
        <f ca="1">IF(ROWS($1:59)&gt;COUNT(Dong),"",IF(OFFSET(TH!M$1,SMALL(Dong,ROWS($1:59)),)="331",OFFSET(TH!K$1,SMALL(Dong,ROWS($1:59)),),0))</f>
        <v>0</v>
      </c>
      <c r="H72" s="632">
        <f t="shared" ca="1" si="2"/>
        <v>0</v>
      </c>
      <c r="I72" s="632">
        <f t="shared" ca="1" si="3"/>
        <v>0</v>
      </c>
    </row>
    <row r="73" spans="1:9" s="4" customFormat="1" ht="18" customHeight="1">
      <c r="A73" s="628">
        <f ca="1">IF(ROWS($1:60)&gt;COUNT(Dong),"",OFFSET(TH!C$1,SMALL(Dong,ROWS($1:60)),))</f>
        <v>41273</v>
      </c>
      <c r="B73" s="628" t="str">
        <f ca="1">IF(ROWS($1:60)&gt;COUNT(Dong),"",OFFSET(TH!D$1,SMALL(Dong,ROWS($1:60)),))</f>
        <v>N13</v>
      </c>
      <c r="C73" s="628">
        <f ca="1">IF(ROWS($1:60)&gt;COUNT(Dong),"",OFFSET(TH!E$1,SMALL(Dong,ROWS($1:60)),))</f>
        <v>41273</v>
      </c>
      <c r="D73" s="629" t="str">
        <f ca="1">IF(ROWS($1:60)&gt;COUNT(Dong),"",OFFSET(TH!F$1,SMALL(Dong,ROWS($1:60)),))</f>
        <v>Giấy tấm 1N +2X (150x92)</v>
      </c>
      <c r="E73" s="630" t="str">
        <f ca="1">IF(ROWS($1:60)&gt;COUNT(Dong),"",IF(OFFSET(TH!L$1,SMALL(Dong,ROWS($1:60)),)="331",OFFSET(TH!M$1,SMALL(Dong,ROWS($1:60)),),OFFSET(TH!L$1,SMALL(Dong,ROWS($1:60)),)))</f>
        <v>156</v>
      </c>
      <c r="F73" s="631">
        <f ca="1">IF(ROWS($1:60)&gt;COUNT(Dong),"",IF(OFFSET(TH!L$1,SMALL(Dong,ROWS($1:60)),)="331",OFFSET(TH!K$1,SMALL(Dong,ROWS($1:60)),),0))</f>
        <v>0</v>
      </c>
      <c r="G73" s="631">
        <f ca="1">IF(ROWS($1:60)&gt;COUNT(Dong),"",IF(OFFSET(TH!M$1,SMALL(Dong,ROWS($1:60)),)="331",OFFSET(TH!K$1,SMALL(Dong,ROWS($1:60)),),0))</f>
        <v>4705800</v>
      </c>
      <c r="H73" s="632">
        <f t="shared" ca="1" si="2"/>
        <v>0</v>
      </c>
      <c r="I73" s="632">
        <f t="shared" ca="1" si="3"/>
        <v>4705800</v>
      </c>
    </row>
    <row r="74" spans="1:9" s="4" customFormat="1" ht="18" customHeight="1">
      <c r="A74" s="628">
        <f ca="1">IF(ROWS($1:61)&gt;COUNT(Dong),"",OFFSET(TH!C$1,SMALL(Dong,ROWS($1:61)),))</f>
        <v>41273</v>
      </c>
      <c r="B74" s="628" t="str">
        <f ca="1">IF(ROWS($1:61)&gt;COUNT(Dong),"",OFFSET(TH!D$1,SMALL(Dong,ROWS($1:61)),))</f>
        <v>N13</v>
      </c>
      <c r="C74" s="628">
        <f ca="1">IF(ROWS($1:61)&gt;COUNT(Dong),"",OFFSET(TH!E$1,SMALL(Dong,ROWS($1:61)),))</f>
        <v>41273</v>
      </c>
      <c r="D74" s="629" t="str">
        <f ca="1">IF(ROWS($1:61)&gt;COUNT(Dong),"",OFFSET(TH!F$1,SMALL(Dong,ROWS($1:61)),))</f>
        <v>Giấy tấm 1N +2X (120x155)</v>
      </c>
      <c r="E74" s="630" t="str">
        <f ca="1">IF(ROWS($1:61)&gt;COUNT(Dong),"",IF(OFFSET(TH!L$1,SMALL(Dong,ROWS($1:61)),)="331",OFFSET(TH!M$1,SMALL(Dong,ROWS($1:61)),),OFFSET(TH!L$1,SMALL(Dong,ROWS($1:61)),)))</f>
        <v>156</v>
      </c>
      <c r="F74" s="631">
        <f ca="1">IF(ROWS($1:61)&gt;COUNT(Dong),"",IF(OFFSET(TH!L$1,SMALL(Dong,ROWS($1:61)),)="331",OFFSET(TH!K$1,SMALL(Dong,ROWS($1:61)),),0))</f>
        <v>0</v>
      </c>
      <c r="G74" s="631">
        <f ca="1">IF(ROWS($1:61)&gt;COUNT(Dong),"",IF(OFFSET(TH!M$1,SMALL(Dong,ROWS($1:61)),)="331",OFFSET(TH!K$1,SMALL(Dong,ROWS($1:61)),),0))</f>
        <v>6342600</v>
      </c>
      <c r="H74" s="632">
        <f t="shared" ca="1" si="2"/>
        <v>0</v>
      </c>
      <c r="I74" s="632">
        <f t="shared" ca="1" si="3"/>
        <v>11048400</v>
      </c>
    </row>
    <row r="75" spans="1:9" s="4" customFormat="1" ht="18" customHeight="1">
      <c r="A75" s="628">
        <f ca="1">IF(ROWS($1:62)&gt;COUNT(Dong),"",OFFSET(TH!C$1,SMALL(Dong,ROWS($1:62)),))</f>
        <v>41273</v>
      </c>
      <c r="B75" s="628" t="str">
        <f ca="1">IF(ROWS($1:62)&gt;COUNT(Dong),"",OFFSET(TH!D$1,SMALL(Dong,ROWS($1:62)),))</f>
        <v>N13</v>
      </c>
      <c r="C75" s="628">
        <f ca="1">IF(ROWS($1:62)&gt;COUNT(Dong),"",OFFSET(TH!E$1,SMALL(Dong,ROWS($1:62)),))</f>
        <v>41273</v>
      </c>
      <c r="D75" s="629" t="str">
        <f ca="1">IF(ROWS($1:62)&gt;COUNT(Dong),"",OFFSET(TH!F$1,SMALL(Dong,ROWS($1:62)),))</f>
        <v>Giấy tấm 1N +2X (110x151)</v>
      </c>
      <c r="E75" s="630" t="str">
        <f ca="1">IF(ROWS($1:62)&gt;COUNT(Dong),"",IF(OFFSET(TH!L$1,SMALL(Dong,ROWS($1:62)),)="331",OFFSET(TH!M$1,SMALL(Dong,ROWS($1:62)),),OFFSET(TH!L$1,SMALL(Dong,ROWS($1:62)),)))</f>
        <v>156</v>
      </c>
      <c r="F75" s="631">
        <f ca="1">IF(ROWS($1:62)&gt;COUNT(Dong),"",IF(OFFSET(TH!L$1,SMALL(Dong,ROWS($1:62)),)="331",OFFSET(TH!K$1,SMALL(Dong,ROWS($1:62)),),0))</f>
        <v>0</v>
      </c>
      <c r="G75" s="631">
        <f ca="1">IF(ROWS($1:62)&gt;COUNT(Dong),"",IF(OFFSET(TH!M$1,SMALL(Dong,ROWS($1:62)),)="331",OFFSET(TH!K$1,SMALL(Dong,ROWS($1:62)),),0))</f>
        <v>5149000</v>
      </c>
      <c r="H75" s="632">
        <f t="shared" ca="1" si="2"/>
        <v>0</v>
      </c>
      <c r="I75" s="632">
        <f t="shared" ca="1" si="3"/>
        <v>16197400</v>
      </c>
    </row>
    <row r="76" spans="1:9" s="4" customFormat="1" ht="18" customHeight="1">
      <c r="A76" s="628">
        <f ca="1">IF(ROWS($1:63)&gt;COUNT(Dong),"",OFFSET(TH!C$1,SMALL(Dong,ROWS($1:63)),))</f>
        <v>41273</v>
      </c>
      <c r="B76" s="628" t="str">
        <f ca="1">IF(ROWS($1:63)&gt;COUNT(Dong),"",OFFSET(TH!D$1,SMALL(Dong,ROWS($1:63)),))</f>
        <v>N13</v>
      </c>
      <c r="C76" s="628">
        <f ca="1">IF(ROWS($1:63)&gt;COUNT(Dong),"",OFFSET(TH!E$1,SMALL(Dong,ROWS($1:63)),))</f>
        <v>41273</v>
      </c>
      <c r="D76" s="629" t="str">
        <f ca="1">IF(ROWS($1:63)&gt;COUNT(Dong),"",OFFSET(TH!F$1,SMALL(Dong,ROWS($1:63)),))</f>
        <v xml:space="preserve">VAT Giấy tấm </v>
      </c>
      <c r="E76" s="630" t="str">
        <f ca="1">IF(ROWS($1:63)&gt;COUNT(Dong),"",IF(OFFSET(TH!L$1,SMALL(Dong,ROWS($1:63)),)="331",OFFSET(TH!M$1,SMALL(Dong,ROWS($1:63)),),OFFSET(TH!L$1,SMALL(Dong,ROWS($1:63)),)))</f>
        <v>1331</v>
      </c>
      <c r="F76" s="631">
        <f ca="1">IF(ROWS($1:63)&gt;COUNT(Dong),"",IF(OFFSET(TH!L$1,SMALL(Dong,ROWS($1:63)),)="331",OFFSET(TH!K$1,SMALL(Dong,ROWS($1:63)),),0))</f>
        <v>0</v>
      </c>
      <c r="G76" s="631">
        <f ca="1">IF(ROWS($1:63)&gt;COUNT(Dong),"",IF(OFFSET(TH!M$1,SMALL(Dong,ROWS($1:63)),)="331",OFFSET(TH!K$1,SMALL(Dong,ROWS($1:63)),),0))</f>
        <v>1619740</v>
      </c>
      <c r="H76" s="632">
        <f t="shared" ca="1" si="2"/>
        <v>0</v>
      </c>
      <c r="I76" s="632">
        <f t="shared" ca="1" si="3"/>
        <v>17817140</v>
      </c>
    </row>
    <row r="77" spans="1:9" s="4" customFormat="1" ht="18" customHeight="1">
      <c r="A77" s="628">
        <f ca="1">IF(ROWS($1:64)&gt;COUNT(Dong),"",OFFSET(TH!C$1,SMALL(Dong,ROWS($1:64)),))</f>
        <v>41273</v>
      </c>
      <c r="B77" s="628" t="str">
        <f ca="1">IF(ROWS($1:64)&gt;COUNT(Dong),"",OFFSET(TH!D$1,SMALL(Dong,ROWS($1:64)),))</f>
        <v>C30</v>
      </c>
      <c r="C77" s="628">
        <f ca="1">IF(ROWS($1:64)&gt;COUNT(Dong),"",OFFSET(TH!E$1,SMALL(Dong,ROWS($1:64)),))</f>
        <v>41273</v>
      </c>
      <c r="D77" s="629" t="str">
        <f ca="1">IF(ROWS($1:64)&gt;COUNT(Dong),"",OFFSET(TH!F$1,SMALL(Dong,ROWS($1:64)),))</f>
        <v>Thanh toán tiền hàng</v>
      </c>
      <c r="E77" s="630" t="str">
        <f ca="1">IF(ROWS($1:64)&gt;COUNT(Dong),"",IF(OFFSET(TH!L$1,SMALL(Dong,ROWS($1:64)),)="331",OFFSET(TH!M$1,SMALL(Dong,ROWS($1:64)),),OFFSET(TH!L$1,SMALL(Dong,ROWS($1:64)),)))</f>
        <v>1111</v>
      </c>
      <c r="F77" s="631">
        <f ca="1">IF(ROWS($1:64)&gt;COUNT(Dong),"",IF(OFFSET(TH!L$1,SMALL(Dong,ROWS($1:64)),)="331",OFFSET(TH!K$1,SMALL(Dong,ROWS($1:64)),),0))</f>
        <v>17817140</v>
      </c>
      <c r="G77" s="631">
        <f ca="1">IF(ROWS($1:64)&gt;COUNT(Dong),"",IF(OFFSET(TH!M$1,SMALL(Dong,ROWS($1:64)),)="331",OFFSET(TH!K$1,SMALL(Dong,ROWS($1:64)),),0))</f>
        <v>0</v>
      </c>
      <c r="H77" s="632">
        <f t="shared" ca="1" si="2"/>
        <v>0</v>
      </c>
      <c r="I77" s="632">
        <f t="shared" ca="1" si="3"/>
        <v>0</v>
      </c>
    </row>
    <row r="78" spans="1:9" s="4" customFormat="1" ht="18" customHeight="1">
      <c r="A78" s="628" t="str">
        <f ca="1">IF(ROWS($1:65)&gt;COUNT(Dong),"",OFFSET(TH!C$1,SMALL(Dong,ROWS($1:65)),))</f>
        <v/>
      </c>
      <c r="B78" s="628" t="str">
        <f ca="1">IF(ROWS($1:65)&gt;COUNT(Dong),"",OFFSET(TH!D$1,SMALL(Dong,ROWS($1:65)),))</f>
        <v/>
      </c>
      <c r="C78" s="628" t="str">
        <f ca="1">IF(ROWS($1:65)&gt;COUNT(Dong),"",OFFSET(TH!E$1,SMALL(Dong,ROWS($1:65)),))</f>
        <v/>
      </c>
      <c r="D78" s="629" t="str">
        <f ca="1">IF(ROWS($1:65)&gt;COUNT(Dong),"",OFFSET(TH!F$1,SMALL(Dong,ROWS($1:65)),))</f>
        <v/>
      </c>
      <c r="E78" s="630" t="str">
        <f ca="1">IF(ROWS($1:65)&gt;COUNT(Dong),"",IF(OFFSET(TH!L$1,SMALL(Dong,ROWS($1:65)),)="331",OFFSET(TH!M$1,SMALL(Dong,ROWS($1:65)),),OFFSET(TH!L$1,SMALL(Dong,ROWS($1:65)),)))</f>
        <v/>
      </c>
      <c r="F78" s="631" t="str">
        <f ca="1">IF(ROWS($1:65)&gt;COUNT(Dong),"",IF(OFFSET(TH!L$1,SMALL(Dong,ROWS($1:65)),)="331",OFFSET(TH!K$1,SMALL(Dong,ROWS($1:65)),),0))</f>
        <v/>
      </c>
      <c r="G78" s="631" t="str">
        <f ca="1">IF(ROWS($1:65)&gt;COUNT(Dong),"",IF(OFFSET(TH!M$1,SMALL(Dong,ROWS($1:65)),)="331",OFFSET(TH!K$1,SMALL(Dong,ROWS($1:65)),),0))</f>
        <v/>
      </c>
      <c r="H78" s="632">
        <f t="shared" ca="1" si="2"/>
        <v>0</v>
      </c>
      <c r="I78" s="632">
        <f t="shared" ca="1" si="3"/>
        <v>0</v>
      </c>
    </row>
    <row r="79" spans="1:9" s="4" customFormat="1" ht="18" customHeight="1">
      <c r="A79" s="627"/>
      <c r="B79" s="624"/>
      <c r="C79" s="633"/>
      <c r="D79" s="626" t="s">
        <v>33</v>
      </c>
      <c r="E79" s="624" t="s">
        <v>19</v>
      </c>
      <c r="F79" s="634">
        <f ca="1">SUM(F14:F78)</f>
        <v>198481472</v>
      </c>
      <c r="G79" s="634">
        <f ca="1">SUM(G14:G78)</f>
        <v>198481472</v>
      </c>
      <c r="H79" s="634" t="s">
        <v>19</v>
      </c>
      <c r="I79" s="634" t="s">
        <v>19</v>
      </c>
    </row>
    <row r="80" spans="1:9" s="4" customFormat="1" ht="18" customHeight="1">
      <c r="A80" s="627"/>
      <c r="B80" s="624"/>
      <c r="C80" s="624"/>
      <c r="D80" s="626" t="s">
        <v>10</v>
      </c>
      <c r="E80" s="624" t="s">
        <v>19</v>
      </c>
      <c r="F80" s="634" t="s">
        <v>19</v>
      </c>
      <c r="G80" s="634" t="s">
        <v>19</v>
      </c>
      <c r="H80" s="634">
        <f ca="1">MAX(H13+F79-G79-I13,0)</f>
        <v>0</v>
      </c>
      <c r="I80" s="634">
        <f ca="1">MAX(I13+G79-F79-H13,0)</f>
        <v>0</v>
      </c>
    </row>
    <row r="81" spans="1:10" s="4" customFormat="1" ht="6" customHeight="1">
      <c r="B81" s="594"/>
      <c r="C81" s="594"/>
      <c r="E81" s="594"/>
    </row>
    <row r="82" spans="1:10" s="4" customFormat="1" ht="14.25" customHeight="1">
      <c r="A82" s="635" t="s">
        <v>734</v>
      </c>
      <c r="B82" s="594"/>
      <c r="C82" s="594"/>
      <c r="E82" s="594"/>
      <c r="J82" s="635"/>
    </row>
    <row r="83" spans="1:10" s="4" customFormat="1" ht="14.25" customHeight="1">
      <c r="A83" s="635" t="str">
        <f ca="1">"- Ngày mở sổ: "&amp;DAY($A$14)&amp;"/"&amp;MONTH($A$14)&amp;"/ " &amp;YEAR($A$14)</f>
        <v>- Ngày mở sổ: 1/9/ 2012</v>
      </c>
      <c r="B83" s="594"/>
      <c r="C83" s="594"/>
      <c r="E83" s="594"/>
      <c r="J83" s="635"/>
    </row>
    <row r="84" spans="1:10" s="4" customFormat="1" ht="14.25" customHeight="1">
      <c r="B84" s="594"/>
      <c r="C84" s="594"/>
      <c r="E84" s="825" t="str">
        <f ca="1">"Ngày 31 tháng  12  năm  "&amp;YEAR($A$14)</f>
        <v>Ngày 31 tháng  12  năm  2012</v>
      </c>
      <c r="F84" s="825"/>
      <c r="G84" s="825"/>
      <c r="H84" s="825"/>
      <c r="I84" s="825"/>
    </row>
    <row r="85" spans="1:10" s="4" customFormat="1" ht="14.25" customHeight="1">
      <c r="C85" s="594" t="s">
        <v>11</v>
      </c>
      <c r="E85" s="825" t="s">
        <v>12</v>
      </c>
      <c r="F85" s="825"/>
      <c r="G85" s="825"/>
      <c r="H85" s="825"/>
      <c r="I85" s="825"/>
    </row>
    <row r="86" spans="1:10" s="4" customFormat="1" ht="14.25" customHeight="1">
      <c r="C86" s="594" t="s">
        <v>13</v>
      </c>
      <c r="E86" s="825" t="s">
        <v>13</v>
      </c>
      <c r="F86" s="825"/>
      <c r="G86" s="825"/>
      <c r="H86" s="825"/>
      <c r="I86" s="825"/>
    </row>
  </sheetData>
  <autoFilter ref="A12:I21"/>
  <mergeCells count="15">
    <mergeCell ref="E7:H7"/>
    <mergeCell ref="E85:I85"/>
    <mergeCell ref="E86:I86"/>
    <mergeCell ref="A10:A11"/>
    <mergeCell ref="G1:I1"/>
    <mergeCell ref="G2:I3"/>
    <mergeCell ref="E84:I84"/>
    <mergeCell ref="C9:I9"/>
    <mergeCell ref="B10:C10"/>
    <mergeCell ref="D10:D11"/>
    <mergeCell ref="E10:E11"/>
    <mergeCell ref="F10:G10"/>
    <mergeCell ref="H10:I10"/>
    <mergeCell ref="A4:I4"/>
    <mergeCell ref="A2:F3"/>
  </mergeCells>
  <dataValidations count="1">
    <dataValidation type="list" allowBlank="1" showInputMessage="1" showErrorMessage="1" sqref="E7">
      <formula1>DSKH</formula1>
    </dataValidation>
  </dataValidations>
  <pageMargins left="0.1" right="0.6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5" zoomScale="90" workbookViewId="0">
      <pane ySplit="8" topLeftCell="A13" activePane="bottomLeft" state="frozen"/>
      <selection activeCell="A5" sqref="A5"/>
      <selection pane="bottomLeft" activeCell="D26" sqref="D26"/>
    </sheetView>
  </sheetViews>
  <sheetFormatPr defaultRowHeight="15"/>
  <cols>
    <col min="1" max="1" width="9.7109375" style="135" customWidth="1"/>
    <col min="2" max="2" width="7" style="135" customWidth="1"/>
    <col min="3" max="3" width="9.140625" style="135"/>
    <col min="4" max="4" width="40.140625" style="135" customWidth="1"/>
    <col min="5" max="5" width="6.5703125" style="135" customWidth="1"/>
    <col min="6" max="8" width="10" style="135" customWidth="1"/>
    <col min="9" max="9" width="13.7109375" style="135" customWidth="1"/>
    <col min="10" max="10" width="10" style="135" customWidth="1"/>
    <col min="11" max="11" width="8.7109375" style="135" customWidth="1"/>
    <col min="12" max="12" width="15" style="135" customWidth="1"/>
    <col min="13" max="13" width="10" style="135" customWidth="1"/>
    <col min="14" max="14" width="9.42578125" style="135" customWidth="1"/>
    <col min="15" max="16384" width="9.140625" style="135"/>
  </cols>
  <sheetData>
    <row r="2" spans="1:14">
      <c r="A2" s="285" t="str">
        <f>TH!$A$1</f>
        <v>Đơn vị: CÔNG TY TNHH MỘT THÀNH VIÊN KHỞI NGUYÊN AN</v>
      </c>
      <c r="C2" s="136"/>
      <c r="F2" s="598"/>
      <c r="G2" s="598"/>
      <c r="H2" s="598"/>
      <c r="I2" s="598"/>
      <c r="J2" s="868" t="s">
        <v>161</v>
      </c>
      <c r="K2" s="868"/>
      <c r="L2" s="868"/>
      <c r="M2" s="868"/>
      <c r="N2" s="598"/>
    </row>
    <row r="3" spans="1:14">
      <c r="A3" s="310" t="str">
        <f>TH!$A$2</f>
        <v>Địa chỉ: Thửa đất số 144, tờ bản đồ số 12TĐH.1, tổ 1, khu phố Đông Tác, Phường Tân Đông Hiệp, Thị Xã Dĩ An, Tỉnh Bình Dương, Việt Nam</v>
      </c>
      <c r="C3" s="136"/>
      <c r="F3" s="597"/>
      <c r="G3" s="597"/>
      <c r="H3" s="597"/>
      <c r="I3" s="597"/>
      <c r="J3" s="87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876"/>
      <c r="L3" s="876"/>
      <c r="M3" s="876"/>
      <c r="N3" s="597"/>
    </row>
    <row r="4" spans="1:14">
      <c r="F4" s="597"/>
      <c r="G4" s="597"/>
      <c r="H4" s="597"/>
      <c r="I4" s="597"/>
      <c r="J4" s="876"/>
      <c r="K4" s="876"/>
      <c r="L4" s="876"/>
      <c r="M4" s="876"/>
      <c r="N4" s="597"/>
    </row>
    <row r="5" spans="1:14" ht="23.25" customHeight="1">
      <c r="A5" s="867" t="s">
        <v>162</v>
      </c>
      <c r="B5" s="867"/>
      <c r="C5" s="867"/>
      <c r="D5" s="867"/>
      <c r="E5" s="867"/>
      <c r="F5" s="867"/>
      <c r="G5" s="867"/>
      <c r="H5" s="867"/>
      <c r="I5" s="867"/>
      <c r="J5" s="867"/>
      <c r="K5" s="867"/>
      <c r="L5" s="867"/>
      <c r="M5" s="867"/>
      <c r="N5" s="867"/>
    </row>
    <row r="6" spans="1:14">
      <c r="A6" s="868" t="s">
        <v>557</v>
      </c>
      <c r="B6" s="868" t="s">
        <v>163</v>
      </c>
      <c r="C6" s="868"/>
      <c r="D6" s="868"/>
      <c r="E6" s="868"/>
      <c r="F6" s="868"/>
      <c r="G6" s="868"/>
      <c r="H6" s="868"/>
      <c r="I6" s="868"/>
      <c r="J6" s="868"/>
      <c r="K6" s="868"/>
      <c r="L6" s="868"/>
      <c r="M6" s="868"/>
      <c r="N6" s="868"/>
    </row>
    <row r="7" spans="1:14">
      <c r="C7" s="869"/>
      <c r="D7" s="869"/>
      <c r="E7" s="869"/>
      <c r="F7" s="869"/>
      <c r="G7" s="869"/>
      <c r="H7" s="869"/>
      <c r="I7" s="869"/>
      <c r="J7" s="869"/>
      <c r="K7" s="869"/>
      <c r="L7" s="869"/>
      <c r="M7" s="869"/>
      <c r="N7" s="869"/>
    </row>
    <row r="8" spans="1:14" ht="15.75" customHeight="1">
      <c r="A8" s="870" t="s">
        <v>20</v>
      </c>
      <c r="B8" s="871" t="s">
        <v>1</v>
      </c>
      <c r="C8" s="872"/>
      <c r="D8" s="870" t="s">
        <v>0</v>
      </c>
      <c r="E8" s="870" t="s">
        <v>14</v>
      </c>
      <c r="F8" s="875" t="s">
        <v>21</v>
      </c>
      <c r="G8" s="875"/>
      <c r="H8" s="875"/>
      <c r="I8" s="875"/>
      <c r="J8" s="875"/>
      <c r="K8" s="875"/>
      <c r="L8" s="875" t="s">
        <v>31</v>
      </c>
      <c r="M8" s="875"/>
      <c r="N8" s="875"/>
    </row>
    <row r="9" spans="1:14" ht="15.75" customHeight="1">
      <c r="A9" s="870"/>
      <c r="B9" s="873"/>
      <c r="C9" s="874"/>
      <c r="D9" s="870"/>
      <c r="E9" s="870"/>
      <c r="F9" s="875" t="s">
        <v>164</v>
      </c>
      <c r="G9" s="875"/>
      <c r="H9" s="875"/>
      <c r="I9" s="875" t="s">
        <v>165</v>
      </c>
      <c r="J9" s="875"/>
      <c r="K9" s="875"/>
      <c r="L9" s="870" t="s">
        <v>166</v>
      </c>
      <c r="M9" s="870" t="s">
        <v>167</v>
      </c>
      <c r="N9" s="870" t="s">
        <v>168</v>
      </c>
    </row>
    <row r="10" spans="1:14" ht="15.75" customHeight="1">
      <c r="A10" s="870"/>
      <c r="B10" s="878" t="s">
        <v>15</v>
      </c>
      <c r="C10" s="878" t="s">
        <v>32</v>
      </c>
      <c r="D10" s="870"/>
      <c r="E10" s="870"/>
      <c r="F10" s="880" t="s">
        <v>166</v>
      </c>
      <c r="G10" s="880" t="s">
        <v>167</v>
      </c>
      <c r="H10" s="880" t="s">
        <v>168</v>
      </c>
      <c r="I10" s="880" t="s">
        <v>166</v>
      </c>
      <c r="J10" s="880" t="s">
        <v>167</v>
      </c>
      <c r="K10" s="880" t="s">
        <v>168</v>
      </c>
      <c r="L10" s="877"/>
      <c r="M10" s="877"/>
      <c r="N10" s="877"/>
    </row>
    <row r="11" spans="1:14">
      <c r="A11" s="870"/>
      <c r="B11" s="879"/>
      <c r="C11" s="879"/>
      <c r="D11" s="870"/>
      <c r="E11" s="870"/>
      <c r="F11" s="881"/>
      <c r="G11" s="881"/>
      <c r="H11" s="881"/>
      <c r="I11" s="881"/>
      <c r="J11" s="881"/>
      <c r="K11" s="881"/>
      <c r="L11" s="877"/>
      <c r="M11" s="877"/>
      <c r="N11" s="877"/>
    </row>
    <row r="12" spans="1:14" s="597" customFormat="1">
      <c r="A12" s="137" t="s">
        <v>2</v>
      </c>
      <c r="B12" s="138" t="s">
        <v>3</v>
      </c>
      <c r="C12" s="137" t="s">
        <v>4</v>
      </c>
      <c r="D12" s="137" t="s">
        <v>5</v>
      </c>
      <c r="E12" s="137" t="s">
        <v>6</v>
      </c>
      <c r="F12" s="137">
        <v>1</v>
      </c>
      <c r="G12" s="137"/>
      <c r="H12" s="137"/>
      <c r="I12" s="137"/>
      <c r="J12" s="137"/>
      <c r="K12" s="137"/>
      <c r="L12" s="137"/>
      <c r="M12" s="137"/>
      <c r="N12" s="137"/>
    </row>
    <row r="13" spans="1:14" ht="19.5" customHeight="1">
      <c r="A13" s="139"/>
      <c r="B13" s="139"/>
      <c r="C13" s="386"/>
      <c r="D13" s="140" t="s">
        <v>7</v>
      </c>
      <c r="E13" s="139"/>
      <c r="F13" s="139"/>
      <c r="G13" s="139"/>
      <c r="H13" s="139"/>
      <c r="I13" s="139"/>
      <c r="J13" s="139"/>
      <c r="K13" s="139"/>
      <c r="L13" s="141">
        <f>CDPS!$D$33</f>
        <v>0</v>
      </c>
      <c r="M13" s="139"/>
      <c r="N13" s="139"/>
    </row>
    <row r="14" spans="1:14" ht="19.5" customHeight="1">
      <c r="A14" s="385">
        <f>C14</f>
        <v>41122</v>
      </c>
      <c r="B14" s="353" t="s">
        <v>276</v>
      </c>
      <c r="C14" s="385">
        <v>41122</v>
      </c>
      <c r="D14" s="142" t="s">
        <v>556</v>
      </c>
      <c r="E14" s="353" t="s">
        <v>46</v>
      </c>
      <c r="F14" s="142"/>
      <c r="G14" s="142"/>
      <c r="H14" s="142"/>
      <c r="I14" s="182">
        <v>2500000000</v>
      </c>
      <c r="J14" s="142"/>
      <c r="K14" s="142"/>
      <c r="L14" s="355">
        <f>L13+I14-G14</f>
        <v>2500000000</v>
      </c>
      <c r="M14" s="142"/>
      <c r="N14" s="142"/>
    </row>
    <row r="15" spans="1:14" ht="19.5" customHeight="1">
      <c r="A15" s="353"/>
      <c r="B15" s="142"/>
      <c r="C15" s="35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</row>
    <row r="16" spans="1:14" ht="19.5" customHeight="1">
      <c r="A16" s="353"/>
      <c r="B16" s="142"/>
      <c r="C16" s="353"/>
      <c r="D16" s="144" t="s">
        <v>128</v>
      </c>
      <c r="E16" s="281" t="s">
        <v>19</v>
      </c>
      <c r="F16" s="145"/>
      <c r="G16" s="145"/>
      <c r="H16" s="145"/>
      <c r="I16" s="354">
        <f>SUM(I13:I15)</f>
        <v>2500000000</v>
      </c>
      <c r="J16" s="145"/>
      <c r="K16" s="145"/>
      <c r="L16" s="356">
        <f>L13+I16-F16</f>
        <v>2500000000</v>
      </c>
      <c r="M16" s="145"/>
      <c r="N16" s="145"/>
    </row>
    <row r="17" spans="1:14" ht="19.5" customHeight="1">
      <c r="A17" s="146"/>
      <c r="B17" s="146"/>
      <c r="C17" s="146"/>
      <c r="D17" s="147" t="s">
        <v>10</v>
      </c>
      <c r="E17" s="282" t="s">
        <v>19</v>
      </c>
      <c r="F17" s="146"/>
      <c r="G17" s="146"/>
      <c r="H17" s="146"/>
      <c r="I17" s="146"/>
      <c r="J17" s="146"/>
      <c r="K17" s="146"/>
      <c r="L17" s="148">
        <f>L13+L16</f>
        <v>2500000000</v>
      </c>
      <c r="M17" s="146"/>
      <c r="N17" s="146"/>
    </row>
    <row r="19" spans="1:14">
      <c r="C19" s="635" t="s">
        <v>146</v>
      </c>
    </row>
    <row r="20" spans="1:14">
      <c r="C20" s="658" t="str">
        <f>"- Ngày mở sổ: "&amp;DAY(A14)&amp;"/"&amp;MONTH(A14)&amp;"/ " &amp;YEAR(A14)</f>
        <v>- Ngày mở sổ: 1/8/ 2012</v>
      </c>
    </row>
    <row r="21" spans="1:14">
      <c r="B21" s="149"/>
      <c r="C21" s="149"/>
      <c r="D21" s="149"/>
      <c r="E21" s="866" t="str">
        <f>"Ngày 31 tháng  12  năm  "&amp;YEAR($A$14)</f>
        <v>Ngày 31 tháng  12  năm  2012</v>
      </c>
      <c r="F21" s="866"/>
      <c r="G21" s="866"/>
      <c r="H21" s="866"/>
      <c r="I21" s="866"/>
      <c r="J21" s="866"/>
      <c r="K21" s="866"/>
      <c r="L21" s="866"/>
      <c r="M21" s="866"/>
      <c r="N21" s="866"/>
    </row>
    <row r="22" spans="1:14">
      <c r="A22" s="866" t="s">
        <v>11</v>
      </c>
      <c r="B22" s="866"/>
      <c r="C22" s="866"/>
      <c r="D22" s="866"/>
      <c r="E22" s="866" t="s">
        <v>12</v>
      </c>
      <c r="F22" s="866"/>
      <c r="G22" s="866"/>
      <c r="H22" s="866"/>
      <c r="I22" s="866"/>
      <c r="J22" s="866"/>
      <c r="K22" s="866"/>
      <c r="L22" s="866"/>
      <c r="M22" s="866"/>
      <c r="N22" s="866"/>
    </row>
    <row r="23" spans="1:14">
      <c r="A23" s="866" t="s">
        <v>13</v>
      </c>
      <c r="B23" s="866"/>
      <c r="C23" s="866"/>
      <c r="D23" s="866"/>
      <c r="E23" s="866" t="s">
        <v>13</v>
      </c>
      <c r="F23" s="866"/>
      <c r="G23" s="866"/>
      <c r="H23" s="866"/>
      <c r="I23" s="866"/>
      <c r="J23" s="866"/>
      <c r="K23" s="866"/>
      <c r="L23" s="866"/>
      <c r="M23" s="866"/>
      <c r="N23" s="866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91"/>
  <sheetViews>
    <sheetView topLeftCell="A8" zoomScale="90" zoomScaleNormal="90" workbookViewId="0">
      <pane ySplit="4" topLeftCell="A12" activePane="bottomLeft" state="frozen"/>
      <selection activeCell="A8" sqref="A8"/>
      <selection pane="bottomLeft" activeCell="B23" sqref="B23"/>
    </sheetView>
  </sheetViews>
  <sheetFormatPr defaultRowHeight="15"/>
  <cols>
    <col min="1" max="1" width="4.85546875" style="704" customWidth="1"/>
    <col min="2" max="2" width="34" style="704" customWidth="1"/>
    <col min="3" max="3" width="7.7109375" style="707" customWidth="1"/>
    <col min="4" max="4" width="6.7109375" style="722" customWidth="1"/>
    <col min="5" max="5" width="7.5703125" style="722" customWidth="1"/>
    <col min="6" max="6" width="8" style="358" customWidth="1"/>
    <col min="7" max="7" width="12.140625" style="358" customWidth="1"/>
    <col min="8" max="8" width="7.85546875" style="358" customWidth="1"/>
    <col min="9" max="9" width="12.5703125" style="358" customWidth="1"/>
    <col min="10" max="10" width="7.85546875" style="358" customWidth="1"/>
    <col min="11" max="11" width="11.42578125" style="358" customWidth="1"/>
    <col min="12" max="12" width="9" style="704" customWidth="1"/>
    <col min="13" max="13" width="11.140625" style="358" bestFit="1" customWidth="1"/>
    <col min="14" max="16384" width="9.140625" style="704"/>
  </cols>
  <sheetData>
    <row r="1" spans="1:13" s="276" customFormat="1" ht="14.25" customHeight="1">
      <c r="A1" s="285" t="str">
        <f>TH!$A$1</f>
        <v>Đơn vị: CÔNG TY TNHH MỘT THÀNH VIÊN KHỞI NGUYÊN AN</v>
      </c>
      <c r="B1" s="150"/>
      <c r="C1" s="150"/>
      <c r="D1" s="150"/>
      <c r="E1" s="151"/>
      <c r="F1" s="151"/>
      <c r="G1" s="821" t="s">
        <v>169</v>
      </c>
      <c r="H1" s="821"/>
      <c r="I1" s="821"/>
      <c r="J1" s="821"/>
      <c r="K1" s="821"/>
      <c r="L1" s="593"/>
      <c r="M1" s="357"/>
    </row>
    <row r="2" spans="1:13" s="276" customFormat="1" ht="14.25" customHeight="1">
      <c r="A2" s="310" t="str">
        <f>TH!$A$2</f>
        <v>Địa chỉ: Thửa đất số 144, tờ bản đồ số 12TĐH.1, tổ 1, khu phố Đông Tác, Phường Tân Đông Hiệp, Thị Xã Dĩ An, Tỉnh Bình Dương, Việt Nam</v>
      </c>
      <c r="B2" s="152"/>
      <c r="C2" s="152"/>
      <c r="D2" s="152"/>
      <c r="E2" s="152"/>
      <c r="F2" s="152"/>
      <c r="G2" s="822" t="str">
        <f>IF(YEAR(TH!$C$10)&gt;=2015,"(Ban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22"/>
      <c r="I2" s="822"/>
      <c r="J2" s="822"/>
      <c r="K2" s="822"/>
      <c r="L2" s="7"/>
      <c r="M2" s="357"/>
    </row>
    <row r="3" spans="1:13" s="276" customFormat="1" ht="14.25" customHeight="1">
      <c r="A3" s="152"/>
      <c r="B3" s="152"/>
      <c r="C3" s="152"/>
      <c r="D3" s="152"/>
      <c r="E3" s="152"/>
      <c r="F3" s="152"/>
      <c r="G3" s="822"/>
      <c r="H3" s="822"/>
      <c r="I3" s="822"/>
      <c r="J3" s="822"/>
      <c r="K3" s="822"/>
      <c r="L3" s="703"/>
      <c r="M3" s="357"/>
    </row>
    <row r="4" spans="1:13" s="153" customFormat="1" ht="43.5" customHeight="1">
      <c r="A4" s="890" t="s">
        <v>170</v>
      </c>
      <c r="B4" s="890"/>
      <c r="C4" s="890"/>
      <c r="D4" s="890"/>
      <c r="E4" s="890"/>
      <c r="F4" s="890"/>
      <c r="G4" s="890"/>
      <c r="H4" s="890"/>
      <c r="I4" s="890"/>
      <c r="J4" s="890"/>
      <c r="K4" s="890"/>
      <c r="M4" s="358"/>
    </row>
    <row r="5" spans="1:13" s="153" customFormat="1" ht="15" customHeight="1">
      <c r="A5" s="889" t="s">
        <v>735</v>
      </c>
      <c r="B5" s="889"/>
      <c r="C5" s="889"/>
      <c r="D5" s="889"/>
      <c r="E5" s="889"/>
      <c r="F5" s="889"/>
      <c r="G5" s="889"/>
      <c r="H5" s="889"/>
      <c r="I5" s="889"/>
      <c r="J5" s="889"/>
      <c r="K5" s="889"/>
      <c r="M5" s="358"/>
    </row>
    <row r="6" spans="1:13" s="153" customFormat="1" ht="12.75" hidden="1" customHeight="1">
      <c r="A6" s="889" t="s">
        <v>171</v>
      </c>
      <c r="B6" s="889"/>
      <c r="C6" s="889"/>
      <c r="D6" s="889"/>
      <c r="E6" s="889"/>
      <c r="F6" s="889"/>
      <c r="G6" s="889"/>
      <c r="H6" s="889"/>
      <c r="I6" s="889"/>
      <c r="J6" s="889"/>
      <c r="K6" s="889"/>
      <c r="M6" s="358"/>
    </row>
    <row r="7" spans="1:13" ht="24" hidden="1" customHeight="1">
      <c r="B7" s="882" t="s">
        <v>172</v>
      </c>
      <c r="C7" s="882"/>
      <c r="D7" s="882"/>
      <c r="E7" s="882"/>
      <c r="F7" s="882"/>
      <c r="G7" s="882"/>
      <c r="H7" s="882"/>
      <c r="I7" s="882"/>
      <c r="J7" s="882"/>
      <c r="K7" s="882"/>
    </row>
    <row r="8" spans="1:13" ht="21.75" customHeight="1">
      <c r="A8" s="883" t="s">
        <v>34</v>
      </c>
      <c r="B8" s="884" t="s">
        <v>173</v>
      </c>
      <c r="C8" s="885" t="s">
        <v>174</v>
      </c>
      <c r="D8" s="887" t="s">
        <v>134</v>
      </c>
      <c r="E8" s="887"/>
      <c r="F8" s="887"/>
      <c r="G8" s="887"/>
      <c r="H8" s="887"/>
      <c r="I8" s="887"/>
      <c r="J8" s="887"/>
      <c r="K8" s="887"/>
    </row>
    <row r="9" spans="1:13" ht="21.75" customHeight="1">
      <c r="A9" s="883"/>
      <c r="B9" s="884"/>
      <c r="C9" s="886"/>
      <c r="D9" s="887" t="s">
        <v>175</v>
      </c>
      <c r="E9" s="887"/>
      <c r="F9" s="888" t="s">
        <v>176</v>
      </c>
      <c r="G9" s="888"/>
      <c r="H9" s="888" t="s">
        <v>177</v>
      </c>
      <c r="I9" s="888"/>
      <c r="J9" s="888" t="s">
        <v>178</v>
      </c>
      <c r="K9" s="888"/>
    </row>
    <row r="10" spans="1:13" ht="20.25" hidden="1" customHeight="1">
      <c r="A10" s="883"/>
      <c r="B10" s="884"/>
      <c r="C10" s="705"/>
      <c r="D10" s="706" t="s">
        <v>179</v>
      </c>
      <c r="E10" s="706" t="s">
        <v>180</v>
      </c>
      <c r="F10" s="706" t="s">
        <v>179</v>
      </c>
      <c r="G10" s="706" t="s">
        <v>180</v>
      </c>
      <c r="H10" s="706" t="s">
        <v>179</v>
      </c>
      <c r="I10" s="706" t="s">
        <v>180</v>
      </c>
      <c r="J10" s="706" t="s">
        <v>179</v>
      </c>
      <c r="K10" s="706" t="s">
        <v>180</v>
      </c>
    </row>
    <row r="11" spans="1:13" s="707" customFormat="1">
      <c r="A11" s="708" t="s">
        <v>2</v>
      </c>
      <c r="B11" s="705" t="s">
        <v>3</v>
      </c>
      <c r="C11" s="705"/>
      <c r="D11" s="706">
        <v>1</v>
      </c>
      <c r="E11" s="706">
        <v>1</v>
      </c>
      <c r="F11" s="706">
        <v>2</v>
      </c>
      <c r="G11" s="706">
        <v>2</v>
      </c>
      <c r="H11" s="706">
        <v>3</v>
      </c>
      <c r="I11" s="706">
        <v>3</v>
      </c>
      <c r="J11" s="706">
        <v>4</v>
      </c>
      <c r="K11" s="706">
        <v>4</v>
      </c>
      <c r="M11" s="357"/>
    </row>
    <row r="12" spans="1:13" ht="21.75" customHeight="1">
      <c r="A12" s="709">
        <f t="shared" ref="A12:A32" si="0">IF(B12&lt;&gt;"",ROW()-11,"")</f>
        <v>1</v>
      </c>
      <c r="B12" s="710" t="s">
        <v>342</v>
      </c>
      <c r="C12" s="711" t="s">
        <v>275</v>
      </c>
      <c r="D12" s="632"/>
      <c r="E12" s="632"/>
      <c r="F12" s="632">
        <f t="array" ref="F12">SUM(IF("156"&amp;B12=KHN&amp;MH,SL))</f>
        <v>1000</v>
      </c>
      <c r="G12" s="632">
        <f t="array" ref="G12">SUM(IF("156"&amp;B12=KHN&amp;MH,TH))</f>
        <v>12319000</v>
      </c>
      <c r="H12" s="632">
        <f t="array" ref="H12">SUM(IF("156"&amp;B12=KHC&amp;MH,SL))</f>
        <v>1000</v>
      </c>
      <c r="I12" s="632">
        <f t="array" ref="I12">SUM(IF("156"&amp;B12=KHC&amp;MH,TH))</f>
        <v>12319000</v>
      </c>
      <c r="J12" s="632">
        <f t="shared" ref="J12:J32" si="1">D12+F12-H12</f>
        <v>0</v>
      </c>
      <c r="K12" s="632">
        <f t="shared" ref="K12:K32" si="2">E12+G12-I12</f>
        <v>0</v>
      </c>
      <c r="L12" s="358"/>
    </row>
    <row r="13" spans="1:13" ht="21.75" customHeight="1">
      <c r="A13" s="709">
        <f t="shared" si="0"/>
        <v>2</v>
      </c>
      <c r="B13" s="712" t="s">
        <v>392</v>
      </c>
      <c r="C13" s="711" t="s">
        <v>275</v>
      </c>
      <c r="D13" s="632"/>
      <c r="E13" s="632"/>
      <c r="F13" s="632">
        <f t="array" ref="F13">SUM(IF("156"&amp;B13=KHN&amp;MH,SL))</f>
        <v>750</v>
      </c>
      <c r="G13" s="632">
        <f t="array" ref="G13">SUM(IF("156"&amp;B13=KHN&amp;MH,TH))</f>
        <v>7254000</v>
      </c>
      <c r="H13" s="632">
        <f t="array" ref="H13">SUM(IF("156"&amp;B13=KHC&amp;MH,SL))</f>
        <v>750</v>
      </c>
      <c r="I13" s="632">
        <f t="array" ref="I13">SUM(IF("156"&amp;B13=KHC&amp;MH,TH))</f>
        <v>7254000</v>
      </c>
      <c r="J13" s="632">
        <f t="shared" si="1"/>
        <v>0</v>
      </c>
      <c r="K13" s="632">
        <f t="shared" si="2"/>
        <v>0</v>
      </c>
      <c r="L13" s="358"/>
    </row>
    <row r="14" spans="1:13" ht="21.75" customHeight="1">
      <c r="A14" s="709">
        <f t="shared" si="0"/>
        <v>3</v>
      </c>
      <c r="B14" s="712" t="s">
        <v>349</v>
      </c>
      <c r="C14" s="711" t="s">
        <v>275</v>
      </c>
      <c r="D14" s="632"/>
      <c r="E14" s="632"/>
      <c r="F14" s="632">
        <f t="array" ref="F14">SUM(IF("156"&amp;B14=KHN&amp;MH,SL))</f>
        <v>2000</v>
      </c>
      <c r="G14" s="632">
        <f t="array" ref="G14">SUM(IF("156"&amp;B14=KHN&amp;MH,TH))</f>
        <v>20572000</v>
      </c>
      <c r="H14" s="632">
        <f t="array" ref="H14">SUM(IF("156"&amp;B14=KHC&amp;MH,SL))</f>
        <v>2000</v>
      </c>
      <c r="I14" s="632">
        <f t="array" ref="I14">SUM(IF("156"&amp;B14=KHC&amp;MH,TH))</f>
        <v>20572000</v>
      </c>
      <c r="J14" s="632">
        <f t="shared" si="1"/>
        <v>0</v>
      </c>
      <c r="K14" s="632">
        <f t="shared" si="2"/>
        <v>0</v>
      </c>
      <c r="L14" s="358"/>
    </row>
    <row r="15" spans="1:13" ht="21.75" customHeight="1">
      <c r="A15" s="709">
        <f t="shared" si="0"/>
        <v>4</v>
      </c>
      <c r="B15" s="713" t="s">
        <v>322</v>
      </c>
      <c r="C15" s="711" t="s">
        <v>275</v>
      </c>
      <c r="D15" s="632"/>
      <c r="E15" s="632"/>
      <c r="F15" s="632">
        <f t="array" ref="F15">SUM(IF("156"&amp;B15=KHN&amp;MH,SL))</f>
        <v>500</v>
      </c>
      <c r="G15" s="632">
        <f t="array" ref="G15">SUM(IF("156"&amp;B15=KHN&amp;MH,TH))</f>
        <v>5143000</v>
      </c>
      <c r="H15" s="632">
        <f t="array" ref="H15">SUM(IF("156"&amp;B15=KHC&amp;MH,SL))</f>
        <v>500</v>
      </c>
      <c r="I15" s="632">
        <f t="array" ref="I15">SUM(IF("156"&amp;B15=KHC&amp;MH,TH))</f>
        <v>5143000</v>
      </c>
      <c r="J15" s="632">
        <f t="shared" si="1"/>
        <v>0</v>
      </c>
      <c r="K15" s="632">
        <f t="shared" si="2"/>
        <v>0</v>
      </c>
      <c r="L15" s="358"/>
    </row>
    <row r="16" spans="1:13" ht="21.75" customHeight="1">
      <c r="A16" s="709">
        <f t="shared" si="0"/>
        <v>5</v>
      </c>
      <c r="B16" s="713" t="s">
        <v>375</v>
      </c>
      <c r="C16" s="711" t="s">
        <v>275</v>
      </c>
      <c r="D16" s="632"/>
      <c r="E16" s="632"/>
      <c r="F16" s="632">
        <f t="array" ref="F16">SUM(IF("156"&amp;B16=KHN&amp;MH,SL))</f>
        <v>175</v>
      </c>
      <c r="G16" s="632">
        <f t="array" ref="G16">SUM(IF("156"&amp;B16=KHN&amp;MH,TH))</f>
        <v>1845550</v>
      </c>
      <c r="H16" s="632">
        <f t="array" ref="H16">SUM(IF("156"&amp;B16=KHC&amp;MH,SL))</f>
        <v>175</v>
      </c>
      <c r="I16" s="632">
        <f t="array" ref="I16">SUM(IF("156"&amp;B16=KHC&amp;MH,TH))</f>
        <v>1845550</v>
      </c>
      <c r="J16" s="632">
        <f t="shared" si="1"/>
        <v>0</v>
      </c>
      <c r="K16" s="632">
        <f t="shared" si="2"/>
        <v>0</v>
      </c>
      <c r="L16" s="358"/>
    </row>
    <row r="17" spans="1:12" ht="21.75" customHeight="1">
      <c r="A17" s="709">
        <f t="shared" si="0"/>
        <v>6</v>
      </c>
      <c r="B17" s="712" t="s">
        <v>380</v>
      </c>
      <c r="C17" s="711" t="s">
        <v>275</v>
      </c>
      <c r="D17" s="632"/>
      <c r="E17" s="632"/>
      <c r="F17" s="632">
        <f t="array" ref="F17">SUM(IF("156"&amp;B17=KHN&amp;MH,SL))</f>
        <v>150</v>
      </c>
      <c r="G17" s="632">
        <f t="array" ref="G17">SUM(IF("156"&amp;B17=KHN&amp;MH,TH))</f>
        <v>1534500</v>
      </c>
      <c r="H17" s="632">
        <f t="array" ref="H17">SUM(IF("156"&amp;B17=KHC&amp;MH,SL))</f>
        <v>150</v>
      </c>
      <c r="I17" s="632">
        <f t="array" ref="I17">SUM(IF("156"&amp;B17=KHC&amp;MH,TH))</f>
        <v>1534500</v>
      </c>
      <c r="J17" s="632">
        <f t="shared" si="1"/>
        <v>0</v>
      </c>
      <c r="K17" s="632">
        <f t="shared" si="2"/>
        <v>0</v>
      </c>
      <c r="L17" s="358"/>
    </row>
    <row r="18" spans="1:12" ht="21.75" customHeight="1">
      <c r="A18" s="709">
        <f t="shared" si="0"/>
        <v>7</v>
      </c>
      <c r="B18" s="713" t="s">
        <v>326</v>
      </c>
      <c r="C18" s="711" t="s">
        <v>275</v>
      </c>
      <c r="D18" s="632"/>
      <c r="E18" s="632"/>
      <c r="F18" s="632">
        <f t="array" ref="F18">SUM(IF("156"&amp;B18=KHN&amp;MH,SL))</f>
        <v>2050</v>
      </c>
      <c r="G18" s="632">
        <f t="array" ref="G18">SUM(IF("156"&amp;B18=KHN&amp;MH,TH))</f>
        <v>21110900</v>
      </c>
      <c r="H18" s="632">
        <f t="array" ref="H18">SUM(IF("156"&amp;B18=KHC&amp;MH,SL))</f>
        <v>2050</v>
      </c>
      <c r="I18" s="632">
        <f t="array" ref="I18">SUM(IF("156"&amp;B18=KHC&amp;MH,TH))</f>
        <v>21110900</v>
      </c>
      <c r="J18" s="632">
        <f t="shared" si="1"/>
        <v>0</v>
      </c>
      <c r="K18" s="632">
        <f t="shared" si="2"/>
        <v>0</v>
      </c>
      <c r="L18" s="358"/>
    </row>
    <row r="19" spans="1:12" ht="21.75" customHeight="1">
      <c r="A19" s="709">
        <f t="shared" si="0"/>
        <v>8</v>
      </c>
      <c r="B19" s="713" t="s">
        <v>321</v>
      </c>
      <c r="C19" s="711" t="s">
        <v>275</v>
      </c>
      <c r="D19" s="632"/>
      <c r="E19" s="632"/>
      <c r="F19" s="632">
        <f t="array" ref="F19">SUM(IF("156"&amp;B19=KHN&amp;MH,SL))</f>
        <v>600</v>
      </c>
      <c r="G19" s="632">
        <f t="array" ref="G19">SUM(IF("156"&amp;B19=KHN&amp;MH,TH))</f>
        <v>6506400</v>
      </c>
      <c r="H19" s="632">
        <f t="array" ref="H19">SUM(IF("156"&amp;B19=KHC&amp;MH,SL))</f>
        <v>283</v>
      </c>
      <c r="I19" s="632">
        <f t="array" ref="I19">SUM(IF("156"&amp;B19=KHC&amp;MH,TH))</f>
        <v>3068852</v>
      </c>
      <c r="J19" s="632">
        <f t="shared" si="1"/>
        <v>317</v>
      </c>
      <c r="K19" s="632">
        <f t="shared" si="2"/>
        <v>3437548</v>
      </c>
      <c r="L19" s="358"/>
    </row>
    <row r="20" spans="1:12" ht="21.75" customHeight="1">
      <c r="A20" s="709">
        <f t="shared" si="0"/>
        <v>9</v>
      </c>
      <c r="B20" s="713" t="s">
        <v>320</v>
      </c>
      <c r="C20" s="711" t="s">
        <v>275</v>
      </c>
      <c r="D20" s="632"/>
      <c r="E20" s="632"/>
      <c r="F20" s="632">
        <f t="array" ref="F20">SUM(IF("156"&amp;B20=KHN&amp;MH,SL))</f>
        <v>600</v>
      </c>
      <c r="G20" s="632">
        <f t="array" ref="G20">SUM(IF("156"&amp;B20=KHN&amp;MH,TH))</f>
        <v>6628800</v>
      </c>
      <c r="H20" s="632">
        <f t="array" ref="H20">SUM(IF("156"&amp;B20=KHC&amp;MH,SL))</f>
        <v>574</v>
      </c>
      <c r="I20" s="632">
        <f t="array" ref="I20">SUM(IF("156"&amp;B20=KHC&amp;MH,TH))</f>
        <v>6341552</v>
      </c>
      <c r="J20" s="632">
        <f t="shared" si="1"/>
        <v>26</v>
      </c>
      <c r="K20" s="632">
        <f t="shared" si="2"/>
        <v>287248</v>
      </c>
      <c r="L20" s="358"/>
    </row>
    <row r="21" spans="1:12" ht="21.75" customHeight="1">
      <c r="A21" s="709">
        <f t="shared" si="0"/>
        <v>10</v>
      </c>
      <c r="B21" s="714" t="s">
        <v>323</v>
      </c>
      <c r="C21" s="711" t="s">
        <v>275</v>
      </c>
      <c r="D21" s="632"/>
      <c r="E21" s="632"/>
      <c r="F21" s="632">
        <f t="array" ref="F21">SUM(IF("156"&amp;B21=KHN&amp;MH,SL))</f>
        <v>1000</v>
      </c>
      <c r="G21" s="632">
        <f t="array" ref="G21">SUM(IF("156"&amp;B21=KHN&amp;MH,TH))</f>
        <v>11622000</v>
      </c>
      <c r="H21" s="632">
        <f t="array" ref="H21">SUM(IF("156"&amp;B21=KHC&amp;MH,SL))</f>
        <v>1000</v>
      </c>
      <c r="I21" s="632">
        <f t="array" ref="I21">SUM(IF("156"&amp;B21=KHC&amp;MH,TH))</f>
        <v>11622000</v>
      </c>
      <c r="J21" s="632">
        <f t="shared" si="1"/>
        <v>0</v>
      </c>
      <c r="K21" s="632">
        <f t="shared" si="2"/>
        <v>0</v>
      </c>
      <c r="L21" s="358"/>
    </row>
    <row r="22" spans="1:12" ht="21.75" customHeight="1">
      <c r="A22" s="709">
        <f t="shared" si="0"/>
        <v>11</v>
      </c>
      <c r="B22" s="715" t="s">
        <v>377</v>
      </c>
      <c r="C22" s="711" t="s">
        <v>275</v>
      </c>
      <c r="D22" s="632"/>
      <c r="E22" s="632"/>
      <c r="F22" s="632">
        <f t="array" ref="F22">SUM(IF("156"&amp;B22=KHN&amp;MH,SL))</f>
        <v>800</v>
      </c>
      <c r="G22" s="632">
        <f t="array" ref="G22">SUM(IF("156"&amp;B22=KHN&amp;MH,TH))</f>
        <v>9354400</v>
      </c>
      <c r="H22" s="632">
        <f t="array" ref="H22">SUM(IF("156"&amp;B22=KHC&amp;MH,SL))</f>
        <v>800</v>
      </c>
      <c r="I22" s="632">
        <f t="array" ref="I22">SUM(IF("156"&amp;B22=KHC&amp;MH,TH))</f>
        <v>9354400</v>
      </c>
      <c r="J22" s="632">
        <f t="shared" si="1"/>
        <v>0</v>
      </c>
      <c r="K22" s="632">
        <f t="shared" si="2"/>
        <v>0</v>
      </c>
      <c r="L22" s="358"/>
    </row>
    <row r="23" spans="1:12" ht="21.75" customHeight="1">
      <c r="A23" s="709">
        <f t="shared" si="0"/>
        <v>12</v>
      </c>
      <c r="B23" s="716" t="s">
        <v>390</v>
      </c>
      <c r="C23" s="711" t="s">
        <v>275</v>
      </c>
      <c r="D23" s="632"/>
      <c r="E23" s="632"/>
      <c r="F23" s="632">
        <f t="array" ref="F23">SUM(IF("156"&amp;B23=KHN&amp;MH,SL))</f>
        <v>550</v>
      </c>
      <c r="G23" s="632">
        <f t="array" ref="G23">SUM(IF("156"&amp;B23=KHN&amp;MH,TH))</f>
        <v>6342600</v>
      </c>
      <c r="H23" s="632">
        <f t="array" ref="H23">SUM(IF("156"&amp;B23=KHC&amp;MH,SL))</f>
        <v>550</v>
      </c>
      <c r="I23" s="632">
        <f t="array" ref="I23">SUM(IF("156"&amp;B23=KHC&amp;MH,TH))</f>
        <v>6342600</v>
      </c>
      <c r="J23" s="632">
        <f t="shared" si="1"/>
        <v>0</v>
      </c>
      <c r="K23" s="632">
        <f t="shared" si="2"/>
        <v>0</v>
      </c>
      <c r="L23" s="358"/>
    </row>
    <row r="24" spans="1:12" ht="21.75" customHeight="1">
      <c r="A24" s="709">
        <f t="shared" si="0"/>
        <v>13</v>
      </c>
      <c r="B24" s="714" t="s">
        <v>350</v>
      </c>
      <c r="C24" s="711" t="s">
        <v>275</v>
      </c>
      <c r="D24" s="632"/>
      <c r="E24" s="632"/>
      <c r="F24" s="632">
        <f t="array" ref="F24">SUM(IF("156"&amp;B24=KHN&amp;MH,SL))</f>
        <v>500</v>
      </c>
      <c r="G24" s="632">
        <f t="array" ref="G24">SUM(IF("156"&amp;B24=KHN&amp;MH,TH))</f>
        <v>6510000</v>
      </c>
      <c r="H24" s="632">
        <f t="array" ref="H24">SUM(IF("156"&amp;B24=KHC&amp;MH,SL))</f>
        <v>500</v>
      </c>
      <c r="I24" s="632">
        <f t="array" ref="I24">SUM(IF("156"&amp;B24=KHC&amp;MH,TH))</f>
        <v>6510000</v>
      </c>
      <c r="J24" s="632">
        <f t="shared" si="1"/>
        <v>0</v>
      </c>
      <c r="K24" s="632">
        <f t="shared" si="2"/>
        <v>0</v>
      </c>
      <c r="L24" s="358"/>
    </row>
    <row r="25" spans="1:12" ht="21.75" customHeight="1">
      <c r="A25" s="709">
        <f t="shared" si="0"/>
        <v>14</v>
      </c>
      <c r="B25" s="714" t="s">
        <v>327</v>
      </c>
      <c r="C25" s="711" t="s">
        <v>275</v>
      </c>
      <c r="D25" s="632"/>
      <c r="E25" s="632"/>
      <c r="F25" s="632">
        <f t="array" ref="F25">SUM(IF("156"&amp;B25=KHN&amp;MH,SL))</f>
        <v>1260</v>
      </c>
      <c r="G25" s="632">
        <f t="array" ref="G25">SUM(IF("156"&amp;B25=KHN&amp;MH,TH))</f>
        <v>13677960</v>
      </c>
      <c r="H25" s="632">
        <f t="array" ref="H25">SUM(IF("156"&amp;B25=KHC&amp;MH,SL))</f>
        <v>1260</v>
      </c>
      <c r="I25" s="632">
        <f t="array" ref="I25">SUM(IF("156"&amp;B25=KHC&amp;MH,TH))</f>
        <v>13677960</v>
      </c>
      <c r="J25" s="632">
        <f t="shared" si="1"/>
        <v>0</v>
      </c>
      <c r="K25" s="632">
        <f t="shared" si="2"/>
        <v>0</v>
      </c>
      <c r="L25" s="358"/>
    </row>
    <row r="26" spans="1:12" ht="21.75" customHeight="1">
      <c r="A26" s="709">
        <f t="shared" si="0"/>
        <v>15</v>
      </c>
      <c r="B26" s="715" t="s">
        <v>356</v>
      </c>
      <c r="C26" s="711" t="s">
        <v>275</v>
      </c>
      <c r="D26" s="632"/>
      <c r="E26" s="632"/>
      <c r="F26" s="632">
        <f t="array" ref="F26">SUM(IF("156"&amp;B26=KHN&amp;MH,SL))</f>
        <v>1650</v>
      </c>
      <c r="G26" s="632">
        <f t="array" ref="G26">SUM(IF("156"&amp;B26=KHN&amp;MH,TH))</f>
        <v>14117400</v>
      </c>
      <c r="H26" s="632">
        <f t="array" ref="H26">SUM(IF("156"&amp;B26=KHC&amp;MH,SL))</f>
        <v>1650</v>
      </c>
      <c r="I26" s="632">
        <f t="array" ref="I26">SUM(IF("156"&amp;B26=KHC&amp;MH,TH))</f>
        <v>14117400</v>
      </c>
      <c r="J26" s="632">
        <f t="shared" si="1"/>
        <v>0</v>
      </c>
      <c r="K26" s="632">
        <f t="shared" si="2"/>
        <v>0</v>
      </c>
      <c r="L26" s="358"/>
    </row>
    <row r="27" spans="1:12" ht="21.75" customHeight="1">
      <c r="A27" s="709">
        <f t="shared" si="0"/>
        <v>16</v>
      </c>
      <c r="B27" s="714" t="s">
        <v>334</v>
      </c>
      <c r="C27" s="711" t="s">
        <v>275</v>
      </c>
      <c r="D27" s="632"/>
      <c r="E27" s="632"/>
      <c r="F27" s="632">
        <f t="array" ref="F27">SUM(IF("156"&amp;B27=KHN&amp;MH,SL))</f>
        <v>500</v>
      </c>
      <c r="G27" s="632">
        <f t="array" ref="G27">SUM(IF("156"&amp;B27=KHN&amp;MH,TH))</f>
        <v>5143000</v>
      </c>
      <c r="H27" s="632">
        <f t="array" ref="H27">SUM(IF("156"&amp;B27=KHC&amp;MH,SL))</f>
        <v>0</v>
      </c>
      <c r="I27" s="632">
        <f t="array" ref="I27">SUM(IF("156"&amp;B27=KHC&amp;MH,TH))</f>
        <v>0</v>
      </c>
      <c r="J27" s="632">
        <f t="shared" si="1"/>
        <v>500</v>
      </c>
      <c r="K27" s="632">
        <f t="shared" si="2"/>
        <v>5143000</v>
      </c>
      <c r="L27" s="358"/>
    </row>
    <row r="28" spans="1:12" ht="21.75" customHeight="1">
      <c r="A28" s="709">
        <f t="shared" si="0"/>
        <v>17</v>
      </c>
      <c r="B28" s="716" t="s">
        <v>381</v>
      </c>
      <c r="C28" s="711" t="s">
        <v>275</v>
      </c>
      <c r="D28" s="632"/>
      <c r="E28" s="632"/>
      <c r="F28" s="632">
        <f t="array" ref="F28">SUM(IF("156"&amp;B28=KHN&amp;MH,SL))</f>
        <v>502</v>
      </c>
      <c r="G28" s="632">
        <f t="array" ref="G28">SUM(IF("156"&amp;B28=KHN&amp;MH,TH))</f>
        <v>5615372</v>
      </c>
      <c r="H28" s="632">
        <f t="array" ref="H28">SUM(IF("156"&amp;B28=KHC&amp;MH,SL))</f>
        <v>502</v>
      </c>
      <c r="I28" s="632">
        <f t="array" ref="I28">SUM(IF("156"&amp;B28=KHC&amp;MH,TH))</f>
        <v>5615372</v>
      </c>
      <c r="J28" s="632">
        <f t="shared" si="1"/>
        <v>0</v>
      </c>
      <c r="K28" s="632">
        <f t="shared" si="2"/>
        <v>0</v>
      </c>
      <c r="L28" s="358"/>
    </row>
    <row r="29" spans="1:12" ht="21.75" customHeight="1">
      <c r="A29" s="709">
        <f t="shared" si="0"/>
        <v>18</v>
      </c>
      <c r="B29" s="715" t="s">
        <v>353</v>
      </c>
      <c r="C29" s="711" t="s">
        <v>275</v>
      </c>
      <c r="D29" s="632"/>
      <c r="E29" s="632"/>
      <c r="F29" s="632">
        <f t="array" ref="F29">SUM(IF("156"&amp;B29=KHN&amp;MH,SL))</f>
        <v>1500</v>
      </c>
      <c r="G29" s="632">
        <f t="array" ref="G29">SUM(IF("156"&amp;B29=KHN&amp;MH,TH))</f>
        <v>19125000</v>
      </c>
      <c r="H29" s="632">
        <f t="array" ref="H29">SUM(IF("156"&amp;B29=KHC&amp;MH,SL))</f>
        <v>1500</v>
      </c>
      <c r="I29" s="632">
        <f t="array" ref="I29">SUM(IF("156"&amp;B29=KHC&amp;MH,TH))</f>
        <v>19125000</v>
      </c>
      <c r="J29" s="632">
        <f t="shared" si="1"/>
        <v>0</v>
      </c>
      <c r="K29" s="632">
        <f t="shared" si="2"/>
        <v>0</v>
      </c>
      <c r="L29" s="358"/>
    </row>
    <row r="30" spans="1:12" ht="21.75" customHeight="1">
      <c r="A30" s="709">
        <f t="shared" si="0"/>
        <v>19</v>
      </c>
      <c r="B30" s="716" t="s">
        <v>391</v>
      </c>
      <c r="C30" s="711" t="s">
        <v>275</v>
      </c>
      <c r="D30" s="632"/>
      <c r="E30" s="632"/>
      <c r="F30" s="632">
        <f t="array" ref="F30">SUM(IF("156"&amp;B30=KHN&amp;MH,SL))</f>
        <v>500</v>
      </c>
      <c r="G30" s="632">
        <f t="array" ref="G30">SUM(IF("156"&amp;B30=KHN&amp;MH,TH))</f>
        <v>6097000</v>
      </c>
      <c r="H30" s="632">
        <f t="array" ref="H30">SUM(IF("156"&amp;B30=KHC&amp;MH,SL))</f>
        <v>500</v>
      </c>
      <c r="I30" s="632">
        <f t="array" ref="I30">SUM(IF("156"&amp;B30=KHC&amp;MH,TH))</f>
        <v>6097000</v>
      </c>
      <c r="J30" s="632">
        <f t="shared" si="1"/>
        <v>0</v>
      </c>
      <c r="K30" s="632">
        <f t="shared" si="2"/>
        <v>0</v>
      </c>
      <c r="L30" s="358"/>
    </row>
    <row r="31" spans="1:12" ht="21.75" customHeight="1">
      <c r="A31" s="709">
        <f t="shared" si="0"/>
        <v>20</v>
      </c>
      <c r="B31" s="715" t="s">
        <v>352</v>
      </c>
      <c r="C31" s="711" t="s">
        <v>275</v>
      </c>
      <c r="D31" s="632"/>
      <c r="E31" s="632"/>
      <c r="F31" s="632">
        <f t="array" ref="F31">SUM(IF("156"&amp;B31=KHN&amp;MH,SL))</f>
        <v>505</v>
      </c>
      <c r="G31" s="632">
        <f t="array" ref="G31">SUM(IF("156"&amp;B31=KHN&amp;MH,TH))</f>
        <v>6122620</v>
      </c>
      <c r="H31" s="632">
        <f t="array" ref="H31">SUM(IF("156"&amp;B31=KHC&amp;MH,SL))</f>
        <v>505</v>
      </c>
      <c r="I31" s="632">
        <f t="array" ref="I31">SUM(IF("156"&amp;B31=KHC&amp;MH,TH))</f>
        <v>6122620</v>
      </c>
      <c r="J31" s="632">
        <f t="shared" si="1"/>
        <v>0</v>
      </c>
      <c r="K31" s="632">
        <f t="shared" si="2"/>
        <v>0</v>
      </c>
      <c r="L31" s="358"/>
    </row>
    <row r="32" spans="1:12" ht="21.75" customHeight="1">
      <c r="A32" s="709">
        <f t="shared" si="0"/>
        <v>21</v>
      </c>
      <c r="B32" s="716" t="s">
        <v>378</v>
      </c>
      <c r="C32" s="711" t="s">
        <v>275</v>
      </c>
      <c r="D32" s="632"/>
      <c r="E32" s="632"/>
      <c r="F32" s="632">
        <f t="array" ref="F32">SUM(IF("156"&amp;B32=KHN&amp;MH,SL))</f>
        <v>320</v>
      </c>
      <c r="G32" s="632">
        <f t="array" ref="G32">SUM(IF("156"&amp;B32=KHN&amp;MH,TH))</f>
        <v>6115200</v>
      </c>
      <c r="H32" s="632">
        <f t="array" ref="H32">SUM(IF("156"&amp;B32=KHC&amp;MH,SL))</f>
        <v>320</v>
      </c>
      <c r="I32" s="632">
        <f t="array" ref="I32">SUM(IF("156"&amp;B32=KHC&amp;MH,TH))</f>
        <v>6115200</v>
      </c>
      <c r="J32" s="632">
        <f t="shared" si="1"/>
        <v>0</v>
      </c>
      <c r="K32" s="632">
        <f t="shared" si="2"/>
        <v>0</v>
      </c>
      <c r="L32" s="358"/>
    </row>
    <row r="33" spans="1:12" ht="21.75" customHeight="1">
      <c r="A33" s="709">
        <f t="shared" ref="A33:A57" si="3">IF(B33&lt;&gt;"",ROW()-11,"")</f>
        <v>22</v>
      </c>
      <c r="B33" s="715" t="s">
        <v>462</v>
      </c>
      <c r="C33" s="711" t="s">
        <v>275</v>
      </c>
      <c r="D33" s="632"/>
      <c r="E33" s="632"/>
      <c r="F33" s="632">
        <f t="array" ref="F33">SUM(IF("156"&amp;B33=KHN&amp;MH,SL))</f>
        <v>22750</v>
      </c>
      <c r="G33" s="632">
        <f t="array" ref="G33">SUM(IF("156"&amp;B33=KHN&amp;MH,TH))</f>
        <v>23117670</v>
      </c>
      <c r="H33" s="632">
        <f t="array" ref="H33">SUM(IF("156"&amp;B33=KHC&amp;MH,SL))</f>
        <v>22750</v>
      </c>
      <c r="I33" s="632">
        <f t="array" ref="I33">SUM(IF("156"&amp;B33=KHC&amp;MH,TH))</f>
        <v>23117670</v>
      </c>
      <c r="J33" s="632">
        <f t="shared" ref="J33:J57" si="4">D33+F33-H33</f>
        <v>0</v>
      </c>
      <c r="K33" s="632">
        <f t="shared" ref="K33:K57" si="5">E33+G33-I33</f>
        <v>0</v>
      </c>
      <c r="L33" s="358"/>
    </row>
    <row r="34" spans="1:12" ht="21.75" customHeight="1">
      <c r="A34" s="709">
        <f t="shared" si="3"/>
        <v>23</v>
      </c>
      <c r="B34" s="715" t="s">
        <v>511</v>
      </c>
      <c r="C34" s="711" t="s">
        <v>290</v>
      </c>
      <c r="D34" s="632"/>
      <c r="E34" s="632"/>
      <c r="F34" s="632">
        <f t="array" ref="F34">SUM(IF("156"&amp;B34=KHN&amp;MH,SL))</f>
        <v>60</v>
      </c>
      <c r="G34" s="632">
        <f t="array" ref="G34">SUM(IF("156"&amp;B34=KHN&amp;MH,TH))</f>
        <v>1182899</v>
      </c>
      <c r="H34" s="632">
        <f t="array" ref="H34">SUM(IF("156"&amp;B34=KHC&amp;MH,SL))</f>
        <v>60</v>
      </c>
      <c r="I34" s="632">
        <f t="array" ref="I34">SUM(IF("156"&amp;B34=KHC&amp;MH,TH))</f>
        <v>1182899</v>
      </c>
      <c r="J34" s="632">
        <f t="shared" si="4"/>
        <v>0</v>
      </c>
      <c r="K34" s="632">
        <f t="shared" si="5"/>
        <v>0</v>
      </c>
      <c r="L34" s="358"/>
    </row>
    <row r="35" spans="1:12" ht="21.75" customHeight="1">
      <c r="A35" s="709">
        <f t="shared" si="3"/>
        <v>24</v>
      </c>
      <c r="B35" s="715" t="s">
        <v>470</v>
      </c>
      <c r="C35" s="711" t="s">
        <v>290</v>
      </c>
      <c r="D35" s="632"/>
      <c r="E35" s="632"/>
      <c r="F35" s="632">
        <f t="array" ref="F35">SUM(IF("156"&amp;B35=KHN&amp;MH,SL))</f>
        <v>3303</v>
      </c>
      <c r="G35" s="632">
        <f t="array" ref="G35">SUM(IF("156"&amp;B35=KHN&amp;MH,TH))</f>
        <v>16035995</v>
      </c>
      <c r="H35" s="632">
        <f t="array" ref="H35">SUM(IF("156"&amp;B35=KHC&amp;MH,SL))</f>
        <v>3303</v>
      </c>
      <c r="I35" s="632">
        <f t="array" ref="I35">SUM(IF("156"&amp;B35=KHC&amp;MH,TH))</f>
        <v>16035995</v>
      </c>
      <c r="J35" s="632">
        <f t="shared" si="4"/>
        <v>0</v>
      </c>
      <c r="K35" s="632">
        <f t="shared" si="5"/>
        <v>0</v>
      </c>
      <c r="L35" s="358"/>
    </row>
    <row r="36" spans="1:12" ht="21.75" customHeight="1">
      <c r="A36" s="709">
        <f t="shared" si="3"/>
        <v>25</v>
      </c>
      <c r="B36" s="716" t="s">
        <v>494</v>
      </c>
      <c r="C36" s="711" t="s">
        <v>290</v>
      </c>
      <c r="D36" s="632"/>
      <c r="E36" s="632"/>
      <c r="F36" s="632">
        <f t="array" ref="F36">SUM(IF("156"&amp;B36=KHN&amp;MH,SL))</f>
        <v>800</v>
      </c>
      <c r="G36" s="632">
        <f t="array" ref="G36">SUM(IF("156"&amp;B36=KHN&amp;MH,TH))</f>
        <v>5096783</v>
      </c>
      <c r="H36" s="632">
        <f t="array" ref="H36">SUM(IF("156"&amp;B36=KHC&amp;MH,SL))</f>
        <v>800</v>
      </c>
      <c r="I36" s="632">
        <f t="array" ref="I36">SUM(IF("156"&amp;B36=KHC&amp;MH,TH))</f>
        <v>5096783</v>
      </c>
      <c r="J36" s="632">
        <f t="shared" si="4"/>
        <v>0</v>
      </c>
      <c r="K36" s="632">
        <f t="shared" si="5"/>
        <v>0</v>
      </c>
      <c r="L36" s="358"/>
    </row>
    <row r="37" spans="1:12" ht="21.75" customHeight="1">
      <c r="A37" s="709">
        <f t="shared" si="3"/>
        <v>26</v>
      </c>
      <c r="B37" s="715" t="s">
        <v>506</v>
      </c>
      <c r="C37" s="711" t="s">
        <v>290</v>
      </c>
      <c r="D37" s="632"/>
      <c r="E37" s="632"/>
      <c r="F37" s="632">
        <f t="array" ref="F37">SUM(IF("156"&amp;B37=KHN&amp;MH,SL))</f>
        <v>100</v>
      </c>
      <c r="G37" s="632">
        <f t="array" ref="G37">SUM(IF("156"&amp;B37=KHN&amp;MH,TH))</f>
        <v>1362498</v>
      </c>
      <c r="H37" s="632">
        <f t="array" ref="H37">SUM(IF("156"&amp;B37=KHC&amp;MH,SL))</f>
        <v>100</v>
      </c>
      <c r="I37" s="632">
        <f t="array" ref="I37">SUM(IF("156"&amp;B37=KHC&amp;MH,TH))</f>
        <v>1362498</v>
      </c>
      <c r="J37" s="632">
        <f t="shared" si="4"/>
        <v>0</v>
      </c>
      <c r="K37" s="632">
        <f t="shared" si="5"/>
        <v>0</v>
      </c>
      <c r="L37" s="358"/>
    </row>
    <row r="38" spans="1:12" ht="21.75" customHeight="1">
      <c r="A38" s="709">
        <f t="shared" si="3"/>
        <v>27</v>
      </c>
      <c r="B38" s="715" t="s">
        <v>509</v>
      </c>
      <c r="C38" s="711" t="s">
        <v>290</v>
      </c>
      <c r="D38" s="632"/>
      <c r="E38" s="632"/>
      <c r="F38" s="632">
        <f t="array" ref="F38">SUM(IF("156"&amp;B38=KHN&amp;MH,SL))</f>
        <v>40</v>
      </c>
      <c r="G38" s="632">
        <f t="array" ref="G38">SUM(IF("156"&amp;B38=KHN&amp;MH,TH))</f>
        <v>544999</v>
      </c>
      <c r="H38" s="632">
        <f t="array" ref="H38">SUM(IF("156"&amp;B38=KHC&amp;MH,SL))</f>
        <v>40</v>
      </c>
      <c r="I38" s="632">
        <f t="array" ref="I38">SUM(IF("156"&amp;B38=KHC&amp;MH,TH))</f>
        <v>544999</v>
      </c>
      <c r="J38" s="632">
        <f t="shared" si="4"/>
        <v>0</v>
      </c>
      <c r="K38" s="632">
        <f t="shared" si="5"/>
        <v>0</v>
      </c>
      <c r="L38" s="358"/>
    </row>
    <row r="39" spans="1:12" ht="21.75" customHeight="1">
      <c r="A39" s="709">
        <f t="shared" si="3"/>
        <v>28</v>
      </c>
      <c r="B39" s="715" t="s">
        <v>507</v>
      </c>
      <c r="C39" s="711" t="s">
        <v>290</v>
      </c>
      <c r="D39" s="632"/>
      <c r="E39" s="632"/>
      <c r="F39" s="632">
        <f t="array" ref="F39">SUM(IF("156"&amp;B39=KHN&amp;MH,SL))</f>
        <v>180</v>
      </c>
      <c r="G39" s="632">
        <f t="array" ref="G39">SUM(IF("156"&amp;B39=KHN&amp;MH,TH))</f>
        <v>2452496</v>
      </c>
      <c r="H39" s="632">
        <f t="array" ref="H39">SUM(IF("156"&amp;B39=KHC&amp;MH,SL))</f>
        <v>180</v>
      </c>
      <c r="I39" s="632">
        <f t="array" ref="I39">SUM(IF("156"&amp;B39=KHC&amp;MH,TH))</f>
        <v>2452496</v>
      </c>
      <c r="J39" s="632">
        <f t="shared" si="4"/>
        <v>0</v>
      </c>
      <c r="K39" s="632">
        <f t="shared" si="5"/>
        <v>0</v>
      </c>
      <c r="L39" s="358"/>
    </row>
    <row r="40" spans="1:12" ht="21.75" customHeight="1">
      <c r="A40" s="709">
        <f t="shared" si="3"/>
        <v>29</v>
      </c>
      <c r="B40" s="716" t="s">
        <v>504</v>
      </c>
      <c r="C40" s="711" t="s">
        <v>290</v>
      </c>
      <c r="D40" s="632"/>
      <c r="E40" s="632"/>
      <c r="F40" s="632">
        <f t="array" ref="F40">SUM(IF("156"&amp;B40=KHN&amp;MH,SL))</f>
        <v>180</v>
      </c>
      <c r="G40" s="632">
        <f t="array" ref="G40">SUM(IF("156"&amp;B40=KHN&amp;MH,TH))</f>
        <v>2452496</v>
      </c>
      <c r="H40" s="632">
        <f t="array" ref="H40">SUM(IF("156"&amp;B40=KHC&amp;MH,SL))</f>
        <v>180</v>
      </c>
      <c r="I40" s="632">
        <f t="array" ref="I40">SUM(IF("156"&amp;B40=KHC&amp;MH,TH))</f>
        <v>2452496</v>
      </c>
      <c r="J40" s="632">
        <f t="shared" si="4"/>
        <v>0</v>
      </c>
      <c r="K40" s="632">
        <f t="shared" si="5"/>
        <v>0</v>
      </c>
      <c r="L40" s="358"/>
    </row>
    <row r="41" spans="1:12" ht="21.75" customHeight="1">
      <c r="A41" s="709">
        <f t="shared" si="3"/>
        <v>30</v>
      </c>
      <c r="B41" s="716" t="s">
        <v>468</v>
      </c>
      <c r="C41" s="711" t="s">
        <v>290</v>
      </c>
      <c r="D41" s="632"/>
      <c r="E41" s="632"/>
      <c r="F41" s="632">
        <f t="array" ref="F41">SUM(IF("156"&amp;B41=KHN&amp;MH,SL))</f>
        <v>1010</v>
      </c>
      <c r="G41" s="632">
        <f t="array" ref="G41">SUM(IF("156"&amp;B41=KHN&amp;MH,TH))</f>
        <v>6733649</v>
      </c>
      <c r="H41" s="632">
        <f t="array" ref="H41">SUM(IF("156"&amp;B41=KHC&amp;MH,SL))</f>
        <v>1010</v>
      </c>
      <c r="I41" s="632">
        <f t="array" ref="I41">SUM(IF("156"&amp;B41=KHC&amp;MH,TH))</f>
        <v>6733649</v>
      </c>
      <c r="J41" s="632">
        <f t="shared" si="4"/>
        <v>0</v>
      </c>
      <c r="K41" s="632">
        <f t="shared" si="5"/>
        <v>0</v>
      </c>
      <c r="L41" s="358"/>
    </row>
    <row r="42" spans="1:12" ht="21.75" customHeight="1">
      <c r="A42" s="709">
        <f t="shared" si="3"/>
        <v>31</v>
      </c>
      <c r="B42" s="716" t="s">
        <v>466</v>
      </c>
      <c r="C42" s="711" t="s">
        <v>290</v>
      </c>
      <c r="D42" s="632"/>
      <c r="E42" s="632"/>
      <c r="F42" s="632">
        <f t="array" ref="F42">SUM(IF("156"&amp;B42=KHN&amp;MH,SL))</f>
        <v>3104</v>
      </c>
      <c r="G42" s="632">
        <f t="array" ref="G42">SUM(IF("156"&amp;B42=KHN&amp;MH,TH))</f>
        <v>18456936</v>
      </c>
      <c r="H42" s="632">
        <f t="array" ref="H42">SUM(IF("156"&amp;B42=KHC&amp;MH,SL))</f>
        <v>3104</v>
      </c>
      <c r="I42" s="632">
        <f t="array" ref="I42">SUM(IF("156"&amp;B42=KHC&amp;MH,TH))</f>
        <v>18456936</v>
      </c>
      <c r="J42" s="632">
        <f t="shared" si="4"/>
        <v>0</v>
      </c>
      <c r="K42" s="632">
        <f t="shared" si="5"/>
        <v>0</v>
      </c>
      <c r="L42" s="358"/>
    </row>
    <row r="43" spans="1:12" ht="21.75" customHeight="1">
      <c r="A43" s="709">
        <f t="shared" si="3"/>
        <v>32</v>
      </c>
      <c r="B43" s="715" t="s">
        <v>474</v>
      </c>
      <c r="C43" s="711" t="s">
        <v>290</v>
      </c>
      <c r="D43" s="632"/>
      <c r="E43" s="632"/>
      <c r="F43" s="632">
        <f t="array" ref="F43">SUM(IF("156"&amp;B43=KHN&amp;MH,SL))</f>
        <v>2820</v>
      </c>
      <c r="G43" s="632">
        <f t="array" ref="G43">SUM(IF("156"&amp;B43=KHN&amp;MH,TH))</f>
        <v>17113800</v>
      </c>
      <c r="H43" s="632">
        <f t="array" ref="H43">SUM(IF("156"&amp;B43=KHC&amp;MH,SL))</f>
        <v>2820</v>
      </c>
      <c r="I43" s="632">
        <f t="array" ref="I43">SUM(IF("156"&amp;B43=KHC&amp;MH,TH))</f>
        <v>17113800</v>
      </c>
      <c r="J43" s="632">
        <f t="shared" si="4"/>
        <v>0</v>
      </c>
      <c r="K43" s="632">
        <f t="shared" si="5"/>
        <v>0</v>
      </c>
      <c r="L43" s="358"/>
    </row>
    <row r="44" spans="1:12" ht="21.75" customHeight="1">
      <c r="A44" s="709">
        <f t="shared" si="3"/>
        <v>33</v>
      </c>
      <c r="B44" s="716" t="s">
        <v>472</v>
      </c>
      <c r="C44" s="711" t="s">
        <v>290</v>
      </c>
      <c r="D44" s="632"/>
      <c r="E44" s="632"/>
      <c r="F44" s="632">
        <f t="array" ref="F44">SUM(IF("156"&amp;B44=KHN&amp;MH,SL))</f>
        <v>4665</v>
      </c>
      <c r="G44" s="632">
        <f t="array" ref="G44">SUM(IF("156"&amp;B44=KHN&amp;MH,TH))</f>
        <v>27001979</v>
      </c>
      <c r="H44" s="632">
        <f t="array" ref="H44">SUM(IF("156"&amp;B44=KHC&amp;MH,SL))</f>
        <v>4665</v>
      </c>
      <c r="I44" s="632">
        <f t="array" ref="I44">SUM(IF("156"&amp;B44=KHC&amp;MH,TH))</f>
        <v>27001979</v>
      </c>
      <c r="J44" s="632">
        <f t="shared" si="4"/>
        <v>0</v>
      </c>
      <c r="K44" s="632">
        <f t="shared" si="5"/>
        <v>0</v>
      </c>
      <c r="L44" s="358"/>
    </row>
    <row r="45" spans="1:12" ht="21.75" customHeight="1">
      <c r="A45" s="709">
        <f t="shared" si="3"/>
        <v>34</v>
      </c>
      <c r="B45" s="715" t="s">
        <v>464</v>
      </c>
      <c r="C45" s="711" t="s">
        <v>290</v>
      </c>
      <c r="D45" s="632"/>
      <c r="E45" s="632"/>
      <c r="F45" s="632">
        <f t="array" ref="F45">SUM(IF("156"&amp;B45=KHN&amp;MH,SL))</f>
        <v>1147</v>
      </c>
      <c r="G45" s="632">
        <f t="array" ref="G45">SUM(IF("156"&amp;B45=KHN&amp;MH,TH))</f>
        <v>7035463</v>
      </c>
      <c r="H45" s="632">
        <f t="array" ref="H45">SUM(IF("156"&amp;B45=KHC&amp;MH,SL))</f>
        <v>1147</v>
      </c>
      <c r="I45" s="632">
        <f t="array" ref="I45">SUM(IF("156"&amp;B45=KHC&amp;MH,TH))</f>
        <v>7035463</v>
      </c>
      <c r="J45" s="632">
        <f t="shared" si="4"/>
        <v>0</v>
      </c>
      <c r="K45" s="632">
        <f t="shared" si="5"/>
        <v>0</v>
      </c>
      <c r="L45" s="358"/>
    </row>
    <row r="46" spans="1:12" ht="21.75" customHeight="1">
      <c r="A46" s="709">
        <f t="shared" si="3"/>
        <v>35</v>
      </c>
      <c r="B46" s="716" t="s">
        <v>469</v>
      </c>
      <c r="C46" s="711" t="s">
        <v>290</v>
      </c>
      <c r="D46" s="632"/>
      <c r="E46" s="632"/>
      <c r="F46" s="632">
        <f t="array" ref="F46">SUM(IF("156"&amp;B46=KHN&amp;MH,SL))</f>
        <v>3175</v>
      </c>
      <c r="G46" s="632">
        <f t="array" ref="G46">SUM(IF("156"&amp;B46=KHN&amp;MH,TH))</f>
        <v>18254976</v>
      </c>
      <c r="H46" s="632">
        <f t="array" ref="H46">SUM(IF("156"&amp;B46=KHC&amp;MH,SL))</f>
        <v>3175</v>
      </c>
      <c r="I46" s="632">
        <f t="array" ref="I46">SUM(IF("156"&amp;B46=KHC&amp;MH,TH))</f>
        <v>18254976</v>
      </c>
      <c r="J46" s="632">
        <f t="shared" si="4"/>
        <v>0</v>
      </c>
      <c r="K46" s="632">
        <f t="shared" si="5"/>
        <v>0</v>
      </c>
      <c r="L46" s="358"/>
    </row>
    <row r="47" spans="1:12" ht="21.75" customHeight="1">
      <c r="A47" s="709">
        <f t="shared" si="3"/>
        <v>36</v>
      </c>
      <c r="B47" s="715" t="s">
        <v>482</v>
      </c>
      <c r="C47" s="711" t="s">
        <v>290</v>
      </c>
      <c r="D47" s="632"/>
      <c r="E47" s="632"/>
      <c r="F47" s="632">
        <f t="array" ref="F47">SUM(IF("156"&amp;B47=KHN&amp;MH,SL))</f>
        <v>1000</v>
      </c>
      <c r="G47" s="632">
        <f t="array" ref="G47">SUM(IF("156"&amp;B47=KHN&amp;MH,TH))</f>
        <v>6701979</v>
      </c>
      <c r="H47" s="632">
        <f t="array" ref="H47">SUM(IF("156"&amp;B47=KHC&amp;MH,SL))</f>
        <v>1000</v>
      </c>
      <c r="I47" s="632">
        <f t="array" ref="I47">SUM(IF("156"&amp;B47=KHC&amp;MH,TH))</f>
        <v>6701979</v>
      </c>
      <c r="J47" s="632">
        <f t="shared" si="4"/>
        <v>0</v>
      </c>
      <c r="K47" s="632">
        <f t="shared" si="5"/>
        <v>0</v>
      </c>
      <c r="L47" s="358"/>
    </row>
    <row r="48" spans="1:12" ht="21.75" customHeight="1">
      <c r="A48" s="709">
        <f t="shared" si="3"/>
        <v>37</v>
      </c>
      <c r="B48" s="716" t="s">
        <v>480</v>
      </c>
      <c r="C48" s="711" t="s">
        <v>290</v>
      </c>
      <c r="D48" s="632"/>
      <c r="E48" s="632"/>
      <c r="F48" s="632">
        <f t="array" ref="F48">SUM(IF("156"&amp;B48=KHN&amp;MH,SL))</f>
        <v>1000</v>
      </c>
      <c r="G48" s="632">
        <f t="array" ref="G48">SUM(IF("156"&amp;B48=KHN&amp;MH,TH))</f>
        <v>12923979</v>
      </c>
      <c r="H48" s="632">
        <f t="array" ref="H48">SUM(IF("156"&amp;B48=KHC&amp;MH,SL))</f>
        <v>1000</v>
      </c>
      <c r="I48" s="632">
        <f t="array" ref="I48">SUM(IF("156"&amp;B48=KHC&amp;MH,TH))</f>
        <v>12923979</v>
      </c>
      <c r="J48" s="632">
        <f t="shared" si="4"/>
        <v>0</v>
      </c>
      <c r="K48" s="632">
        <f t="shared" si="5"/>
        <v>0</v>
      </c>
      <c r="L48" s="358"/>
    </row>
    <row r="49" spans="1:12" ht="21.75" customHeight="1">
      <c r="A49" s="709">
        <f t="shared" si="3"/>
        <v>38</v>
      </c>
      <c r="B49" s="716" t="s">
        <v>500</v>
      </c>
      <c r="C49" s="711" t="s">
        <v>290</v>
      </c>
      <c r="D49" s="632"/>
      <c r="E49" s="632"/>
      <c r="F49" s="632">
        <f t="array" ref="F49">SUM(IF("156"&amp;B49=KHN&amp;MH,SL))</f>
        <v>1000</v>
      </c>
      <c r="G49" s="632">
        <f t="array" ref="G49">SUM(IF("156"&amp;B49=KHN&amp;MH,TH))</f>
        <v>6220351</v>
      </c>
      <c r="H49" s="632">
        <f t="array" ref="H49">SUM(IF("156"&amp;B49=KHC&amp;MH,SL))</f>
        <v>1000</v>
      </c>
      <c r="I49" s="632">
        <f t="array" ref="I49">SUM(IF("156"&amp;B49=KHC&amp;MH,TH))</f>
        <v>6220351</v>
      </c>
      <c r="J49" s="632">
        <f t="shared" si="4"/>
        <v>0</v>
      </c>
      <c r="K49" s="632">
        <f t="shared" si="5"/>
        <v>0</v>
      </c>
      <c r="L49" s="358"/>
    </row>
    <row r="50" spans="1:12" ht="21.75" customHeight="1">
      <c r="A50" s="709">
        <f t="shared" si="3"/>
        <v>39</v>
      </c>
      <c r="B50" s="716" t="s">
        <v>497</v>
      </c>
      <c r="C50" s="711" t="s">
        <v>290</v>
      </c>
      <c r="D50" s="632"/>
      <c r="E50" s="632"/>
      <c r="F50" s="632">
        <f t="array" ref="F50">SUM(IF("156"&amp;B50=KHN&amp;MH,SL))</f>
        <v>300</v>
      </c>
      <c r="G50" s="632">
        <f t="array" ref="G50">SUM(IF("156"&amp;B50=KHN&amp;MH,TH))</f>
        <v>1715994</v>
      </c>
      <c r="H50" s="632">
        <f t="array" ref="H50">SUM(IF("156"&amp;B50=KHC&amp;MH,SL))</f>
        <v>300</v>
      </c>
      <c r="I50" s="632">
        <f t="array" ref="I50">SUM(IF("156"&amp;B50=KHC&amp;MH,TH))</f>
        <v>1715994</v>
      </c>
      <c r="J50" s="632">
        <f t="shared" si="4"/>
        <v>0</v>
      </c>
      <c r="K50" s="632">
        <f t="shared" si="5"/>
        <v>0</v>
      </c>
      <c r="L50" s="358"/>
    </row>
    <row r="51" spans="1:12" ht="21.75" customHeight="1">
      <c r="A51" s="709">
        <f t="shared" si="3"/>
        <v>40</v>
      </c>
      <c r="B51" s="717" t="s">
        <v>484</v>
      </c>
      <c r="C51" s="711" t="s">
        <v>290</v>
      </c>
      <c r="D51" s="632"/>
      <c r="E51" s="632"/>
      <c r="F51" s="632">
        <f t="array" ref="F51">SUM(IF("156"&amp;B51=KHN&amp;MH,SL))</f>
        <v>550</v>
      </c>
      <c r="G51" s="632">
        <f t="array" ref="G51">SUM(IF("156"&amp;B51=KHN&amp;MH,TH))</f>
        <v>2685638</v>
      </c>
      <c r="H51" s="632">
        <f t="array" ref="H51">SUM(IF("156"&amp;B51=KHC&amp;MH,SL))</f>
        <v>550</v>
      </c>
      <c r="I51" s="632">
        <f t="array" ref="I51">SUM(IF("156"&amp;B51=KHC&amp;MH,TH))</f>
        <v>2685638</v>
      </c>
      <c r="J51" s="632">
        <f t="shared" si="4"/>
        <v>0</v>
      </c>
      <c r="K51" s="632">
        <f t="shared" si="5"/>
        <v>0</v>
      </c>
      <c r="L51" s="358"/>
    </row>
    <row r="52" spans="1:12" ht="21.75" customHeight="1">
      <c r="A52" s="709">
        <f t="shared" si="3"/>
        <v>41</v>
      </c>
      <c r="B52" s="715" t="s">
        <v>459</v>
      </c>
      <c r="C52" s="711" t="s">
        <v>290</v>
      </c>
      <c r="D52" s="632"/>
      <c r="E52" s="632"/>
      <c r="F52" s="632">
        <f t="array" ref="F52">SUM(IF("156"&amp;B52=KHN&amp;MH,SL))</f>
        <v>2250</v>
      </c>
      <c r="G52" s="632">
        <f t="array" ref="G52">SUM(IF("156"&amp;B52=KHN&amp;MH,TH))</f>
        <v>10986702</v>
      </c>
      <c r="H52" s="632">
        <f t="array" ref="H52">SUM(IF("156"&amp;B52=KHC&amp;MH,SL))</f>
        <v>2250</v>
      </c>
      <c r="I52" s="632">
        <f t="array" ref="I52">SUM(IF("156"&amp;B52=KHC&amp;MH,TH))</f>
        <v>10986702</v>
      </c>
      <c r="J52" s="632">
        <f t="shared" si="4"/>
        <v>0</v>
      </c>
      <c r="K52" s="632">
        <f t="shared" si="5"/>
        <v>0</v>
      </c>
      <c r="L52" s="358"/>
    </row>
    <row r="53" spans="1:12" ht="21.75" customHeight="1">
      <c r="A53" s="709">
        <f t="shared" si="3"/>
        <v>42</v>
      </c>
      <c r="B53" s="715" t="s">
        <v>499</v>
      </c>
      <c r="C53" s="711" t="s">
        <v>290</v>
      </c>
      <c r="D53" s="632"/>
      <c r="E53" s="632"/>
      <c r="F53" s="632">
        <f t="array" ref="F53">SUM(IF("156"&amp;B53=KHN&amp;MH,SL))</f>
        <v>500</v>
      </c>
      <c r="G53" s="632">
        <f t="array" ref="G53">SUM(IF("156"&amp;B53=KHN&amp;MH,TH))</f>
        <v>2441489</v>
      </c>
      <c r="H53" s="632">
        <f t="array" ref="H53">SUM(IF("156"&amp;B53=KHC&amp;MH,SL))</f>
        <v>500</v>
      </c>
      <c r="I53" s="632">
        <f t="array" ref="I53">SUM(IF("156"&amp;B53=KHC&amp;MH,TH))</f>
        <v>2441489</v>
      </c>
      <c r="J53" s="632">
        <f t="shared" si="4"/>
        <v>0</v>
      </c>
      <c r="K53" s="632">
        <f t="shared" si="5"/>
        <v>0</v>
      </c>
      <c r="L53" s="358"/>
    </row>
    <row r="54" spans="1:12" ht="21.75" customHeight="1">
      <c r="A54" s="709">
        <f t="shared" si="3"/>
        <v>43</v>
      </c>
      <c r="B54" s="715" t="s">
        <v>475</v>
      </c>
      <c r="C54" s="711" t="s">
        <v>290</v>
      </c>
      <c r="D54" s="632"/>
      <c r="E54" s="632"/>
      <c r="F54" s="632">
        <f t="array" ref="F54">SUM(IF("156"&amp;B54=KHN&amp;MH,SL))</f>
        <v>2000</v>
      </c>
      <c r="G54" s="632">
        <f t="array" ref="G54">SUM(IF("156"&amp;B54=KHN&amp;MH,TH))</f>
        <v>12831958</v>
      </c>
      <c r="H54" s="632">
        <f t="array" ref="H54">SUM(IF("156"&amp;B54=KHC&amp;MH,SL))</f>
        <v>2000</v>
      </c>
      <c r="I54" s="632">
        <f t="array" ref="I54">SUM(IF("156"&amp;B54=KHC&amp;MH,TH))</f>
        <v>12831958</v>
      </c>
      <c r="J54" s="632">
        <f t="shared" si="4"/>
        <v>0</v>
      </c>
      <c r="K54" s="632">
        <f t="shared" si="5"/>
        <v>0</v>
      </c>
      <c r="L54" s="358"/>
    </row>
    <row r="55" spans="1:12" ht="21.75" customHeight="1">
      <c r="A55" s="709">
        <f t="shared" si="3"/>
        <v>44</v>
      </c>
      <c r="B55" s="716" t="s">
        <v>498</v>
      </c>
      <c r="C55" s="711" t="s">
        <v>290</v>
      </c>
      <c r="D55" s="632"/>
      <c r="E55" s="632"/>
      <c r="F55" s="632">
        <f t="array" ref="F55">SUM(IF("156"&amp;B55=KHN&amp;MH,SL))</f>
        <v>350</v>
      </c>
      <c r="G55" s="632">
        <f t="array" ref="G55">SUM(IF("156"&amp;B55=KHN&amp;MH,TH))</f>
        <v>2057293</v>
      </c>
      <c r="H55" s="632">
        <f t="array" ref="H55">SUM(IF("156"&amp;B55=KHC&amp;MH,SL))</f>
        <v>350</v>
      </c>
      <c r="I55" s="632">
        <f t="array" ref="I55">SUM(IF("156"&amp;B55=KHC&amp;MH,TH))</f>
        <v>2057293</v>
      </c>
      <c r="J55" s="632">
        <f t="shared" si="4"/>
        <v>0</v>
      </c>
      <c r="K55" s="632">
        <f t="shared" si="5"/>
        <v>0</v>
      </c>
      <c r="L55" s="358"/>
    </row>
    <row r="56" spans="1:12" ht="21.75" customHeight="1">
      <c r="A56" s="709">
        <f t="shared" si="3"/>
        <v>45</v>
      </c>
      <c r="B56" s="717" t="s">
        <v>508</v>
      </c>
      <c r="C56" s="711" t="s">
        <v>290</v>
      </c>
      <c r="D56" s="632"/>
      <c r="E56" s="632"/>
      <c r="F56" s="632">
        <f t="array" ref="F56">SUM(IF("156"&amp;B56=KHN&amp;MH,SL))</f>
        <v>260</v>
      </c>
      <c r="G56" s="632">
        <f t="array" ref="G56">SUM(IF("156"&amp;B56=KHN&amp;MH,TH))</f>
        <v>5125895</v>
      </c>
      <c r="H56" s="632">
        <f t="array" ref="H56">SUM(IF("156"&amp;B56=KHC&amp;MH,SL))</f>
        <v>260</v>
      </c>
      <c r="I56" s="632">
        <f t="array" ref="I56">SUM(IF("156"&amp;B56=KHC&amp;MH,TH))</f>
        <v>5125895</v>
      </c>
      <c r="J56" s="632">
        <f t="shared" si="4"/>
        <v>0</v>
      </c>
      <c r="K56" s="632">
        <f t="shared" si="5"/>
        <v>0</v>
      </c>
      <c r="L56" s="358"/>
    </row>
    <row r="57" spans="1:12" ht="21.75" customHeight="1">
      <c r="A57" s="709">
        <f t="shared" si="3"/>
        <v>46</v>
      </c>
      <c r="B57" s="715" t="s">
        <v>487</v>
      </c>
      <c r="C57" s="711" t="s">
        <v>290</v>
      </c>
      <c r="D57" s="632"/>
      <c r="E57" s="632"/>
      <c r="F57" s="632">
        <f t="array" ref="F57">SUM(IF("156"&amp;B57=KHN&amp;MH,SL))</f>
        <v>500</v>
      </c>
      <c r="G57" s="632">
        <f t="array" ref="G57">SUM(IF("156"&amp;B57=KHN&amp;MH,TH))</f>
        <v>5445489</v>
      </c>
      <c r="H57" s="632">
        <f t="array" ref="H57">SUM(IF("156"&amp;B57=KHC&amp;MH,SL))</f>
        <v>500</v>
      </c>
      <c r="I57" s="632">
        <f t="array" ref="I57">SUM(IF("156"&amp;B57=KHC&amp;MH,TH))</f>
        <v>5445489</v>
      </c>
      <c r="J57" s="632">
        <f t="shared" si="4"/>
        <v>0</v>
      </c>
      <c r="K57" s="632">
        <f t="shared" si="5"/>
        <v>0</v>
      </c>
      <c r="L57" s="358"/>
    </row>
    <row r="58" spans="1:12" ht="21.75" customHeight="1">
      <c r="A58" s="709" t="str">
        <f t="shared" ref="A58" si="6">IF(B58&lt;&gt;"",ROW()-11,"")</f>
        <v/>
      </c>
      <c r="B58" s="713"/>
      <c r="C58" s="711"/>
      <c r="D58" s="632"/>
      <c r="E58" s="632"/>
      <c r="F58" s="632"/>
      <c r="G58" s="632"/>
      <c r="H58" s="632"/>
      <c r="I58" s="632"/>
      <c r="J58" s="632"/>
      <c r="K58" s="632"/>
      <c r="L58" s="358"/>
    </row>
    <row r="59" spans="1:12" ht="21.75" customHeight="1">
      <c r="A59" s="708"/>
      <c r="B59" s="718" t="s">
        <v>260</v>
      </c>
      <c r="C59" s="708"/>
      <c r="D59" s="617">
        <f t="shared" ref="D59:K59" si="7">SUM(D12:D58)</f>
        <v>0</v>
      </c>
      <c r="E59" s="617">
        <f t="shared" si="7"/>
        <v>0</v>
      </c>
      <c r="F59" s="617">
        <f t="shared" si="7"/>
        <v>70456</v>
      </c>
      <c r="G59" s="617">
        <f t="shared" si="7"/>
        <v>408736108</v>
      </c>
      <c r="H59" s="617">
        <f t="shared" si="7"/>
        <v>69613</v>
      </c>
      <c r="I59" s="617">
        <f t="shared" si="7"/>
        <v>399868312</v>
      </c>
      <c r="J59" s="617">
        <f t="shared" si="7"/>
        <v>843</v>
      </c>
      <c r="K59" s="617">
        <f t="shared" si="7"/>
        <v>8867796</v>
      </c>
      <c r="L59" s="358"/>
    </row>
    <row r="60" spans="1:12" ht="19.5" hidden="1" customHeight="1">
      <c r="A60" s="719"/>
      <c r="B60" s="720"/>
      <c r="C60" s="719"/>
      <c r="D60" s="721"/>
      <c r="E60" s="721">
        <f>E59-CDPS!D20</f>
        <v>0</v>
      </c>
      <c r="F60" s="721"/>
      <c r="G60" s="721">
        <f>G59-CDPS!E20</f>
        <v>0</v>
      </c>
      <c r="H60" s="721"/>
      <c r="I60" s="721">
        <f>I59-CDPS!F20</f>
        <v>0</v>
      </c>
      <c r="J60" s="721"/>
      <c r="K60" s="721">
        <f>K59-CDPS!G20</f>
        <v>0</v>
      </c>
      <c r="L60" s="358"/>
    </row>
    <row r="61" spans="1:12" ht="18.75" customHeight="1"/>
    <row r="62" spans="1:12" ht="19.5" customHeight="1"/>
    <row r="63" spans="1:12" ht="19.5" customHeight="1">
      <c r="B63" s="854"/>
      <c r="C63" s="854"/>
      <c r="D63" s="854"/>
      <c r="E63" s="154"/>
      <c r="F63" s="154"/>
      <c r="G63" s="154"/>
      <c r="H63" s="154"/>
      <c r="I63" s="854" t="str">
        <f>"Ngày 31 tháng  12  năm  "&amp;YEAR(TH!$C$10)</f>
        <v>Ngày 31 tháng  12  năm  2012</v>
      </c>
      <c r="J63" s="854"/>
      <c r="K63" s="854"/>
    </row>
    <row r="64" spans="1:12" ht="19.5" customHeight="1">
      <c r="B64" s="283"/>
      <c r="C64" s="283"/>
      <c r="D64" s="283"/>
      <c r="E64" s="854"/>
      <c r="F64" s="854"/>
      <c r="G64" s="854"/>
      <c r="H64" s="154"/>
      <c r="I64" s="854" t="s">
        <v>104</v>
      </c>
      <c r="J64" s="854"/>
      <c r="K64" s="854"/>
    </row>
    <row r="65" spans="2:11" ht="19.5" customHeight="1">
      <c r="B65" s="283"/>
      <c r="C65" s="283"/>
      <c r="D65" s="283"/>
      <c r="E65" s="854"/>
      <c r="F65" s="854"/>
      <c r="G65" s="854"/>
      <c r="H65" s="704"/>
      <c r="I65" s="854" t="s">
        <v>131</v>
      </c>
      <c r="J65" s="854"/>
      <c r="K65" s="854"/>
    </row>
    <row r="66" spans="2:11" ht="20.25" customHeight="1"/>
    <row r="67" spans="2:11" ht="20.25" customHeight="1"/>
    <row r="68" spans="2:11" ht="20.25" customHeight="1"/>
    <row r="69" spans="2:11" ht="20.25" customHeight="1"/>
    <row r="70" spans="2:11" ht="20.25" customHeight="1"/>
    <row r="71" spans="2:11" ht="20.25" customHeight="1"/>
    <row r="72" spans="2:11" ht="20.25" customHeight="1"/>
    <row r="73" spans="2:11" ht="19.5" customHeight="1"/>
    <row r="74" spans="2:11" ht="19.5" customHeight="1"/>
    <row r="75" spans="2:11" ht="19.5" customHeight="1"/>
    <row r="76" spans="2:11" ht="19.5" customHeight="1"/>
    <row r="77" spans="2:11" ht="19.5" customHeight="1"/>
    <row r="78" spans="2:11" ht="19.5" customHeight="1"/>
    <row r="79" spans="2:11" ht="19.5" customHeight="1"/>
    <row r="80" spans="2:11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A11:M60"/>
  <sortState ref="A33:N72">
    <sortCondition ref="B33:B72"/>
  </sortState>
  <mergeCells count="20">
    <mergeCell ref="A6:K6"/>
    <mergeCell ref="G1:K1"/>
    <mergeCell ref="A4:K4"/>
    <mergeCell ref="A5:K5"/>
    <mergeCell ref="G2:K3"/>
    <mergeCell ref="A8:A10"/>
    <mergeCell ref="B8:B10"/>
    <mergeCell ref="C8:C9"/>
    <mergeCell ref="D8:K8"/>
    <mergeCell ref="D9:E9"/>
    <mergeCell ref="F9:G9"/>
    <mergeCell ref="H9:I9"/>
    <mergeCell ref="J9:K9"/>
    <mergeCell ref="B7:K7"/>
    <mergeCell ref="E65:G65"/>
    <mergeCell ref="I65:K65"/>
    <mergeCell ref="B63:D63"/>
    <mergeCell ref="I63:K63"/>
    <mergeCell ref="E64:G64"/>
    <mergeCell ref="I64:K64"/>
  </mergeCells>
  <pageMargins left="0.1" right="0.6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55" customWidth="1"/>
    <col min="2" max="2" width="29.7109375" style="155" customWidth="1"/>
    <col min="3" max="3" width="5.7109375" style="155" customWidth="1"/>
    <col min="4" max="4" width="6.7109375" style="155" customWidth="1"/>
    <col min="5" max="5" width="12.7109375" style="155" customWidth="1"/>
    <col min="6" max="6" width="9.85546875" style="155" customWidth="1"/>
    <col min="7" max="7" width="11" style="155" customWidth="1"/>
    <col min="8" max="8" width="14" style="155" customWidth="1"/>
    <col min="9" max="9" width="4.28515625" style="155" customWidth="1"/>
    <col min="10" max="10" width="7.5703125" style="155" customWidth="1"/>
    <col min="11" max="11" width="3.140625" style="155" customWidth="1"/>
    <col min="12" max="12" width="5.7109375" style="155" customWidth="1"/>
    <col min="13" max="13" width="2.7109375" style="155" customWidth="1"/>
    <col min="14" max="14" width="4" style="155" customWidth="1"/>
    <col min="15" max="15" width="3.7109375" style="155" customWidth="1"/>
    <col min="16" max="16384" width="9.140625" style="155"/>
  </cols>
  <sheetData>
    <row r="1" spans="1:17" ht="5.25" hidden="1" customHeight="1"/>
    <row r="2" spans="1:17" s="322" customFormat="1" ht="12" customHeight="1">
      <c r="A2" s="321" t="str">
        <f>TH!A1</f>
        <v>Đơn vị: CÔNG TY TNHH MỘT THÀNH VIÊN KHỞI NGUYÊN AN</v>
      </c>
      <c r="G2" s="323" t="str">
        <f>+IF(LEFT($D$7,1)="N","Mẫu số 01 - VT","Mẫu số 02 - VT")</f>
        <v>Mẫu số 01 - VT</v>
      </c>
    </row>
    <row r="3" spans="1:17" s="322" customFormat="1" ht="12" customHeight="1">
      <c r="A3" s="891" t="str">
        <f>TH!A2</f>
        <v>Địa chỉ: Thửa đất số 144, tờ bản đồ số 12TĐH.1, tổ 1, khu phố Đông Tác, Phường Tân Đông Hiệp, Thị Xã Dĩ An, Tỉnh Bình Dương, Việt Nam</v>
      </c>
      <c r="B3" s="891"/>
      <c r="C3" s="891"/>
      <c r="D3" s="891"/>
      <c r="E3" s="891"/>
      <c r="G3" s="38" t="str">
        <f ca="1">IF(INT(RIGHT($D$6,4))&gt;=2015,"(Ban hành theo Thông tư số 200/2014/TT-BTC ","(Ban hành kèm theo QĐ 48/2006/QĐ-BTC")</f>
        <v>(Ban hành kèm theo QĐ 48/2006/QĐ-BTC</v>
      </c>
      <c r="N3" s="323" t="s">
        <v>99</v>
      </c>
      <c r="O3" s="324"/>
      <c r="P3" s="325">
        <f>IF(J5="Quý I",1,IF(J5="Quý II",4,IF(J5="Quý III",7,IF(J5="Quý IV",10,""))))</f>
        <v>10</v>
      </c>
      <c r="Q3" s="325">
        <f>IF(J5="Quý I",3,IF(J5="Quý II",6,IF(J5="Quý III",9,IF(J5="Quý IV",12,""))))</f>
        <v>12</v>
      </c>
    </row>
    <row r="4" spans="1:17" s="322" customFormat="1" ht="12" customHeight="1" thickBot="1">
      <c r="A4" s="891"/>
      <c r="B4" s="891"/>
      <c r="C4" s="891"/>
      <c r="D4" s="891"/>
      <c r="E4" s="891"/>
      <c r="G4" s="38" t="str">
        <f ca="1">IF(INT(RIGHT($D$6,4))&gt;=2015,"Ngày 22/12/2014 của Bộ Tài chính)","ngày 24/09/2006 của Bộ trưởng BTC)")</f>
        <v>ngày 24/09/2006 của Bộ trưởng BTC)</v>
      </c>
      <c r="J4" s="326"/>
      <c r="M4" s="327"/>
      <c r="N4" s="323" t="s">
        <v>100</v>
      </c>
      <c r="O4" s="324"/>
    </row>
    <row r="5" spans="1:17" ht="18" customHeight="1" thickBot="1">
      <c r="D5" s="159" t="str">
        <f>+IF(LEFT($L$5,1)="N","PHIẾU NHẬP KHO","PHIẾU XUẤT KHO")</f>
        <v>PHIẾU NHẬP KHO</v>
      </c>
      <c r="J5" s="318" t="s">
        <v>291</v>
      </c>
      <c r="K5" s="160"/>
      <c r="L5" s="319" t="s">
        <v>730</v>
      </c>
      <c r="M5" s="161"/>
      <c r="N5" s="320">
        <v>1</v>
      </c>
      <c r="O5" s="156"/>
      <c r="P5" s="156"/>
    </row>
    <row r="6" spans="1:17" ht="10.5" customHeight="1">
      <c r="D6" s="32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13  tháng  10  năm  2012</v>
      </c>
      <c r="E6" s="330"/>
      <c r="M6" s="158"/>
      <c r="O6" s="156"/>
    </row>
    <row r="7" spans="1:17" ht="10.5" customHeight="1">
      <c r="C7" s="331" t="str">
        <f xml:space="preserve"> "Số:"</f>
        <v>Số:</v>
      </c>
      <c r="D7" s="332" t="str">
        <f xml:space="preserve"> LEFT($L$5,1)&amp;IF($N$5&gt;=10,$N$5,"0"&amp;$N$5)</f>
        <v>N01</v>
      </c>
      <c r="G7" s="155" t="str">
        <f ca="1">"Nợ:  "&amp;IF(ROWS($1:1)&gt;COUNT(Dong10),"",OFFSET(TH!L$1,SMALL(Dong10,ROWS($1:1)),))</f>
        <v>Nợ:  156</v>
      </c>
      <c r="M7" s="158"/>
      <c r="O7" s="156"/>
    </row>
    <row r="8" spans="1:17" ht="10.5" customHeight="1">
      <c r="D8" s="38"/>
      <c r="G8" s="155" t="str">
        <f ca="1">"Có:  "&amp;IF(ROWS($1:1)&gt;COUNT(Dong10),"",OFFSET(TH!M$1,SMALL(Dong10,ROWS($1:1)),))</f>
        <v>Có:  331</v>
      </c>
      <c r="M8" s="158"/>
      <c r="O8" s="333"/>
    </row>
    <row r="9" spans="1:17" ht="11.25" customHeight="1">
      <c r="A9" s="155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>Họ và tên người giao :   Cty TNHH SX TM Và Dịch Vụ Phúc Vinh</v>
      </c>
      <c r="M9" s="158"/>
    </row>
    <row r="10" spans="1:17" ht="11.25" customHeight="1">
      <c r="A10" s="155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155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155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892" t="s">
        <v>34</v>
      </c>
      <c r="B14" s="892" t="s">
        <v>181</v>
      </c>
      <c r="C14" s="892" t="s">
        <v>182</v>
      </c>
      <c r="D14" s="892" t="s">
        <v>174</v>
      </c>
      <c r="E14" s="894" t="s">
        <v>183</v>
      </c>
      <c r="F14" s="894"/>
      <c r="G14" s="892" t="s">
        <v>184</v>
      </c>
      <c r="H14" s="892" t="s">
        <v>185</v>
      </c>
    </row>
    <row r="15" spans="1:17" ht="12.75" customHeight="1">
      <c r="A15" s="893"/>
      <c r="B15" s="893"/>
      <c r="C15" s="893"/>
      <c r="D15" s="893"/>
      <c r="E15" s="334" t="s">
        <v>186</v>
      </c>
      <c r="F15" s="334" t="str">
        <f>IF(LEFT($D$7,1)="N","Thực nhập","Thực xuất")</f>
        <v>Thực nhập</v>
      </c>
      <c r="G15" s="893"/>
      <c r="H15" s="893"/>
    </row>
    <row r="16" spans="1:17" s="38" customFormat="1" ht="8.25" customHeight="1">
      <c r="A16" s="335" t="s">
        <v>2</v>
      </c>
      <c r="B16" s="335" t="s">
        <v>3</v>
      </c>
      <c r="C16" s="335" t="s">
        <v>4</v>
      </c>
      <c r="D16" s="335" t="s">
        <v>5</v>
      </c>
      <c r="E16" s="335">
        <v>1</v>
      </c>
      <c r="F16" s="335">
        <v>2</v>
      </c>
      <c r="G16" s="335">
        <v>3</v>
      </c>
      <c r="H16" s="335">
        <v>4</v>
      </c>
    </row>
    <row r="17" spans="1:8" ht="11.25" customHeight="1">
      <c r="A17" s="336">
        <f ca="1">IF(B17="","",ROW()-16)</f>
        <v>1</v>
      </c>
      <c r="B17" s="337" t="str">
        <f ca="1">IF(ROWS($1:1)&gt;COUNT(Dong10),"",OFFSET(TH!F$1,SMALL(Dong10,ROWS($1:1)),))</f>
        <v>Giấy tấm 2N +1X (110x173)</v>
      </c>
      <c r="C17" s="338"/>
      <c r="D17" s="339" t="str">
        <f ca="1">IF(ISNA(VLOOKUP(B17,NXT!$B$12:$C$60,2,0)),"",VLOOKUP(B17,NXT!$B$12:$C$60,2,0))</f>
        <v>tấm</v>
      </c>
      <c r="E17" s="340"/>
      <c r="F17" s="341">
        <f ca="1">IF(ROWS($1:1)&gt;COUNT(Dong10),"",OFFSET(TH!I$1,SMALL(Dong10,ROWS($1:1)),))</f>
        <v>500</v>
      </c>
      <c r="G17" s="341">
        <f ca="1">IF(ROWS($1:1)&gt;COUNT(Dong10),"",OFFSET(TH!J$1,SMALL(Dong10,ROWS($1:1)),))</f>
        <v>12750</v>
      </c>
      <c r="H17" s="340">
        <f ca="1">IF(F17&lt;&gt;"",ROUND(F17*G17,0),0)</f>
        <v>6375000</v>
      </c>
    </row>
    <row r="18" spans="1:8" ht="11.25" customHeight="1">
      <c r="A18" s="336" t="str">
        <f t="shared" ref="A18:A20" ca="1" si="0">IF(B18="","",A17+1)</f>
        <v/>
      </c>
      <c r="B18" s="337" t="str">
        <f ca="1">IF(ROWS($1:2)&gt;COUNT(Dong10),"",OFFSET(TH!F$1,SMALL(Dong10,ROWS($1:2)),))</f>
        <v/>
      </c>
      <c r="C18" s="338"/>
      <c r="D18" s="339" t="str">
        <f ca="1">IF(ISNA(VLOOKUP(B18,NXT!$B$12:$C$60,2,0)),"",VLOOKUP(B18,NXT!$B$12:$C$60,2,0))</f>
        <v/>
      </c>
      <c r="E18" s="340"/>
      <c r="F18" s="341" t="str">
        <f ca="1">IF(ROWS($1:2)&gt;COUNT(Dong10),"",OFFSET(TH!I$1,SMALL(Dong10,ROWS($1:2)),))</f>
        <v/>
      </c>
      <c r="G18" s="341" t="str">
        <f ca="1">IF(ROWS($1:2)&gt;COUNT(Dong10),"",OFFSET(TH!J$1,SMALL(Dong10,ROWS($1:2)),))</f>
        <v/>
      </c>
      <c r="H18" s="340">
        <f t="shared" ref="H18:H24" ca="1" si="1">IF(F18&lt;&gt;"",ROUND(F18*G18,0),0)</f>
        <v>0</v>
      </c>
    </row>
    <row r="19" spans="1:8" ht="11.25" customHeight="1">
      <c r="A19" s="336" t="str">
        <f t="shared" ca="1" si="0"/>
        <v/>
      </c>
      <c r="B19" s="337" t="str">
        <f ca="1">IF(ROWS($1:3)&gt;COUNT(Dong10),"",OFFSET(TH!F$1,SMALL(Dong10,ROWS($1:3)),))</f>
        <v/>
      </c>
      <c r="C19" s="338"/>
      <c r="D19" s="339" t="str">
        <f ca="1">IF(ISNA(VLOOKUP(B19,NXT!$B$12:$C$60,2,0)),"",VLOOKUP(B19,NXT!$B$12:$C$60,2,0))</f>
        <v/>
      </c>
      <c r="E19" s="340"/>
      <c r="F19" s="341" t="str">
        <f ca="1">IF(ROWS($1:3)&gt;COUNT(Dong10),"",OFFSET(TH!I$1,SMALL(Dong10,ROWS($1:3)),))</f>
        <v/>
      </c>
      <c r="G19" s="341" t="str">
        <f ca="1">IF(ROWS($1:3)&gt;COUNT(Dong10),"",OFFSET(TH!J$1,SMALL(Dong10,ROWS($1:3)),))</f>
        <v/>
      </c>
      <c r="H19" s="340">
        <f t="shared" ca="1" si="1"/>
        <v>0</v>
      </c>
    </row>
    <row r="20" spans="1:8" ht="11.25" customHeight="1">
      <c r="A20" s="336" t="str">
        <f t="shared" ca="1" si="0"/>
        <v/>
      </c>
      <c r="B20" s="337" t="str">
        <f ca="1">IF(ROWS($1:4)&gt;COUNT(Dong10),"",OFFSET(TH!F$1,SMALL(Dong10,ROWS($1:4)),))</f>
        <v/>
      </c>
      <c r="C20" s="338"/>
      <c r="D20" s="339" t="str">
        <f ca="1">IF(ISNA(VLOOKUP(B20,NXT!$B$12:$C$60,2,0)),"",VLOOKUP(B20,NXT!$B$12:$C$60,2,0))</f>
        <v/>
      </c>
      <c r="E20" s="340"/>
      <c r="F20" s="341" t="str">
        <f ca="1">IF(ROWS($1:4)&gt;COUNT(Dong10),"",OFFSET(TH!I$1,SMALL(Dong10,ROWS($1:4)),))</f>
        <v/>
      </c>
      <c r="G20" s="341" t="str">
        <f ca="1">IF(ROWS($1:4)&gt;COUNT(Dong10),"",OFFSET(TH!J$1,SMALL(Dong10,ROWS($1:4)),))</f>
        <v/>
      </c>
      <c r="H20" s="340">
        <f t="shared" ca="1" si="1"/>
        <v>0</v>
      </c>
    </row>
    <row r="21" spans="1:8" ht="11.25" customHeight="1">
      <c r="A21" s="336" t="str">
        <f t="shared" ref="A21:A23" ca="1" si="2">IF(B21="","",A20+1)</f>
        <v/>
      </c>
      <c r="B21" s="337" t="str">
        <f ca="1">IF(ROWS($1:5)&gt;COUNT(Dong10),"",OFFSET(TH!F$1,SMALL(Dong10,ROWS($1:5)),))</f>
        <v/>
      </c>
      <c r="C21" s="338"/>
      <c r="D21" s="339" t="str">
        <f ca="1">IF(ISNA(VLOOKUP(B21,NXT!$B$12:$C$60,2,0)),"",VLOOKUP(B21,NXT!$B$12:$C$60,2,0))</f>
        <v/>
      </c>
      <c r="E21" s="340"/>
      <c r="F21" s="341" t="str">
        <f ca="1">IF(ROWS($1:5)&gt;COUNT(Dong10),"",OFFSET(TH!I$1,SMALL(Dong10,ROWS($1:5)),))</f>
        <v/>
      </c>
      <c r="G21" s="341" t="str">
        <f ca="1">IF(ROWS($1:5)&gt;COUNT(Dong10),"",OFFSET(TH!J$1,SMALL(Dong10,ROWS($1:5)),))</f>
        <v/>
      </c>
      <c r="H21" s="340">
        <f t="shared" ca="1" si="1"/>
        <v>0</v>
      </c>
    </row>
    <row r="22" spans="1:8" ht="11.25" customHeight="1">
      <c r="A22" s="336" t="str">
        <f t="shared" ca="1" si="2"/>
        <v/>
      </c>
      <c r="B22" s="337" t="str">
        <f ca="1">IF(ROWS($1:6)&gt;COUNT(Dong10),"",OFFSET(TH!F$1,SMALL(Dong10,ROWS($1:6)),))</f>
        <v/>
      </c>
      <c r="C22" s="338"/>
      <c r="D22" s="339" t="str">
        <f ca="1">IF(ISNA(VLOOKUP(B22,NXT!$B$12:$C$60,2,0)),"",VLOOKUP(B22,NXT!$B$12:$C$60,2,0))</f>
        <v/>
      </c>
      <c r="E22" s="340"/>
      <c r="F22" s="341" t="str">
        <f ca="1">IF(ROWS($1:6)&gt;COUNT(Dong10),"",OFFSET(TH!I$1,SMALL(Dong10,ROWS($1:6)),))</f>
        <v/>
      </c>
      <c r="G22" s="341" t="str">
        <f ca="1">IF(ROWS($1:6)&gt;COUNT(Dong10),"",OFFSET(TH!J$1,SMALL(Dong10,ROWS($1:6)),))</f>
        <v/>
      </c>
      <c r="H22" s="340">
        <f t="shared" ca="1" si="1"/>
        <v>0</v>
      </c>
    </row>
    <row r="23" spans="1:8" ht="11.25" customHeight="1">
      <c r="A23" s="336" t="str">
        <f t="shared" ca="1" si="2"/>
        <v/>
      </c>
      <c r="B23" s="337" t="str">
        <f ca="1">IF(ROWS($1:7)&gt;COUNT(Dong10),"",OFFSET(TH!F$1,SMALL(Dong10,ROWS($1:7)),))</f>
        <v/>
      </c>
      <c r="C23" s="338"/>
      <c r="D23" s="339" t="str">
        <f ca="1">IF(ISNA(VLOOKUP(B23,NXT!$B$12:$C$60,2,0)),"",VLOOKUP(B23,NXT!$B$12:$C$60,2,0))</f>
        <v/>
      </c>
      <c r="E23" s="340"/>
      <c r="F23" s="341" t="str">
        <f ca="1">IF(ROWS($1:7)&gt;COUNT(Dong10),"",OFFSET(TH!I$1,SMALL(Dong10,ROWS($1:7)),))</f>
        <v/>
      </c>
      <c r="G23" s="341" t="str">
        <f ca="1">IF(ROWS($1:7)&gt;COUNT(Dong10),"",OFFSET(TH!J$1,SMALL(Dong10,ROWS($1:7)),))</f>
        <v/>
      </c>
      <c r="H23" s="340">
        <f t="shared" ca="1" si="1"/>
        <v>0</v>
      </c>
    </row>
    <row r="24" spans="1:8" ht="11.25" customHeight="1">
      <c r="A24" s="336" t="str">
        <f t="shared" ref="A24" ca="1" si="3">IF(B24="","",A23+1)</f>
        <v/>
      </c>
      <c r="B24" s="337" t="str">
        <f ca="1">IF(ROWS($1:8)&gt;COUNT(Dong10),"",OFFSET(TH!F$1,SMALL(Dong10,ROWS($1:8)),))</f>
        <v/>
      </c>
      <c r="C24" s="338"/>
      <c r="D24" s="339" t="str">
        <f ca="1">IF(ISNA(VLOOKUP(B24,NXT!$B$12:$C$60,2,0)),"",VLOOKUP(B24,NXT!$B$12:$C$60,2,0))</f>
        <v/>
      </c>
      <c r="E24" s="340"/>
      <c r="F24" s="341" t="str">
        <f ca="1">IF(ROWS($1:8)&gt;COUNT(Dong10),"",OFFSET(TH!I$1,SMALL(Dong10,ROWS($1:8)),))</f>
        <v/>
      </c>
      <c r="G24" s="341" t="str">
        <f ca="1">IF(ROWS($1:8)&gt;COUNT(Dong10),"",OFFSET(TH!J$1,SMALL(Dong10,ROWS($1:8)),))</f>
        <v/>
      </c>
      <c r="H24" s="340">
        <f t="shared" ca="1" si="1"/>
        <v>0</v>
      </c>
    </row>
    <row r="25" spans="1:8" ht="11.25" customHeight="1">
      <c r="A25" s="336" t="str">
        <f t="shared" ref="A25" ca="1" si="4">IF(B25="","",A24+1)</f>
        <v/>
      </c>
      <c r="B25" s="337" t="str">
        <f ca="1">IF(ROWS($1:9)&gt;COUNT(Dong10),"",OFFSET(TH!F$1,SMALL(Dong10,ROWS($1:9)),))</f>
        <v/>
      </c>
      <c r="C25" s="338"/>
      <c r="D25" s="339" t="str">
        <f ca="1">IF(ISNA(VLOOKUP(B25,NXT!$B$12:$C$60,2,0)),"",VLOOKUP(B25,NXT!$B$12:$C$60,2,0))</f>
        <v/>
      </c>
      <c r="E25" s="340"/>
      <c r="F25" s="341" t="str">
        <f ca="1">IF(ROWS($1:9)&gt;COUNT(Dong10),"",OFFSET(TH!I$1,SMALL(Dong10,ROWS($1:9)),))</f>
        <v/>
      </c>
      <c r="G25" s="341" t="str">
        <f ca="1">IF(ROWS($1:9)&gt;COUNT(Dong10),"",OFFSET(TH!J$1,SMALL(Dong10,ROWS($1:9)),))</f>
        <v/>
      </c>
      <c r="H25" s="340">
        <f t="shared" ref="H25" ca="1" si="5">IF(F25&lt;&gt;"",ROUND(F25*G25,0),0)</f>
        <v>0</v>
      </c>
    </row>
    <row r="26" spans="1:8" ht="11.25" customHeight="1">
      <c r="A26" s="336"/>
      <c r="B26" s="337"/>
      <c r="C26" s="338"/>
      <c r="D26" s="339"/>
      <c r="E26" s="340"/>
      <c r="F26" s="341"/>
      <c r="G26" s="342"/>
      <c r="H26" s="340"/>
    </row>
    <row r="27" spans="1:8" ht="11.25" customHeight="1">
      <c r="A27" s="894" t="s">
        <v>187</v>
      </c>
      <c r="B27" s="894"/>
      <c r="C27" s="343"/>
      <c r="D27" s="343"/>
      <c r="E27" s="344"/>
      <c r="F27" s="344"/>
      <c r="G27" s="344"/>
      <c r="H27" s="344">
        <f ca="1">SUM(H17:H26)</f>
        <v>6375000</v>
      </c>
    </row>
    <row r="28" spans="1:8" ht="3" customHeight="1">
      <c r="A28" s="345"/>
      <c r="B28" s="345"/>
      <c r="C28" s="158"/>
      <c r="D28" s="158"/>
      <c r="E28" s="346"/>
      <c r="F28" s="346"/>
      <c r="G28" s="346"/>
      <c r="H28" s="346"/>
    </row>
    <row r="29" spans="1:8" ht="11.25" customHeight="1">
      <c r="A29" s="155" t="str">
        <f ca="1">"Tổng số tiền (viết bằng chữ):  "&amp;[1]!VND(H27, TRUE)</f>
        <v>Tổng số tiền (viết bằng chữ):  Sáu triệu, ba trăm bảy mươi lăm ngàn đồng</v>
      </c>
    </row>
    <row r="30" spans="1:8" ht="11.25" customHeight="1">
      <c r="A30" s="155" t="str">
        <f ca="1">"Số chứng từ gốc kèm theo :  "&amp;IF(ROWS($1:1)&gt;COUNT(Dong10),"",IF(OFFSET(TH!G$1,SMALL(Dong10,ROWS($1:1)),)="","","HĐ "&amp;OFFSET(TH!G$1,SMALL(Dong10,ROWS($1:1)),)))</f>
        <v>Số chứng từ gốc kèm theo :  HĐ 0000817</v>
      </c>
    </row>
    <row r="31" spans="1:8" ht="11.25" customHeight="1">
      <c r="F31" s="3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13  tháng  10  năm  2012</v>
      </c>
    </row>
    <row r="32" spans="1:8" s="157" customFormat="1" ht="11.25" customHeight="1">
      <c r="A32" s="347" t="s">
        <v>188</v>
      </c>
      <c r="C32" s="41"/>
      <c r="E32" s="41"/>
      <c r="F32" s="4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332" t="s">
        <v>189</v>
      </c>
      <c r="C33" s="38"/>
      <c r="E33" s="38"/>
      <c r="F33" s="38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332" t="str">
        <f>+IF(LEFT($D$7,1)="N","","  (Ký, họ tên)")</f>
        <v/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328" customFormat="1" ht="11.25" customHeight="1"/>
    <row r="39" spans="1:8" ht="11.25" customHeight="1">
      <c r="A39" s="162"/>
      <c r="F39" s="163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P87"/>
  <sheetViews>
    <sheetView topLeftCell="A6" zoomScale="90" workbookViewId="0">
      <pane ySplit="8" topLeftCell="A14" activePane="bottomLeft" state="frozen"/>
      <selection activeCell="A6" sqref="A6"/>
      <selection pane="bottomLeft" activeCell="D30" sqref="D30"/>
    </sheetView>
  </sheetViews>
  <sheetFormatPr defaultColWidth="23.85546875" defaultRowHeight="15"/>
  <cols>
    <col min="1" max="1" width="4.28515625" style="165" customWidth="1"/>
    <col min="2" max="2" width="7.42578125" style="165" customWidth="1"/>
    <col min="3" max="3" width="8.42578125" style="165" customWidth="1"/>
    <col min="4" max="4" width="24.28515625" style="165" customWidth="1"/>
    <col min="5" max="5" width="8" style="602" customWidth="1"/>
    <col min="6" max="6" width="8.85546875" style="165" customWidth="1"/>
    <col min="7" max="7" width="7.5703125" style="165" customWidth="1"/>
    <col min="8" max="8" width="12.7109375" style="165" customWidth="1"/>
    <col min="9" max="9" width="7.5703125" style="165" customWidth="1"/>
    <col min="10" max="10" width="12.5703125" style="165" customWidth="1"/>
    <col min="11" max="11" width="7.5703125" style="165" customWidth="1"/>
    <col min="12" max="12" width="12.140625" style="165" customWidth="1"/>
    <col min="13" max="13" width="7.140625" style="165" customWidth="1"/>
    <col min="14" max="14" width="2" style="165" customWidth="1"/>
    <col min="15" max="15" width="4.42578125" style="165" customWidth="1"/>
    <col min="16" max="16384" width="23.85546875" style="165"/>
  </cols>
  <sheetData>
    <row r="1" spans="1:16" hidden="1">
      <c r="A1" s="164"/>
      <c r="E1" s="165"/>
    </row>
    <row r="2" spans="1:16" s="276" customFormat="1" ht="16.5" customHeight="1">
      <c r="B2" s="166" t="str">
        <f>TH!A1</f>
        <v>Đơn vị: CÔNG TY TNHH MỘT THÀNH VIÊN KHỞI NGUYÊN AN</v>
      </c>
      <c r="C2" s="167"/>
      <c r="D2" s="168"/>
      <c r="E2" s="169"/>
      <c r="F2" s="2"/>
      <c r="J2" s="895" t="s">
        <v>190</v>
      </c>
      <c r="K2" s="895"/>
      <c r="L2" s="895"/>
      <c r="M2" s="895"/>
      <c r="N2" s="599"/>
    </row>
    <row r="3" spans="1:16" s="276" customFormat="1" ht="16.5" customHeight="1">
      <c r="B3" s="900" t="str">
        <f>TH!A2</f>
        <v>Địa chỉ: Thửa đất số 144, tờ bản đồ số 12TĐH.1, tổ 1, khu phố Đông Tác, Phường Tân Đông Hiệp, Thị Xã Dĩ An, Tỉnh Bình Dương, Việt Nam</v>
      </c>
      <c r="C3" s="900"/>
      <c r="D3" s="900"/>
      <c r="E3" s="900"/>
      <c r="F3" s="900"/>
      <c r="G3" s="900"/>
      <c r="H3" s="900"/>
      <c r="I3" s="900"/>
      <c r="J3" s="896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896"/>
      <c r="L3" s="896"/>
      <c r="M3" s="896"/>
      <c r="N3" s="600"/>
    </row>
    <row r="4" spans="1:16" s="276" customFormat="1" ht="16.5" customHeight="1">
      <c r="B4" s="900"/>
      <c r="C4" s="900"/>
      <c r="D4" s="900"/>
      <c r="E4" s="900"/>
      <c r="F4" s="900"/>
      <c r="G4" s="900"/>
      <c r="H4" s="900"/>
      <c r="I4" s="900"/>
      <c r="J4" s="896"/>
      <c r="K4" s="896"/>
      <c r="L4" s="896"/>
      <c r="M4" s="896"/>
      <c r="N4" s="600"/>
    </row>
    <row r="5" spans="1:16" ht="18.75" customHeight="1">
      <c r="B5" s="897" t="s">
        <v>191</v>
      </c>
      <c r="C5" s="897"/>
      <c r="D5" s="897"/>
      <c r="E5" s="897"/>
      <c r="F5" s="897"/>
      <c r="G5" s="897"/>
      <c r="H5" s="897"/>
      <c r="I5" s="897"/>
      <c r="J5" s="897"/>
      <c r="K5" s="897"/>
      <c r="L5" s="897"/>
      <c r="M5" s="897"/>
      <c r="N5" s="170"/>
    </row>
    <row r="6" spans="1:16">
      <c r="B6" s="898" t="str">
        <f ca="1">"Năm: "&amp;YEAR($C$14)</f>
        <v>Năm: 2012</v>
      </c>
      <c r="C6" s="898"/>
      <c r="D6" s="898"/>
      <c r="E6" s="898"/>
      <c r="F6" s="898"/>
      <c r="G6" s="898"/>
      <c r="H6" s="898"/>
      <c r="I6" s="898"/>
      <c r="J6" s="898"/>
      <c r="K6" s="898"/>
      <c r="L6" s="898"/>
      <c r="M6" s="898"/>
      <c r="N6" s="602"/>
    </row>
    <row r="7" spans="1:16">
      <c r="C7" s="171"/>
      <c r="D7" s="171"/>
      <c r="F7" s="172" t="s">
        <v>252</v>
      </c>
      <c r="G7" s="723" t="s">
        <v>732</v>
      </c>
      <c r="H7" s="172" t="s">
        <v>192</v>
      </c>
      <c r="I7" s="171" t="s">
        <v>733</v>
      </c>
      <c r="J7" s="171"/>
      <c r="K7" s="171"/>
      <c r="L7" s="171"/>
      <c r="M7" s="171"/>
      <c r="N7" s="602"/>
    </row>
    <row r="8" spans="1:16">
      <c r="B8" s="602"/>
      <c r="C8" s="171"/>
      <c r="D8" s="171"/>
      <c r="F8" s="602" t="s">
        <v>193</v>
      </c>
      <c r="H8" s="171"/>
      <c r="I8" s="171"/>
      <c r="J8" s="899" t="s">
        <v>511</v>
      </c>
      <c r="K8" s="899"/>
      <c r="L8" s="899"/>
      <c r="M8" s="171"/>
      <c r="N8" s="171"/>
    </row>
    <row r="9" spans="1:16">
      <c r="D9" s="173"/>
      <c r="E9" s="174"/>
      <c r="F9" s="173"/>
      <c r="G9" s="173"/>
      <c r="H9" s="173"/>
      <c r="I9" s="173"/>
      <c r="J9" s="173"/>
      <c r="K9" s="173" t="s">
        <v>118</v>
      </c>
      <c r="M9" s="175"/>
      <c r="N9" s="176"/>
    </row>
    <row r="10" spans="1:16" ht="15.75" customHeight="1">
      <c r="A10" s="901" t="s">
        <v>34</v>
      </c>
      <c r="B10" s="902" t="s">
        <v>1</v>
      </c>
      <c r="C10" s="902"/>
      <c r="D10" s="903" t="s">
        <v>0</v>
      </c>
      <c r="E10" s="903" t="s">
        <v>194</v>
      </c>
      <c r="F10" s="903" t="s">
        <v>184</v>
      </c>
      <c r="G10" s="904" t="s">
        <v>195</v>
      </c>
      <c r="H10" s="905"/>
      <c r="I10" s="904" t="s">
        <v>196</v>
      </c>
      <c r="J10" s="905"/>
      <c r="K10" s="904" t="s">
        <v>197</v>
      </c>
      <c r="L10" s="905"/>
      <c r="M10" s="903" t="s">
        <v>122</v>
      </c>
      <c r="N10" s="177"/>
    </row>
    <row r="11" spans="1:16" ht="31.5" customHeight="1">
      <c r="A11" s="901"/>
      <c r="B11" s="178" t="s">
        <v>15</v>
      </c>
      <c r="C11" s="178" t="s">
        <v>32</v>
      </c>
      <c r="D11" s="903"/>
      <c r="E11" s="903"/>
      <c r="F11" s="903"/>
      <c r="G11" s="178" t="s">
        <v>183</v>
      </c>
      <c r="H11" s="178" t="s">
        <v>185</v>
      </c>
      <c r="I11" s="178" t="s">
        <v>183</v>
      </c>
      <c r="J11" s="178" t="s">
        <v>185</v>
      </c>
      <c r="K11" s="178" t="s">
        <v>183</v>
      </c>
      <c r="L11" s="178" t="s">
        <v>185</v>
      </c>
      <c r="M11" s="903"/>
      <c r="N11" s="177"/>
    </row>
    <row r="12" spans="1:16" s="602" customFormat="1">
      <c r="A12" s="179"/>
      <c r="B12" s="601" t="s">
        <v>2</v>
      </c>
      <c r="C12" s="603" t="s">
        <v>3</v>
      </c>
      <c r="D12" s="603" t="s">
        <v>4</v>
      </c>
      <c r="E12" s="601" t="s">
        <v>5</v>
      </c>
      <c r="F12" s="601">
        <v>1</v>
      </c>
      <c r="G12" s="601">
        <v>2</v>
      </c>
      <c r="H12" s="601" t="s">
        <v>198</v>
      </c>
      <c r="I12" s="601">
        <v>4</v>
      </c>
      <c r="J12" s="601" t="s">
        <v>199</v>
      </c>
      <c r="K12" s="601">
        <v>6</v>
      </c>
      <c r="L12" s="601" t="s">
        <v>200</v>
      </c>
      <c r="M12" s="601"/>
      <c r="N12" s="180"/>
    </row>
    <row r="13" spans="1:16" ht="22.5" customHeight="1">
      <c r="A13" s="181"/>
      <c r="B13" s="181"/>
      <c r="C13" s="181"/>
      <c r="D13" s="182" t="s">
        <v>139</v>
      </c>
      <c r="E13" s="183"/>
      <c r="F13" s="184"/>
      <c r="G13" s="184"/>
      <c r="H13" s="184"/>
      <c r="I13" s="184"/>
      <c r="J13" s="184"/>
      <c r="K13" s="185">
        <f>VLOOKUP($J$8,NXT!$B$12:$K$60,3,0)</f>
        <v>0</v>
      </c>
      <c r="L13" s="185">
        <f>VLOOKUP($J$8,NXT!$B$12:$K$60,4,0)</f>
        <v>0</v>
      </c>
      <c r="M13" s="184"/>
      <c r="N13" s="180"/>
    </row>
    <row r="14" spans="1:16" ht="22.5" customHeight="1">
      <c r="A14" s="724">
        <f ca="1">IF(B14="","",ROW()-13)</f>
        <v>1</v>
      </c>
      <c r="B14" s="186" t="str">
        <f ca="1">IF(ROWS($1:1)&gt;COUNT(Dong11),"",OFFSET(TH!D$1,SMALL(Dong11,ROWS($1:1)),))</f>
        <v>NTP</v>
      </c>
      <c r="C14" s="187">
        <f ca="1">IF(ROWS($1:1)&gt;COUNT(Dong11),"",OFFSET(TH!E$1,SMALL(Dong11,ROWS($1:1)),))</f>
        <v>41274</v>
      </c>
      <c r="D14" s="188" t="str">
        <f ca="1">IF(ROWS($1:1)&gt;COUNT(Dong11),"",OFFSET(TH!H$1,SMALL(Dong11,ROWS($1:1)),))</f>
        <v>Nhập thành phẩm</v>
      </c>
      <c r="E14" s="186" t="str">
        <f ca="1">IF(ROWS($1:1)&gt;COUNT(Dong11),"",IF(OFFSET(TH!L$1,SMALL(Dong11,ROWS($1:1)),)=$G$7,OFFSET(TH!M$1,SMALL(Dong11,ROWS($1:1)),),OFFSET(TH!L$1,SMALL(Dong11,ROWS($1:1)),)))</f>
        <v>156</v>
      </c>
      <c r="F14" s="189">
        <f ca="1">IF(ROWS($1:1)&gt;COUNT(Dong11),0,OFFSET(TH!J$1,SMALL(Dong11,ROWS($1:1)),))</f>
        <v>19714.978885453584</v>
      </c>
      <c r="G14" s="189">
        <f ca="1">IF(ROWS($1:1)&gt;COUNT(Dong11),0,IF(LEFT(OFFSET(TH!D$1,SMALL(Dong11,ROWS($1:1)),),1)="N",OFFSET(TH!I$1,SMALL(Dong11,ROWS($1:1)),),0))</f>
        <v>60</v>
      </c>
      <c r="H14" s="190">
        <f ca="1">ROUND(F14*G14,0)</f>
        <v>1182899</v>
      </c>
      <c r="I14" s="189">
        <f ca="1">IF(ROWS($1:1)&gt;COUNT(Dong11),0,IF(LEFT(OFFSET(TH!D$1,SMALL(Dong11,ROWS($1:1)),),1)="X",OFFSET(TH!I$1,SMALL(Dong11,ROWS($1:1)),),0))</f>
        <v>0</v>
      </c>
      <c r="J14" s="190">
        <f ca="1">ROUND(F14*I14,0)</f>
        <v>0</v>
      </c>
      <c r="K14" s="190">
        <f ca="1">IF(D14&lt;&gt;"",K13+G14-I14,0)</f>
        <v>60</v>
      </c>
      <c r="L14" s="190">
        <f ca="1">IF(D14&lt;&gt;"",L13+H14-J14,0)</f>
        <v>1182899</v>
      </c>
      <c r="M14" s="190"/>
      <c r="N14" s="180"/>
    </row>
    <row r="15" spans="1:16" ht="22.5" customHeight="1">
      <c r="A15" s="724">
        <f t="shared" ref="A15:A18" ca="1" si="0">IF(B15="","",A14+1)</f>
        <v>2</v>
      </c>
      <c r="B15" s="186" t="str">
        <f ca="1">IF(ROWS($1:2)&gt;COUNT(Dong11),"",OFFSET(TH!D$1,SMALL(Dong11,ROWS($1:2)),))</f>
        <v>XB/GV</v>
      </c>
      <c r="C15" s="187">
        <f ca="1">IF(ROWS($1:2)&gt;COUNT(Dong11),"",OFFSET(TH!E$1,SMALL(Dong11,ROWS($1:2)),))</f>
        <v>41274</v>
      </c>
      <c r="D15" s="188" t="str">
        <f ca="1">IF(ROWS($1:2)&gt;COUNT(Dong11),"",OFFSET(TH!H$1,SMALL(Dong11,ROWS($1:2)),))</f>
        <v>Xuất bán</v>
      </c>
      <c r="E15" s="186" t="str">
        <f ca="1">IF(ROWS($1:2)&gt;COUNT(Dong11),"",IF(OFFSET(TH!L$1,SMALL(Dong11,ROWS($1:2)),)=$G$7,OFFSET(TH!M$1,SMALL(Dong11,ROWS($1:2)),),OFFSET(TH!L$1,SMALL(Dong11,ROWS($1:2)),)))</f>
        <v>632</v>
      </c>
      <c r="F15" s="189">
        <f ca="1">IF(ROWS($1:2)&gt;COUNT(Dong11),0,OFFSET(TH!J$1,SMALL(Dong11,ROWS($1:2)),))</f>
        <v>19714.978885453584</v>
      </c>
      <c r="G15" s="189">
        <f ca="1">IF(ROWS($1:2)&gt;COUNT(Dong11),0,IF(LEFT(OFFSET(TH!D$1,SMALL(Dong11,ROWS($1:2)),),1)="N",OFFSET(TH!I$1,SMALL(Dong11,ROWS($1:2)),),0))</f>
        <v>0</v>
      </c>
      <c r="H15" s="190">
        <f t="shared" ref="H15:H18" ca="1" si="1">ROUND(F15*G15,0)</f>
        <v>0</v>
      </c>
      <c r="I15" s="189">
        <f ca="1">IF(ROWS($1:2)&gt;COUNT(Dong11),0,IF(LEFT(OFFSET(TH!D$1,SMALL(Dong11,ROWS($1:2)),),1)="X",OFFSET(TH!I$1,SMALL(Dong11,ROWS($1:2)),),0))</f>
        <v>60</v>
      </c>
      <c r="J15" s="190">
        <f t="shared" ref="J15:J18" ca="1" si="2">ROUND(F15*I15,0)</f>
        <v>1182899</v>
      </c>
      <c r="K15" s="190">
        <f t="shared" ref="K15:K18" ca="1" si="3">IF(D15&lt;&gt;"",K14+G15-I15,0)</f>
        <v>0</v>
      </c>
      <c r="L15" s="190">
        <f t="shared" ref="L15:L18" ca="1" si="4">IF(D15&lt;&gt;"",L14+H15-J15,0)</f>
        <v>0</v>
      </c>
      <c r="M15" s="190"/>
      <c r="N15" s="180"/>
      <c r="P15" s="191"/>
    </row>
    <row r="16" spans="1:16" ht="22.5" customHeight="1">
      <c r="A16" s="724" t="str">
        <f t="shared" ca="1" si="0"/>
        <v/>
      </c>
      <c r="B16" s="186" t="str">
        <f ca="1">IF(ROWS($1:3)&gt;COUNT(Dong11),"",OFFSET(TH!D$1,SMALL(Dong11,ROWS($1:3)),))</f>
        <v/>
      </c>
      <c r="C16" s="187" t="str">
        <f ca="1">IF(ROWS($1:3)&gt;COUNT(Dong11),"",OFFSET(TH!E$1,SMALL(Dong11,ROWS($1:3)),))</f>
        <v/>
      </c>
      <c r="D16" s="188" t="str">
        <f ca="1">IF(ROWS($1:3)&gt;COUNT(Dong11),"",OFFSET(TH!H$1,SMALL(Dong11,ROWS($1:3)),))</f>
        <v/>
      </c>
      <c r="E16" s="186" t="str">
        <f ca="1">IF(ROWS($1:3)&gt;COUNT(Dong11),"",IF(OFFSET(TH!L$1,SMALL(Dong11,ROWS($1:3)),)=$G$7,OFFSET(TH!M$1,SMALL(Dong11,ROWS($1:3)),),OFFSET(TH!L$1,SMALL(Dong11,ROWS($1:3)),)))</f>
        <v/>
      </c>
      <c r="F16" s="189">
        <f ca="1">IF(ROWS($1:3)&gt;COUNT(Dong11),0,OFFSET(TH!J$1,SMALL(Dong11,ROWS($1:3)),))</f>
        <v>0</v>
      </c>
      <c r="G16" s="189">
        <f ca="1">IF(ROWS($1:3)&gt;COUNT(Dong11),0,IF(LEFT(OFFSET(TH!D$1,SMALL(Dong11,ROWS($1:3)),),1)="N",OFFSET(TH!I$1,SMALL(Dong11,ROWS($1:3)),),0))</f>
        <v>0</v>
      </c>
      <c r="H16" s="190">
        <f t="shared" ca="1" si="1"/>
        <v>0</v>
      </c>
      <c r="I16" s="189">
        <f ca="1">IF(ROWS($1:3)&gt;COUNT(Dong11),0,IF(LEFT(OFFSET(TH!D$1,SMALL(Dong11,ROWS($1:3)),),1)="X",OFFSET(TH!I$1,SMALL(Dong11,ROWS($1:3)),),0))</f>
        <v>0</v>
      </c>
      <c r="J16" s="190">
        <f t="shared" ca="1" si="2"/>
        <v>0</v>
      </c>
      <c r="K16" s="190">
        <f t="shared" ca="1" si="3"/>
        <v>0</v>
      </c>
      <c r="L16" s="190">
        <f t="shared" ca="1" si="4"/>
        <v>0</v>
      </c>
      <c r="M16" s="190"/>
      <c r="N16" s="180"/>
    </row>
    <row r="17" spans="1:15" ht="22.5" customHeight="1">
      <c r="A17" s="724" t="str">
        <f t="shared" ca="1" si="0"/>
        <v/>
      </c>
      <c r="B17" s="186" t="str">
        <f ca="1">IF(ROWS($1:4)&gt;COUNT(Dong11),"",OFFSET(TH!D$1,SMALL(Dong11,ROWS($1:4)),))</f>
        <v/>
      </c>
      <c r="C17" s="187" t="str">
        <f ca="1">IF(ROWS($1:4)&gt;COUNT(Dong11),"",OFFSET(TH!E$1,SMALL(Dong11,ROWS($1:4)),))</f>
        <v/>
      </c>
      <c r="D17" s="188" t="str">
        <f ca="1">IF(ROWS($1:4)&gt;COUNT(Dong11),"",OFFSET(TH!H$1,SMALL(Dong11,ROWS($1:4)),))</f>
        <v/>
      </c>
      <c r="E17" s="186" t="str">
        <f ca="1">IF(ROWS($1:4)&gt;COUNT(Dong11),"",IF(OFFSET(TH!L$1,SMALL(Dong11,ROWS($1:4)),)=$G$7,OFFSET(TH!M$1,SMALL(Dong11,ROWS($1:4)),),OFFSET(TH!L$1,SMALL(Dong11,ROWS($1:4)),)))</f>
        <v/>
      </c>
      <c r="F17" s="189">
        <f ca="1">IF(ROWS($1:4)&gt;COUNT(Dong11),0,OFFSET(TH!J$1,SMALL(Dong11,ROWS($1:4)),))</f>
        <v>0</v>
      </c>
      <c r="G17" s="189">
        <f ca="1">IF(ROWS($1:4)&gt;COUNT(Dong11),0,IF(LEFT(OFFSET(TH!D$1,SMALL(Dong11,ROWS($1:4)),),1)="N",OFFSET(TH!I$1,SMALL(Dong11,ROWS($1:4)),),0))</f>
        <v>0</v>
      </c>
      <c r="H17" s="190">
        <f t="shared" ca="1" si="1"/>
        <v>0</v>
      </c>
      <c r="I17" s="189">
        <f ca="1">IF(ROWS($1:4)&gt;COUNT(Dong11),0,IF(LEFT(OFFSET(TH!D$1,SMALL(Dong11,ROWS($1:4)),),1)="X",OFFSET(TH!I$1,SMALL(Dong11,ROWS($1:4)),),0))</f>
        <v>0</v>
      </c>
      <c r="J17" s="190">
        <f t="shared" ca="1" si="2"/>
        <v>0</v>
      </c>
      <c r="K17" s="190">
        <f t="shared" ca="1" si="3"/>
        <v>0</v>
      </c>
      <c r="L17" s="190">
        <f t="shared" ca="1" si="4"/>
        <v>0</v>
      </c>
      <c r="M17" s="190"/>
      <c r="N17" s="180"/>
      <c r="O17" s="192"/>
    </row>
    <row r="18" spans="1:15" ht="22.5" customHeight="1">
      <c r="A18" s="724" t="str">
        <f t="shared" ca="1" si="0"/>
        <v/>
      </c>
      <c r="B18" s="186" t="str">
        <f ca="1">IF(ROWS($1:5)&gt;COUNT(Dong11),"",OFFSET(TH!D$1,SMALL(Dong11,ROWS($1:5)),))</f>
        <v/>
      </c>
      <c r="C18" s="187" t="str">
        <f ca="1">IF(ROWS($1:5)&gt;COUNT(Dong11),"",OFFSET(TH!E$1,SMALL(Dong11,ROWS($1:5)),))</f>
        <v/>
      </c>
      <c r="D18" s="188" t="str">
        <f ca="1">IF(ROWS($1:5)&gt;COUNT(Dong11),"",OFFSET(TH!H$1,SMALL(Dong11,ROWS($1:5)),))</f>
        <v/>
      </c>
      <c r="E18" s="186" t="str">
        <f ca="1">IF(ROWS($1:5)&gt;COUNT(Dong11),"",IF(OFFSET(TH!L$1,SMALL(Dong11,ROWS($1:5)),)=$G$7,OFFSET(TH!M$1,SMALL(Dong11,ROWS($1:5)),),OFFSET(TH!L$1,SMALL(Dong11,ROWS($1:5)),)))</f>
        <v/>
      </c>
      <c r="F18" s="189">
        <f ca="1">IF(ROWS($1:5)&gt;COUNT(Dong11),0,OFFSET(TH!J$1,SMALL(Dong11,ROWS($1:5)),))</f>
        <v>0</v>
      </c>
      <c r="G18" s="189">
        <f ca="1">IF(ROWS($1:5)&gt;COUNT(Dong11),0,IF(LEFT(OFFSET(TH!D$1,SMALL(Dong11,ROWS($1:5)),),1)="N",OFFSET(TH!I$1,SMALL(Dong11,ROWS($1:5)),),0))</f>
        <v>0</v>
      </c>
      <c r="H18" s="190">
        <f t="shared" ca="1" si="1"/>
        <v>0</v>
      </c>
      <c r="I18" s="189">
        <f ca="1">IF(ROWS($1:5)&gt;COUNT(Dong11),0,IF(LEFT(OFFSET(TH!D$1,SMALL(Dong11,ROWS($1:5)),),1)="X",OFFSET(TH!I$1,SMALL(Dong11,ROWS($1:5)),),0))</f>
        <v>0</v>
      </c>
      <c r="J18" s="190">
        <f t="shared" ca="1" si="2"/>
        <v>0</v>
      </c>
      <c r="K18" s="190">
        <f t="shared" ca="1" si="3"/>
        <v>0</v>
      </c>
      <c r="L18" s="190">
        <f t="shared" ca="1" si="4"/>
        <v>0</v>
      </c>
      <c r="M18" s="190"/>
      <c r="N18" s="180"/>
    </row>
    <row r="19" spans="1:15" ht="22.5" customHeight="1">
      <c r="A19" s="724" t="str">
        <f>IF(B19="","",#REF!+1)</f>
        <v/>
      </c>
      <c r="B19" s="193"/>
      <c r="C19" s="194"/>
      <c r="D19" s="188"/>
      <c r="E19" s="195"/>
      <c r="F19" s="725"/>
      <c r="G19" s="182"/>
      <c r="H19" s="182"/>
      <c r="I19" s="182"/>
      <c r="J19" s="182"/>
      <c r="K19" s="182"/>
      <c r="L19" s="182"/>
      <c r="M19" s="196"/>
      <c r="N19" s="180"/>
    </row>
    <row r="20" spans="1:15" ht="22.5" customHeight="1">
      <c r="A20" s="197"/>
      <c r="B20" s="197"/>
      <c r="C20" s="197"/>
      <c r="D20" s="197" t="s">
        <v>201</v>
      </c>
      <c r="E20" s="601" t="s">
        <v>19</v>
      </c>
      <c r="F20" s="601" t="s">
        <v>19</v>
      </c>
      <c r="G20" s="198">
        <f ca="1">SUM(G14:G19)</f>
        <v>60</v>
      </c>
      <c r="H20" s="198">
        <f ca="1">SUM(H14:H19)</f>
        <v>1182899</v>
      </c>
      <c r="I20" s="198">
        <f ca="1">SUM(I14:I19)</f>
        <v>60</v>
      </c>
      <c r="J20" s="198">
        <f ca="1">SUM(J14:J19)</f>
        <v>1182899</v>
      </c>
      <c r="K20" s="198">
        <f ca="1">K13+G20-I20</f>
        <v>0</v>
      </c>
      <c r="L20" s="198">
        <f ca="1">L13+H20-J20</f>
        <v>0</v>
      </c>
      <c r="M20" s="197"/>
      <c r="N20" s="180"/>
    </row>
    <row r="21" spans="1:15">
      <c r="B21" s="635" t="s">
        <v>146</v>
      </c>
      <c r="G21" s="192"/>
      <c r="N21" s="180"/>
    </row>
    <row r="22" spans="1:15">
      <c r="B22" s="6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192"/>
      <c r="I22" s="192"/>
      <c r="N22" s="180"/>
    </row>
    <row r="23" spans="1:15">
      <c r="B23" s="171"/>
      <c r="C23" s="171"/>
      <c r="D23" s="171"/>
      <c r="F23" s="171"/>
      <c r="G23" s="199"/>
      <c r="H23" s="602"/>
      <c r="I23" s="200"/>
      <c r="J23" s="898" t="str">
        <f ca="1">"Ngày 31 tháng  12  năm  "&amp;YEAR($C$14)</f>
        <v>Ngày 31 tháng  12  năm  2012</v>
      </c>
      <c r="K23" s="898"/>
      <c r="L23" s="898"/>
      <c r="M23" s="898"/>
      <c r="N23" s="180"/>
    </row>
    <row r="24" spans="1:15">
      <c r="C24" s="171"/>
      <c r="D24" s="602" t="s">
        <v>11</v>
      </c>
      <c r="E24" s="898" t="s">
        <v>12</v>
      </c>
      <c r="F24" s="898"/>
      <c r="G24" s="898"/>
      <c r="H24" s="898"/>
      <c r="I24" s="898"/>
      <c r="J24" s="898" t="s">
        <v>104</v>
      </c>
      <c r="K24" s="898"/>
      <c r="L24" s="898"/>
      <c r="M24" s="898"/>
      <c r="N24" s="180"/>
    </row>
    <row r="25" spans="1:15">
      <c r="C25" s="171"/>
      <c r="D25" s="602" t="s">
        <v>13</v>
      </c>
      <c r="E25" s="898" t="s">
        <v>13</v>
      </c>
      <c r="F25" s="898"/>
      <c r="G25" s="898"/>
      <c r="H25" s="898" t="s">
        <v>131</v>
      </c>
      <c r="I25" s="898"/>
      <c r="J25" s="898" t="s">
        <v>131</v>
      </c>
      <c r="K25" s="898"/>
      <c r="L25" s="898"/>
      <c r="M25" s="898"/>
      <c r="N25" s="180"/>
    </row>
    <row r="26" spans="1:15">
      <c r="N26" s="201"/>
    </row>
    <row r="27" spans="1:15">
      <c r="E27" s="165"/>
    </row>
    <row r="29" spans="1:15" s="636" customFormat="1" ht="14.25">
      <c r="E29" s="726"/>
    </row>
    <row r="35" spans="1:16">
      <c r="A35" s="636"/>
      <c r="B35" s="636"/>
      <c r="C35" s="636"/>
      <c r="D35" s="636"/>
      <c r="E35" s="636"/>
      <c r="F35" s="636"/>
      <c r="G35" s="636"/>
      <c r="H35" s="636"/>
      <c r="I35" s="636"/>
      <c r="J35" s="636"/>
      <c r="K35" s="636"/>
      <c r="L35" s="636"/>
      <c r="M35" s="636"/>
      <c r="N35" s="636"/>
      <c r="O35" s="636"/>
      <c r="P35" s="636"/>
    </row>
    <row r="36" spans="1:16">
      <c r="A36" s="636"/>
      <c r="B36" s="636"/>
      <c r="C36" s="636"/>
      <c r="D36" s="636"/>
      <c r="E36" s="636"/>
      <c r="F36" s="636"/>
      <c r="G36" s="636"/>
      <c r="H36" s="636"/>
      <c r="I36" s="636"/>
      <c r="J36" s="636"/>
      <c r="K36" s="636"/>
      <c r="L36" s="636"/>
      <c r="M36" s="636"/>
      <c r="N36" s="636"/>
      <c r="O36" s="636"/>
      <c r="P36" s="636"/>
    </row>
    <row r="37" spans="1:16">
      <c r="A37" s="636"/>
      <c r="B37" s="636"/>
      <c r="C37" s="636"/>
      <c r="D37" s="636"/>
      <c r="E37" s="636"/>
      <c r="F37" s="636"/>
      <c r="G37" s="636"/>
      <c r="H37" s="636"/>
      <c r="I37" s="636"/>
      <c r="J37" s="636"/>
      <c r="K37" s="636"/>
      <c r="L37" s="636"/>
      <c r="M37" s="636"/>
      <c r="N37" s="636"/>
      <c r="O37" s="636"/>
      <c r="P37" s="636"/>
    </row>
    <row r="38" spans="1:16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</row>
    <row r="39" spans="1:16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</row>
    <row r="40" spans="1:16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</row>
    <row r="41" spans="1:16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</row>
    <row r="42" spans="1:16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</row>
    <row r="43" spans="1:16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</row>
    <row r="44" spans="1:16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</row>
    <row r="45" spans="1:16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</row>
    <row r="46" spans="1:16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</row>
    <row r="47" spans="1:16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</row>
    <row r="48" spans="1:16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</row>
    <row r="49" spans="1:16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</row>
    <row r="50" spans="1:16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</row>
    <row r="51" spans="1:16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</row>
    <row r="52" spans="1:16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</row>
    <row r="53" spans="1:16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</row>
    <row r="54" spans="1:16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</row>
    <row r="55" spans="1:16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</row>
    <row r="56" spans="1:16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</row>
    <row r="57" spans="1:16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</row>
    <row r="58" spans="1:16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</row>
    <row r="59" spans="1:16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</row>
    <row r="60" spans="1:16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</row>
    <row r="61" spans="1:16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</row>
    <row r="62" spans="1:16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</row>
    <row r="63" spans="1:16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</row>
    <row r="64" spans="1:16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</row>
    <row r="65" spans="1:16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</row>
    <row r="66" spans="1:16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</row>
    <row r="67" spans="1:16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</row>
    <row r="68" spans="1:16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</row>
    <row r="69" spans="1:16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</row>
    <row r="70" spans="1:16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</row>
    <row r="71" spans="1:16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</row>
    <row r="72" spans="1:16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</row>
    <row r="73" spans="1:16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</row>
    <row r="74" spans="1:16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</row>
    <row r="75" spans="1:16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</row>
    <row r="76" spans="1:16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</row>
    <row r="77" spans="1:16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</row>
    <row r="78" spans="1:16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</row>
    <row r="79" spans="1:16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</row>
    <row r="80" spans="1:16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</row>
    <row r="81" spans="1:16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</row>
    <row r="82" spans="1:16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</row>
    <row r="83" spans="1:16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</row>
    <row r="84" spans="1:16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</row>
    <row r="85" spans="1:16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</row>
    <row r="86" spans="1:16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</row>
    <row r="87" spans="1:16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</row>
  </sheetData>
  <mergeCells count="20"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  <mergeCell ref="B3:I4"/>
  </mergeCells>
  <conditionalFormatting sqref="D19 I14:M18 B14:G18">
    <cfRule type="expression" dxfId="22" priority="1" stopIfTrue="1">
      <formula>$B14&lt;&gt;""</formula>
    </cfRule>
  </conditionalFormatting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J8:L8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K34"/>
  <sheetViews>
    <sheetView topLeftCell="A6" zoomScale="90" workbookViewId="0">
      <pane ySplit="8" topLeftCell="A14" activePane="bottomLeft" state="frozen"/>
      <selection activeCell="A6" sqref="A6"/>
      <selection pane="bottomLeft" activeCell="E37" sqref="E37"/>
    </sheetView>
  </sheetViews>
  <sheetFormatPr defaultRowHeight="14.25"/>
  <cols>
    <col min="1" max="1" width="4.42578125" style="205" customWidth="1"/>
    <col min="2" max="2" width="9.140625" style="205"/>
    <col min="3" max="3" width="9.140625" style="256" customWidth="1"/>
    <col min="4" max="4" width="10.85546875" style="256" customWidth="1"/>
    <col min="5" max="5" width="39.42578125" style="257" customWidth="1"/>
    <col min="6" max="6" width="10.85546875" style="258" customWidth="1"/>
    <col min="7" max="7" width="9" style="259" customWidth="1"/>
    <col min="8" max="8" width="9.5703125" style="259" customWidth="1"/>
    <col min="9" max="9" width="10" style="259" customWidth="1"/>
    <col min="10" max="10" width="8" style="205" customWidth="1"/>
    <col min="11" max="11" width="2.42578125" style="205" customWidth="1"/>
    <col min="12" max="16384" width="9.140625" style="205"/>
  </cols>
  <sheetData>
    <row r="1" spans="1:11" ht="15" customHeight="1">
      <c r="A1" s="202" t="str">
        <f>TH!A1</f>
        <v>Đơn vị: CÔNG TY TNHH MỘT THÀNH VIÊN KHỞI NGUYÊN AN</v>
      </c>
      <c r="B1" s="203"/>
      <c r="C1" s="203"/>
      <c r="D1" s="203"/>
      <c r="E1" s="204"/>
      <c r="F1" s="917" t="s">
        <v>202</v>
      </c>
      <c r="G1" s="917"/>
      <c r="H1" s="917"/>
      <c r="I1" s="917"/>
      <c r="J1" s="917"/>
      <c r="K1" s="206"/>
    </row>
    <row r="2" spans="1:11" ht="15" customHeight="1">
      <c r="A2" s="926" t="str">
        <f>TH!A2</f>
        <v>Địa chỉ: Thửa đất số 144, tờ bản đồ số 12TĐH.1, tổ 1, khu phố Đông Tác, Phường Tân Đông Hiệp, Thị Xã Dĩ An, Tỉnh Bình Dương, Việt Nam</v>
      </c>
      <c r="B2" s="926"/>
      <c r="C2" s="926"/>
      <c r="D2" s="926"/>
      <c r="E2" s="926"/>
      <c r="F2" s="916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16"/>
      <c r="H2" s="916"/>
      <c r="I2" s="916"/>
      <c r="J2" s="916"/>
      <c r="K2" s="206"/>
    </row>
    <row r="3" spans="1:11" ht="15">
      <c r="A3" s="926"/>
      <c r="B3" s="926"/>
      <c r="C3" s="926"/>
      <c r="D3" s="926"/>
      <c r="E3" s="926"/>
      <c r="F3" s="916"/>
      <c r="G3" s="916"/>
      <c r="H3" s="916"/>
      <c r="I3" s="916"/>
      <c r="J3" s="916"/>
      <c r="K3" s="206"/>
    </row>
    <row r="4" spans="1:11" ht="25.5" customHeight="1">
      <c r="A4" s="727"/>
      <c r="B4" s="727"/>
      <c r="C4" s="727"/>
      <c r="D4" s="727"/>
      <c r="E4" s="728" t="s">
        <v>203</v>
      </c>
      <c r="F4" s="727"/>
      <c r="G4" s="727"/>
      <c r="H4" s="727"/>
      <c r="I4" s="727"/>
      <c r="J4" s="206"/>
      <c r="K4" s="206"/>
    </row>
    <row r="5" spans="1:11" ht="15">
      <c r="A5" s="606"/>
      <c r="B5" s="606"/>
      <c r="C5" s="606"/>
      <c r="D5" s="606"/>
      <c r="E5" s="20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606"/>
      <c r="G5" s="606"/>
      <c r="H5" s="606"/>
      <c r="I5" s="606"/>
      <c r="J5" s="206"/>
      <c r="K5" s="206"/>
    </row>
    <row r="6" spans="1:11" ht="15">
      <c r="A6" s="606"/>
      <c r="B6" s="606"/>
      <c r="C6" s="606"/>
      <c r="D6" s="606"/>
      <c r="E6" s="209" t="s">
        <v>204</v>
      </c>
      <c r="F6" s="606"/>
      <c r="G6" s="606"/>
      <c r="H6" s="606"/>
      <c r="I6" s="606"/>
      <c r="J6" s="206"/>
      <c r="K6" s="206"/>
    </row>
    <row r="7" spans="1:11" ht="15">
      <c r="A7" s="605" t="s">
        <v>205</v>
      </c>
      <c r="B7" s="605"/>
      <c r="C7" s="210"/>
      <c r="D7" s="210"/>
      <c r="E7" s="211" t="s">
        <v>509</v>
      </c>
      <c r="F7" s="208"/>
      <c r="G7" s="212"/>
      <c r="H7" s="212"/>
      <c r="I7" s="212"/>
      <c r="J7" s="206"/>
      <c r="K7" s="206"/>
    </row>
    <row r="8" spans="1:11" ht="15">
      <c r="A8" s="605" t="s">
        <v>206</v>
      </c>
      <c r="B8" s="605"/>
      <c r="C8" s="206" t="str">
        <f>VLOOKUP($E$7,NXT!$B$12:$K$60,2,0)</f>
        <v>cái</v>
      </c>
      <c r="D8" s="605"/>
      <c r="E8" s="211"/>
      <c r="F8" s="208"/>
      <c r="G8" s="212"/>
      <c r="H8" s="212"/>
      <c r="I8" s="212"/>
      <c r="J8" s="206"/>
      <c r="K8" s="206"/>
    </row>
    <row r="9" spans="1:11" ht="15">
      <c r="A9" s="918" t="s">
        <v>207</v>
      </c>
      <c r="B9" s="919"/>
      <c r="C9" s="919"/>
      <c r="D9" s="919"/>
      <c r="E9" s="211"/>
      <c r="F9" s="208"/>
      <c r="G9" s="212"/>
      <c r="H9" s="212"/>
      <c r="I9" s="212"/>
      <c r="J9" s="213"/>
      <c r="K9" s="213"/>
    </row>
    <row r="10" spans="1:11" ht="19.5" customHeight="1">
      <c r="A10" s="920" t="s">
        <v>208</v>
      </c>
      <c r="B10" s="921" t="s">
        <v>209</v>
      </c>
      <c r="C10" s="923" t="s">
        <v>15</v>
      </c>
      <c r="D10" s="908"/>
      <c r="E10" s="924" t="s">
        <v>0</v>
      </c>
      <c r="F10" s="914" t="s">
        <v>210</v>
      </c>
      <c r="G10" s="907" t="s">
        <v>183</v>
      </c>
      <c r="H10" s="907"/>
      <c r="I10" s="908"/>
      <c r="J10" s="909" t="s">
        <v>211</v>
      </c>
      <c r="K10" s="214"/>
    </row>
    <row r="11" spans="1:11" ht="19.5" customHeight="1">
      <c r="A11" s="920"/>
      <c r="B11" s="922"/>
      <c r="C11" s="215" t="s">
        <v>195</v>
      </c>
      <c r="D11" s="215" t="s">
        <v>196</v>
      </c>
      <c r="E11" s="925"/>
      <c r="F11" s="915"/>
      <c r="G11" s="216" t="s">
        <v>195</v>
      </c>
      <c r="H11" s="216" t="s">
        <v>196</v>
      </c>
      <c r="I11" s="216" t="s">
        <v>197</v>
      </c>
      <c r="J11" s="910"/>
      <c r="K11" s="214"/>
    </row>
    <row r="12" spans="1:11" ht="15">
      <c r="A12" s="217" t="s">
        <v>2</v>
      </c>
      <c r="B12" s="218" t="s">
        <v>3</v>
      </c>
      <c r="C12" s="219" t="s">
        <v>4</v>
      </c>
      <c r="D12" s="219" t="s">
        <v>5</v>
      </c>
      <c r="E12" s="220" t="s">
        <v>6</v>
      </c>
      <c r="F12" s="218" t="s">
        <v>125</v>
      </c>
      <c r="G12" s="221">
        <v>1</v>
      </c>
      <c r="H12" s="221">
        <v>2</v>
      </c>
      <c r="I12" s="221">
        <v>3</v>
      </c>
      <c r="J12" s="219" t="s">
        <v>126</v>
      </c>
      <c r="K12" s="222"/>
    </row>
    <row r="13" spans="1:11" ht="16.5" customHeight="1">
      <c r="A13" s="223"/>
      <c r="B13" s="224"/>
      <c r="C13" s="225"/>
      <c r="D13" s="225"/>
      <c r="E13" s="226" t="s">
        <v>175</v>
      </c>
      <c r="F13" s="224"/>
      <c r="G13" s="227"/>
      <c r="H13" s="227"/>
      <c r="I13" s="228">
        <f>VLOOKUP($E$7,NXT!$B$12:$K$60,3,0)</f>
        <v>0</v>
      </c>
      <c r="J13" s="223"/>
      <c r="K13" s="229"/>
    </row>
    <row r="14" spans="1:11" ht="16.5" customHeight="1">
      <c r="A14" s="230">
        <f ca="1">IF(B14&lt;&gt;"",ROW()-(ROW()-1),"")</f>
        <v>1</v>
      </c>
      <c r="B14" s="231">
        <f ca="1">IF(ROWS($1:1)&gt;COUNT(Dong12),"",OFFSET(TH!E$1,SMALL(Dong12,ROWS($1:1)),))</f>
        <v>41274</v>
      </c>
      <c r="C14" s="275" t="str">
        <f ca="1">IF(ROWS($1:1)&gt;COUNT(Dong12),"",IF(LEFT(OFFSET(TH!D$1,SMALL(Dong12,ROWS($1:1)),),1)="N",OFFSET(TH!D$1,SMALL(Dong12,ROWS($1:1)),),""))</f>
        <v>NTP</v>
      </c>
      <c r="D14" s="231" t="str">
        <f ca="1">IF(ROWS($1:1)&gt;COUNT(Dong12),"",IF(LEFT(OFFSET(TH!D$1,SMALL(Dong12,ROWS($1:1)),),1)="X",OFFSET(TH!D$1,SMALL(Dong12,ROWS($1:1)),),""))</f>
        <v/>
      </c>
      <c r="E14" s="316" t="str">
        <f ca="1">IF(ROWS($1:1)&gt;COUNT(Dong12),"",OFFSET(TH!H$1,SMALL(Dong12,ROWS($1:1)),))</f>
        <v>Nhập thành phẩm</v>
      </c>
      <c r="F14" s="231">
        <f ca="1">B14</f>
        <v>41274</v>
      </c>
      <c r="G14" s="232">
        <f ca="1">IF(ROWS($1:1)&gt;COUNT(Dong12),0,IF(LEFT(OFFSET(TH!D$1,SMALL(Dong12,ROWS($1:1)),),1)="N",OFFSET(TH!I$1,SMALL(Dong12,ROWS($1:1)),),0))</f>
        <v>40</v>
      </c>
      <c r="H14" s="232">
        <f ca="1">IF(ROWS($1:1)&gt;COUNT(Dong12),0,IF(LEFT(OFFSET(TH!D$1,SMALL(Dong12,ROWS($1:1)),),1)="X",OFFSET(TH!I$1,SMALL(Dong12,ROWS($1:1)),),0))</f>
        <v>0</v>
      </c>
      <c r="I14" s="233">
        <f ca="1">IF(E14&lt;&gt;"",I13+G14-H14,0)</f>
        <v>40</v>
      </c>
      <c r="J14" s="234"/>
      <c r="K14" s="235"/>
    </row>
    <row r="15" spans="1:11" ht="16.5" customHeight="1">
      <c r="A15" s="236">
        <f ca="1">IF(B15&lt;&gt;"",A14+1,"")</f>
        <v>2</v>
      </c>
      <c r="B15" s="231">
        <f ca="1">IF(ROWS($1:2)&gt;COUNT(Dong12),"",OFFSET(TH!E$1,SMALL(Dong12,ROWS($1:2)),))</f>
        <v>41274</v>
      </c>
      <c r="C15" s="275" t="str">
        <f ca="1">IF(ROWS($1:2)&gt;COUNT(Dong12),"",IF(LEFT(OFFSET(TH!D$1,SMALL(Dong12,ROWS($1:2)),),1)="N",OFFSET(TH!D$1,SMALL(Dong12,ROWS($1:2)),),""))</f>
        <v/>
      </c>
      <c r="D15" s="231" t="str">
        <f ca="1">IF(ROWS($1:2)&gt;COUNT(Dong12),"",IF(LEFT(OFFSET(TH!D$1,SMALL(Dong12,ROWS($1:2)),),1)="X",OFFSET(TH!D$1,SMALL(Dong12,ROWS($1:2)),),""))</f>
        <v>XB/GV</v>
      </c>
      <c r="E15" s="316" t="str">
        <f ca="1">IF(ROWS($1:2)&gt;COUNT(Dong12),"",OFFSET(TH!H$1,SMALL(Dong12,ROWS($1:2)),))</f>
        <v>Xuất bán</v>
      </c>
      <c r="F15" s="231">
        <f t="shared" ref="F15:F23" ca="1" si="0">B15</f>
        <v>41274</v>
      </c>
      <c r="G15" s="232">
        <f ca="1">IF(ROWS($1:2)&gt;COUNT(Dong12),0,IF(LEFT(OFFSET(TH!D$1,SMALL(Dong12,ROWS($1:2)),),1)="N",OFFSET(TH!I$1,SMALL(Dong12,ROWS($1:2)),),0))</f>
        <v>0</v>
      </c>
      <c r="H15" s="232">
        <f ca="1">IF(ROWS($1:2)&gt;COUNT(Dong12),0,IF(LEFT(OFFSET(TH!D$1,SMALL(Dong12,ROWS($1:2)),),1)="X",OFFSET(TH!I$1,SMALL(Dong12,ROWS($1:2)),),0))</f>
        <v>40</v>
      </c>
      <c r="I15" s="233">
        <f t="shared" ref="I15:I23" ca="1" si="1">IF(E15&lt;&gt;"",I14+G15-H15,0)</f>
        <v>0</v>
      </c>
      <c r="J15" s="234"/>
      <c r="K15" s="235"/>
    </row>
    <row r="16" spans="1:11" ht="16.5" customHeight="1">
      <c r="A16" s="236" t="str">
        <f t="shared" ref="A16:A23" ca="1" si="2">IF(B16&lt;&gt;"",A15+1,"")</f>
        <v/>
      </c>
      <c r="B16" s="231" t="str">
        <f ca="1">IF(ROWS($1:3)&gt;COUNT(Dong12),"",OFFSET(TH!E$1,SMALL(Dong12,ROWS($1:3)),))</f>
        <v/>
      </c>
      <c r="C16" s="275" t="str">
        <f ca="1">IF(ROWS($1:3)&gt;COUNT(Dong12),"",IF(LEFT(OFFSET(TH!D$1,SMALL(Dong12,ROWS($1:3)),),1)="N",OFFSET(TH!D$1,SMALL(Dong12,ROWS($1:3)),),""))</f>
        <v/>
      </c>
      <c r="D16" s="231" t="str">
        <f ca="1">IF(ROWS($1:3)&gt;COUNT(Dong12),"",IF(LEFT(OFFSET(TH!D$1,SMALL(Dong12,ROWS($1:3)),),1)="X",OFFSET(TH!D$1,SMALL(Dong12,ROWS($1:3)),),""))</f>
        <v/>
      </c>
      <c r="E16" s="316" t="str">
        <f ca="1">IF(ROWS($1:3)&gt;COUNT(Dong12),"",OFFSET(TH!H$1,SMALL(Dong12,ROWS($1:3)),))</f>
        <v/>
      </c>
      <c r="F16" s="231" t="str">
        <f t="shared" ca="1" si="0"/>
        <v/>
      </c>
      <c r="G16" s="232">
        <f ca="1">IF(ROWS($1:3)&gt;COUNT(Dong12),0,IF(LEFT(OFFSET(TH!D$1,SMALL(Dong12,ROWS($1:3)),),1)="N",OFFSET(TH!I$1,SMALL(Dong12,ROWS($1:3)),),0))</f>
        <v>0</v>
      </c>
      <c r="H16" s="232">
        <f ca="1">IF(ROWS($1:3)&gt;COUNT(Dong12),0,IF(LEFT(OFFSET(TH!D$1,SMALL(Dong12,ROWS($1:3)),),1)="X",OFFSET(TH!I$1,SMALL(Dong12,ROWS($1:3)),),0))</f>
        <v>0</v>
      </c>
      <c r="I16" s="233">
        <f t="shared" ca="1" si="1"/>
        <v>0</v>
      </c>
      <c r="J16" s="234"/>
      <c r="K16" s="235"/>
    </row>
    <row r="17" spans="1:11" ht="16.5" customHeight="1">
      <c r="A17" s="236" t="str">
        <f t="shared" ca="1" si="2"/>
        <v/>
      </c>
      <c r="B17" s="231" t="str">
        <f ca="1">IF(ROWS($1:4)&gt;COUNT(Dong12),"",OFFSET(TH!E$1,SMALL(Dong12,ROWS($1:4)),))</f>
        <v/>
      </c>
      <c r="C17" s="275" t="str">
        <f ca="1">IF(ROWS($1:4)&gt;COUNT(Dong12),"",IF(LEFT(OFFSET(TH!D$1,SMALL(Dong12,ROWS($1:4)),),1)="N",OFFSET(TH!D$1,SMALL(Dong12,ROWS($1:4)),),""))</f>
        <v/>
      </c>
      <c r="D17" s="231" t="str">
        <f ca="1">IF(ROWS($1:4)&gt;COUNT(Dong12),"",IF(LEFT(OFFSET(TH!D$1,SMALL(Dong12,ROWS($1:4)),),1)="X",OFFSET(TH!D$1,SMALL(Dong12,ROWS($1:4)),),""))</f>
        <v/>
      </c>
      <c r="E17" s="316" t="str">
        <f ca="1">IF(ROWS($1:4)&gt;COUNT(Dong12),"",OFFSET(TH!H$1,SMALL(Dong12,ROWS($1:4)),))</f>
        <v/>
      </c>
      <c r="F17" s="231" t="str">
        <f t="shared" ca="1" si="0"/>
        <v/>
      </c>
      <c r="G17" s="232">
        <f ca="1">IF(ROWS($1:4)&gt;COUNT(Dong12),0,IF(LEFT(OFFSET(TH!D$1,SMALL(Dong12,ROWS($1:4)),),1)="N",OFFSET(TH!I$1,SMALL(Dong12,ROWS($1:4)),),0))</f>
        <v>0</v>
      </c>
      <c r="H17" s="232">
        <f ca="1">IF(ROWS($1:4)&gt;COUNT(Dong12),0,IF(LEFT(OFFSET(TH!D$1,SMALL(Dong12,ROWS($1:4)),),1)="X",OFFSET(TH!I$1,SMALL(Dong12,ROWS($1:4)),),0))</f>
        <v>0</v>
      </c>
      <c r="I17" s="233">
        <f t="shared" ca="1" si="1"/>
        <v>0</v>
      </c>
      <c r="J17" s="234"/>
      <c r="K17" s="235"/>
    </row>
    <row r="18" spans="1:11" ht="16.5" customHeight="1">
      <c r="A18" s="236" t="str">
        <f t="shared" ca="1" si="2"/>
        <v/>
      </c>
      <c r="B18" s="231" t="str">
        <f ca="1">IF(ROWS($1:5)&gt;COUNT(Dong12),"",OFFSET(TH!E$1,SMALL(Dong12,ROWS($1:5)),))</f>
        <v/>
      </c>
      <c r="C18" s="275" t="str">
        <f ca="1">IF(ROWS($1:5)&gt;COUNT(Dong12),"",IF(LEFT(OFFSET(TH!D$1,SMALL(Dong12,ROWS($1:5)),),1)="N",OFFSET(TH!D$1,SMALL(Dong12,ROWS($1:5)),),""))</f>
        <v/>
      </c>
      <c r="D18" s="231" t="str">
        <f ca="1">IF(ROWS($1:5)&gt;COUNT(Dong12),"",IF(LEFT(OFFSET(TH!D$1,SMALL(Dong12,ROWS($1:5)),),1)="X",OFFSET(TH!D$1,SMALL(Dong12,ROWS($1:5)),),""))</f>
        <v/>
      </c>
      <c r="E18" s="316" t="str">
        <f ca="1">IF(ROWS($1:5)&gt;COUNT(Dong12),"",OFFSET(TH!H$1,SMALL(Dong12,ROWS($1:5)),))</f>
        <v/>
      </c>
      <c r="F18" s="231" t="str">
        <f t="shared" ca="1" si="0"/>
        <v/>
      </c>
      <c r="G18" s="232">
        <f ca="1">IF(ROWS($1:5)&gt;COUNT(Dong12),0,IF(LEFT(OFFSET(TH!D$1,SMALL(Dong12,ROWS($1:5)),),1)="N",OFFSET(TH!I$1,SMALL(Dong12,ROWS($1:5)),),0))</f>
        <v>0</v>
      </c>
      <c r="H18" s="232">
        <f ca="1">IF(ROWS($1:5)&gt;COUNT(Dong12),0,IF(LEFT(OFFSET(TH!D$1,SMALL(Dong12,ROWS($1:5)),),1)="X",OFFSET(TH!I$1,SMALL(Dong12,ROWS($1:5)),),0))</f>
        <v>0</v>
      </c>
      <c r="I18" s="233">
        <f t="shared" ca="1" si="1"/>
        <v>0</v>
      </c>
      <c r="J18" s="234"/>
      <c r="K18" s="235"/>
    </row>
    <row r="19" spans="1:11" ht="16.5" customHeight="1">
      <c r="A19" s="236" t="str">
        <f t="shared" ca="1" si="2"/>
        <v/>
      </c>
      <c r="B19" s="231" t="str">
        <f ca="1">IF(ROWS($1:6)&gt;COUNT(Dong12),"",OFFSET(TH!E$1,SMALL(Dong12,ROWS($1:6)),))</f>
        <v/>
      </c>
      <c r="C19" s="275" t="str">
        <f ca="1">IF(ROWS($1:6)&gt;COUNT(Dong12),"",IF(LEFT(OFFSET(TH!D$1,SMALL(Dong12,ROWS($1:6)),),1)="N",OFFSET(TH!D$1,SMALL(Dong12,ROWS($1:6)),),""))</f>
        <v/>
      </c>
      <c r="D19" s="231" t="str">
        <f ca="1">IF(ROWS($1:6)&gt;COUNT(Dong12),"",IF(LEFT(OFFSET(TH!D$1,SMALL(Dong12,ROWS($1:6)),),1)="X",OFFSET(TH!D$1,SMALL(Dong12,ROWS($1:6)),),""))</f>
        <v/>
      </c>
      <c r="E19" s="316" t="str">
        <f ca="1">IF(ROWS($1:6)&gt;COUNT(Dong12),"",OFFSET(TH!H$1,SMALL(Dong12,ROWS($1:6)),))</f>
        <v/>
      </c>
      <c r="F19" s="231" t="str">
        <f t="shared" ca="1" si="0"/>
        <v/>
      </c>
      <c r="G19" s="232">
        <f ca="1">IF(ROWS($1:6)&gt;COUNT(Dong12),0,IF(LEFT(OFFSET(TH!D$1,SMALL(Dong12,ROWS($1:6)),),1)="N",OFFSET(TH!I$1,SMALL(Dong12,ROWS($1:6)),),0))</f>
        <v>0</v>
      </c>
      <c r="H19" s="232">
        <f ca="1">IF(ROWS($1:6)&gt;COUNT(Dong12),0,IF(LEFT(OFFSET(TH!D$1,SMALL(Dong12,ROWS($1:6)),),1)="X",OFFSET(TH!I$1,SMALL(Dong12,ROWS($1:6)),),0))</f>
        <v>0</v>
      </c>
      <c r="I19" s="233">
        <f t="shared" ca="1" si="1"/>
        <v>0</v>
      </c>
      <c r="J19" s="234"/>
      <c r="K19" s="235"/>
    </row>
    <row r="20" spans="1:11" ht="16.5" customHeight="1">
      <c r="A20" s="236" t="str">
        <f t="shared" ca="1" si="2"/>
        <v/>
      </c>
      <c r="B20" s="231" t="str">
        <f ca="1">IF(ROWS($1:7)&gt;COUNT(Dong12),"",OFFSET(TH!E$1,SMALL(Dong12,ROWS($1:7)),))</f>
        <v/>
      </c>
      <c r="C20" s="275" t="str">
        <f ca="1">IF(ROWS($1:7)&gt;COUNT(Dong12),"",IF(LEFT(OFFSET(TH!D$1,SMALL(Dong12,ROWS($1:7)),),1)="N",OFFSET(TH!D$1,SMALL(Dong12,ROWS($1:7)),),""))</f>
        <v/>
      </c>
      <c r="D20" s="231" t="str">
        <f ca="1">IF(ROWS($1:7)&gt;COUNT(Dong12),"",IF(LEFT(OFFSET(TH!D$1,SMALL(Dong12,ROWS($1:7)),),1)="X",OFFSET(TH!D$1,SMALL(Dong12,ROWS($1:7)),),""))</f>
        <v/>
      </c>
      <c r="E20" s="316" t="str">
        <f ca="1">IF(ROWS($1:7)&gt;COUNT(Dong12),"",OFFSET(TH!H$1,SMALL(Dong12,ROWS($1:7)),))</f>
        <v/>
      </c>
      <c r="F20" s="231" t="str">
        <f t="shared" ca="1" si="0"/>
        <v/>
      </c>
      <c r="G20" s="232">
        <f ca="1">IF(ROWS($1:7)&gt;COUNT(Dong12),0,IF(LEFT(OFFSET(TH!D$1,SMALL(Dong12,ROWS($1:7)),),1)="N",OFFSET(TH!I$1,SMALL(Dong12,ROWS($1:7)),),0))</f>
        <v>0</v>
      </c>
      <c r="H20" s="232">
        <f ca="1">IF(ROWS($1:7)&gt;COUNT(Dong12),0,IF(LEFT(OFFSET(TH!D$1,SMALL(Dong12,ROWS($1:7)),),1)="X",OFFSET(TH!I$1,SMALL(Dong12,ROWS($1:7)),),0))</f>
        <v>0</v>
      </c>
      <c r="I20" s="233">
        <f t="shared" ca="1" si="1"/>
        <v>0</v>
      </c>
      <c r="J20" s="234"/>
      <c r="K20" s="235"/>
    </row>
    <row r="21" spans="1:11" ht="16.5" customHeight="1">
      <c r="A21" s="236" t="str">
        <f t="shared" ca="1" si="2"/>
        <v/>
      </c>
      <c r="B21" s="231" t="str">
        <f ca="1">IF(ROWS($1:8)&gt;COUNT(Dong12),"",OFFSET(TH!E$1,SMALL(Dong12,ROWS($1:8)),))</f>
        <v/>
      </c>
      <c r="C21" s="275" t="str">
        <f ca="1">IF(ROWS($1:8)&gt;COUNT(Dong12),"",IF(LEFT(OFFSET(TH!D$1,SMALL(Dong12,ROWS($1:8)),),1)="N",OFFSET(TH!D$1,SMALL(Dong12,ROWS($1:8)),),""))</f>
        <v/>
      </c>
      <c r="D21" s="231" t="str">
        <f ca="1">IF(ROWS($1:8)&gt;COUNT(Dong12),"",IF(LEFT(OFFSET(TH!D$1,SMALL(Dong12,ROWS($1:8)),),1)="X",OFFSET(TH!D$1,SMALL(Dong12,ROWS($1:8)),),""))</f>
        <v/>
      </c>
      <c r="E21" s="316" t="str">
        <f ca="1">IF(ROWS($1:8)&gt;COUNT(Dong12),"",OFFSET(TH!H$1,SMALL(Dong12,ROWS($1:8)),))</f>
        <v/>
      </c>
      <c r="F21" s="231" t="str">
        <f t="shared" ca="1" si="0"/>
        <v/>
      </c>
      <c r="G21" s="232">
        <f ca="1">IF(ROWS($1:8)&gt;COUNT(Dong12),0,IF(LEFT(OFFSET(TH!D$1,SMALL(Dong12,ROWS($1:8)),),1)="N",OFFSET(TH!I$1,SMALL(Dong12,ROWS($1:8)),),0))</f>
        <v>0</v>
      </c>
      <c r="H21" s="232">
        <f ca="1">IF(ROWS($1:8)&gt;COUNT(Dong12),0,IF(LEFT(OFFSET(TH!D$1,SMALL(Dong12,ROWS($1:8)),),1)="X",OFFSET(TH!I$1,SMALL(Dong12,ROWS($1:8)),),0))</f>
        <v>0</v>
      </c>
      <c r="I21" s="233">
        <f t="shared" ca="1" si="1"/>
        <v>0</v>
      </c>
      <c r="J21" s="234"/>
      <c r="K21" s="235"/>
    </row>
    <row r="22" spans="1:11" ht="16.5" customHeight="1">
      <c r="A22" s="236" t="str">
        <f t="shared" ca="1" si="2"/>
        <v/>
      </c>
      <c r="B22" s="231" t="str">
        <f ca="1">IF(ROWS($1:9)&gt;COUNT(Dong12),"",OFFSET(TH!E$1,SMALL(Dong12,ROWS($1:9)),))</f>
        <v/>
      </c>
      <c r="C22" s="275" t="str">
        <f ca="1">IF(ROWS($1:9)&gt;COUNT(Dong12),"",IF(LEFT(OFFSET(TH!D$1,SMALL(Dong12,ROWS($1:9)),),1)="N",OFFSET(TH!D$1,SMALL(Dong12,ROWS($1:9)),),""))</f>
        <v/>
      </c>
      <c r="D22" s="231" t="str">
        <f ca="1">IF(ROWS($1:9)&gt;COUNT(Dong12),"",IF(LEFT(OFFSET(TH!D$1,SMALL(Dong12,ROWS($1:9)),),1)="X",OFFSET(TH!D$1,SMALL(Dong12,ROWS($1:9)),),""))</f>
        <v/>
      </c>
      <c r="E22" s="316" t="str">
        <f ca="1">IF(ROWS($1:9)&gt;COUNT(Dong12),"",OFFSET(TH!H$1,SMALL(Dong12,ROWS($1:9)),))</f>
        <v/>
      </c>
      <c r="F22" s="231" t="str">
        <f t="shared" ca="1" si="0"/>
        <v/>
      </c>
      <c r="G22" s="232">
        <f ca="1">IF(ROWS($1:9)&gt;COUNT(Dong12),0,IF(LEFT(OFFSET(TH!D$1,SMALL(Dong12,ROWS($1:9)),),1)="N",OFFSET(TH!I$1,SMALL(Dong12,ROWS($1:9)),),0))</f>
        <v>0</v>
      </c>
      <c r="H22" s="232">
        <f ca="1">IF(ROWS($1:9)&gt;COUNT(Dong12),0,IF(LEFT(OFFSET(TH!D$1,SMALL(Dong12,ROWS($1:9)),),1)="X",OFFSET(TH!I$1,SMALL(Dong12,ROWS($1:9)),),0))</f>
        <v>0</v>
      </c>
      <c r="I22" s="233">
        <f t="shared" ca="1" si="1"/>
        <v>0</v>
      </c>
      <c r="J22" s="234"/>
      <c r="K22" s="235"/>
    </row>
    <row r="23" spans="1:11" ht="16.5" customHeight="1">
      <c r="A23" s="236" t="str">
        <f t="shared" ca="1" si="2"/>
        <v/>
      </c>
      <c r="B23" s="231" t="str">
        <f ca="1">IF(ROWS($1:10)&gt;COUNT(Dong12),"",OFFSET(TH!E$1,SMALL(Dong12,ROWS($1:10)),))</f>
        <v/>
      </c>
      <c r="C23" s="275" t="str">
        <f ca="1">IF(ROWS($1:10)&gt;COUNT(Dong12),"",IF(LEFT(OFFSET(TH!D$1,SMALL(Dong12,ROWS($1:10)),),1)="N",OFFSET(TH!D$1,SMALL(Dong12,ROWS($1:10)),),""))</f>
        <v/>
      </c>
      <c r="D23" s="231" t="str">
        <f ca="1">IF(ROWS($1:10)&gt;COUNT(Dong12),"",IF(LEFT(OFFSET(TH!D$1,SMALL(Dong12,ROWS($1:10)),),1)="X",OFFSET(TH!D$1,SMALL(Dong12,ROWS($1:10)),),""))</f>
        <v/>
      </c>
      <c r="E23" s="316" t="str">
        <f ca="1">IF(ROWS($1:10)&gt;COUNT(Dong12),"",OFFSET(TH!H$1,SMALL(Dong12,ROWS($1:10)),))</f>
        <v/>
      </c>
      <c r="F23" s="231" t="str">
        <f t="shared" ca="1" si="0"/>
        <v/>
      </c>
      <c r="G23" s="232">
        <f ca="1">IF(ROWS($1:10)&gt;COUNT(Dong12),0,IF(LEFT(OFFSET(TH!D$1,SMALL(Dong12,ROWS($1:10)),),1)="N",OFFSET(TH!I$1,SMALL(Dong12,ROWS($1:10)),),0))</f>
        <v>0</v>
      </c>
      <c r="H23" s="232">
        <f ca="1">IF(ROWS($1:10)&gt;COUNT(Dong12),0,IF(LEFT(OFFSET(TH!D$1,SMALL(Dong12,ROWS($1:10)),),1)="X",OFFSET(TH!I$1,SMALL(Dong12,ROWS($1:10)),),0))</f>
        <v>0</v>
      </c>
      <c r="I23" s="233">
        <f t="shared" ca="1" si="1"/>
        <v>0</v>
      </c>
      <c r="J23" s="234"/>
      <c r="K23" s="235"/>
    </row>
    <row r="24" spans="1:11" ht="16.5" customHeight="1">
      <c r="A24" s="237" t="str">
        <f>IF(D24&lt;&gt;"",A21+1,"")</f>
        <v/>
      </c>
      <c r="B24" s="238"/>
      <c r="C24" s="239"/>
      <c r="D24" s="239"/>
      <c r="E24" s="317"/>
      <c r="F24" s="238"/>
      <c r="G24" s="240"/>
      <c r="H24" s="240"/>
      <c r="I24" s="240"/>
      <c r="J24" s="241"/>
      <c r="K24" s="235"/>
    </row>
    <row r="25" spans="1:11" ht="16.5" customHeight="1">
      <c r="A25" s="225"/>
      <c r="B25" s="242"/>
      <c r="C25" s="225"/>
      <c r="D25" s="225"/>
      <c r="E25" s="226" t="s">
        <v>212</v>
      </c>
      <c r="F25" s="243" t="s">
        <v>19</v>
      </c>
      <c r="G25" s="244">
        <f ca="1">SUM(G14:G24)</f>
        <v>40</v>
      </c>
      <c r="H25" s="244">
        <f ca="1">SUM(H14:H24)</f>
        <v>40</v>
      </c>
      <c r="I25" s="244">
        <f ca="1">I13+G25-H25</f>
        <v>0</v>
      </c>
      <c r="J25" s="225" t="s">
        <v>19</v>
      </c>
      <c r="K25" s="245"/>
    </row>
    <row r="26" spans="1:11" ht="12.75" customHeight="1">
      <c r="A26" s="246"/>
      <c r="B26" s="208"/>
      <c r="C26" s="246"/>
      <c r="D26" s="246"/>
      <c r="E26" s="211"/>
      <c r="F26" s="208"/>
      <c r="G26" s="212"/>
      <c r="H26" s="212"/>
      <c r="I26" s="212"/>
      <c r="J26" s="206"/>
      <c r="K26" s="206"/>
    </row>
    <row r="27" spans="1:11" ht="15">
      <c r="A27" s="247" t="s">
        <v>213</v>
      </c>
      <c r="B27" s="247"/>
      <c r="C27" s="248"/>
      <c r="D27" s="248"/>
      <c r="E27" s="211"/>
      <c r="F27" s="208"/>
      <c r="G27" s="212"/>
      <c r="H27" s="212"/>
      <c r="I27" s="212"/>
      <c r="J27" s="206"/>
      <c r="K27" s="206"/>
    </row>
    <row r="28" spans="1:11" ht="15">
      <c r="A28" s="911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912"/>
      <c r="C28" s="912"/>
      <c r="D28" s="912"/>
      <c r="E28" s="912"/>
      <c r="F28" s="208"/>
      <c r="G28" s="212"/>
      <c r="H28" s="212"/>
      <c r="I28" s="212"/>
      <c r="J28" s="206"/>
      <c r="K28" s="206"/>
    </row>
    <row r="29" spans="1:11" ht="15">
      <c r="A29" s="249"/>
      <c r="B29" s="250"/>
      <c r="C29" s="251"/>
      <c r="D29" s="246"/>
      <c r="E29" s="211"/>
      <c r="F29" s="208"/>
      <c r="H29" s="154"/>
      <c r="I29" s="283" t="str">
        <f ca="1">"Ngày 31 tháng  12  năm  "&amp;YEAR($B$14)</f>
        <v>Ngày 31 tháng  12  năm  2012</v>
      </c>
      <c r="J29" s="154"/>
      <c r="K29" s="283"/>
    </row>
    <row r="30" spans="1:11" ht="15" customHeight="1">
      <c r="A30" s="249"/>
      <c r="C30" s="607" t="s">
        <v>214</v>
      </c>
      <c r="D30" s="246"/>
      <c r="E30" s="913" t="s">
        <v>12</v>
      </c>
      <c r="F30" s="913"/>
      <c r="G30" s="212"/>
      <c r="I30" s="301" t="s">
        <v>104</v>
      </c>
      <c r="J30" s="207"/>
      <c r="K30" s="249"/>
    </row>
    <row r="31" spans="1:11" ht="15" customHeight="1">
      <c r="A31" s="252"/>
      <c r="C31" s="253" t="s">
        <v>13</v>
      </c>
      <c r="D31" s="254"/>
      <c r="E31" s="906" t="s">
        <v>13</v>
      </c>
      <c r="F31" s="906"/>
      <c r="G31" s="212"/>
      <c r="I31" s="302" t="s">
        <v>131</v>
      </c>
      <c r="J31" s="300"/>
      <c r="K31" s="252"/>
    </row>
    <row r="32" spans="1:11" ht="15">
      <c r="A32" s="252"/>
      <c r="C32" s="253"/>
      <c r="D32" s="246"/>
      <c r="E32" s="255"/>
      <c r="F32" s="604"/>
      <c r="G32" s="212"/>
      <c r="H32" s="252"/>
      <c r="I32" s="252"/>
      <c r="J32" s="252"/>
      <c r="K32" s="252"/>
    </row>
    <row r="33" spans="1:11" ht="15">
      <c r="A33" s="252"/>
      <c r="B33" s="253"/>
      <c r="C33" s="252"/>
      <c r="D33" s="246"/>
      <c r="E33" s="255"/>
      <c r="F33" s="604"/>
      <c r="G33" s="212"/>
      <c r="H33" s="252"/>
      <c r="I33" s="252"/>
      <c r="J33" s="252"/>
      <c r="K33" s="252"/>
    </row>
    <row r="34" spans="1:11" ht="15">
      <c r="A34" s="252"/>
      <c r="B34" s="253"/>
      <c r="C34" s="252"/>
      <c r="D34" s="246"/>
      <c r="E34" s="255"/>
      <c r="F34" s="604"/>
      <c r="G34" s="212"/>
      <c r="H34" s="252"/>
      <c r="I34" s="252"/>
      <c r="J34" s="252"/>
      <c r="K34" s="252"/>
    </row>
  </sheetData>
  <mergeCells count="14">
    <mergeCell ref="F2:J3"/>
    <mergeCell ref="F1:J1"/>
    <mergeCell ref="A9:D9"/>
    <mergeCell ref="A10:A11"/>
    <mergeCell ref="B10:B11"/>
    <mergeCell ref="C10:D10"/>
    <mergeCell ref="E10:E11"/>
    <mergeCell ref="A2:E3"/>
    <mergeCell ref="E31:F31"/>
    <mergeCell ref="G10:I10"/>
    <mergeCell ref="J10:J11"/>
    <mergeCell ref="A28:E28"/>
    <mergeCell ref="E30:F30"/>
    <mergeCell ref="F10:F11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E7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84"/>
  <sheetViews>
    <sheetView topLeftCell="A13" zoomScale="90" zoomScaleNormal="90" workbookViewId="0">
      <selection activeCell="B29" sqref="B29"/>
    </sheetView>
  </sheetViews>
  <sheetFormatPr defaultColWidth="10.28515625" defaultRowHeight="15"/>
  <cols>
    <col min="1" max="1" width="5.5703125" style="729" customWidth="1"/>
    <col min="2" max="2" width="30.7109375" style="729" customWidth="1"/>
    <col min="3" max="6" width="13.7109375" style="729" customWidth="1"/>
    <col min="7" max="7" width="13.7109375" style="730" hidden="1" customWidth="1"/>
    <col min="8" max="8" width="13" style="729" customWidth="1"/>
    <col min="9" max="9" width="8.5703125" style="729" customWidth="1"/>
    <col min="10" max="10" width="8.7109375" style="729" customWidth="1"/>
    <col min="11" max="11" width="7.140625" style="731" hidden="1" customWidth="1"/>
    <col min="12" max="12" width="2" style="731" customWidth="1"/>
    <col min="13" max="13" width="30.140625" style="729" customWidth="1"/>
    <col min="14" max="14" width="10.140625" style="732" customWidth="1"/>
    <col min="15" max="15" width="6.42578125" style="733" hidden="1" customWidth="1"/>
    <col min="16" max="16" width="7" style="734" customWidth="1"/>
    <col min="17" max="17" width="7.5703125" style="358" customWidth="1"/>
    <col min="18" max="18" width="12.42578125" style="729" customWidth="1"/>
    <col min="19" max="19" width="10.28515625" style="729" customWidth="1"/>
    <col min="20" max="16384" width="10.28515625" style="729"/>
  </cols>
  <sheetData>
    <row r="1" spans="1:20">
      <c r="B1" s="729">
        <v>1</v>
      </c>
      <c r="C1" s="729">
        <v>5</v>
      </c>
      <c r="D1" s="729">
        <v>6</v>
      </c>
      <c r="E1" s="729">
        <v>7</v>
      </c>
      <c r="F1" s="729">
        <v>8</v>
      </c>
      <c r="G1" s="730">
        <v>12</v>
      </c>
      <c r="H1" s="729">
        <v>13</v>
      </c>
      <c r="I1" s="729">
        <v>14</v>
      </c>
      <c r="J1" s="729">
        <v>15</v>
      </c>
    </row>
    <row r="2" spans="1:20" ht="18" customHeight="1">
      <c r="A2" s="285" t="str">
        <f>TH!$A$1</f>
        <v>Đơn vị: CÔNG TY TNHH MỘT THÀNH VIÊN KHỞI NGUYÊN AN</v>
      </c>
      <c r="B2" s="735"/>
      <c r="C2" s="358"/>
      <c r="D2" s="358"/>
      <c r="E2" s="358"/>
      <c r="F2" s="358"/>
      <c r="G2" s="192"/>
      <c r="H2" s="358"/>
      <c r="I2" s="304"/>
      <c r="J2" s="358"/>
      <c r="K2" s="736"/>
      <c r="L2" s="736"/>
      <c r="M2" s="358"/>
      <c r="N2" s="357"/>
    </row>
    <row r="3" spans="1:20" ht="18.75" customHeight="1">
      <c r="A3" s="737" t="s">
        <v>516</v>
      </c>
      <c r="B3" s="737"/>
      <c r="C3" s="737"/>
      <c r="D3" s="737"/>
      <c r="E3" s="737"/>
      <c r="F3" s="737"/>
      <c r="G3" s="738"/>
      <c r="H3" s="737"/>
      <c r="I3" s="737"/>
      <c r="J3" s="737"/>
      <c r="K3" s="736"/>
      <c r="L3" s="736"/>
      <c r="M3" s="358"/>
      <c r="N3" s="357"/>
    </row>
    <row r="4" spans="1:20" ht="12.75" customHeight="1">
      <c r="A4" s="739"/>
      <c r="B4" s="740"/>
      <c r="C4" s="740"/>
      <c r="D4" s="740"/>
      <c r="E4" s="740"/>
      <c r="F4" s="740"/>
      <c r="G4" s="741"/>
      <c r="H4" s="740"/>
      <c r="I4" s="742"/>
      <c r="J4" s="740"/>
      <c r="K4" s="736"/>
      <c r="L4" s="736"/>
      <c r="M4" s="743"/>
      <c r="N4" s="739"/>
      <c r="O4" s="739"/>
      <c r="P4" s="744"/>
      <c r="Q4" s="745"/>
      <c r="R4" s="739"/>
      <c r="S4" s="743"/>
      <c r="T4" s="743"/>
    </row>
    <row r="5" spans="1:20" s="753" customFormat="1" ht="42" customHeight="1">
      <c r="A5" s="746" t="s">
        <v>34</v>
      </c>
      <c r="B5" s="746" t="s">
        <v>215</v>
      </c>
      <c r="C5" s="747" t="s">
        <v>219</v>
      </c>
      <c r="D5" s="747" t="s">
        <v>288</v>
      </c>
      <c r="E5" s="747" t="s">
        <v>220</v>
      </c>
      <c r="F5" s="747" t="s">
        <v>283</v>
      </c>
      <c r="G5" s="748" t="s">
        <v>221</v>
      </c>
      <c r="H5" s="747" t="s">
        <v>222</v>
      </c>
      <c r="I5" s="749" t="s">
        <v>217</v>
      </c>
      <c r="J5" s="747" t="s">
        <v>223</v>
      </c>
      <c r="K5" s="750"/>
      <c r="L5" s="750"/>
      <c r="M5" s="746" t="s">
        <v>215</v>
      </c>
      <c r="N5" s="747" t="s">
        <v>209</v>
      </c>
      <c r="O5" s="751" t="s">
        <v>216</v>
      </c>
      <c r="P5" s="752" t="s">
        <v>179</v>
      </c>
      <c r="Q5" s="747" t="s">
        <v>218</v>
      </c>
      <c r="R5" s="747" t="s">
        <v>224</v>
      </c>
    </row>
    <row r="6" spans="1:20" ht="21.75" customHeight="1">
      <c r="A6" s="754">
        <f>IF(B6&lt;&gt;"",ROW()-(ROW()-1),"")</f>
        <v>1</v>
      </c>
      <c r="B6" s="714" t="s">
        <v>462</v>
      </c>
      <c r="C6" s="632">
        <f>R6</f>
        <v>9354400</v>
      </c>
      <c r="D6" s="755">
        <f t="shared" ref="D6:F15" si="0">IF($I$36&lt;&gt;0,D$36/$I$36*$I6,0)</f>
        <v>9752940.9546791334</v>
      </c>
      <c r="E6" s="755">
        <f t="shared" si="0"/>
        <v>2922022.2833873769</v>
      </c>
      <c r="F6" s="755">
        <f t="shared" si="0"/>
        <v>1088306.4060025639</v>
      </c>
      <c r="G6" s="725"/>
      <c r="H6" s="632">
        <f>SUM(C6:F6)</f>
        <v>23117669.644069072</v>
      </c>
      <c r="I6" s="755">
        <v>22750</v>
      </c>
      <c r="J6" s="755">
        <f>IF(I6&lt;&gt;"",H6/I6,"")</f>
        <v>1016.1613030360031</v>
      </c>
      <c r="K6" s="756">
        <v>900</v>
      </c>
      <c r="L6" s="757"/>
      <c r="M6" s="758" t="s">
        <v>377</v>
      </c>
      <c r="N6" s="759"/>
      <c r="O6" s="759"/>
      <c r="P6" s="351">
        <v>800</v>
      </c>
      <c r="Q6" s="351">
        <v>11693</v>
      </c>
      <c r="R6" s="632">
        <f>ROUND(P6*Q6,0)</f>
        <v>9354400</v>
      </c>
    </row>
    <row r="7" spans="1:20" ht="21.75" customHeight="1">
      <c r="A7" s="754">
        <f t="shared" ref="A7:A15" si="1">IF(B7&lt;&gt;"",A6+1,"")</f>
        <v>2</v>
      </c>
      <c r="B7" s="714" t="s">
        <v>511</v>
      </c>
      <c r="C7" s="632">
        <f>R7</f>
        <v>1146600</v>
      </c>
      <c r="D7" s="755">
        <f t="shared" si="0"/>
        <v>25722.042078274637</v>
      </c>
      <c r="E7" s="755">
        <f t="shared" si="0"/>
        <v>7706.4323957469278</v>
      </c>
      <c r="F7" s="755">
        <f t="shared" si="0"/>
        <v>2870.2586531935754</v>
      </c>
      <c r="G7" s="725"/>
      <c r="H7" s="632">
        <f t="shared" ref="H7:H34" si="2">SUM(C7:F7)</f>
        <v>1182898.7331272149</v>
      </c>
      <c r="I7" s="760">
        <v>60</v>
      </c>
      <c r="J7" s="755">
        <f>IF(I7&lt;&gt;"",H7/I7,"")</f>
        <v>19714.978885453584</v>
      </c>
      <c r="K7" s="756">
        <v>88860</v>
      </c>
      <c r="L7" s="757"/>
      <c r="M7" s="758" t="s">
        <v>378</v>
      </c>
      <c r="N7" s="759"/>
      <c r="O7" s="759"/>
      <c r="P7" s="351">
        <f>320-260</f>
        <v>60</v>
      </c>
      <c r="Q7" s="351">
        <v>19110</v>
      </c>
      <c r="R7" s="612">
        <f t="shared" ref="R7" si="3">ROUND(P7*Q7,0)</f>
        <v>1146600</v>
      </c>
    </row>
    <row r="8" spans="1:20" ht="21.75" customHeight="1">
      <c r="A8" s="754">
        <f t="shared" si="1"/>
        <v>3</v>
      </c>
      <c r="B8" s="714" t="s">
        <v>470</v>
      </c>
      <c r="C8" s="632">
        <f t="shared" ref="C8:C34" si="4">R8</f>
        <v>14037750</v>
      </c>
      <c r="D8" s="755">
        <f t="shared" si="0"/>
        <v>1415998.4164090189</v>
      </c>
      <c r="E8" s="755">
        <f t="shared" si="0"/>
        <v>424239.10338586837</v>
      </c>
      <c r="F8" s="755">
        <f t="shared" si="0"/>
        <v>158007.73885830631</v>
      </c>
      <c r="G8" s="725"/>
      <c r="H8" s="632">
        <f t="shared" si="2"/>
        <v>16035995.258653194</v>
      </c>
      <c r="I8" s="755">
        <v>3303</v>
      </c>
      <c r="J8" s="755">
        <f t="shared" ref="J8:J34" si="5">IF(I8&lt;&gt;"",H8/I8,"")</f>
        <v>4854.9788854535855</v>
      </c>
      <c r="K8" s="756">
        <v>5150</v>
      </c>
      <c r="L8" s="757"/>
      <c r="M8" s="758" t="s">
        <v>353</v>
      </c>
      <c r="N8" s="759"/>
      <c r="O8" s="759"/>
      <c r="P8" s="351">
        <v>1101</v>
      </c>
      <c r="Q8" s="351">
        <v>12750</v>
      </c>
      <c r="R8" s="612">
        <f t="shared" ref="R8:R34" si="6">ROUND(P8*Q8,0)</f>
        <v>14037750</v>
      </c>
    </row>
    <row r="9" spans="1:20" ht="21.75" customHeight="1">
      <c r="A9" s="754">
        <f t="shared" si="1"/>
        <v>4</v>
      </c>
      <c r="B9" s="714" t="s">
        <v>494</v>
      </c>
      <c r="C9" s="632">
        <f t="shared" si="4"/>
        <v>4612800</v>
      </c>
      <c r="D9" s="755">
        <f t="shared" si="0"/>
        <v>342960.56104366184</v>
      </c>
      <c r="E9" s="755">
        <f t="shared" si="0"/>
        <v>102752.43194329237</v>
      </c>
      <c r="F9" s="755">
        <f t="shared" si="0"/>
        <v>38270.115375914334</v>
      </c>
      <c r="G9" s="725"/>
      <c r="H9" s="632">
        <f t="shared" si="2"/>
        <v>5096783.1083628694</v>
      </c>
      <c r="I9" s="760">
        <v>800</v>
      </c>
      <c r="J9" s="755">
        <f t="shared" si="5"/>
        <v>6370.9788854535864</v>
      </c>
      <c r="K9" s="756">
        <v>5320</v>
      </c>
      <c r="L9" s="757"/>
      <c r="M9" s="758" t="s">
        <v>390</v>
      </c>
      <c r="N9" s="759"/>
      <c r="O9" s="759"/>
      <c r="P9" s="351">
        <v>400</v>
      </c>
      <c r="Q9" s="351">
        <v>11532</v>
      </c>
      <c r="R9" s="612">
        <f t="shared" si="6"/>
        <v>4612800</v>
      </c>
    </row>
    <row r="10" spans="1:20" ht="21.75" customHeight="1">
      <c r="A10" s="754">
        <f t="shared" si="1"/>
        <v>5</v>
      </c>
      <c r="B10" s="714" t="s">
        <v>506</v>
      </c>
      <c r="C10" s="632">
        <f t="shared" si="4"/>
        <v>1302000</v>
      </c>
      <c r="D10" s="755">
        <f t="shared" si="0"/>
        <v>42870.070130457731</v>
      </c>
      <c r="E10" s="755">
        <f t="shared" si="0"/>
        <v>12844.053992911546</v>
      </c>
      <c r="F10" s="755">
        <f t="shared" si="0"/>
        <v>4783.7644219892918</v>
      </c>
      <c r="G10" s="725"/>
      <c r="H10" s="632">
        <f t="shared" si="2"/>
        <v>1362497.8885453583</v>
      </c>
      <c r="I10" s="755">
        <v>100</v>
      </c>
      <c r="J10" s="755">
        <f t="shared" si="5"/>
        <v>13624.978885453584</v>
      </c>
      <c r="K10" s="756">
        <v>18550</v>
      </c>
      <c r="L10" s="757"/>
      <c r="M10" s="758" t="s">
        <v>350</v>
      </c>
      <c r="N10" s="759"/>
      <c r="O10" s="759"/>
      <c r="P10" s="351">
        <v>100</v>
      </c>
      <c r="Q10" s="351">
        <v>13020</v>
      </c>
      <c r="R10" s="612">
        <f t="shared" si="6"/>
        <v>1302000</v>
      </c>
    </row>
    <row r="11" spans="1:20" ht="21.75" customHeight="1">
      <c r="A11" s="754">
        <f t="shared" si="1"/>
        <v>6</v>
      </c>
      <c r="B11" s="714" t="s">
        <v>509</v>
      </c>
      <c r="C11" s="632">
        <f t="shared" si="4"/>
        <v>520800</v>
      </c>
      <c r="D11" s="755">
        <f t="shared" si="0"/>
        <v>17148.028052183094</v>
      </c>
      <c r="E11" s="755">
        <f t="shared" si="0"/>
        <v>5137.6215971646179</v>
      </c>
      <c r="F11" s="755">
        <f t="shared" si="0"/>
        <v>1913.5057687957169</v>
      </c>
      <c r="G11" s="725"/>
      <c r="H11" s="632">
        <f t="shared" si="2"/>
        <v>544999.15541814349</v>
      </c>
      <c r="I11" s="760">
        <v>40</v>
      </c>
      <c r="J11" s="755">
        <f t="shared" si="5"/>
        <v>13624.978885453587</v>
      </c>
      <c r="K11" s="756">
        <v>38150</v>
      </c>
      <c r="L11" s="757"/>
      <c r="M11" s="758" t="s">
        <v>350</v>
      </c>
      <c r="N11" s="759"/>
      <c r="O11" s="759"/>
      <c r="P11" s="351">
        <v>40</v>
      </c>
      <c r="Q11" s="351">
        <v>13020</v>
      </c>
      <c r="R11" s="612">
        <f t="shared" si="6"/>
        <v>520800</v>
      </c>
    </row>
    <row r="12" spans="1:20" ht="21.75" customHeight="1">
      <c r="A12" s="754">
        <f t="shared" si="1"/>
        <v>7</v>
      </c>
      <c r="B12" s="714" t="s">
        <v>507</v>
      </c>
      <c r="C12" s="632">
        <f t="shared" si="4"/>
        <v>2343600</v>
      </c>
      <c r="D12" s="755">
        <f t="shared" si="0"/>
        <v>77166.126234823911</v>
      </c>
      <c r="E12" s="755">
        <f t="shared" si="0"/>
        <v>23119.297187240783</v>
      </c>
      <c r="F12" s="755">
        <f t="shared" si="0"/>
        <v>8610.7759595807256</v>
      </c>
      <c r="G12" s="725"/>
      <c r="H12" s="632">
        <f t="shared" si="2"/>
        <v>2452496.1993816453</v>
      </c>
      <c r="I12" s="755">
        <v>180</v>
      </c>
      <c r="J12" s="755">
        <f t="shared" si="5"/>
        <v>13624.978885453585</v>
      </c>
      <c r="K12" s="756">
        <v>24000</v>
      </c>
      <c r="L12" s="757"/>
      <c r="M12" s="758" t="s">
        <v>350</v>
      </c>
      <c r="N12" s="759"/>
      <c r="O12" s="759"/>
      <c r="P12" s="351">
        <v>180</v>
      </c>
      <c r="Q12" s="351">
        <v>13020</v>
      </c>
      <c r="R12" s="612">
        <f t="shared" si="6"/>
        <v>2343600</v>
      </c>
    </row>
    <row r="13" spans="1:20" ht="21.75" customHeight="1">
      <c r="A13" s="754">
        <f t="shared" si="1"/>
        <v>8</v>
      </c>
      <c r="B13" s="714" t="s">
        <v>504</v>
      </c>
      <c r="C13" s="632">
        <f t="shared" si="4"/>
        <v>2343600</v>
      </c>
      <c r="D13" s="755">
        <f t="shared" si="0"/>
        <v>77166.126234823911</v>
      </c>
      <c r="E13" s="755">
        <f t="shared" si="0"/>
        <v>23119.297187240783</v>
      </c>
      <c r="F13" s="755">
        <f t="shared" si="0"/>
        <v>8610.7759595807256</v>
      </c>
      <c r="G13" s="725"/>
      <c r="H13" s="632">
        <f t="shared" si="2"/>
        <v>2452496.1993816453</v>
      </c>
      <c r="I13" s="760">
        <v>180</v>
      </c>
      <c r="J13" s="755">
        <f t="shared" si="5"/>
        <v>13624.978885453585</v>
      </c>
      <c r="K13" s="756">
        <v>24201</v>
      </c>
      <c r="L13" s="757"/>
      <c r="M13" s="758" t="s">
        <v>350</v>
      </c>
      <c r="N13" s="759"/>
      <c r="O13" s="759"/>
      <c r="P13" s="351">
        <v>180</v>
      </c>
      <c r="Q13" s="351">
        <v>13020</v>
      </c>
      <c r="R13" s="612">
        <f t="shared" si="6"/>
        <v>2343600</v>
      </c>
    </row>
    <row r="14" spans="1:20" ht="21.75" customHeight="1">
      <c r="A14" s="754">
        <f t="shared" si="1"/>
        <v>9</v>
      </c>
      <c r="B14" s="714" t="s">
        <v>468</v>
      </c>
      <c r="C14" s="632">
        <f t="shared" si="4"/>
        <v>6122620</v>
      </c>
      <c r="D14" s="755">
        <f t="shared" si="0"/>
        <v>432987.70831762307</v>
      </c>
      <c r="E14" s="755">
        <f t="shared" si="0"/>
        <v>129724.94532840661</v>
      </c>
      <c r="F14" s="755">
        <f t="shared" si="0"/>
        <v>48316.020662091854</v>
      </c>
      <c r="G14" s="725"/>
      <c r="H14" s="632">
        <f t="shared" si="2"/>
        <v>6733648.6743081221</v>
      </c>
      <c r="I14" s="755">
        <v>1010</v>
      </c>
      <c r="J14" s="755">
        <f t="shared" si="5"/>
        <v>6666.9788854535864</v>
      </c>
      <c r="K14" s="756">
        <v>6200</v>
      </c>
      <c r="L14" s="757"/>
      <c r="M14" s="758" t="s">
        <v>352</v>
      </c>
      <c r="N14" s="759"/>
      <c r="O14" s="759"/>
      <c r="P14" s="351">
        <v>505</v>
      </c>
      <c r="Q14" s="351">
        <v>12124</v>
      </c>
      <c r="R14" s="612">
        <f t="shared" si="6"/>
        <v>6122620</v>
      </c>
    </row>
    <row r="15" spans="1:20" ht="21.75" customHeight="1">
      <c r="A15" s="929">
        <f t="shared" si="1"/>
        <v>10</v>
      </c>
      <c r="B15" s="931" t="s">
        <v>466</v>
      </c>
      <c r="C15" s="927">
        <f>R15+R16+R17</f>
        <v>16579082</v>
      </c>
      <c r="D15" s="927">
        <f t="shared" si="0"/>
        <v>1330686.9768494079</v>
      </c>
      <c r="E15" s="927">
        <f t="shared" si="0"/>
        <v>398679.43593997438</v>
      </c>
      <c r="F15" s="927">
        <f t="shared" si="0"/>
        <v>148488.04765854764</v>
      </c>
      <c r="G15" s="927"/>
      <c r="H15" s="927">
        <f t="shared" si="2"/>
        <v>18456936.46044793</v>
      </c>
      <c r="I15" s="927">
        <v>3104</v>
      </c>
      <c r="J15" s="927">
        <f t="shared" si="5"/>
        <v>5946.1779833917299</v>
      </c>
      <c r="K15" s="756">
        <v>6341.3492268041236</v>
      </c>
      <c r="L15" s="757"/>
      <c r="M15" s="758" t="s">
        <v>392</v>
      </c>
      <c r="N15" s="759"/>
      <c r="O15" s="759"/>
      <c r="P15" s="351">
        <v>750</v>
      </c>
      <c r="Q15" s="351">
        <v>9672</v>
      </c>
      <c r="R15" s="612">
        <f t="shared" si="6"/>
        <v>7254000</v>
      </c>
    </row>
    <row r="16" spans="1:20" ht="21.75" customHeight="1">
      <c r="A16" s="934"/>
      <c r="B16" s="935"/>
      <c r="C16" s="933"/>
      <c r="D16" s="933"/>
      <c r="E16" s="933"/>
      <c r="F16" s="933"/>
      <c r="G16" s="933"/>
      <c r="H16" s="933"/>
      <c r="I16" s="933"/>
      <c r="J16" s="933"/>
      <c r="K16" s="756"/>
      <c r="L16" s="757"/>
      <c r="M16" s="758" t="s">
        <v>349</v>
      </c>
      <c r="N16" s="759"/>
      <c r="O16" s="759"/>
      <c r="P16" s="351">
        <f>2000-1588</f>
        <v>412</v>
      </c>
      <c r="Q16" s="351">
        <v>10286</v>
      </c>
      <c r="R16" s="612">
        <f t="shared" si="6"/>
        <v>4237832</v>
      </c>
    </row>
    <row r="17" spans="1:18" ht="21.75" customHeight="1">
      <c r="A17" s="930"/>
      <c r="B17" s="932"/>
      <c r="C17" s="928"/>
      <c r="D17" s="928"/>
      <c r="E17" s="928"/>
      <c r="F17" s="928"/>
      <c r="G17" s="928"/>
      <c r="H17" s="928"/>
      <c r="I17" s="928"/>
      <c r="J17" s="928"/>
      <c r="K17" s="756"/>
      <c r="L17" s="757"/>
      <c r="M17" s="758" t="s">
        <v>353</v>
      </c>
      <c r="N17" s="759"/>
      <c r="O17" s="759"/>
      <c r="P17" s="351">
        <f>1500-1101</f>
        <v>399</v>
      </c>
      <c r="Q17" s="351">
        <v>12750</v>
      </c>
      <c r="R17" s="612">
        <f t="shared" si="6"/>
        <v>5087250</v>
      </c>
    </row>
    <row r="18" spans="1:18" ht="21.75" customHeight="1">
      <c r="A18" s="929">
        <f>IF(B18&lt;&gt;"",A15+1,"")</f>
        <v>11</v>
      </c>
      <c r="B18" s="931" t="s">
        <v>474</v>
      </c>
      <c r="C18" s="927">
        <f>R18+R19</f>
        <v>15407760</v>
      </c>
      <c r="D18" s="927">
        <f>IF($I$36&lt;&gt;0,D$36/$I$36*$I18,0)</f>
        <v>1208935.977678908</v>
      </c>
      <c r="E18" s="927">
        <f>IF($I$36&lt;&gt;0,E$36/$I$36*$I18,0)</f>
        <v>362202.3226001056</v>
      </c>
      <c r="F18" s="927">
        <f>IF($I$36&lt;&gt;0,F$36/$I$36*$I18,0)</f>
        <v>134902.15670009804</v>
      </c>
      <c r="G18" s="927"/>
      <c r="H18" s="927">
        <f t="shared" si="2"/>
        <v>17113800.456979111</v>
      </c>
      <c r="I18" s="927">
        <v>2820</v>
      </c>
      <c r="J18" s="927">
        <f t="shared" si="5"/>
        <v>6068.7235663046495</v>
      </c>
      <c r="K18" s="756">
        <v>5800</v>
      </c>
      <c r="L18" s="757"/>
      <c r="M18" s="758" t="s">
        <v>390</v>
      </c>
      <c r="N18" s="759"/>
      <c r="O18" s="759"/>
      <c r="P18" s="351">
        <f>550-400</f>
        <v>150</v>
      </c>
      <c r="Q18" s="351">
        <v>11532</v>
      </c>
      <c r="R18" s="612">
        <f t="shared" si="6"/>
        <v>1729800</v>
      </c>
    </row>
    <row r="19" spans="1:18" ht="21.75" customHeight="1">
      <c r="A19" s="930"/>
      <c r="B19" s="932"/>
      <c r="C19" s="928"/>
      <c r="D19" s="928"/>
      <c r="E19" s="928"/>
      <c r="F19" s="928"/>
      <c r="G19" s="928"/>
      <c r="H19" s="928"/>
      <c r="I19" s="928"/>
      <c r="J19" s="928"/>
      <c r="K19" s="756"/>
      <c r="L19" s="757"/>
      <c r="M19" s="758" t="s">
        <v>327</v>
      </c>
      <c r="N19" s="759"/>
      <c r="O19" s="759"/>
      <c r="P19" s="351">
        <v>1260</v>
      </c>
      <c r="Q19" s="351">
        <v>10855.523809523809</v>
      </c>
      <c r="R19" s="612">
        <f t="shared" si="6"/>
        <v>13677960</v>
      </c>
    </row>
    <row r="20" spans="1:18" ht="21.75" customHeight="1">
      <c r="A20" s="929">
        <f>IF(B20&lt;&gt;"",A18+1,"")</f>
        <v>12</v>
      </c>
      <c r="B20" s="931" t="s">
        <v>472</v>
      </c>
      <c r="C20" s="927">
        <f>R20+R21</f>
        <v>24179752</v>
      </c>
      <c r="D20" s="927">
        <f>IF($I$36&lt;&gt;0,D$36/$I$36*$I20,0)</f>
        <v>1999888.7715858531</v>
      </c>
      <c r="E20" s="927">
        <f>IF($I$36&lt;&gt;0,E$36/$I$36*$I20,0)</f>
        <v>599175.11876932357</v>
      </c>
      <c r="F20" s="927">
        <f>IF($I$36&lt;&gt;0,F$36/$I$36*$I20,0)</f>
        <v>223162.61028580047</v>
      </c>
      <c r="G20" s="927"/>
      <c r="H20" s="927">
        <f t="shared" si="2"/>
        <v>27001978.500640977</v>
      </c>
      <c r="I20" s="927">
        <v>4665</v>
      </c>
      <c r="J20" s="927">
        <f t="shared" si="5"/>
        <v>5788.2054663753433</v>
      </c>
      <c r="K20" s="756">
        <v>6217.1489817792071</v>
      </c>
      <c r="L20" s="757"/>
      <c r="M20" s="758" t="s">
        <v>321</v>
      </c>
      <c r="N20" s="759"/>
      <c r="O20" s="759"/>
      <c r="P20" s="351">
        <f>600-317</f>
        <v>283</v>
      </c>
      <c r="Q20" s="351">
        <v>10844</v>
      </c>
      <c r="R20" s="612">
        <f t="shared" si="6"/>
        <v>3068852</v>
      </c>
    </row>
    <row r="21" spans="1:18" ht="21.75" customHeight="1">
      <c r="A21" s="930"/>
      <c r="B21" s="932"/>
      <c r="C21" s="928"/>
      <c r="D21" s="928"/>
      <c r="E21" s="928"/>
      <c r="F21" s="928"/>
      <c r="G21" s="928"/>
      <c r="H21" s="928"/>
      <c r="I21" s="928"/>
      <c r="J21" s="928"/>
      <c r="K21" s="756"/>
      <c r="L21" s="757"/>
      <c r="M21" s="758" t="s">
        <v>326</v>
      </c>
      <c r="N21" s="759"/>
      <c r="O21" s="759"/>
      <c r="P21" s="351">
        <v>2050</v>
      </c>
      <c r="Q21" s="351">
        <v>10298</v>
      </c>
      <c r="R21" s="612">
        <f t="shared" si="6"/>
        <v>21110900</v>
      </c>
    </row>
    <row r="22" spans="1:18" ht="21.75" customHeight="1">
      <c r="A22" s="754">
        <f>IF(B22&lt;&gt;"",A20+1,"")</f>
        <v>13</v>
      </c>
      <c r="B22" s="714" t="s">
        <v>464</v>
      </c>
      <c r="C22" s="632">
        <f t="shared" si="4"/>
        <v>6341552</v>
      </c>
      <c r="D22" s="755">
        <f t="shared" ref="D22:F34" si="7">IF($I$36&lt;&gt;0,D$36/$I$36*$I22,0)</f>
        <v>491719.70439635019</v>
      </c>
      <c r="E22" s="755">
        <f t="shared" si="7"/>
        <v>147321.29929869543</v>
      </c>
      <c r="F22" s="755">
        <f t="shared" si="7"/>
        <v>54869.777920217181</v>
      </c>
      <c r="G22" s="725"/>
      <c r="H22" s="632">
        <f t="shared" si="2"/>
        <v>7035462.7816152629</v>
      </c>
      <c r="I22" s="755">
        <v>1147</v>
      </c>
      <c r="J22" s="755">
        <f t="shared" si="5"/>
        <v>6133.7949273018858</v>
      </c>
      <c r="K22" s="756">
        <v>6360</v>
      </c>
      <c r="L22" s="757"/>
      <c r="M22" s="758" t="s">
        <v>320</v>
      </c>
      <c r="N22" s="759"/>
      <c r="O22" s="759"/>
      <c r="P22" s="351">
        <v>574</v>
      </c>
      <c r="Q22" s="351">
        <v>11048</v>
      </c>
      <c r="R22" s="612">
        <f t="shared" si="6"/>
        <v>6341552</v>
      </c>
    </row>
    <row r="23" spans="1:18" ht="21.75" customHeight="1">
      <c r="A23" s="754">
        <f t="shared" ref="A23:A34" si="8">IF(B23&lt;&gt;"",A22+1,"")</f>
        <v>14</v>
      </c>
      <c r="B23" s="714" t="s">
        <v>469</v>
      </c>
      <c r="C23" s="632">
        <f t="shared" si="4"/>
        <v>16334168</v>
      </c>
      <c r="D23" s="755">
        <f t="shared" si="7"/>
        <v>1361124.7266420329</v>
      </c>
      <c r="E23" s="755">
        <f t="shared" si="7"/>
        <v>407798.71427494159</v>
      </c>
      <c r="F23" s="755">
        <f t="shared" si="7"/>
        <v>151884.52039816004</v>
      </c>
      <c r="G23" s="725"/>
      <c r="H23" s="632">
        <f t="shared" si="2"/>
        <v>18254975.961315133</v>
      </c>
      <c r="I23" s="760">
        <v>3175</v>
      </c>
      <c r="J23" s="755">
        <f t="shared" si="5"/>
        <v>5749.5987279732699</v>
      </c>
      <c r="K23" s="756">
        <v>7110</v>
      </c>
      <c r="L23" s="757"/>
      <c r="M23" s="758" t="s">
        <v>349</v>
      </c>
      <c r="N23" s="759"/>
      <c r="O23" s="759"/>
      <c r="P23" s="351">
        <v>1588</v>
      </c>
      <c r="Q23" s="351">
        <v>10286</v>
      </c>
      <c r="R23" s="612">
        <f t="shared" si="6"/>
        <v>16334168</v>
      </c>
    </row>
    <row r="24" spans="1:18" ht="21.75" customHeight="1">
      <c r="A24" s="754">
        <f t="shared" si="8"/>
        <v>15</v>
      </c>
      <c r="B24" s="714" t="s">
        <v>482</v>
      </c>
      <c r="C24" s="632">
        <f t="shared" si="4"/>
        <v>6097000</v>
      </c>
      <c r="D24" s="755">
        <f t="shared" si="7"/>
        <v>428700.70130457729</v>
      </c>
      <c r="E24" s="755">
        <f t="shared" si="7"/>
        <v>128440.53992911546</v>
      </c>
      <c r="F24" s="755">
        <f t="shared" si="7"/>
        <v>47837.644219892922</v>
      </c>
      <c r="G24" s="725"/>
      <c r="H24" s="632">
        <f t="shared" si="2"/>
        <v>6701978.8854535855</v>
      </c>
      <c r="I24" s="755">
        <v>1000</v>
      </c>
      <c r="J24" s="755">
        <f t="shared" si="5"/>
        <v>6701.9788854535855</v>
      </c>
      <c r="K24" s="756">
        <v>7880</v>
      </c>
      <c r="L24" s="757"/>
      <c r="M24" s="758" t="s">
        <v>391</v>
      </c>
      <c r="N24" s="759"/>
      <c r="O24" s="759"/>
      <c r="P24" s="351">
        <v>500</v>
      </c>
      <c r="Q24" s="351">
        <v>12194</v>
      </c>
      <c r="R24" s="612">
        <f t="shared" si="6"/>
        <v>6097000</v>
      </c>
    </row>
    <row r="25" spans="1:18" ht="21.75" customHeight="1">
      <c r="A25" s="754">
        <f t="shared" si="8"/>
        <v>16</v>
      </c>
      <c r="B25" s="714" t="s">
        <v>480</v>
      </c>
      <c r="C25" s="632">
        <f t="shared" si="4"/>
        <v>12319000</v>
      </c>
      <c r="D25" s="755">
        <f t="shared" si="7"/>
        <v>428700.70130457729</v>
      </c>
      <c r="E25" s="755">
        <f t="shared" si="7"/>
        <v>128440.53992911546</v>
      </c>
      <c r="F25" s="755">
        <f t="shared" si="7"/>
        <v>47837.644219892922</v>
      </c>
      <c r="G25" s="725"/>
      <c r="H25" s="632">
        <f t="shared" si="2"/>
        <v>12923978.885453586</v>
      </c>
      <c r="I25" s="760">
        <v>1000</v>
      </c>
      <c r="J25" s="755">
        <f t="shared" si="5"/>
        <v>12923.978885453585</v>
      </c>
      <c r="K25" s="756">
        <v>15500</v>
      </c>
      <c r="L25" s="757"/>
      <c r="M25" s="758" t="s">
        <v>342</v>
      </c>
      <c r="N25" s="759"/>
      <c r="O25" s="759"/>
      <c r="P25" s="351">
        <v>1000</v>
      </c>
      <c r="Q25" s="351">
        <v>12319</v>
      </c>
      <c r="R25" s="612">
        <f t="shared" si="6"/>
        <v>12319000</v>
      </c>
    </row>
    <row r="26" spans="1:18" ht="21.75" customHeight="1">
      <c r="A26" s="754">
        <f t="shared" si="8"/>
        <v>17</v>
      </c>
      <c r="B26" s="714" t="s">
        <v>500</v>
      </c>
      <c r="C26" s="632">
        <f t="shared" si="4"/>
        <v>5615372</v>
      </c>
      <c r="D26" s="755">
        <f t="shared" si="7"/>
        <v>428700.70130457729</v>
      </c>
      <c r="E26" s="755">
        <f t="shared" si="7"/>
        <v>128440.53992911546</v>
      </c>
      <c r="F26" s="755">
        <f t="shared" si="7"/>
        <v>47837.644219892922</v>
      </c>
      <c r="G26" s="725"/>
      <c r="H26" s="632">
        <f t="shared" si="2"/>
        <v>6220350.8854535855</v>
      </c>
      <c r="I26" s="755">
        <v>1000</v>
      </c>
      <c r="J26" s="755">
        <f t="shared" si="5"/>
        <v>6220.3508854535858</v>
      </c>
      <c r="K26" s="756">
        <v>7425</v>
      </c>
      <c r="L26" s="757"/>
      <c r="M26" s="758" t="s">
        <v>381</v>
      </c>
      <c r="N26" s="759"/>
      <c r="O26" s="759"/>
      <c r="P26" s="351">
        <v>502</v>
      </c>
      <c r="Q26" s="351">
        <v>11186</v>
      </c>
      <c r="R26" s="612">
        <f t="shared" si="6"/>
        <v>5615372</v>
      </c>
    </row>
    <row r="27" spans="1:18" ht="21.75" customHeight="1">
      <c r="A27" s="754">
        <f t="shared" si="8"/>
        <v>18</v>
      </c>
      <c r="B27" s="714" t="s">
        <v>497</v>
      </c>
      <c r="C27" s="632">
        <f t="shared" si="4"/>
        <v>1534500</v>
      </c>
      <c r="D27" s="755">
        <f t="shared" si="7"/>
        <v>128610.2103913732</v>
      </c>
      <c r="E27" s="755">
        <f t="shared" si="7"/>
        <v>38532.161978734635</v>
      </c>
      <c r="F27" s="755">
        <f t="shared" si="7"/>
        <v>14351.293265967877</v>
      </c>
      <c r="G27" s="725"/>
      <c r="H27" s="632">
        <f t="shared" si="2"/>
        <v>1715993.6656360757</v>
      </c>
      <c r="I27" s="760">
        <v>300</v>
      </c>
      <c r="J27" s="755">
        <f t="shared" si="5"/>
        <v>5719.9788854535855</v>
      </c>
      <c r="K27" s="756">
        <v>6340</v>
      </c>
      <c r="L27" s="757"/>
      <c r="M27" s="758" t="s">
        <v>380</v>
      </c>
      <c r="N27" s="759"/>
      <c r="O27" s="759"/>
      <c r="P27" s="351">
        <v>150</v>
      </c>
      <c r="Q27" s="351">
        <v>10230</v>
      </c>
      <c r="R27" s="612">
        <f t="shared" si="6"/>
        <v>1534500</v>
      </c>
    </row>
    <row r="28" spans="1:18" ht="21.75" customHeight="1">
      <c r="A28" s="754">
        <f t="shared" si="8"/>
        <v>19</v>
      </c>
      <c r="B28" s="714" t="s">
        <v>484</v>
      </c>
      <c r="C28" s="632">
        <f t="shared" si="4"/>
        <v>2352900</v>
      </c>
      <c r="D28" s="755">
        <f t="shared" si="7"/>
        <v>235785.38571751752</v>
      </c>
      <c r="E28" s="755">
        <f t="shared" si="7"/>
        <v>70642.296961013504</v>
      </c>
      <c r="F28" s="755">
        <f t="shared" si="7"/>
        <v>26310.704320941106</v>
      </c>
      <c r="G28" s="725"/>
      <c r="H28" s="632">
        <f t="shared" si="2"/>
        <v>2685638.3869994725</v>
      </c>
      <c r="I28" s="755">
        <v>550</v>
      </c>
      <c r="J28" s="755">
        <f t="shared" si="5"/>
        <v>4882.9788854535864</v>
      </c>
      <c r="K28" s="756">
        <v>6125</v>
      </c>
      <c r="L28" s="757"/>
      <c r="M28" s="758" t="s">
        <v>356</v>
      </c>
      <c r="N28" s="759"/>
      <c r="O28" s="759"/>
      <c r="P28" s="351">
        <f>I28/2</f>
        <v>275</v>
      </c>
      <c r="Q28" s="351">
        <v>8556</v>
      </c>
      <c r="R28" s="612">
        <f t="shared" si="6"/>
        <v>2352900</v>
      </c>
    </row>
    <row r="29" spans="1:18" ht="21.75" customHeight="1">
      <c r="A29" s="754">
        <f t="shared" si="8"/>
        <v>20</v>
      </c>
      <c r="B29" s="714" t="s">
        <v>459</v>
      </c>
      <c r="C29" s="632">
        <f t="shared" si="4"/>
        <v>9625500</v>
      </c>
      <c r="D29" s="755">
        <f t="shared" si="7"/>
        <v>964576.5779352989</v>
      </c>
      <c r="E29" s="755">
        <f t="shared" si="7"/>
        <v>288991.21484050981</v>
      </c>
      <c r="F29" s="755">
        <f t="shared" si="7"/>
        <v>107634.69949475907</v>
      </c>
      <c r="G29" s="725"/>
      <c r="H29" s="632">
        <f t="shared" si="2"/>
        <v>10986702.492270567</v>
      </c>
      <c r="I29" s="760">
        <v>2250</v>
      </c>
      <c r="J29" s="755">
        <f t="shared" si="5"/>
        <v>4882.9788854535855</v>
      </c>
      <c r="K29" s="756">
        <v>6770.666666666667</v>
      </c>
      <c r="L29" s="757"/>
      <c r="M29" s="758" t="s">
        <v>356</v>
      </c>
      <c r="N29" s="759"/>
      <c r="O29" s="759"/>
      <c r="P29" s="351">
        <f t="shared" ref="P29:P30" si="9">I29/2</f>
        <v>1125</v>
      </c>
      <c r="Q29" s="351">
        <v>8556</v>
      </c>
      <c r="R29" s="612">
        <f t="shared" si="6"/>
        <v>9625500</v>
      </c>
    </row>
    <row r="30" spans="1:18" ht="21.75" customHeight="1">
      <c r="A30" s="754">
        <f t="shared" si="8"/>
        <v>21</v>
      </c>
      <c r="B30" s="714" t="s">
        <v>499</v>
      </c>
      <c r="C30" s="632">
        <f t="shared" si="4"/>
        <v>2139000</v>
      </c>
      <c r="D30" s="755">
        <f t="shared" si="7"/>
        <v>214350.35065228865</v>
      </c>
      <c r="E30" s="755">
        <f t="shared" si="7"/>
        <v>64220.26996455773</v>
      </c>
      <c r="F30" s="755">
        <f t="shared" si="7"/>
        <v>23918.822109946461</v>
      </c>
      <c r="G30" s="725"/>
      <c r="H30" s="632">
        <f t="shared" si="2"/>
        <v>2441489.4427267928</v>
      </c>
      <c r="I30" s="755">
        <v>500</v>
      </c>
      <c r="J30" s="755">
        <f t="shared" si="5"/>
        <v>4882.9788854535855</v>
      </c>
      <c r="K30" s="756">
        <v>7420</v>
      </c>
      <c r="L30" s="757"/>
      <c r="M30" s="758" t="s">
        <v>356</v>
      </c>
      <c r="N30" s="759"/>
      <c r="O30" s="759"/>
      <c r="P30" s="351">
        <f t="shared" si="9"/>
        <v>250</v>
      </c>
      <c r="Q30" s="351">
        <v>8556</v>
      </c>
      <c r="R30" s="612">
        <f t="shared" si="6"/>
        <v>2139000</v>
      </c>
    </row>
    <row r="31" spans="1:18" ht="21.75" customHeight="1">
      <c r="A31" s="754">
        <f t="shared" si="8"/>
        <v>22</v>
      </c>
      <c r="B31" s="714" t="s">
        <v>475</v>
      </c>
      <c r="C31" s="632">
        <f t="shared" si="4"/>
        <v>11622000</v>
      </c>
      <c r="D31" s="755">
        <f t="shared" si="7"/>
        <v>857401.40260915458</v>
      </c>
      <c r="E31" s="755">
        <f t="shared" si="7"/>
        <v>256881.07985823092</v>
      </c>
      <c r="F31" s="755">
        <f t="shared" si="7"/>
        <v>95675.288439785843</v>
      </c>
      <c r="G31" s="725"/>
      <c r="H31" s="632">
        <f t="shared" si="2"/>
        <v>12831957.770907171</v>
      </c>
      <c r="I31" s="760">
        <v>2000</v>
      </c>
      <c r="J31" s="755">
        <f t="shared" si="5"/>
        <v>6415.9788854535855</v>
      </c>
      <c r="K31" s="756">
        <v>7660</v>
      </c>
      <c r="L31" s="757"/>
      <c r="M31" s="758" t="s">
        <v>323</v>
      </c>
      <c r="N31" s="759"/>
      <c r="O31" s="759"/>
      <c r="P31" s="351">
        <v>1000</v>
      </c>
      <c r="Q31" s="351">
        <v>11622</v>
      </c>
      <c r="R31" s="612">
        <f t="shared" si="6"/>
        <v>11622000</v>
      </c>
    </row>
    <row r="32" spans="1:18" ht="21.75" customHeight="1">
      <c r="A32" s="754">
        <f t="shared" si="8"/>
        <v>23</v>
      </c>
      <c r="B32" s="714" t="s">
        <v>498</v>
      </c>
      <c r="C32" s="632">
        <f t="shared" si="4"/>
        <v>1845550</v>
      </c>
      <c r="D32" s="755">
        <f t="shared" si="7"/>
        <v>150045.24545660205</v>
      </c>
      <c r="E32" s="755">
        <f t="shared" si="7"/>
        <v>44954.188975190409</v>
      </c>
      <c r="F32" s="755">
        <f t="shared" si="7"/>
        <v>16743.175476962522</v>
      </c>
      <c r="G32" s="725"/>
      <c r="H32" s="632">
        <f t="shared" si="2"/>
        <v>2057292.6099087549</v>
      </c>
      <c r="I32" s="755">
        <v>350</v>
      </c>
      <c r="J32" s="755">
        <f t="shared" si="5"/>
        <v>5877.9788854535855</v>
      </c>
      <c r="K32" s="756">
        <v>6600</v>
      </c>
      <c r="L32" s="757"/>
      <c r="M32" s="758" t="s">
        <v>375</v>
      </c>
      <c r="N32" s="759"/>
      <c r="O32" s="759"/>
      <c r="P32" s="351">
        <v>175</v>
      </c>
      <c r="Q32" s="351">
        <v>10546</v>
      </c>
      <c r="R32" s="612">
        <f t="shared" si="6"/>
        <v>1845550</v>
      </c>
    </row>
    <row r="33" spans="1:20" ht="21.75" customHeight="1">
      <c r="A33" s="754">
        <f t="shared" si="8"/>
        <v>24</v>
      </c>
      <c r="B33" s="714" t="s">
        <v>508</v>
      </c>
      <c r="C33" s="632">
        <f t="shared" si="4"/>
        <v>4968600</v>
      </c>
      <c r="D33" s="755">
        <f t="shared" si="7"/>
        <v>111462.1823391901</v>
      </c>
      <c r="E33" s="755">
        <f t="shared" si="7"/>
        <v>33394.540381570019</v>
      </c>
      <c r="F33" s="755">
        <f t="shared" si="7"/>
        <v>12437.787497172159</v>
      </c>
      <c r="G33" s="725"/>
      <c r="H33" s="632">
        <f t="shared" si="2"/>
        <v>5125894.510217933</v>
      </c>
      <c r="I33" s="760">
        <v>260</v>
      </c>
      <c r="J33" s="755">
        <f t="shared" si="5"/>
        <v>19714.978885453587</v>
      </c>
      <c r="K33" s="756">
        <v>26201</v>
      </c>
      <c r="L33" s="757"/>
      <c r="M33" s="758" t="s">
        <v>378</v>
      </c>
      <c r="N33" s="759"/>
      <c r="O33" s="759"/>
      <c r="P33" s="351">
        <v>260</v>
      </c>
      <c r="Q33" s="351">
        <v>19110</v>
      </c>
      <c r="R33" s="612">
        <f t="shared" si="6"/>
        <v>4968600</v>
      </c>
    </row>
    <row r="34" spans="1:20" ht="21.75" customHeight="1">
      <c r="A34" s="754">
        <f t="shared" si="8"/>
        <v>25</v>
      </c>
      <c r="B34" s="714" t="s">
        <v>487</v>
      </c>
      <c r="C34" s="632">
        <f t="shared" si="4"/>
        <v>5143000</v>
      </c>
      <c r="D34" s="755">
        <f t="shared" si="7"/>
        <v>214350.35065228865</v>
      </c>
      <c r="E34" s="755">
        <f t="shared" si="7"/>
        <v>64220.26996455773</v>
      </c>
      <c r="F34" s="755">
        <f t="shared" si="7"/>
        <v>23918.822109946461</v>
      </c>
      <c r="G34" s="725"/>
      <c r="H34" s="632">
        <f t="shared" si="2"/>
        <v>5445489.4427267928</v>
      </c>
      <c r="I34" s="755">
        <v>500</v>
      </c>
      <c r="J34" s="755">
        <f t="shared" si="5"/>
        <v>10890.978885453585</v>
      </c>
      <c r="K34" s="756">
        <v>11450</v>
      </c>
      <c r="L34" s="757"/>
      <c r="M34" s="758" t="s">
        <v>322</v>
      </c>
      <c r="N34" s="759"/>
      <c r="O34" s="759"/>
      <c r="P34" s="351">
        <v>500</v>
      </c>
      <c r="Q34" s="351">
        <v>10286</v>
      </c>
      <c r="R34" s="612">
        <f t="shared" si="6"/>
        <v>5143000</v>
      </c>
    </row>
    <row r="35" spans="1:20" s="765" customFormat="1" ht="21.75" customHeight="1">
      <c r="A35" s="754"/>
      <c r="B35" s="714"/>
      <c r="C35" s="632"/>
      <c r="D35" s="755"/>
      <c r="E35" s="755"/>
      <c r="F35" s="755"/>
      <c r="G35" s="725"/>
      <c r="H35" s="632"/>
      <c r="I35" s="760"/>
      <c r="J35" s="755"/>
      <c r="K35" s="756"/>
      <c r="L35" s="756"/>
      <c r="M35" s="761"/>
      <c r="N35" s="759"/>
      <c r="O35" s="762"/>
      <c r="P35" s="763"/>
      <c r="Q35" s="764"/>
      <c r="R35" s="764"/>
    </row>
    <row r="36" spans="1:20" s="735" customFormat="1" ht="21.75" customHeight="1">
      <c r="A36" s="766"/>
      <c r="B36" s="767" t="s">
        <v>225</v>
      </c>
      <c r="C36" s="768">
        <f>SUM(C6:C35)</f>
        <v>183888906</v>
      </c>
      <c r="D36" s="768">
        <v>22740000</v>
      </c>
      <c r="E36" s="768">
        <v>6813000</v>
      </c>
      <c r="F36" s="768">
        <v>2537500</v>
      </c>
      <c r="G36" s="769">
        <f>ROUND(SUM(G6:G35),0)</f>
        <v>0</v>
      </c>
      <c r="H36" s="768">
        <f>ROUND(SUM(H6:H35),0)</f>
        <v>215979406</v>
      </c>
      <c r="I36" s="768">
        <f>ROUND(SUM(I6:I35),0)</f>
        <v>53044</v>
      </c>
      <c r="J36" s="768"/>
      <c r="K36" s="736"/>
      <c r="L36" s="736"/>
      <c r="M36" s="770"/>
      <c r="N36" s="771"/>
      <c r="O36" s="772"/>
      <c r="P36" s="773"/>
      <c r="Q36" s="382"/>
      <c r="R36" s="382">
        <f>SUM(R6:R35)</f>
        <v>183888906</v>
      </c>
    </row>
    <row r="37" spans="1:20" s="735" customFormat="1">
      <c r="A37" s="774"/>
      <c r="B37" s="775"/>
      <c r="C37" s="737"/>
      <c r="D37" s="737"/>
      <c r="E37" s="737"/>
      <c r="F37" s="737"/>
      <c r="G37" s="776"/>
      <c r="H37" s="737"/>
      <c r="I37" s="737"/>
      <c r="J37" s="737"/>
      <c r="K37" s="736"/>
      <c r="L37" s="736"/>
      <c r="M37" s="777"/>
      <c r="N37" s="778"/>
      <c r="O37" s="779"/>
      <c r="P37" s="780"/>
      <c r="Q37" s="745"/>
      <c r="R37" s="781"/>
    </row>
    <row r="38" spans="1:20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  <c r="Q38" s="636"/>
      <c r="R38" s="636"/>
      <c r="S38" s="636"/>
      <c r="T38" s="636"/>
    </row>
    <row r="39" spans="1:20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  <c r="Q39" s="636"/>
      <c r="R39" s="636"/>
      <c r="S39" s="636"/>
      <c r="T39" s="636"/>
    </row>
    <row r="40" spans="1:20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  <c r="Q40" s="636"/>
      <c r="R40" s="636"/>
      <c r="S40" s="636"/>
      <c r="T40" s="636"/>
    </row>
    <row r="41" spans="1:20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  <c r="Q41" s="636"/>
      <c r="R41" s="636"/>
      <c r="S41" s="636"/>
      <c r="T41" s="636"/>
    </row>
    <row r="42" spans="1:20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  <c r="Q42" s="636"/>
      <c r="R42" s="636"/>
      <c r="S42" s="636"/>
      <c r="T42" s="636"/>
    </row>
    <row r="43" spans="1:20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  <c r="Q43" s="636"/>
      <c r="R43" s="636"/>
      <c r="S43" s="636"/>
      <c r="T43" s="636"/>
    </row>
    <row r="44" spans="1:20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  <c r="Q44" s="636"/>
      <c r="R44" s="636"/>
      <c r="S44" s="636"/>
      <c r="T44" s="636"/>
    </row>
    <row r="45" spans="1:20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  <c r="Q45" s="636"/>
      <c r="R45" s="636"/>
      <c r="S45" s="636"/>
      <c r="T45" s="636"/>
    </row>
    <row r="46" spans="1:20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  <c r="Q46" s="636"/>
      <c r="R46" s="636"/>
      <c r="S46" s="636"/>
      <c r="T46" s="636"/>
    </row>
    <row r="47" spans="1:20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  <c r="Q47" s="636"/>
      <c r="R47" s="636"/>
      <c r="S47" s="636"/>
      <c r="T47" s="636"/>
    </row>
    <row r="48" spans="1:20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  <c r="Q48" s="636"/>
      <c r="R48" s="636"/>
      <c r="S48" s="636"/>
      <c r="T48" s="636"/>
    </row>
    <row r="49" spans="1:20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  <c r="Q49" s="636"/>
      <c r="R49" s="636"/>
      <c r="S49" s="636"/>
      <c r="T49" s="636"/>
    </row>
    <row r="50" spans="1:20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636"/>
      <c r="S50" s="636"/>
      <c r="T50" s="636"/>
    </row>
    <row r="51" spans="1:20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  <c r="Q51" s="636"/>
      <c r="R51" s="636"/>
      <c r="S51" s="636"/>
      <c r="T51" s="636"/>
    </row>
    <row r="52" spans="1:20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  <c r="Q52" s="636"/>
      <c r="R52" s="636"/>
      <c r="S52" s="636"/>
      <c r="T52" s="636"/>
    </row>
    <row r="53" spans="1:20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  <c r="Q53" s="636"/>
      <c r="R53" s="636"/>
      <c r="S53" s="636"/>
      <c r="T53" s="636"/>
    </row>
    <row r="54" spans="1:20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  <c r="Q54" s="636"/>
      <c r="R54" s="636"/>
      <c r="S54" s="636"/>
      <c r="T54" s="636"/>
    </row>
    <row r="55" spans="1:20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  <c r="Q55" s="636"/>
      <c r="R55" s="636"/>
      <c r="S55" s="636"/>
      <c r="T55" s="636"/>
    </row>
    <row r="56" spans="1:20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  <c r="Q56" s="636"/>
      <c r="R56" s="636"/>
      <c r="S56" s="636"/>
      <c r="T56" s="636"/>
    </row>
    <row r="57" spans="1:20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  <c r="Q57" s="636"/>
      <c r="R57" s="636"/>
      <c r="S57" s="636"/>
      <c r="T57" s="636"/>
    </row>
    <row r="58" spans="1:20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  <c r="Q58" s="636"/>
      <c r="R58" s="636"/>
      <c r="S58" s="636"/>
      <c r="T58" s="636"/>
    </row>
    <row r="59" spans="1:20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  <c r="Q59" s="636"/>
      <c r="R59" s="636"/>
      <c r="S59" s="636"/>
      <c r="T59" s="636"/>
    </row>
    <row r="60" spans="1:20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  <c r="Q60" s="636"/>
      <c r="R60" s="636"/>
      <c r="S60" s="636"/>
      <c r="T60" s="636"/>
    </row>
    <row r="61" spans="1:20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  <c r="Q61" s="636"/>
      <c r="R61" s="636"/>
      <c r="S61" s="636"/>
      <c r="T61" s="636"/>
    </row>
    <row r="62" spans="1:20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  <c r="Q62" s="636"/>
      <c r="R62" s="636"/>
      <c r="S62" s="636"/>
      <c r="T62" s="636"/>
    </row>
    <row r="63" spans="1:20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  <c r="Q63" s="636"/>
      <c r="R63" s="636"/>
      <c r="S63" s="636"/>
      <c r="T63" s="636"/>
    </row>
    <row r="64" spans="1:20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  <c r="Q64" s="636"/>
      <c r="R64" s="636"/>
      <c r="S64" s="636"/>
      <c r="T64" s="636"/>
    </row>
    <row r="65" spans="1:20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  <c r="Q65" s="636"/>
      <c r="R65" s="636"/>
      <c r="S65" s="636"/>
      <c r="T65" s="636"/>
    </row>
    <row r="66" spans="1:20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  <c r="Q66" s="636"/>
      <c r="R66" s="636"/>
      <c r="S66" s="636"/>
      <c r="T66" s="636"/>
    </row>
    <row r="67" spans="1:20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  <c r="Q67" s="636"/>
      <c r="R67" s="636"/>
      <c r="S67" s="636"/>
      <c r="T67" s="636"/>
    </row>
    <row r="68" spans="1:20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  <c r="Q68" s="636"/>
      <c r="R68" s="636"/>
      <c r="S68" s="636"/>
      <c r="T68" s="636"/>
    </row>
    <row r="69" spans="1:20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  <c r="Q69" s="636"/>
      <c r="R69" s="636"/>
      <c r="S69" s="636"/>
      <c r="T69" s="636"/>
    </row>
    <row r="70" spans="1:20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  <c r="Q70" s="636"/>
      <c r="R70" s="636"/>
      <c r="S70" s="636"/>
      <c r="T70" s="636"/>
    </row>
    <row r="71" spans="1:20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  <c r="Q71" s="636"/>
      <c r="R71" s="636"/>
      <c r="S71" s="636"/>
      <c r="T71" s="636"/>
    </row>
    <row r="72" spans="1:20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  <c r="Q72" s="636"/>
      <c r="R72" s="636"/>
      <c r="S72" s="636"/>
      <c r="T72" s="636"/>
    </row>
    <row r="73" spans="1:20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  <c r="Q73" s="636"/>
      <c r="R73" s="636"/>
      <c r="S73" s="636"/>
      <c r="T73" s="636"/>
    </row>
    <row r="74" spans="1:20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  <c r="Q74" s="636"/>
      <c r="R74" s="636"/>
      <c r="S74" s="636"/>
      <c r="T74" s="636"/>
    </row>
    <row r="75" spans="1:20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  <c r="Q75" s="636"/>
      <c r="R75" s="636"/>
      <c r="S75" s="636"/>
      <c r="T75" s="636"/>
    </row>
    <row r="76" spans="1:20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  <c r="Q76" s="636"/>
      <c r="R76" s="636"/>
      <c r="S76" s="636"/>
      <c r="T76" s="636"/>
    </row>
    <row r="77" spans="1:20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  <c r="Q77" s="636"/>
      <c r="R77" s="636"/>
      <c r="S77" s="636"/>
      <c r="T77" s="636"/>
    </row>
    <row r="78" spans="1:20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  <c r="Q78" s="636"/>
      <c r="R78" s="636"/>
      <c r="S78" s="636"/>
      <c r="T78" s="636"/>
    </row>
    <row r="79" spans="1:20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  <c r="Q79" s="636"/>
      <c r="R79" s="636"/>
      <c r="S79" s="636"/>
      <c r="T79" s="636"/>
    </row>
    <row r="80" spans="1:20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  <c r="Q80" s="636"/>
      <c r="R80" s="636"/>
      <c r="S80" s="636"/>
      <c r="T80" s="636"/>
    </row>
    <row r="81" spans="1:20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  <c r="Q81" s="636"/>
      <c r="R81" s="636"/>
      <c r="S81" s="636"/>
      <c r="T81" s="636"/>
    </row>
    <row r="82" spans="1:20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  <c r="Q82" s="636"/>
      <c r="R82" s="636"/>
      <c r="S82" s="636"/>
      <c r="T82" s="636"/>
    </row>
    <row r="83" spans="1:20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  <c r="Q83" s="636"/>
      <c r="R83" s="636"/>
      <c r="S83" s="636"/>
      <c r="T83" s="636"/>
    </row>
    <row r="84" spans="1:20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  <c r="Q84" s="636"/>
      <c r="R84" s="636"/>
      <c r="S84" s="636"/>
      <c r="T84" s="636"/>
    </row>
    <row r="85" spans="1:20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  <c r="Q85" s="636"/>
      <c r="R85" s="636"/>
      <c r="S85" s="636"/>
      <c r="T85" s="636"/>
    </row>
    <row r="86" spans="1:20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  <c r="Q86" s="636"/>
      <c r="R86" s="636"/>
      <c r="S86" s="636"/>
      <c r="T86" s="636"/>
    </row>
    <row r="87" spans="1:20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  <c r="Q87" s="636"/>
      <c r="R87" s="636"/>
      <c r="S87" s="636"/>
      <c r="T87" s="636"/>
    </row>
    <row r="88" spans="1:20">
      <c r="A88" s="636"/>
      <c r="B88" s="636"/>
      <c r="C88" s="636"/>
      <c r="D88" s="636"/>
      <c r="E88" s="636"/>
      <c r="F88" s="636"/>
      <c r="G88" s="636"/>
      <c r="H88" s="636"/>
      <c r="I88" s="636"/>
      <c r="J88" s="636"/>
      <c r="K88" s="636"/>
      <c r="L88" s="636"/>
      <c r="M88" s="636"/>
      <c r="N88" s="636"/>
      <c r="O88" s="636"/>
      <c r="P88" s="636"/>
      <c r="Q88" s="636"/>
      <c r="R88" s="636"/>
      <c r="S88" s="636"/>
      <c r="T88" s="636"/>
    </row>
    <row r="89" spans="1:20">
      <c r="A89" s="636"/>
      <c r="B89" s="636"/>
      <c r="C89" s="636"/>
      <c r="D89" s="636"/>
      <c r="E89" s="636"/>
      <c r="F89" s="636"/>
      <c r="G89" s="636"/>
      <c r="H89" s="636"/>
      <c r="I89" s="636"/>
      <c r="J89" s="636"/>
      <c r="K89" s="636"/>
      <c r="L89" s="636"/>
      <c r="M89" s="636"/>
      <c r="N89" s="636"/>
      <c r="O89" s="636"/>
      <c r="P89" s="636"/>
      <c r="Q89" s="636"/>
      <c r="R89" s="636"/>
      <c r="S89" s="636"/>
      <c r="T89" s="636"/>
    </row>
    <row r="90" spans="1:20">
      <c r="A90" s="636"/>
      <c r="B90" s="636"/>
      <c r="C90" s="636"/>
      <c r="D90" s="636"/>
      <c r="E90" s="636"/>
      <c r="F90" s="636"/>
      <c r="G90" s="636"/>
      <c r="H90" s="636"/>
      <c r="I90" s="636"/>
      <c r="J90" s="636"/>
      <c r="K90" s="636"/>
      <c r="L90" s="636"/>
      <c r="M90" s="636"/>
      <c r="N90" s="636"/>
      <c r="O90" s="636"/>
      <c r="P90" s="636"/>
      <c r="Q90" s="636"/>
      <c r="R90" s="636"/>
      <c r="S90" s="636"/>
      <c r="T90" s="636"/>
    </row>
    <row r="91" spans="1:20">
      <c r="A91" s="636"/>
      <c r="B91" s="636"/>
      <c r="C91" s="636"/>
      <c r="D91" s="636"/>
      <c r="E91" s="636"/>
      <c r="F91" s="636"/>
      <c r="G91" s="636"/>
      <c r="H91" s="636"/>
      <c r="I91" s="636"/>
      <c r="J91" s="636"/>
      <c r="K91" s="636"/>
      <c r="L91" s="636"/>
      <c r="M91" s="636"/>
      <c r="N91" s="636"/>
      <c r="O91" s="636"/>
      <c r="P91" s="636"/>
      <c r="Q91" s="636"/>
      <c r="R91" s="636"/>
      <c r="S91" s="636"/>
      <c r="T91" s="636"/>
    </row>
    <row r="92" spans="1:20">
      <c r="A92" s="636"/>
      <c r="B92" s="636"/>
      <c r="C92" s="636"/>
      <c r="D92" s="636"/>
      <c r="E92" s="636"/>
      <c r="F92" s="636"/>
      <c r="G92" s="636"/>
      <c r="H92" s="636"/>
      <c r="I92" s="636"/>
      <c r="J92" s="636"/>
      <c r="K92" s="636"/>
      <c r="L92" s="636"/>
      <c r="M92" s="636"/>
      <c r="N92" s="636"/>
      <c r="O92" s="636"/>
      <c r="P92" s="636"/>
      <c r="Q92" s="636"/>
      <c r="R92" s="636"/>
      <c r="S92" s="636"/>
      <c r="T92" s="636"/>
    </row>
    <row r="93" spans="1:20">
      <c r="A93" s="636"/>
      <c r="B93" s="636"/>
      <c r="C93" s="636"/>
      <c r="D93" s="636"/>
      <c r="E93" s="636"/>
      <c r="F93" s="636"/>
      <c r="G93" s="636"/>
      <c r="H93" s="636"/>
      <c r="I93" s="636"/>
      <c r="J93" s="636"/>
      <c r="K93" s="636"/>
      <c r="L93" s="636"/>
      <c r="M93" s="636"/>
      <c r="N93" s="636"/>
      <c r="O93" s="636"/>
      <c r="P93" s="636"/>
      <c r="Q93" s="636"/>
      <c r="R93" s="636"/>
      <c r="S93" s="636"/>
      <c r="T93" s="636"/>
    </row>
    <row r="94" spans="1:20">
      <c r="A94" s="636"/>
      <c r="B94" s="636"/>
      <c r="C94" s="636"/>
      <c r="D94" s="636"/>
      <c r="E94" s="636"/>
      <c r="F94" s="636"/>
      <c r="G94" s="636"/>
      <c r="H94" s="636"/>
      <c r="I94" s="636"/>
      <c r="J94" s="636"/>
      <c r="K94" s="636"/>
      <c r="L94" s="636"/>
      <c r="M94" s="636"/>
      <c r="N94" s="636"/>
      <c r="O94" s="636"/>
      <c r="P94" s="636"/>
      <c r="Q94" s="636"/>
      <c r="R94" s="636"/>
      <c r="S94" s="636"/>
      <c r="T94" s="636"/>
    </row>
    <row r="95" spans="1:20">
      <c r="A95" s="636"/>
      <c r="B95" s="636"/>
      <c r="C95" s="636"/>
      <c r="D95" s="636"/>
      <c r="E95" s="636"/>
      <c r="F95" s="636"/>
      <c r="G95" s="636"/>
      <c r="H95" s="636"/>
      <c r="I95" s="636"/>
      <c r="J95" s="636"/>
      <c r="K95" s="636"/>
      <c r="L95" s="636"/>
      <c r="M95" s="636"/>
      <c r="N95" s="636"/>
      <c r="O95" s="636"/>
      <c r="P95" s="636"/>
      <c r="Q95" s="636"/>
      <c r="R95" s="636"/>
      <c r="S95" s="636"/>
      <c r="T95" s="636"/>
    </row>
    <row r="96" spans="1:20">
      <c r="A96" s="636"/>
      <c r="B96" s="636"/>
      <c r="C96" s="636"/>
      <c r="D96" s="636"/>
      <c r="E96" s="636"/>
      <c r="F96" s="636"/>
      <c r="G96" s="636"/>
      <c r="H96" s="636"/>
      <c r="I96" s="636"/>
      <c r="J96" s="636"/>
      <c r="K96" s="636"/>
      <c r="L96" s="636"/>
      <c r="M96" s="636"/>
      <c r="N96" s="636"/>
      <c r="O96" s="636"/>
      <c r="P96" s="636"/>
      <c r="Q96" s="636"/>
      <c r="R96" s="636"/>
      <c r="S96" s="636"/>
      <c r="T96" s="636"/>
    </row>
    <row r="97" spans="1:20">
      <c r="A97" s="636"/>
      <c r="B97" s="636"/>
      <c r="C97" s="636"/>
      <c r="D97" s="636"/>
      <c r="E97" s="636"/>
      <c r="F97" s="636"/>
      <c r="G97" s="636"/>
      <c r="H97" s="636"/>
      <c r="I97" s="636"/>
      <c r="J97" s="636"/>
      <c r="K97" s="636"/>
      <c r="L97" s="636"/>
      <c r="M97" s="636"/>
      <c r="N97" s="636"/>
      <c r="O97" s="636"/>
      <c r="P97" s="636"/>
      <c r="Q97" s="636"/>
      <c r="R97" s="636"/>
      <c r="S97" s="636"/>
      <c r="T97" s="636"/>
    </row>
    <row r="98" spans="1:20">
      <c r="A98" s="636"/>
      <c r="B98" s="636"/>
      <c r="C98" s="636"/>
      <c r="D98" s="636"/>
      <c r="E98" s="636"/>
      <c r="F98" s="636"/>
      <c r="G98" s="636"/>
      <c r="H98" s="636"/>
      <c r="I98" s="636"/>
      <c r="J98" s="636"/>
      <c r="K98" s="636"/>
      <c r="L98" s="636"/>
      <c r="M98" s="636"/>
      <c r="N98" s="636"/>
      <c r="O98" s="636"/>
      <c r="P98" s="636"/>
      <c r="Q98" s="636"/>
      <c r="R98" s="636"/>
      <c r="S98" s="636"/>
      <c r="T98" s="636"/>
    </row>
    <row r="99" spans="1:20">
      <c r="A99" s="636"/>
      <c r="B99" s="636"/>
      <c r="C99" s="636"/>
      <c r="D99" s="636"/>
      <c r="E99" s="636"/>
      <c r="F99" s="636"/>
      <c r="G99" s="636"/>
      <c r="H99" s="636"/>
      <c r="I99" s="636"/>
      <c r="J99" s="636"/>
      <c r="K99" s="636"/>
      <c r="L99" s="636"/>
      <c r="M99" s="636"/>
      <c r="N99" s="636"/>
      <c r="O99" s="636"/>
      <c r="P99" s="636"/>
      <c r="Q99" s="636"/>
      <c r="R99" s="636"/>
      <c r="S99" s="636"/>
      <c r="T99" s="636"/>
    </row>
    <row r="100" spans="1:20">
      <c r="A100" s="636"/>
      <c r="B100" s="636"/>
      <c r="C100" s="636"/>
      <c r="D100" s="636"/>
      <c r="E100" s="636"/>
      <c r="F100" s="636"/>
      <c r="G100" s="636"/>
      <c r="H100" s="636"/>
      <c r="I100" s="636"/>
      <c r="J100" s="636"/>
      <c r="K100" s="636"/>
      <c r="L100" s="636"/>
      <c r="M100" s="636"/>
      <c r="N100" s="636"/>
      <c r="O100" s="636"/>
      <c r="P100" s="636"/>
      <c r="Q100" s="636"/>
      <c r="R100" s="636"/>
      <c r="S100" s="636"/>
      <c r="T100" s="636"/>
    </row>
    <row r="101" spans="1:20">
      <c r="A101" s="636"/>
      <c r="B101" s="636"/>
      <c r="C101" s="636"/>
      <c r="D101" s="636"/>
      <c r="E101" s="636"/>
      <c r="F101" s="636"/>
      <c r="G101" s="636"/>
      <c r="H101" s="636"/>
      <c r="I101" s="636"/>
      <c r="J101" s="636"/>
      <c r="K101" s="636"/>
      <c r="L101" s="636"/>
      <c r="M101" s="636"/>
      <c r="N101" s="636"/>
      <c r="O101" s="636"/>
      <c r="P101" s="636"/>
      <c r="Q101" s="636"/>
      <c r="R101" s="636"/>
      <c r="S101" s="636"/>
      <c r="T101" s="636"/>
    </row>
    <row r="102" spans="1:20">
      <c r="A102" s="636"/>
      <c r="B102" s="636"/>
      <c r="C102" s="636"/>
      <c r="D102" s="636"/>
      <c r="E102" s="636"/>
      <c r="F102" s="636"/>
      <c r="G102" s="636"/>
      <c r="H102" s="636"/>
      <c r="I102" s="636"/>
      <c r="J102" s="636"/>
      <c r="K102" s="636"/>
      <c r="L102" s="636"/>
      <c r="M102" s="636"/>
      <c r="N102" s="636"/>
      <c r="O102" s="636"/>
      <c r="P102" s="636"/>
      <c r="Q102" s="636"/>
      <c r="R102" s="636"/>
      <c r="S102" s="636"/>
      <c r="T102" s="636"/>
    </row>
    <row r="103" spans="1:20">
      <c r="A103" s="636"/>
      <c r="B103" s="636"/>
      <c r="C103" s="636"/>
      <c r="D103" s="636"/>
      <c r="E103" s="636"/>
      <c r="F103" s="636"/>
      <c r="G103" s="636"/>
      <c r="H103" s="636"/>
      <c r="I103" s="636"/>
      <c r="J103" s="636"/>
      <c r="K103" s="636"/>
      <c r="L103" s="636"/>
      <c r="M103" s="636"/>
      <c r="N103" s="636"/>
      <c r="O103" s="636"/>
      <c r="P103" s="636"/>
      <c r="Q103" s="636"/>
      <c r="R103" s="636"/>
      <c r="S103" s="636"/>
      <c r="T103" s="636"/>
    </row>
    <row r="104" spans="1:20">
      <c r="A104" s="636"/>
      <c r="B104" s="636"/>
      <c r="C104" s="636"/>
      <c r="D104" s="636"/>
      <c r="E104" s="636"/>
      <c r="F104" s="636"/>
      <c r="G104" s="636"/>
      <c r="H104" s="636"/>
      <c r="I104" s="636"/>
      <c r="J104" s="636"/>
      <c r="K104" s="636"/>
      <c r="L104" s="636"/>
      <c r="M104" s="636"/>
      <c r="N104" s="636"/>
      <c r="O104" s="636"/>
      <c r="P104" s="636"/>
      <c r="Q104" s="636"/>
      <c r="R104" s="636"/>
      <c r="S104" s="636"/>
      <c r="T104" s="636"/>
    </row>
    <row r="105" spans="1:20">
      <c r="A105" s="636"/>
      <c r="B105" s="636"/>
      <c r="C105" s="636"/>
      <c r="D105" s="636"/>
      <c r="E105" s="636"/>
      <c r="F105" s="636"/>
      <c r="G105" s="636"/>
      <c r="H105" s="636"/>
      <c r="I105" s="636"/>
      <c r="J105" s="636"/>
      <c r="K105" s="636"/>
      <c r="L105" s="636"/>
      <c r="M105" s="636"/>
      <c r="N105" s="636"/>
      <c r="O105" s="636"/>
      <c r="P105" s="636"/>
      <c r="Q105" s="636"/>
      <c r="R105" s="636"/>
      <c r="S105" s="636"/>
      <c r="T105" s="636"/>
    </row>
    <row r="106" spans="1:20">
      <c r="A106" s="636"/>
      <c r="B106" s="636"/>
      <c r="C106" s="636"/>
      <c r="D106" s="636"/>
      <c r="E106" s="636"/>
      <c r="F106" s="636"/>
      <c r="G106" s="636"/>
      <c r="H106" s="636"/>
      <c r="I106" s="636"/>
      <c r="J106" s="636"/>
      <c r="K106" s="636"/>
      <c r="L106" s="636"/>
      <c r="M106" s="636"/>
      <c r="N106" s="636"/>
      <c r="O106" s="636"/>
      <c r="P106" s="636"/>
      <c r="Q106" s="636"/>
      <c r="R106" s="636"/>
      <c r="S106" s="636"/>
      <c r="T106" s="636"/>
    </row>
    <row r="107" spans="1:20">
      <c r="A107" s="636"/>
      <c r="B107" s="636"/>
      <c r="C107" s="636"/>
      <c r="D107" s="636"/>
      <c r="E107" s="636"/>
      <c r="F107" s="636"/>
      <c r="G107" s="636"/>
      <c r="H107" s="636"/>
      <c r="I107" s="636"/>
      <c r="J107" s="636"/>
      <c r="K107" s="636"/>
      <c r="L107" s="636"/>
      <c r="M107" s="636"/>
      <c r="N107" s="636"/>
      <c r="O107" s="636"/>
      <c r="P107" s="636"/>
      <c r="Q107" s="636"/>
      <c r="R107" s="636"/>
      <c r="S107" s="636"/>
      <c r="T107" s="636"/>
    </row>
    <row r="108" spans="1:20">
      <c r="A108" s="636"/>
      <c r="B108" s="636"/>
      <c r="C108" s="636"/>
      <c r="D108" s="636"/>
      <c r="E108" s="636"/>
      <c r="F108" s="636"/>
      <c r="G108" s="636"/>
      <c r="H108" s="636"/>
      <c r="I108" s="636"/>
      <c r="J108" s="636"/>
      <c r="K108" s="636"/>
      <c r="L108" s="636"/>
      <c r="M108" s="636"/>
      <c r="N108" s="636"/>
      <c r="O108" s="636"/>
      <c r="P108" s="636"/>
      <c r="Q108" s="636"/>
      <c r="R108" s="636"/>
      <c r="S108" s="636"/>
      <c r="T108" s="636"/>
    </row>
    <row r="109" spans="1:20">
      <c r="A109" s="636"/>
      <c r="B109" s="636"/>
      <c r="C109" s="636"/>
      <c r="D109" s="636"/>
      <c r="E109" s="636"/>
      <c r="F109" s="636"/>
      <c r="G109" s="636"/>
      <c r="H109" s="636"/>
      <c r="I109" s="636"/>
      <c r="J109" s="636"/>
      <c r="K109" s="636"/>
      <c r="L109" s="636"/>
      <c r="M109" s="636"/>
      <c r="N109" s="636"/>
      <c r="O109" s="636"/>
      <c r="P109" s="636"/>
      <c r="Q109" s="636"/>
      <c r="R109" s="636"/>
      <c r="S109" s="636"/>
      <c r="T109" s="636"/>
    </row>
    <row r="110" spans="1:20">
      <c r="A110" s="636"/>
      <c r="B110" s="636"/>
      <c r="C110" s="636"/>
      <c r="D110" s="636"/>
      <c r="E110" s="636"/>
      <c r="F110" s="636"/>
      <c r="G110" s="636"/>
      <c r="H110" s="636"/>
      <c r="I110" s="636"/>
      <c r="J110" s="636"/>
      <c r="K110" s="636"/>
      <c r="L110" s="636"/>
      <c r="M110" s="636"/>
      <c r="N110" s="636"/>
      <c r="O110" s="636"/>
      <c r="P110" s="636"/>
      <c r="Q110" s="636"/>
      <c r="R110" s="636"/>
      <c r="S110" s="636"/>
      <c r="T110" s="636"/>
    </row>
    <row r="111" spans="1:20">
      <c r="A111" s="636"/>
      <c r="B111" s="636"/>
      <c r="C111" s="636"/>
      <c r="D111" s="636"/>
      <c r="E111" s="636"/>
      <c r="F111" s="636"/>
      <c r="G111" s="636"/>
      <c r="H111" s="636"/>
      <c r="I111" s="636"/>
      <c r="J111" s="636"/>
      <c r="K111" s="636"/>
      <c r="L111" s="636"/>
      <c r="M111" s="636"/>
      <c r="N111" s="636"/>
      <c r="O111" s="636"/>
      <c r="P111" s="636"/>
      <c r="Q111" s="636"/>
      <c r="R111" s="636"/>
      <c r="S111" s="636"/>
      <c r="T111" s="636"/>
    </row>
    <row r="112" spans="1:20">
      <c r="A112" s="636"/>
      <c r="B112" s="636"/>
      <c r="C112" s="636"/>
      <c r="D112" s="636"/>
      <c r="E112" s="636"/>
      <c r="F112" s="636"/>
      <c r="G112" s="636"/>
      <c r="H112" s="636"/>
      <c r="I112" s="636"/>
      <c r="J112" s="636"/>
      <c r="K112" s="636"/>
      <c r="L112" s="636"/>
      <c r="M112" s="636"/>
      <c r="N112" s="636"/>
      <c r="O112" s="636"/>
      <c r="P112" s="636"/>
      <c r="Q112" s="636"/>
      <c r="R112" s="636"/>
      <c r="S112" s="636"/>
      <c r="T112" s="636"/>
    </row>
    <row r="113" spans="1:20">
      <c r="A113" s="636"/>
      <c r="B113" s="636"/>
      <c r="C113" s="636"/>
      <c r="D113" s="636"/>
      <c r="E113" s="636"/>
      <c r="F113" s="636"/>
      <c r="G113" s="636"/>
      <c r="H113" s="636"/>
      <c r="I113" s="636"/>
      <c r="J113" s="636"/>
      <c r="K113" s="636"/>
      <c r="L113" s="636"/>
      <c r="M113" s="636"/>
      <c r="N113" s="636"/>
      <c r="O113" s="636"/>
      <c r="P113" s="636"/>
      <c r="Q113" s="636"/>
      <c r="R113" s="636"/>
      <c r="S113" s="636"/>
      <c r="T113" s="636"/>
    </row>
    <row r="114" spans="1:20">
      <c r="A114" s="636"/>
      <c r="B114" s="636"/>
      <c r="C114" s="636"/>
      <c r="D114" s="636"/>
      <c r="E114" s="636"/>
      <c r="F114" s="636"/>
      <c r="G114" s="636"/>
      <c r="H114" s="636"/>
      <c r="I114" s="636"/>
      <c r="J114" s="636"/>
      <c r="K114" s="636"/>
      <c r="L114" s="636"/>
      <c r="M114" s="636"/>
      <c r="N114" s="636"/>
      <c r="O114" s="636"/>
      <c r="P114" s="636"/>
      <c r="Q114" s="636"/>
      <c r="R114" s="636"/>
      <c r="S114" s="636"/>
      <c r="T114" s="636"/>
    </row>
    <row r="115" spans="1:20">
      <c r="A115" s="636"/>
      <c r="B115" s="636"/>
      <c r="C115" s="636"/>
      <c r="D115" s="636"/>
      <c r="E115" s="636"/>
      <c r="F115" s="636"/>
      <c r="G115" s="636"/>
      <c r="H115" s="636"/>
      <c r="I115" s="636"/>
      <c r="J115" s="636"/>
      <c r="K115" s="636"/>
      <c r="L115" s="636"/>
      <c r="M115" s="636"/>
      <c r="N115" s="636"/>
      <c r="O115" s="636"/>
      <c r="P115" s="636"/>
      <c r="Q115" s="636"/>
      <c r="R115" s="636"/>
      <c r="S115" s="636"/>
      <c r="T115" s="636"/>
    </row>
    <row r="116" spans="1:20">
      <c r="A116" s="636"/>
      <c r="B116" s="636"/>
      <c r="C116" s="636"/>
      <c r="D116" s="636"/>
      <c r="E116" s="636"/>
      <c r="F116" s="636"/>
      <c r="G116" s="636"/>
      <c r="H116" s="636"/>
      <c r="I116" s="636"/>
      <c r="J116" s="636"/>
      <c r="K116" s="636"/>
      <c r="L116" s="636"/>
      <c r="M116" s="636"/>
      <c r="N116" s="636"/>
      <c r="O116" s="636"/>
      <c r="P116" s="636"/>
      <c r="Q116" s="636"/>
      <c r="R116" s="636"/>
      <c r="S116" s="636"/>
      <c r="T116" s="636"/>
    </row>
    <row r="117" spans="1:20">
      <c r="A117" s="636"/>
      <c r="B117" s="636"/>
      <c r="C117" s="636"/>
      <c r="D117" s="636"/>
      <c r="E117" s="636"/>
      <c r="F117" s="636"/>
      <c r="G117" s="636"/>
      <c r="H117" s="636"/>
      <c r="I117" s="636"/>
      <c r="J117" s="636"/>
      <c r="K117" s="636"/>
      <c r="L117" s="636"/>
      <c r="M117" s="636"/>
      <c r="N117" s="636"/>
      <c r="O117" s="636"/>
      <c r="P117" s="636"/>
      <c r="Q117" s="636"/>
      <c r="R117" s="636"/>
      <c r="S117" s="636"/>
      <c r="T117" s="636"/>
    </row>
    <row r="118" spans="1:20">
      <c r="A118" s="636"/>
      <c r="B118" s="636"/>
      <c r="C118" s="636"/>
      <c r="D118" s="636"/>
      <c r="E118" s="636"/>
      <c r="F118" s="636"/>
      <c r="G118" s="636"/>
      <c r="H118" s="636"/>
      <c r="I118" s="636"/>
      <c r="J118" s="636"/>
      <c r="K118" s="636"/>
      <c r="L118" s="636"/>
      <c r="M118" s="636"/>
      <c r="N118" s="636"/>
      <c r="O118" s="636"/>
      <c r="P118" s="636"/>
      <c r="Q118" s="636"/>
      <c r="R118" s="636"/>
      <c r="S118" s="636"/>
      <c r="T118" s="636"/>
    </row>
    <row r="119" spans="1:20">
      <c r="A119" s="636"/>
      <c r="B119" s="636"/>
      <c r="C119" s="636"/>
      <c r="D119" s="636"/>
      <c r="E119" s="636"/>
      <c r="F119" s="636"/>
      <c r="G119" s="636"/>
      <c r="H119" s="636"/>
      <c r="I119" s="636"/>
      <c r="J119" s="636"/>
      <c r="K119" s="636"/>
      <c r="L119" s="636"/>
      <c r="M119" s="636"/>
      <c r="N119" s="636"/>
      <c r="O119" s="636"/>
      <c r="P119" s="636"/>
      <c r="Q119" s="636"/>
      <c r="R119" s="636"/>
      <c r="S119" s="636"/>
      <c r="T119" s="636"/>
    </row>
    <row r="120" spans="1:20">
      <c r="A120" s="636"/>
      <c r="B120" s="636"/>
      <c r="C120" s="636"/>
      <c r="D120" s="636"/>
      <c r="E120" s="636"/>
      <c r="F120" s="636"/>
      <c r="G120" s="636"/>
      <c r="H120" s="636"/>
      <c r="I120" s="636"/>
      <c r="J120" s="636"/>
      <c r="K120" s="636"/>
      <c r="L120" s="636"/>
      <c r="M120" s="636"/>
      <c r="N120" s="636"/>
      <c r="O120" s="636"/>
      <c r="P120" s="636"/>
      <c r="Q120" s="636"/>
      <c r="R120" s="636"/>
      <c r="S120" s="636"/>
      <c r="T120" s="636"/>
    </row>
    <row r="121" spans="1:20">
      <c r="A121" s="636"/>
      <c r="B121" s="636"/>
      <c r="C121" s="636"/>
      <c r="D121" s="636"/>
      <c r="E121" s="636"/>
      <c r="F121" s="636"/>
      <c r="G121" s="636"/>
      <c r="H121" s="636"/>
      <c r="I121" s="636"/>
      <c r="J121" s="636"/>
      <c r="K121" s="636"/>
      <c r="L121" s="636"/>
      <c r="M121" s="636"/>
      <c r="N121" s="636"/>
      <c r="O121" s="636"/>
      <c r="P121" s="636"/>
      <c r="Q121" s="636"/>
      <c r="R121" s="636"/>
      <c r="S121" s="636"/>
      <c r="T121" s="636"/>
    </row>
    <row r="122" spans="1:20">
      <c r="A122" s="636"/>
      <c r="B122" s="636"/>
      <c r="C122" s="636"/>
      <c r="D122" s="636"/>
      <c r="E122" s="636"/>
      <c r="F122" s="636"/>
      <c r="G122" s="636"/>
      <c r="H122" s="636"/>
      <c r="I122" s="636"/>
      <c r="J122" s="636"/>
      <c r="K122" s="636"/>
      <c r="L122" s="636"/>
      <c r="M122" s="636"/>
      <c r="N122" s="636"/>
      <c r="O122" s="636"/>
      <c r="P122" s="636"/>
      <c r="Q122" s="636"/>
      <c r="R122" s="636"/>
      <c r="S122" s="636"/>
      <c r="T122" s="636"/>
    </row>
    <row r="123" spans="1:20">
      <c r="A123" s="636"/>
      <c r="B123" s="636"/>
      <c r="C123" s="636"/>
      <c r="D123" s="636"/>
      <c r="E123" s="636"/>
      <c r="F123" s="636"/>
      <c r="G123" s="636"/>
      <c r="H123" s="636"/>
      <c r="I123" s="636"/>
      <c r="J123" s="636"/>
      <c r="K123" s="636"/>
      <c r="L123" s="636"/>
      <c r="M123" s="636"/>
      <c r="N123" s="636"/>
      <c r="O123" s="636"/>
      <c r="P123" s="636"/>
      <c r="Q123" s="636"/>
      <c r="R123" s="636"/>
      <c r="S123" s="636"/>
      <c r="T123" s="636"/>
    </row>
    <row r="124" spans="1:20">
      <c r="A124" s="636"/>
      <c r="B124" s="636"/>
      <c r="C124" s="636"/>
      <c r="D124" s="636"/>
      <c r="E124" s="636"/>
      <c r="F124" s="636"/>
      <c r="G124" s="636"/>
      <c r="H124" s="636"/>
      <c r="I124" s="636"/>
      <c r="J124" s="636"/>
      <c r="K124" s="636"/>
      <c r="L124" s="636"/>
      <c r="M124" s="636"/>
      <c r="N124" s="636"/>
      <c r="O124" s="636"/>
      <c r="P124" s="636"/>
      <c r="Q124" s="636"/>
      <c r="R124" s="636"/>
      <c r="S124" s="636"/>
      <c r="T124" s="636"/>
    </row>
    <row r="125" spans="1:20">
      <c r="A125" s="636"/>
      <c r="B125" s="636"/>
      <c r="C125" s="636"/>
      <c r="D125" s="636"/>
      <c r="E125" s="636"/>
      <c r="F125" s="636"/>
      <c r="G125" s="636"/>
      <c r="H125" s="636"/>
      <c r="I125" s="636"/>
      <c r="J125" s="636"/>
      <c r="K125" s="636"/>
      <c r="L125" s="636"/>
      <c r="M125" s="636"/>
      <c r="N125" s="636"/>
      <c r="O125" s="636"/>
      <c r="P125" s="636"/>
      <c r="Q125" s="636"/>
      <c r="R125" s="636"/>
      <c r="S125" s="636"/>
      <c r="T125" s="636"/>
    </row>
    <row r="126" spans="1:20">
      <c r="A126" s="636"/>
      <c r="B126" s="636"/>
      <c r="C126" s="636"/>
      <c r="D126" s="636"/>
      <c r="E126" s="636"/>
      <c r="F126" s="636"/>
      <c r="G126" s="636"/>
      <c r="H126" s="636"/>
      <c r="I126" s="636"/>
      <c r="J126" s="636"/>
      <c r="K126" s="636"/>
      <c r="L126" s="636"/>
      <c r="M126" s="636"/>
      <c r="N126" s="636"/>
      <c r="O126" s="636"/>
      <c r="P126" s="636"/>
      <c r="Q126" s="636"/>
      <c r="R126" s="636"/>
      <c r="S126" s="636"/>
      <c r="T126" s="636"/>
    </row>
    <row r="127" spans="1:20">
      <c r="A127" s="636"/>
      <c r="B127" s="636"/>
      <c r="C127" s="636"/>
      <c r="D127" s="636"/>
      <c r="E127" s="636"/>
      <c r="F127" s="636"/>
      <c r="G127" s="636"/>
      <c r="H127" s="636"/>
      <c r="I127" s="636"/>
      <c r="J127" s="636"/>
      <c r="K127" s="636"/>
      <c r="L127" s="636"/>
      <c r="M127" s="636"/>
      <c r="N127" s="636"/>
      <c r="O127" s="636"/>
      <c r="P127" s="636"/>
      <c r="Q127" s="636"/>
      <c r="R127" s="636"/>
      <c r="S127" s="636"/>
      <c r="T127" s="636"/>
    </row>
    <row r="128" spans="1:20">
      <c r="A128" s="636"/>
      <c r="B128" s="636"/>
      <c r="C128" s="636"/>
      <c r="D128" s="636"/>
      <c r="E128" s="636"/>
      <c r="F128" s="636"/>
      <c r="G128" s="636"/>
      <c r="H128" s="636"/>
      <c r="I128" s="636"/>
      <c r="J128" s="636"/>
      <c r="K128" s="636"/>
      <c r="L128" s="636"/>
      <c r="M128" s="636"/>
      <c r="N128" s="636"/>
      <c r="O128" s="636"/>
      <c r="P128" s="636"/>
      <c r="Q128" s="636"/>
      <c r="R128" s="636"/>
      <c r="S128" s="636"/>
      <c r="T128" s="636"/>
    </row>
    <row r="129" spans="1:20">
      <c r="A129" s="636"/>
      <c r="B129" s="636"/>
      <c r="C129" s="636"/>
      <c r="D129" s="636"/>
      <c r="E129" s="636"/>
      <c r="F129" s="636"/>
      <c r="G129" s="636"/>
      <c r="H129" s="636"/>
      <c r="I129" s="636"/>
      <c r="J129" s="636"/>
      <c r="K129" s="636"/>
      <c r="L129" s="636"/>
      <c r="M129" s="636"/>
      <c r="N129" s="636"/>
      <c r="O129" s="636"/>
      <c r="P129" s="636"/>
      <c r="Q129" s="636"/>
      <c r="R129" s="636"/>
      <c r="S129" s="636"/>
      <c r="T129" s="636"/>
    </row>
    <row r="130" spans="1:20">
      <c r="A130" s="636"/>
      <c r="B130" s="636"/>
      <c r="C130" s="636"/>
      <c r="D130" s="636"/>
      <c r="E130" s="636"/>
      <c r="F130" s="636"/>
      <c r="G130" s="636"/>
      <c r="H130" s="636"/>
      <c r="I130" s="636"/>
      <c r="J130" s="636"/>
      <c r="K130" s="636"/>
      <c r="L130" s="636"/>
      <c r="M130" s="636"/>
      <c r="N130" s="636"/>
      <c r="O130" s="636"/>
      <c r="P130" s="636"/>
      <c r="Q130" s="636"/>
      <c r="R130" s="636"/>
      <c r="S130" s="636"/>
      <c r="T130" s="636"/>
    </row>
    <row r="131" spans="1:20">
      <c r="A131" s="636"/>
      <c r="B131" s="636"/>
      <c r="C131" s="636"/>
      <c r="D131" s="636"/>
      <c r="E131" s="636"/>
      <c r="F131" s="636"/>
      <c r="G131" s="636"/>
      <c r="H131" s="636"/>
      <c r="I131" s="636"/>
      <c r="J131" s="636"/>
      <c r="K131" s="636"/>
      <c r="L131" s="636"/>
      <c r="M131" s="636"/>
      <c r="N131" s="636"/>
      <c r="O131" s="636"/>
      <c r="P131" s="636"/>
      <c r="Q131" s="636"/>
      <c r="R131" s="636"/>
      <c r="S131" s="636"/>
      <c r="T131" s="636"/>
    </row>
    <row r="132" spans="1:20">
      <c r="A132" s="636"/>
      <c r="B132" s="636"/>
      <c r="C132" s="636"/>
      <c r="D132" s="636"/>
      <c r="E132" s="636"/>
      <c r="F132" s="636"/>
      <c r="G132" s="636"/>
      <c r="H132" s="636"/>
      <c r="I132" s="636"/>
      <c r="J132" s="636"/>
      <c r="K132" s="636"/>
      <c r="L132" s="636"/>
      <c r="M132" s="636"/>
      <c r="N132" s="636"/>
      <c r="O132" s="636"/>
      <c r="P132" s="636"/>
      <c r="Q132" s="636"/>
      <c r="R132" s="636"/>
      <c r="S132" s="636"/>
      <c r="T132" s="636"/>
    </row>
    <row r="133" spans="1:20">
      <c r="A133" s="636"/>
      <c r="B133" s="636"/>
      <c r="C133" s="636"/>
      <c r="D133" s="636"/>
      <c r="E133" s="636"/>
      <c r="F133" s="636"/>
      <c r="G133" s="636"/>
      <c r="H133" s="636"/>
      <c r="I133" s="636"/>
      <c r="J133" s="636"/>
      <c r="K133" s="636"/>
      <c r="L133" s="636"/>
      <c r="M133" s="636"/>
      <c r="N133" s="636"/>
      <c r="O133" s="636"/>
      <c r="P133" s="636"/>
      <c r="Q133" s="636"/>
      <c r="R133" s="636"/>
      <c r="S133" s="636"/>
      <c r="T133" s="636"/>
    </row>
    <row r="134" spans="1:20">
      <c r="A134" s="636"/>
      <c r="B134" s="636"/>
      <c r="C134" s="636"/>
      <c r="D134" s="636"/>
      <c r="E134" s="636"/>
      <c r="F134" s="636"/>
      <c r="G134" s="636"/>
      <c r="H134" s="636"/>
      <c r="I134" s="636"/>
      <c r="J134" s="636"/>
      <c r="K134" s="636"/>
      <c r="L134" s="636"/>
      <c r="M134" s="636"/>
      <c r="N134" s="636"/>
      <c r="O134" s="636"/>
      <c r="P134" s="636"/>
      <c r="Q134" s="636"/>
      <c r="R134" s="636"/>
      <c r="S134" s="636"/>
      <c r="T134" s="636"/>
    </row>
    <row r="135" spans="1:20">
      <c r="A135" s="636"/>
      <c r="B135" s="636"/>
      <c r="C135" s="636"/>
      <c r="D135" s="636"/>
      <c r="E135" s="636"/>
      <c r="F135" s="636"/>
      <c r="G135" s="636"/>
      <c r="H135" s="636"/>
      <c r="I135" s="636"/>
      <c r="J135" s="636"/>
      <c r="K135" s="636"/>
      <c r="L135" s="636"/>
      <c r="M135" s="636"/>
      <c r="N135" s="636"/>
      <c r="O135" s="636"/>
      <c r="P135" s="636"/>
      <c r="Q135" s="636"/>
      <c r="R135" s="636"/>
      <c r="S135" s="636"/>
      <c r="T135" s="636"/>
    </row>
    <row r="136" spans="1:20">
      <c r="A136" s="636"/>
      <c r="B136" s="636"/>
      <c r="C136" s="636"/>
      <c r="D136" s="636"/>
      <c r="E136" s="636"/>
      <c r="F136" s="636"/>
      <c r="G136" s="636"/>
      <c r="H136" s="636"/>
      <c r="I136" s="636"/>
      <c r="J136" s="636"/>
      <c r="K136" s="636"/>
      <c r="L136" s="636"/>
      <c r="M136" s="636"/>
      <c r="N136" s="636"/>
      <c r="O136" s="636"/>
      <c r="P136" s="636"/>
      <c r="Q136" s="636"/>
      <c r="R136" s="636"/>
      <c r="S136" s="636"/>
      <c r="T136" s="636"/>
    </row>
    <row r="137" spans="1:20">
      <c r="A137" s="636"/>
      <c r="B137" s="636"/>
      <c r="C137" s="636"/>
      <c r="D137" s="636"/>
      <c r="E137" s="636"/>
      <c r="F137" s="636"/>
      <c r="G137" s="636"/>
      <c r="H137" s="636"/>
      <c r="I137" s="636"/>
      <c r="J137" s="636"/>
      <c r="K137" s="636"/>
      <c r="L137" s="636"/>
      <c r="M137" s="636"/>
      <c r="N137" s="636"/>
      <c r="O137" s="636"/>
      <c r="P137" s="636"/>
      <c r="Q137" s="636"/>
      <c r="R137" s="636"/>
      <c r="S137" s="636"/>
      <c r="T137" s="636"/>
    </row>
    <row r="138" spans="1:20">
      <c r="A138" s="636"/>
      <c r="B138" s="636"/>
      <c r="C138" s="636"/>
      <c r="D138" s="636"/>
      <c r="E138" s="636"/>
      <c r="F138" s="636"/>
      <c r="G138" s="636"/>
      <c r="H138" s="636"/>
      <c r="I138" s="636"/>
      <c r="J138" s="636"/>
      <c r="K138" s="636"/>
      <c r="L138" s="636"/>
      <c r="M138" s="636"/>
      <c r="N138" s="636"/>
      <c r="O138" s="636"/>
      <c r="P138" s="636"/>
      <c r="Q138" s="636"/>
      <c r="R138" s="636"/>
      <c r="S138" s="636"/>
      <c r="T138" s="636"/>
    </row>
    <row r="139" spans="1:20">
      <c r="A139" s="636"/>
      <c r="B139" s="636"/>
      <c r="C139" s="636"/>
      <c r="D139" s="636"/>
      <c r="E139" s="636"/>
      <c r="F139" s="636"/>
      <c r="G139" s="636"/>
      <c r="H139" s="636"/>
      <c r="I139" s="636"/>
      <c r="J139" s="636"/>
      <c r="K139" s="636"/>
      <c r="L139" s="636"/>
      <c r="M139" s="636"/>
      <c r="N139" s="636"/>
      <c r="O139" s="636"/>
      <c r="P139" s="636"/>
      <c r="Q139" s="636"/>
      <c r="R139" s="636"/>
      <c r="S139" s="636"/>
      <c r="T139" s="636"/>
    </row>
    <row r="140" spans="1:20">
      <c r="A140" s="636"/>
      <c r="B140" s="636"/>
      <c r="C140" s="636"/>
      <c r="D140" s="636"/>
      <c r="E140" s="636"/>
      <c r="F140" s="636"/>
      <c r="G140" s="636"/>
      <c r="H140" s="636"/>
      <c r="I140" s="636"/>
      <c r="J140" s="636"/>
      <c r="K140" s="636"/>
      <c r="L140" s="636"/>
      <c r="M140" s="636"/>
      <c r="N140" s="636"/>
      <c r="O140" s="636"/>
      <c r="P140" s="636"/>
      <c r="Q140" s="636"/>
      <c r="R140" s="636"/>
      <c r="S140" s="636"/>
      <c r="T140" s="636"/>
    </row>
    <row r="141" spans="1:20">
      <c r="A141" s="636"/>
      <c r="B141" s="636"/>
      <c r="C141" s="636"/>
      <c r="D141" s="636"/>
      <c r="E141" s="636"/>
      <c r="F141" s="636"/>
      <c r="G141" s="636"/>
      <c r="H141" s="636"/>
      <c r="I141" s="636"/>
      <c r="J141" s="636"/>
      <c r="K141" s="636"/>
      <c r="L141" s="636"/>
      <c r="M141" s="636"/>
      <c r="N141" s="636"/>
      <c r="O141" s="636"/>
      <c r="P141" s="636"/>
      <c r="Q141" s="636"/>
      <c r="R141" s="636"/>
      <c r="S141" s="636"/>
      <c r="T141" s="636"/>
    </row>
    <row r="142" spans="1:20">
      <c r="A142" s="636"/>
      <c r="B142" s="636"/>
      <c r="C142" s="636"/>
      <c r="D142" s="636"/>
      <c r="E142" s="636"/>
      <c r="F142" s="636"/>
      <c r="G142" s="636"/>
      <c r="H142" s="636"/>
      <c r="I142" s="636"/>
      <c r="J142" s="636"/>
      <c r="K142" s="636"/>
      <c r="L142" s="636"/>
      <c r="M142" s="636"/>
      <c r="N142" s="636"/>
      <c r="O142" s="636"/>
      <c r="P142" s="636"/>
      <c r="Q142" s="636"/>
      <c r="R142" s="636"/>
      <c r="S142" s="636"/>
      <c r="T142" s="636"/>
    </row>
    <row r="143" spans="1:20">
      <c r="A143" s="636"/>
      <c r="B143" s="636"/>
      <c r="C143" s="636"/>
      <c r="D143" s="636"/>
      <c r="E143" s="636"/>
      <c r="F143" s="636"/>
      <c r="G143" s="636"/>
      <c r="H143" s="636"/>
      <c r="I143" s="636"/>
      <c r="J143" s="636"/>
      <c r="K143" s="636"/>
      <c r="L143" s="636"/>
      <c r="M143" s="636"/>
      <c r="N143" s="636"/>
      <c r="O143" s="636"/>
      <c r="P143" s="636"/>
      <c r="Q143" s="636"/>
      <c r="R143" s="636"/>
      <c r="S143" s="636"/>
      <c r="T143" s="636"/>
    </row>
    <row r="144" spans="1:20">
      <c r="A144" s="636"/>
      <c r="B144" s="636"/>
      <c r="C144" s="636"/>
      <c r="D144" s="636"/>
      <c r="E144" s="636"/>
      <c r="F144" s="636"/>
      <c r="G144" s="636"/>
      <c r="H144" s="636"/>
      <c r="I144" s="636"/>
      <c r="J144" s="636"/>
      <c r="K144" s="636"/>
      <c r="L144" s="636"/>
      <c r="M144" s="636"/>
      <c r="N144" s="636"/>
      <c r="O144" s="636"/>
      <c r="P144" s="636"/>
      <c r="Q144" s="636"/>
      <c r="R144" s="636"/>
      <c r="S144" s="636"/>
      <c r="T144" s="636"/>
    </row>
    <row r="145" spans="1:20">
      <c r="A145" s="636"/>
      <c r="B145" s="636"/>
      <c r="C145" s="636"/>
      <c r="D145" s="636"/>
      <c r="E145" s="636"/>
      <c r="F145" s="636"/>
      <c r="G145" s="636"/>
      <c r="H145" s="636"/>
      <c r="I145" s="636"/>
      <c r="J145" s="636"/>
      <c r="K145" s="636"/>
      <c r="L145" s="636"/>
      <c r="M145" s="636"/>
      <c r="N145" s="636"/>
      <c r="O145" s="636"/>
      <c r="P145" s="636"/>
      <c r="Q145" s="636"/>
      <c r="R145" s="636"/>
      <c r="S145" s="636"/>
      <c r="T145" s="636"/>
    </row>
    <row r="146" spans="1:20">
      <c r="A146" s="636"/>
      <c r="B146" s="636"/>
      <c r="C146" s="636"/>
      <c r="D146" s="636"/>
      <c r="E146" s="636"/>
      <c r="F146" s="636"/>
      <c r="G146" s="636"/>
      <c r="H146" s="636"/>
      <c r="I146" s="636"/>
      <c r="J146" s="636"/>
      <c r="K146" s="636"/>
      <c r="L146" s="636"/>
      <c r="M146" s="636"/>
      <c r="N146" s="636"/>
      <c r="O146" s="636"/>
      <c r="P146" s="636"/>
      <c r="Q146" s="636"/>
      <c r="R146" s="636"/>
      <c r="S146" s="636"/>
      <c r="T146" s="636"/>
    </row>
    <row r="147" spans="1:20">
      <c r="A147" s="636"/>
      <c r="B147" s="636"/>
      <c r="C147" s="636"/>
      <c r="D147" s="636"/>
      <c r="E147" s="636"/>
      <c r="F147" s="636"/>
      <c r="G147" s="636"/>
      <c r="H147" s="636"/>
      <c r="I147" s="636"/>
      <c r="J147" s="636"/>
      <c r="K147" s="636"/>
      <c r="L147" s="636"/>
      <c r="M147" s="636"/>
      <c r="N147" s="636"/>
      <c r="O147" s="636"/>
      <c r="P147" s="636"/>
      <c r="Q147" s="636"/>
      <c r="R147" s="636"/>
      <c r="S147" s="636"/>
      <c r="T147" s="636"/>
    </row>
    <row r="148" spans="1:20">
      <c r="A148" s="636"/>
      <c r="B148" s="636"/>
      <c r="C148" s="636"/>
      <c r="D148" s="636"/>
      <c r="E148" s="636"/>
      <c r="F148" s="636"/>
      <c r="G148" s="636"/>
      <c r="H148" s="636"/>
      <c r="I148" s="636"/>
      <c r="J148" s="636"/>
      <c r="K148" s="636"/>
      <c r="L148" s="636"/>
      <c r="M148" s="636"/>
      <c r="N148" s="636"/>
      <c r="O148" s="636"/>
      <c r="P148" s="636"/>
      <c r="Q148" s="636"/>
      <c r="R148" s="636"/>
      <c r="S148" s="636"/>
      <c r="T148" s="636"/>
    </row>
    <row r="149" spans="1:20">
      <c r="A149" s="636"/>
      <c r="B149" s="636"/>
      <c r="C149" s="636"/>
      <c r="D149" s="636"/>
      <c r="E149" s="636"/>
      <c r="F149" s="636"/>
      <c r="G149" s="636"/>
      <c r="H149" s="636"/>
      <c r="I149" s="636"/>
      <c r="J149" s="636"/>
      <c r="K149" s="636"/>
      <c r="L149" s="636"/>
      <c r="M149" s="636"/>
      <c r="N149" s="636"/>
      <c r="O149" s="636"/>
      <c r="P149" s="636"/>
      <c r="Q149" s="636"/>
      <c r="R149" s="636"/>
      <c r="S149" s="636"/>
      <c r="T149" s="636"/>
    </row>
    <row r="150" spans="1:20">
      <c r="A150" s="636"/>
      <c r="B150" s="636"/>
      <c r="C150" s="636"/>
      <c r="D150" s="636"/>
      <c r="E150" s="636"/>
      <c r="F150" s="636"/>
      <c r="G150" s="636"/>
      <c r="H150" s="636"/>
      <c r="I150" s="636"/>
      <c r="J150" s="636"/>
      <c r="K150" s="636"/>
      <c r="L150" s="636"/>
      <c r="M150" s="636"/>
      <c r="N150" s="636"/>
      <c r="O150" s="636"/>
      <c r="P150" s="636"/>
      <c r="Q150" s="636"/>
      <c r="R150" s="636"/>
      <c r="S150" s="636"/>
      <c r="T150" s="636"/>
    </row>
    <row r="151" spans="1:20">
      <c r="A151" s="636"/>
      <c r="B151" s="636"/>
      <c r="C151" s="636"/>
      <c r="D151" s="636"/>
      <c r="E151" s="636"/>
      <c r="F151" s="636"/>
      <c r="G151" s="636"/>
      <c r="H151" s="636"/>
      <c r="I151" s="636"/>
      <c r="J151" s="636"/>
      <c r="K151" s="636"/>
      <c r="L151" s="636"/>
      <c r="M151" s="636"/>
      <c r="N151" s="636"/>
      <c r="O151" s="636"/>
      <c r="P151" s="636"/>
      <c r="Q151" s="636"/>
      <c r="R151" s="636"/>
      <c r="S151" s="636"/>
      <c r="T151" s="636"/>
    </row>
    <row r="152" spans="1:20">
      <c r="A152" s="636"/>
      <c r="B152" s="636"/>
      <c r="C152" s="636"/>
      <c r="D152" s="636"/>
      <c r="E152" s="636"/>
      <c r="F152" s="636"/>
      <c r="G152" s="636"/>
      <c r="H152" s="636"/>
      <c r="I152" s="636"/>
      <c r="J152" s="636"/>
      <c r="K152" s="636"/>
      <c r="L152" s="636"/>
      <c r="M152" s="636"/>
      <c r="N152" s="636"/>
      <c r="O152" s="636"/>
      <c r="P152" s="636"/>
      <c r="Q152" s="636"/>
      <c r="R152" s="636"/>
      <c r="S152" s="636"/>
      <c r="T152" s="636"/>
    </row>
    <row r="153" spans="1:20">
      <c r="A153" s="636"/>
      <c r="B153" s="636"/>
      <c r="C153" s="636"/>
      <c r="D153" s="636"/>
      <c r="E153" s="636"/>
      <c r="F153" s="636"/>
      <c r="G153" s="636"/>
      <c r="H153" s="636"/>
      <c r="I153" s="636"/>
      <c r="J153" s="636"/>
      <c r="K153" s="636"/>
      <c r="L153" s="636"/>
      <c r="M153" s="636"/>
      <c r="N153" s="636"/>
      <c r="O153" s="636"/>
      <c r="P153" s="636"/>
      <c r="Q153" s="636"/>
      <c r="R153" s="636"/>
      <c r="S153" s="636"/>
      <c r="T153" s="636"/>
    </row>
    <row r="154" spans="1:20">
      <c r="A154" s="636"/>
      <c r="B154" s="636"/>
      <c r="C154" s="636"/>
      <c r="D154" s="636"/>
      <c r="E154" s="636"/>
      <c r="F154" s="636"/>
      <c r="G154" s="636"/>
      <c r="H154" s="636"/>
      <c r="I154" s="636"/>
      <c r="J154" s="636"/>
      <c r="K154" s="636"/>
      <c r="L154" s="636"/>
      <c r="M154" s="636"/>
      <c r="N154" s="636"/>
      <c r="O154" s="636"/>
      <c r="P154" s="636"/>
      <c r="Q154" s="636"/>
      <c r="R154" s="636"/>
      <c r="S154" s="636"/>
      <c r="T154" s="636"/>
    </row>
    <row r="155" spans="1:20">
      <c r="A155" s="636"/>
      <c r="B155" s="636"/>
      <c r="C155" s="636"/>
      <c r="D155" s="636"/>
      <c r="E155" s="636"/>
      <c r="F155" s="636"/>
      <c r="G155" s="636"/>
      <c r="H155" s="636"/>
      <c r="I155" s="636"/>
      <c r="J155" s="636"/>
      <c r="K155" s="636"/>
      <c r="L155" s="636"/>
      <c r="M155" s="636"/>
      <c r="N155" s="636"/>
      <c r="O155" s="636"/>
      <c r="P155" s="636"/>
      <c r="Q155" s="636"/>
      <c r="R155" s="636"/>
      <c r="S155" s="636"/>
      <c r="T155" s="636"/>
    </row>
    <row r="156" spans="1:20">
      <c r="A156" s="636"/>
      <c r="B156" s="636"/>
      <c r="C156" s="636"/>
      <c r="D156" s="636"/>
      <c r="E156" s="636"/>
      <c r="F156" s="636"/>
      <c r="G156" s="636"/>
      <c r="H156" s="636"/>
      <c r="I156" s="636"/>
      <c r="J156" s="636"/>
      <c r="K156" s="636"/>
      <c r="L156" s="636"/>
      <c r="M156" s="636"/>
      <c r="N156" s="636"/>
      <c r="O156" s="636"/>
      <c r="P156" s="636"/>
      <c r="Q156" s="636"/>
      <c r="R156" s="636"/>
      <c r="S156" s="636"/>
      <c r="T156" s="636"/>
    </row>
    <row r="157" spans="1:20">
      <c r="A157" s="636"/>
      <c r="B157" s="636"/>
      <c r="C157" s="636"/>
      <c r="D157" s="636"/>
      <c r="E157" s="636"/>
      <c r="F157" s="636"/>
      <c r="G157" s="636"/>
      <c r="H157" s="636"/>
      <c r="I157" s="636"/>
      <c r="J157" s="636"/>
      <c r="K157" s="636"/>
      <c r="L157" s="636"/>
      <c r="M157" s="636"/>
      <c r="N157" s="636"/>
      <c r="O157" s="636"/>
      <c r="P157" s="636"/>
      <c r="Q157" s="636"/>
      <c r="R157" s="636"/>
      <c r="S157" s="636"/>
      <c r="T157" s="636"/>
    </row>
    <row r="158" spans="1:20">
      <c r="A158" s="636"/>
      <c r="B158" s="636"/>
      <c r="C158" s="636"/>
      <c r="D158" s="636"/>
      <c r="E158" s="636"/>
      <c r="F158" s="636"/>
      <c r="G158" s="636"/>
      <c r="H158" s="636"/>
      <c r="I158" s="636"/>
      <c r="J158" s="636"/>
      <c r="K158" s="636"/>
      <c r="L158" s="636"/>
      <c r="M158" s="636"/>
      <c r="N158" s="636"/>
      <c r="O158" s="636"/>
      <c r="P158" s="636"/>
      <c r="Q158" s="636"/>
      <c r="R158" s="636"/>
      <c r="S158" s="636"/>
      <c r="T158" s="636"/>
    </row>
    <row r="159" spans="1:20">
      <c r="A159" s="636"/>
      <c r="B159" s="636"/>
      <c r="C159" s="636"/>
      <c r="D159" s="636"/>
      <c r="E159" s="636"/>
      <c r="F159" s="636"/>
      <c r="G159" s="636"/>
      <c r="H159" s="636"/>
      <c r="I159" s="636"/>
      <c r="J159" s="636"/>
      <c r="K159" s="636"/>
      <c r="L159" s="636"/>
      <c r="M159" s="636"/>
      <c r="N159" s="636"/>
      <c r="O159" s="636"/>
      <c r="P159" s="636"/>
      <c r="Q159" s="636"/>
      <c r="R159" s="636"/>
      <c r="S159" s="636"/>
      <c r="T159" s="636"/>
    </row>
    <row r="160" spans="1:20">
      <c r="A160" s="636"/>
      <c r="B160" s="636"/>
      <c r="C160" s="636"/>
      <c r="D160" s="636"/>
      <c r="E160" s="636"/>
      <c r="F160" s="636"/>
      <c r="G160" s="636"/>
      <c r="H160" s="636"/>
      <c r="I160" s="636"/>
      <c r="J160" s="636"/>
      <c r="K160" s="636"/>
      <c r="L160" s="636"/>
      <c r="M160" s="636"/>
      <c r="N160" s="636"/>
      <c r="O160" s="636"/>
      <c r="P160" s="636"/>
      <c r="Q160" s="636"/>
      <c r="R160" s="636"/>
      <c r="S160" s="636"/>
      <c r="T160" s="636"/>
    </row>
    <row r="161" spans="1:20">
      <c r="A161" s="636"/>
      <c r="B161" s="636"/>
      <c r="C161" s="636"/>
      <c r="D161" s="636"/>
      <c r="E161" s="636"/>
      <c r="F161" s="636"/>
      <c r="G161" s="636"/>
      <c r="H161" s="636"/>
      <c r="I161" s="636"/>
      <c r="J161" s="636"/>
      <c r="K161" s="636"/>
      <c r="L161" s="636"/>
      <c r="M161" s="636"/>
      <c r="N161" s="636"/>
      <c r="O161" s="636"/>
      <c r="P161" s="636"/>
      <c r="Q161" s="636"/>
      <c r="R161" s="636"/>
      <c r="S161" s="636"/>
      <c r="T161" s="636"/>
    </row>
    <row r="162" spans="1:20">
      <c r="A162" s="636"/>
      <c r="B162" s="636"/>
      <c r="C162" s="636"/>
      <c r="D162" s="636"/>
      <c r="E162" s="636"/>
      <c r="F162" s="636"/>
      <c r="G162" s="636"/>
      <c r="H162" s="636"/>
      <c r="I162" s="636"/>
      <c r="J162" s="636"/>
      <c r="K162" s="636"/>
      <c r="L162" s="636"/>
      <c r="M162" s="636"/>
      <c r="N162" s="636"/>
      <c r="O162" s="636"/>
      <c r="P162" s="636"/>
      <c r="Q162" s="636"/>
      <c r="R162" s="636"/>
      <c r="S162" s="636"/>
      <c r="T162" s="636"/>
    </row>
    <row r="163" spans="1:20">
      <c r="A163" s="636"/>
      <c r="B163" s="636"/>
      <c r="C163" s="636"/>
      <c r="D163" s="636"/>
      <c r="E163" s="636"/>
      <c r="F163" s="636"/>
      <c r="G163" s="636"/>
      <c r="H163" s="636"/>
      <c r="I163" s="636"/>
      <c r="J163" s="636"/>
      <c r="K163" s="636"/>
      <c r="L163" s="636"/>
      <c r="M163" s="636"/>
      <c r="N163" s="636"/>
      <c r="O163" s="636"/>
      <c r="P163" s="636"/>
      <c r="Q163" s="636"/>
      <c r="R163" s="636"/>
      <c r="S163" s="636"/>
      <c r="T163" s="636"/>
    </row>
    <row r="164" spans="1:20">
      <c r="A164" s="636"/>
      <c r="B164" s="636"/>
      <c r="C164" s="636"/>
      <c r="D164" s="636"/>
      <c r="E164" s="636"/>
      <c r="F164" s="636"/>
      <c r="G164" s="636"/>
      <c r="H164" s="636"/>
      <c r="I164" s="636"/>
      <c r="J164" s="636"/>
      <c r="K164" s="636"/>
      <c r="L164" s="636"/>
      <c r="M164" s="636"/>
      <c r="N164" s="636"/>
      <c r="O164" s="636"/>
      <c r="P164" s="636"/>
      <c r="Q164" s="636"/>
      <c r="R164" s="636"/>
      <c r="S164" s="636"/>
      <c r="T164" s="636"/>
    </row>
    <row r="165" spans="1:20">
      <c r="A165" s="636"/>
      <c r="B165" s="636"/>
      <c r="C165" s="636"/>
      <c r="D165" s="636"/>
      <c r="E165" s="636"/>
      <c r="F165" s="636"/>
      <c r="G165" s="636"/>
      <c r="H165" s="636"/>
      <c r="I165" s="636"/>
      <c r="J165" s="636"/>
      <c r="K165" s="636"/>
      <c r="L165" s="636"/>
      <c r="M165" s="636"/>
      <c r="N165" s="636"/>
      <c r="O165" s="636"/>
      <c r="P165" s="636"/>
      <c r="Q165" s="636"/>
      <c r="R165" s="636"/>
      <c r="S165" s="636"/>
      <c r="T165" s="636"/>
    </row>
    <row r="166" spans="1:20">
      <c r="A166" s="636"/>
      <c r="B166" s="636"/>
      <c r="C166" s="636"/>
      <c r="D166" s="636"/>
      <c r="E166" s="636"/>
      <c r="F166" s="636"/>
      <c r="G166" s="636"/>
      <c r="H166" s="636"/>
      <c r="I166" s="636"/>
      <c r="J166" s="636"/>
      <c r="K166" s="636"/>
      <c r="L166" s="636"/>
      <c r="M166" s="636"/>
      <c r="N166" s="636"/>
      <c r="O166" s="636"/>
      <c r="P166" s="636"/>
      <c r="Q166" s="636"/>
      <c r="R166" s="636"/>
      <c r="S166" s="636"/>
      <c r="T166" s="636"/>
    </row>
    <row r="167" spans="1:20">
      <c r="A167" s="636"/>
      <c r="B167" s="636"/>
      <c r="C167" s="636"/>
      <c r="D167" s="636"/>
      <c r="E167" s="636"/>
      <c r="F167" s="636"/>
      <c r="G167" s="636"/>
      <c r="H167" s="636"/>
      <c r="I167" s="636"/>
      <c r="J167" s="636"/>
      <c r="K167" s="636"/>
      <c r="L167" s="636"/>
      <c r="M167" s="636"/>
      <c r="N167" s="636"/>
      <c r="O167" s="636"/>
      <c r="P167" s="636"/>
      <c r="Q167" s="636"/>
      <c r="R167" s="636"/>
      <c r="S167" s="636"/>
      <c r="T167" s="636"/>
    </row>
    <row r="168" spans="1:20">
      <c r="A168" s="636"/>
      <c r="B168" s="636"/>
      <c r="C168" s="636"/>
      <c r="D168" s="636"/>
      <c r="E168" s="636"/>
      <c r="F168" s="636"/>
      <c r="G168" s="636"/>
      <c r="H168" s="636"/>
      <c r="I168" s="636"/>
      <c r="J168" s="636"/>
      <c r="K168" s="636"/>
      <c r="L168" s="636"/>
      <c r="M168" s="636"/>
      <c r="N168" s="636"/>
      <c r="O168" s="636"/>
      <c r="P168" s="636"/>
      <c r="Q168" s="636"/>
      <c r="R168" s="636"/>
      <c r="S168" s="636"/>
      <c r="T168" s="636"/>
    </row>
    <row r="169" spans="1:20">
      <c r="A169" s="636"/>
      <c r="B169" s="636"/>
      <c r="C169" s="636"/>
      <c r="D169" s="636"/>
      <c r="E169" s="636"/>
      <c r="F169" s="636"/>
      <c r="G169" s="636"/>
      <c r="H169" s="636"/>
      <c r="I169" s="636"/>
      <c r="J169" s="636"/>
      <c r="K169" s="636"/>
      <c r="L169" s="636"/>
      <c r="M169" s="636"/>
      <c r="N169" s="636"/>
      <c r="O169" s="636"/>
      <c r="P169" s="636"/>
      <c r="Q169" s="636"/>
      <c r="R169" s="636"/>
      <c r="S169" s="636"/>
      <c r="T169" s="636"/>
    </row>
    <row r="170" spans="1:20">
      <c r="A170" s="636"/>
      <c r="B170" s="636"/>
      <c r="C170" s="636"/>
      <c r="D170" s="636"/>
      <c r="E170" s="636"/>
      <c r="F170" s="636"/>
      <c r="G170" s="636"/>
      <c r="H170" s="636"/>
      <c r="I170" s="636"/>
      <c r="J170" s="636"/>
      <c r="K170" s="636"/>
      <c r="L170" s="636"/>
      <c r="M170" s="636"/>
      <c r="N170" s="636"/>
      <c r="O170" s="636"/>
      <c r="P170" s="636"/>
      <c r="Q170" s="636"/>
      <c r="R170" s="636"/>
      <c r="S170" s="636"/>
      <c r="T170" s="636"/>
    </row>
    <row r="171" spans="1:20">
      <c r="A171" s="636"/>
      <c r="B171" s="636"/>
      <c r="C171" s="636"/>
      <c r="D171" s="636"/>
      <c r="E171" s="636"/>
      <c r="F171" s="636"/>
      <c r="G171" s="636"/>
      <c r="H171" s="636"/>
      <c r="I171" s="636"/>
      <c r="J171" s="636"/>
      <c r="K171" s="636"/>
      <c r="L171" s="636"/>
      <c r="M171" s="636"/>
      <c r="N171" s="636"/>
      <c r="O171" s="636"/>
      <c r="P171" s="636"/>
      <c r="Q171" s="636"/>
      <c r="R171" s="636"/>
      <c r="S171" s="636"/>
      <c r="T171" s="636"/>
    </row>
    <row r="172" spans="1:20">
      <c r="A172" s="636"/>
      <c r="B172" s="636"/>
      <c r="C172" s="636"/>
      <c r="D172" s="636"/>
      <c r="E172" s="636"/>
      <c r="F172" s="636"/>
      <c r="G172" s="636"/>
      <c r="H172" s="636"/>
      <c r="I172" s="636"/>
      <c r="J172" s="636"/>
      <c r="K172" s="636"/>
      <c r="L172" s="636"/>
      <c r="M172" s="636"/>
      <c r="N172" s="636"/>
      <c r="O172" s="636"/>
      <c r="P172" s="636"/>
      <c r="Q172" s="636"/>
      <c r="R172" s="636"/>
      <c r="S172" s="636"/>
      <c r="T172" s="636"/>
    </row>
    <row r="173" spans="1:20">
      <c r="A173" s="636"/>
      <c r="B173" s="636"/>
      <c r="C173" s="636"/>
      <c r="D173" s="636"/>
      <c r="E173" s="636"/>
      <c r="F173" s="636"/>
      <c r="G173" s="636"/>
      <c r="H173" s="636"/>
      <c r="I173" s="636"/>
      <c r="J173" s="636"/>
      <c r="K173" s="636"/>
      <c r="L173" s="636"/>
      <c r="M173" s="636"/>
      <c r="N173" s="636"/>
      <c r="O173" s="636"/>
      <c r="P173" s="636"/>
      <c r="Q173" s="636"/>
      <c r="R173" s="636"/>
      <c r="S173" s="636"/>
      <c r="T173" s="636"/>
    </row>
    <row r="174" spans="1:20">
      <c r="A174" s="636"/>
      <c r="B174" s="636"/>
      <c r="C174" s="636"/>
      <c r="D174" s="636"/>
      <c r="E174" s="636"/>
      <c r="F174" s="636"/>
      <c r="G174" s="636"/>
      <c r="H174" s="636"/>
      <c r="I174" s="636"/>
      <c r="J174" s="636"/>
      <c r="K174" s="636"/>
      <c r="L174" s="636"/>
      <c r="M174" s="636"/>
      <c r="N174" s="636"/>
      <c r="O174" s="636"/>
      <c r="P174" s="636"/>
      <c r="Q174" s="636"/>
      <c r="R174" s="636"/>
      <c r="S174" s="636"/>
      <c r="T174" s="636"/>
    </row>
    <row r="175" spans="1:20">
      <c r="A175" s="636"/>
      <c r="B175" s="636"/>
      <c r="C175" s="636"/>
      <c r="D175" s="636"/>
      <c r="E175" s="636"/>
      <c r="F175" s="636"/>
      <c r="G175" s="636"/>
      <c r="H175" s="636"/>
      <c r="I175" s="636"/>
      <c r="J175" s="636"/>
      <c r="K175" s="636"/>
      <c r="L175" s="636"/>
      <c r="M175" s="636"/>
      <c r="N175" s="636"/>
      <c r="O175" s="636"/>
      <c r="P175" s="636"/>
      <c r="Q175" s="636"/>
      <c r="R175" s="636"/>
      <c r="S175" s="636"/>
      <c r="T175" s="636"/>
    </row>
    <row r="176" spans="1:20">
      <c r="A176" s="636"/>
      <c r="B176" s="636"/>
      <c r="C176" s="636"/>
      <c r="D176" s="636"/>
      <c r="E176" s="636"/>
      <c r="F176" s="636"/>
      <c r="G176" s="636"/>
      <c r="H176" s="636"/>
      <c r="I176" s="636"/>
      <c r="J176" s="636"/>
      <c r="K176" s="636"/>
      <c r="L176" s="636"/>
      <c r="M176" s="636"/>
      <c r="N176" s="636"/>
      <c r="O176" s="636"/>
      <c r="P176" s="636"/>
      <c r="Q176" s="636"/>
      <c r="R176" s="636"/>
      <c r="S176" s="636"/>
      <c r="T176" s="636"/>
    </row>
    <row r="177" spans="1:20">
      <c r="A177" s="636"/>
      <c r="B177" s="636"/>
      <c r="C177" s="636"/>
      <c r="D177" s="636"/>
      <c r="E177" s="636"/>
      <c r="F177" s="636"/>
      <c r="G177" s="636"/>
      <c r="H177" s="636"/>
      <c r="I177" s="636"/>
      <c r="J177" s="636"/>
      <c r="K177" s="636"/>
      <c r="L177" s="636"/>
      <c r="M177" s="636"/>
      <c r="N177" s="636"/>
      <c r="O177" s="636"/>
      <c r="P177" s="636"/>
      <c r="Q177" s="636"/>
      <c r="R177" s="636"/>
      <c r="S177" s="636"/>
      <c r="T177" s="636"/>
    </row>
    <row r="178" spans="1:20">
      <c r="A178" s="636"/>
      <c r="B178" s="636"/>
      <c r="C178" s="636"/>
      <c r="D178" s="636"/>
      <c r="E178" s="636"/>
      <c r="F178" s="636"/>
      <c r="G178" s="636"/>
      <c r="H178" s="636"/>
      <c r="I178" s="636"/>
      <c r="J178" s="636"/>
      <c r="K178" s="636"/>
      <c r="L178" s="636"/>
      <c r="M178" s="636"/>
      <c r="N178" s="636"/>
      <c r="O178" s="636"/>
      <c r="P178" s="636"/>
      <c r="Q178" s="636"/>
      <c r="R178" s="636"/>
      <c r="S178" s="636"/>
      <c r="T178" s="636"/>
    </row>
    <row r="179" spans="1:20">
      <c r="A179" s="636"/>
      <c r="B179" s="636"/>
      <c r="C179" s="636"/>
      <c r="D179" s="636"/>
      <c r="E179" s="636"/>
      <c r="F179" s="636"/>
      <c r="G179" s="636"/>
      <c r="H179" s="636"/>
      <c r="I179" s="636"/>
      <c r="J179" s="636"/>
      <c r="K179" s="636"/>
      <c r="L179" s="636"/>
      <c r="M179" s="636"/>
      <c r="N179" s="636"/>
      <c r="O179" s="636"/>
      <c r="P179" s="636"/>
      <c r="Q179" s="636"/>
      <c r="R179" s="636"/>
      <c r="S179" s="636"/>
      <c r="T179" s="636"/>
    </row>
    <row r="180" spans="1:20">
      <c r="A180" s="636"/>
      <c r="B180" s="636"/>
      <c r="C180" s="636"/>
      <c r="D180" s="636"/>
      <c r="E180" s="636"/>
      <c r="F180" s="636"/>
      <c r="G180" s="636"/>
      <c r="H180" s="636"/>
      <c r="I180" s="636"/>
      <c r="J180" s="636"/>
      <c r="K180" s="636"/>
      <c r="L180" s="636"/>
      <c r="M180" s="636"/>
      <c r="N180" s="636"/>
      <c r="O180" s="636"/>
      <c r="P180" s="636"/>
      <c r="Q180" s="636"/>
      <c r="R180" s="636"/>
      <c r="S180" s="636"/>
      <c r="T180" s="636"/>
    </row>
    <row r="181" spans="1:20">
      <c r="A181" s="636"/>
      <c r="B181" s="636"/>
      <c r="C181" s="636"/>
      <c r="D181" s="636"/>
      <c r="E181" s="636"/>
      <c r="F181" s="636"/>
      <c r="G181" s="636"/>
      <c r="H181" s="636"/>
      <c r="I181" s="636"/>
      <c r="J181" s="636"/>
      <c r="K181" s="636"/>
      <c r="L181" s="636"/>
      <c r="M181" s="636"/>
      <c r="N181" s="636"/>
      <c r="O181" s="636"/>
      <c r="P181" s="636"/>
      <c r="Q181" s="636"/>
      <c r="R181" s="636"/>
      <c r="S181" s="636"/>
      <c r="T181" s="636"/>
    </row>
    <row r="182" spans="1:20">
      <c r="A182" s="636"/>
      <c r="B182" s="636"/>
      <c r="C182" s="636"/>
      <c r="D182" s="636"/>
      <c r="E182" s="636"/>
      <c r="F182" s="636"/>
      <c r="G182" s="636"/>
      <c r="H182" s="636"/>
      <c r="I182" s="636"/>
      <c r="J182" s="636"/>
      <c r="K182" s="636"/>
      <c r="L182" s="636"/>
      <c r="M182" s="636"/>
      <c r="N182" s="636"/>
      <c r="O182" s="636"/>
      <c r="P182" s="636"/>
      <c r="Q182" s="636"/>
      <c r="R182" s="636"/>
      <c r="S182" s="636"/>
      <c r="T182" s="636"/>
    </row>
    <row r="183" spans="1:20">
      <c r="A183" s="636"/>
      <c r="B183" s="636"/>
      <c r="C183" s="636"/>
      <c r="D183" s="636"/>
      <c r="E183" s="636"/>
      <c r="F183" s="636"/>
      <c r="G183" s="636"/>
      <c r="H183" s="636"/>
      <c r="I183" s="636"/>
      <c r="J183" s="636"/>
      <c r="K183" s="636"/>
      <c r="L183" s="636"/>
      <c r="M183" s="636"/>
      <c r="N183" s="636"/>
      <c r="O183" s="636"/>
      <c r="P183" s="636"/>
      <c r="Q183" s="636"/>
      <c r="R183" s="636"/>
      <c r="S183" s="636"/>
      <c r="T183" s="636"/>
    </row>
    <row r="184" spans="1:20">
      <c r="A184" s="636"/>
      <c r="B184" s="636"/>
      <c r="C184" s="636"/>
      <c r="D184" s="636"/>
      <c r="E184" s="636"/>
      <c r="F184" s="636"/>
      <c r="G184" s="636"/>
      <c r="H184" s="636"/>
      <c r="I184" s="636"/>
      <c r="J184" s="636"/>
      <c r="K184" s="636"/>
      <c r="L184" s="636"/>
      <c r="M184" s="636"/>
      <c r="N184" s="636"/>
      <c r="O184" s="636"/>
      <c r="P184" s="636"/>
      <c r="Q184" s="636"/>
      <c r="R184" s="636"/>
      <c r="S184" s="636"/>
      <c r="T184" s="636"/>
    </row>
  </sheetData>
  <mergeCells count="30">
    <mergeCell ref="A15:A17"/>
    <mergeCell ref="B15:B17"/>
    <mergeCell ref="C15:C17"/>
    <mergeCell ref="D15:D17"/>
    <mergeCell ref="E15:E17"/>
    <mergeCell ref="A18:A19"/>
    <mergeCell ref="B18:B19"/>
    <mergeCell ref="C18:C19"/>
    <mergeCell ref="D18:D19"/>
    <mergeCell ref="E18:E19"/>
    <mergeCell ref="F20:F21"/>
    <mergeCell ref="G15:G17"/>
    <mergeCell ref="H15:H17"/>
    <mergeCell ref="I15:I17"/>
    <mergeCell ref="J15:J17"/>
    <mergeCell ref="F18:F19"/>
    <mergeCell ref="F15:F17"/>
    <mergeCell ref="A20:A21"/>
    <mergeCell ref="B20:B21"/>
    <mergeCell ref="C20:C21"/>
    <mergeCell ref="D20:D21"/>
    <mergeCell ref="E20:E21"/>
    <mergeCell ref="G20:G21"/>
    <mergeCell ref="H20:H21"/>
    <mergeCell ref="I20:I21"/>
    <mergeCell ref="J20:J21"/>
    <mergeCell ref="G18:G19"/>
    <mergeCell ref="H18:H19"/>
    <mergeCell ref="I18:I19"/>
    <mergeCell ref="J18:J19"/>
  </mergeCells>
  <dataValidations count="1">
    <dataValidation type="list" allowBlank="1" showInputMessage="1" showErrorMessage="1" sqref="M5">
      <formula1>DSTP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N13" sqref="N13"/>
      <selection pane="bottomLeft" activeCell="E6" sqref="E6:G6"/>
    </sheetView>
  </sheetViews>
  <sheetFormatPr defaultColWidth="10.28515625" defaultRowHeight="12.75"/>
  <cols>
    <col min="1" max="1" width="40.42578125" style="298" customWidth="1"/>
    <col min="2" max="2" width="15.7109375" style="298" customWidth="1"/>
    <col min="3" max="3" width="16.85546875" style="298" customWidth="1"/>
    <col min="4" max="9" width="15.28515625" style="298" customWidth="1"/>
    <col min="10" max="10" width="10.140625" style="298" customWidth="1"/>
    <col min="11" max="11" width="5.85546875" style="298" customWidth="1"/>
    <col min="12" max="16384" width="10.28515625" style="298"/>
  </cols>
  <sheetData>
    <row r="1" spans="1:11" s="262" customFormat="1" ht="19.5" customHeight="1">
      <c r="A1" s="285" t="str">
        <f>TH!A1</f>
        <v>Đơn vị: CÔNG TY TNHH MỘT THÀNH VIÊN KHỞI NGUYÊN AN</v>
      </c>
      <c r="B1" s="285"/>
      <c r="D1" s="263"/>
      <c r="E1" s="263"/>
      <c r="F1" s="263"/>
      <c r="G1" s="937" t="s">
        <v>226</v>
      </c>
      <c r="H1" s="937"/>
      <c r="I1" s="937"/>
      <c r="J1" s="264"/>
      <c r="K1" s="265"/>
    </row>
    <row r="2" spans="1:11" s="262" customFormat="1" ht="19.5" customHeight="1">
      <c r="A2" s="310" t="str">
        <f>TH!A2</f>
        <v>Địa chỉ: Thửa đất số 144, tờ bản đồ số 12TĐH.1, tổ 1, khu phố Đông Tác, Phường Tân Đông Hiệp, Thị Xã Dĩ An, Tỉnh Bình Dương, Việt Nam</v>
      </c>
      <c r="B2" s="285"/>
      <c r="D2" s="266"/>
      <c r="E2" s="266"/>
      <c r="F2" s="266"/>
      <c r="G2" s="938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38"/>
      <c r="I2" s="938"/>
      <c r="J2" s="264"/>
      <c r="K2" s="260">
        <v>1</v>
      </c>
    </row>
    <row r="3" spans="1:11" s="262" customFormat="1" ht="15">
      <c r="A3" s="286"/>
      <c r="B3" s="287"/>
      <c r="C3" s="266"/>
      <c r="D3" s="266"/>
      <c r="E3" s="266"/>
      <c r="F3" s="266"/>
      <c r="G3" s="938"/>
      <c r="H3" s="938"/>
      <c r="I3" s="938"/>
      <c r="J3" s="264"/>
    </row>
    <row r="4" spans="1:11" s="289" customFormat="1" ht="17.25" customHeight="1">
      <c r="A4" s="939" t="s">
        <v>227</v>
      </c>
      <c r="B4" s="939"/>
      <c r="C4" s="939"/>
      <c r="D4" s="939"/>
      <c r="E4" s="939"/>
      <c r="F4" s="939"/>
      <c r="G4" s="939"/>
      <c r="H4" s="939"/>
      <c r="I4" s="939"/>
      <c r="J4" s="288"/>
    </row>
    <row r="5" spans="1:11" s="290" customFormat="1" ht="17.25" customHeight="1">
      <c r="B5" s="291"/>
      <c r="C5" s="292" t="s">
        <v>259</v>
      </c>
      <c r="D5" s="291" t="str">
        <f>IF($K$2&lt;10,"0"&amp;$K$2&amp;"  năm 2011",$K$2&amp;"  năm 2011")</f>
        <v>01  năm 2011</v>
      </c>
      <c r="E5" s="291"/>
      <c r="F5" s="291"/>
      <c r="G5" s="291"/>
      <c r="H5" s="291"/>
      <c r="I5" s="291"/>
      <c r="J5" s="291"/>
    </row>
    <row r="6" spans="1:11" s="290" customFormat="1" ht="17.25" customHeight="1">
      <c r="B6" s="293"/>
      <c r="C6" s="940" t="s">
        <v>228</v>
      </c>
      <c r="D6" s="940"/>
      <c r="E6" s="941"/>
      <c r="F6" s="941"/>
      <c r="G6" s="941"/>
      <c r="H6" s="350"/>
      <c r="I6" s="293"/>
      <c r="J6" s="291"/>
    </row>
    <row r="7" spans="1:11" s="295" customFormat="1" ht="9.75" customHeight="1">
      <c r="A7" s="294"/>
      <c r="B7" s="294"/>
      <c r="C7" s="294"/>
      <c r="D7" s="294"/>
      <c r="E7" s="294"/>
      <c r="F7" s="294"/>
      <c r="G7" s="294"/>
      <c r="H7" s="294"/>
      <c r="I7" s="294"/>
      <c r="J7" s="293"/>
    </row>
    <row r="8" spans="1:11" s="268" customFormat="1" ht="17.25" customHeight="1">
      <c r="A8" s="942" t="s">
        <v>229</v>
      </c>
      <c r="B8" s="943" t="s">
        <v>230</v>
      </c>
      <c r="C8" s="943" t="s">
        <v>231</v>
      </c>
      <c r="D8" s="943"/>
      <c r="E8" s="943"/>
      <c r="F8" s="943"/>
      <c r="G8" s="943"/>
      <c r="H8" s="943"/>
      <c r="I8" s="943"/>
      <c r="J8" s="267"/>
    </row>
    <row r="9" spans="1:11" s="271" customFormat="1" ht="35.25" customHeight="1">
      <c r="A9" s="942"/>
      <c r="B9" s="943"/>
      <c r="C9" s="269" t="s">
        <v>284</v>
      </c>
      <c r="D9" s="269" t="s">
        <v>232</v>
      </c>
      <c r="E9" s="269" t="s">
        <v>285</v>
      </c>
      <c r="F9" s="269" t="s">
        <v>286</v>
      </c>
      <c r="G9" s="269" t="s">
        <v>233</v>
      </c>
      <c r="H9" s="269" t="s">
        <v>234</v>
      </c>
      <c r="I9" s="269" t="s">
        <v>287</v>
      </c>
      <c r="J9" s="270"/>
    </row>
    <row r="10" spans="1:11" s="274" customFormat="1" ht="15">
      <c r="A10" s="272" t="s">
        <v>2</v>
      </c>
      <c r="B10" s="273">
        <v>1</v>
      </c>
      <c r="C10" s="273">
        <v>2</v>
      </c>
      <c r="D10" s="273">
        <v>3</v>
      </c>
      <c r="E10" s="273">
        <v>4</v>
      </c>
      <c r="F10" s="273">
        <v>5</v>
      </c>
      <c r="G10" s="273">
        <v>6</v>
      </c>
      <c r="H10" s="273">
        <v>7</v>
      </c>
      <c r="I10" s="273">
        <v>8</v>
      </c>
      <c r="J10" s="264"/>
    </row>
    <row r="11" spans="1:11" s="290" customFormat="1" ht="24.75" customHeight="1">
      <c r="A11" s="296" t="s">
        <v>235</v>
      </c>
      <c r="B11" s="297">
        <f>ROUND(SUM(C11:I11),0)</f>
        <v>0</v>
      </c>
      <c r="C11" s="297">
        <v>0</v>
      </c>
      <c r="D11" s="297">
        <v>0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1"/>
    </row>
    <row r="12" spans="1:11" s="290" customFormat="1" ht="24.75" customHeight="1">
      <c r="A12" s="296" t="s">
        <v>236</v>
      </c>
      <c r="B12" s="297">
        <f ca="1">ROUND(SUM(C12:I12),0)</f>
        <v>0</v>
      </c>
      <c r="C12" s="297">
        <f ca="1">IF(ISNA(VLOOKUP($E6,INDIRECT("DSSP"&amp;$K$2),5,0)),0,VLOOKUP($E6,INDIRECT("DSSP"&amp;$K$2),5,0))</f>
        <v>0</v>
      </c>
      <c r="D12" s="297">
        <f ca="1">IF(ISNA(VLOOKUP($E6,INDIRECT("DSSP"&amp;$K$2),6,0)),0,VLOOKUP($E6,INDIRECT("DSSP"&amp;$K$2),6,0))</f>
        <v>0</v>
      </c>
      <c r="E12" s="297">
        <f ca="1">IF(ISNA(VLOOKUP($E6,INDIRECT("DSSP"&amp;$K$2),7,0)),0,VLOOKUP($E6,INDIRECT("DSSP"&amp;$K$2),7,0))</f>
        <v>0</v>
      </c>
      <c r="F12" s="297">
        <f ca="1">IF(ISNA(VLOOKUP($E6,INDIRECT("DSSP"&amp;$K$2),8,0)),0,VLOOKUP($E6,INDIRECT("DSSP"&amp;$K$2),8,0))</f>
        <v>0</v>
      </c>
      <c r="G12" s="297">
        <f ca="1">IF(ISNA(VLOOKUP($E6,INDIRECT("DSSP"&amp;$K$2),9,0)),0,VLOOKUP($E6,INDIRECT("DSSP"&amp;$K$2),9,0))</f>
        <v>0</v>
      </c>
      <c r="H12" s="297">
        <f ca="1">IF(ISNA(VLOOKUP($E6,INDIRECT("DSSP"&amp;$K$2),10,0)),0,VLOOKUP($E6,INDIRECT("DSSP"&amp;$K$2),10,0))</f>
        <v>0</v>
      </c>
      <c r="I12" s="297">
        <f ca="1">IF(ISNA(VLOOKUP($E6,INDIRECT("DSSP"&amp;$K$2),11,0)),0,VLOOKUP($E6,INDIRECT("DSSP"&amp;$K$2),11,0))</f>
        <v>0</v>
      </c>
      <c r="J12" s="291"/>
    </row>
    <row r="13" spans="1:11" s="290" customFormat="1" ht="24.75" customHeight="1">
      <c r="A13" s="296" t="s">
        <v>237</v>
      </c>
      <c r="B13" s="297">
        <f ca="1">ROUND(IF(ISNA(VLOOKUP($E6,INDIRECT("DSSP"&amp;$K$2),13,0)),0,VLOOKUP($E6,INDIRECT("DSSP"&amp;$K$2),13,0)),0)</f>
        <v>0</v>
      </c>
      <c r="C13" s="297">
        <f t="shared" ref="C13:I13" ca="1" si="0">C12</f>
        <v>0</v>
      </c>
      <c r="D13" s="297">
        <f t="shared" ca="1" si="0"/>
        <v>0</v>
      </c>
      <c r="E13" s="297">
        <f t="shared" ca="1" si="0"/>
        <v>0</v>
      </c>
      <c r="F13" s="297"/>
      <c r="G13" s="297">
        <f t="shared" ca="1" si="0"/>
        <v>0</v>
      </c>
      <c r="H13" s="297"/>
      <c r="I13" s="297">
        <f t="shared" ca="1" si="0"/>
        <v>0</v>
      </c>
      <c r="J13" s="291"/>
    </row>
    <row r="14" spans="1:11" s="290" customFormat="1" ht="24.75" customHeight="1">
      <c r="A14" s="296" t="s">
        <v>238</v>
      </c>
      <c r="B14" s="297">
        <f ca="1">B12-B13</f>
        <v>0</v>
      </c>
      <c r="C14" s="297">
        <f t="shared" ref="C14:I14" ca="1" si="1">C12-C13</f>
        <v>0</v>
      </c>
      <c r="D14" s="297">
        <f t="shared" ca="1" si="1"/>
        <v>0</v>
      </c>
      <c r="E14" s="297">
        <f t="shared" ca="1" si="1"/>
        <v>0</v>
      </c>
      <c r="F14" s="297"/>
      <c r="G14" s="297">
        <f t="shared" ca="1" si="1"/>
        <v>0</v>
      </c>
      <c r="H14" s="297"/>
      <c r="I14" s="297">
        <f t="shared" ca="1" si="1"/>
        <v>0</v>
      </c>
      <c r="J14" s="291"/>
    </row>
    <row r="15" spans="1:11" s="290" customFormat="1" ht="15">
      <c r="B15" s="291"/>
      <c r="C15" s="291"/>
      <c r="D15" s="291"/>
      <c r="E15" s="291"/>
      <c r="F15" s="291"/>
      <c r="G15" s="291"/>
      <c r="H15" s="291"/>
      <c r="I15" s="291"/>
      <c r="J15" s="291"/>
    </row>
    <row r="16" spans="1:11" s="290" customFormat="1" ht="15">
      <c r="B16" s="291"/>
      <c r="C16" s="291"/>
      <c r="D16" s="291"/>
      <c r="E16" s="93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36"/>
      <c r="G16" s="936"/>
      <c r="H16" s="936"/>
      <c r="I16" s="936"/>
      <c r="J16" s="291"/>
    </row>
    <row r="17" spans="2:10" s="290" customFormat="1" ht="15">
      <c r="B17" s="274" t="s">
        <v>239</v>
      </c>
      <c r="C17" s="291"/>
      <c r="D17" s="291"/>
      <c r="E17" s="936" t="s">
        <v>12</v>
      </c>
      <c r="F17" s="936"/>
      <c r="G17" s="936"/>
      <c r="H17" s="936"/>
      <c r="I17" s="936"/>
      <c r="J17" s="291"/>
    </row>
    <row r="19" spans="2:10" ht="15">
      <c r="E19" s="299"/>
      <c r="F19" s="299"/>
    </row>
    <row r="26" spans="2:10">
      <c r="B26" s="284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400" customWidth="1"/>
    <col min="2" max="2" width="9.7109375" style="400" customWidth="1"/>
    <col min="3" max="3" width="25.140625" style="400" customWidth="1"/>
    <col min="4" max="4" width="11.42578125" style="400" customWidth="1"/>
    <col min="5" max="5" width="10.85546875" style="261" customWidth="1"/>
    <col min="6" max="6" width="10.85546875" style="401" hidden="1" customWidth="1"/>
    <col min="7" max="8" width="9.7109375" style="401" customWidth="1"/>
    <col min="9" max="9" width="10.5703125" style="400" customWidth="1"/>
    <col min="10" max="21" width="10.5703125" style="400" hidden="1" customWidth="1"/>
    <col min="22" max="22" width="10.5703125" style="400" customWidth="1"/>
    <col min="23" max="23" width="10.85546875" style="261" customWidth="1"/>
    <col min="24" max="24" width="13.28515625" style="261" customWidth="1"/>
    <col min="25" max="26" width="11.85546875" style="261" customWidth="1"/>
    <col min="27" max="16384" width="9.140625" style="400"/>
  </cols>
  <sheetData>
    <row r="1" spans="1:26" ht="15">
      <c r="A1" s="399" t="s">
        <v>558</v>
      </c>
    </row>
    <row r="2" spans="1:26" ht="15">
      <c r="A2" s="399" t="s">
        <v>559</v>
      </c>
    </row>
    <row r="3" spans="1:26" ht="15">
      <c r="A3" s="399"/>
    </row>
    <row r="4" spans="1:26">
      <c r="A4" s="402"/>
      <c r="B4" s="402"/>
    </row>
    <row r="5" spans="1:26" ht="23.25" customHeight="1">
      <c r="A5" s="949" t="s">
        <v>560</v>
      </c>
      <c r="B5" s="949"/>
      <c r="C5" s="949"/>
      <c r="D5" s="949"/>
      <c r="E5" s="949"/>
      <c r="F5" s="949"/>
      <c r="G5" s="949"/>
      <c r="H5" s="949"/>
      <c r="I5" s="949"/>
      <c r="J5" s="949"/>
      <c r="K5" s="949"/>
      <c r="L5" s="949"/>
      <c r="M5" s="949"/>
      <c r="N5" s="949"/>
      <c r="O5" s="949"/>
      <c r="P5" s="949"/>
      <c r="Q5" s="949"/>
      <c r="R5" s="949"/>
      <c r="S5" s="949"/>
      <c r="T5" s="949"/>
      <c r="U5" s="949"/>
      <c r="V5" s="949"/>
      <c r="W5" s="949"/>
      <c r="X5" s="949"/>
    </row>
    <row r="6" spans="1:26" ht="23.25" customHeight="1">
      <c r="A6" s="950" t="str">
        <f>"Tháng "&amp;'CC -9'!C4&amp;" năm 2011"</f>
        <v>Tháng  năm 2011</v>
      </c>
      <c r="B6" s="950"/>
      <c r="C6" s="950"/>
      <c r="D6" s="950"/>
      <c r="E6" s="950"/>
      <c r="F6" s="950"/>
      <c r="G6" s="950"/>
      <c r="H6" s="950"/>
      <c r="I6" s="950"/>
      <c r="J6" s="950"/>
      <c r="K6" s="950"/>
      <c r="L6" s="950"/>
      <c r="M6" s="950"/>
      <c r="N6" s="950"/>
      <c r="O6" s="950"/>
      <c r="P6" s="950"/>
      <c r="Q6" s="950"/>
      <c r="R6" s="950"/>
      <c r="S6" s="950"/>
      <c r="T6" s="950"/>
      <c r="U6" s="950"/>
      <c r="V6" s="950"/>
      <c r="W6" s="950"/>
      <c r="X6" s="950"/>
    </row>
    <row r="7" spans="1:26" s="405" customFormat="1" ht="19.5" customHeight="1">
      <c r="A7" s="403"/>
      <c r="B7" s="403"/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3"/>
      <c r="P7" s="403"/>
      <c r="Q7" s="403"/>
      <c r="R7" s="403"/>
      <c r="S7" s="403"/>
      <c r="T7" s="403"/>
      <c r="U7" s="403"/>
      <c r="V7" s="403"/>
      <c r="W7" s="403"/>
      <c r="X7" s="403"/>
      <c r="Y7" s="404"/>
      <c r="Z7" s="404"/>
    </row>
    <row r="8" spans="1:26" s="399" customFormat="1" ht="20.25" customHeight="1">
      <c r="A8" s="951" t="s">
        <v>34</v>
      </c>
      <c r="B8" s="951" t="s">
        <v>561</v>
      </c>
      <c r="C8" s="951" t="s">
        <v>562</v>
      </c>
      <c r="D8" s="951" t="s">
        <v>563</v>
      </c>
      <c r="E8" s="945" t="s">
        <v>564</v>
      </c>
      <c r="F8" s="946"/>
      <c r="G8" s="952" t="s">
        <v>565</v>
      </c>
      <c r="H8" s="952"/>
      <c r="I8" s="952" t="s">
        <v>566</v>
      </c>
      <c r="J8" s="952" t="s">
        <v>567</v>
      </c>
      <c r="K8" s="952"/>
      <c r="L8" s="952"/>
      <c r="M8" s="952"/>
      <c r="N8" s="952"/>
      <c r="O8" s="952"/>
      <c r="P8" s="952"/>
      <c r="Q8" s="952"/>
      <c r="R8" s="952"/>
      <c r="S8" s="952"/>
      <c r="T8" s="952"/>
      <c r="U8" s="952"/>
      <c r="V8" s="953" t="s">
        <v>568</v>
      </c>
      <c r="W8" s="953" t="s">
        <v>569</v>
      </c>
      <c r="X8" s="953" t="s">
        <v>570</v>
      </c>
      <c r="Y8" s="192"/>
      <c r="Z8" s="192"/>
    </row>
    <row r="9" spans="1:26" s="399" customFormat="1" ht="20.25" customHeight="1">
      <c r="A9" s="951"/>
      <c r="B9" s="951"/>
      <c r="C9" s="951"/>
      <c r="D9" s="951"/>
      <c r="E9" s="947"/>
      <c r="F9" s="948"/>
      <c r="G9" s="406" t="s">
        <v>571</v>
      </c>
      <c r="H9" s="406" t="s">
        <v>572</v>
      </c>
      <c r="I9" s="952"/>
      <c r="J9" s="406" t="s">
        <v>276</v>
      </c>
      <c r="K9" s="406" t="s">
        <v>277</v>
      </c>
      <c r="L9" s="406" t="s">
        <v>278</v>
      </c>
      <c r="M9" s="406" t="s">
        <v>446</v>
      </c>
      <c r="N9" s="406" t="s">
        <v>452</v>
      </c>
      <c r="O9" s="406" t="s">
        <v>538</v>
      </c>
      <c r="P9" s="406" t="s">
        <v>539</v>
      </c>
      <c r="Q9" s="406" t="s">
        <v>540</v>
      </c>
      <c r="R9" s="406" t="s">
        <v>541</v>
      </c>
      <c r="S9" s="406" t="s">
        <v>542</v>
      </c>
      <c r="T9" s="406" t="s">
        <v>543</v>
      </c>
      <c r="U9" s="406" t="s">
        <v>544</v>
      </c>
      <c r="V9" s="954"/>
      <c r="W9" s="954"/>
      <c r="X9" s="954"/>
      <c r="Y9" s="192"/>
      <c r="Z9" s="192"/>
    </row>
    <row r="10" spans="1:26" ht="14.25" customHeight="1">
      <c r="A10" s="407">
        <v>1</v>
      </c>
      <c r="B10" s="407">
        <v>1</v>
      </c>
      <c r="C10" s="407">
        <v>2</v>
      </c>
      <c r="D10" s="407">
        <v>3</v>
      </c>
      <c r="E10" s="407">
        <v>4</v>
      </c>
      <c r="F10" s="407">
        <v>5</v>
      </c>
      <c r="G10" s="407">
        <v>6</v>
      </c>
      <c r="H10" s="407">
        <v>7</v>
      </c>
      <c r="I10" s="407">
        <v>8</v>
      </c>
      <c r="J10" s="407">
        <v>9</v>
      </c>
      <c r="K10" s="407">
        <v>10</v>
      </c>
      <c r="L10" s="407">
        <v>11</v>
      </c>
      <c r="M10" s="407">
        <v>12</v>
      </c>
      <c r="N10" s="407">
        <v>13</v>
      </c>
      <c r="O10" s="407">
        <v>14</v>
      </c>
      <c r="P10" s="407">
        <v>15</v>
      </c>
      <c r="Q10" s="407">
        <v>16</v>
      </c>
      <c r="R10" s="407">
        <v>17</v>
      </c>
      <c r="S10" s="407">
        <v>18</v>
      </c>
      <c r="T10" s="407">
        <v>19</v>
      </c>
      <c r="U10" s="407">
        <v>20</v>
      </c>
      <c r="V10" s="407">
        <v>21</v>
      </c>
      <c r="W10" s="407">
        <v>22</v>
      </c>
      <c r="X10" s="407">
        <v>23</v>
      </c>
    </row>
    <row r="11" spans="1:26" s="414" customFormat="1" ht="21.75" customHeight="1">
      <c r="A11" s="408">
        <f>IF(B11&lt;&gt;"",ROW()-10,"")</f>
        <v>1</v>
      </c>
      <c r="B11" s="408" t="s">
        <v>573</v>
      </c>
      <c r="C11" s="409" t="s">
        <v>556</v>
      </c>
      <c r="D11" s="408" t="s">
        <v>268</v>
      </c>
      <c r="E11" s="410">
        <v>2877500</v>
      </c>
      <c r="F11" s="411"/>
      <c r="G11" s="411">
        <v>260000</v>
      </c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411"/>
      <c r="T11" s="411"/>
      <c r="U11" s="411"/>
      <c r="V11" s="411"/>
      <c r="W11" s="411"/>
      <c r="X11" s="411"/>
      <c r="Y11" s="412"/>
      <c r="Z11" s="413"/>
    </row>
    <row r="12" spans="1:26" s="414" customFormat="1" ht="21.75" customHeight="1">
      <c r="A12" s="408">
        <f t="shared" ref="A12:A20" si="0">IF(B12&lt;&gt;"",ROW()-10,"")</f>
        <v>2</v>
      </c>
      <c r="B12" s="408" t="s">
        <v>574</v>
      </c>
      <c r="C12" s="409" t="s">
        <v>713</v>
      </c>
      <c r="D12" s="408" t="s">
        <v>575</v>
      </c>
      <c r="E12" s="410">
        <v>2877500</v>
      </c>
      <c r="F12" s="411"/>
      <c r="G12" s="411">
        <v>260000</v>
      </c>
      <c r="H12" s="411"/>
      <c r="I12" s="411"/>
      <c r="J12" s="411"/>
      <c r="K12" s="411"/>
      <c r="L12" s="411"/>
      <c r="M12" s="411"/>
      <c r="N12" s="411"/>
      <c r="O12" s="411"/>
      <c r="P12" s="411"/>
      <c r="Q12" s="411"/>
      <c r="R12" s="411"/>
      <c r="S12" s="411"/>
      <c r="T12" s="411"/>
      <c r="U12" s="411"/>
      <c r="V12" s="411"/>
      <c r="W12" s="411"/>
      <c r="X12" s="411"/>
      <c r="Y12" s="412"/>
      <c r="Z12" s="413"/>
    </row>
    <row r="13" spans="1:26" s="414" customFormat="1" ht="21.75" customHeight="1">
      <c r="A13" s="408">
        <f t="shared" si="0"/>
        <v>3</v>
      </c>
      <c r="B13" s="408" t="s">
        <v>576</v>
      </c>
      <c r="C13" s="409" t="s">
        <v>714</v>
      </c>
      <c r="D13" s="408" t="s">
        <v>577</v>
      </c>
      <c r="E13" s="410">
        <v>1565000</v>
      </c>
      <c r="F13" s="411"/>
      <c r="G13" s="411">
        <v>260000</v>
      </c>
      <c r="H13" s="411"/>
      <c r="I13" s="411"/>
      <c r="J13" s="411"/>
      <c r="K13" s="411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2"/>
      <c r="Z13" s="413"/>
    </row>
    <row r="14" spans="1:26" s="421" customFormat="1" ht="21.75" customHeight="1">
      <c r="A14" s="415">
        <f t="shared" si="0"/>
        <v>4</v>
      </c>
      <c r="B14" s="408" t="s">
        <v>717</v>
      </c>
      <c r="C14" s="590" t="s">
        <v>715</v>
      </c>
      <c r="D14" s="408" t="s">
        <v>716</v>
      </c>
      <c r="E14" s="410">
        <v>1240000</v>
      </c>
      <c r="F14" s="418"/>
      <c r="G14" s="411">
        <v>260000</v>
      </c>
      <c r="H14" s="418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U14" s="418"/>
      <c r="V14" s="418"/>
      <c r="W14" s="418"/>
      <c r="X14" s="418"/>
      <c r="Y14" s="419"/>
      <c r="Z14" s="420"/>
    </row>
    <row r="15" spans="1:26" s="421" customFormat="1" ht="21.75" customHeight="1">
      <c r="A15" s="415">
        <f t="shared" si="0"/>
        <v>5</v>
      </c>
      <c r="B15" s="416" t="s">
        <v>578</v>
      </c>
      <c r="C15" s="417" t="s">
        <v>718</v>
      </c>
      <c r="D15" s="415" t="s">
        <v>581</v>
      </c>
      <c r="E15" s="418">
        <v>1365000</v>
      </c>
      <c r="F15" s="418"/>
      <c r="G15" s="418">
        <v>260000</v>
      </c>
      <c r="H15" s="418"/>
      <c r="I15" s="418"/>
      <c r="J15" s="418"/>
      <c r="K15" s="418"/>
      <c r="L15" s="418"/>
      <c r="M15" s="418"/>
      <c r="N15" s="418"/>
      <c r="O15" s="418"/>
      <c r="P15" s="418"/>
      <c r="Q15" s="418"/>
      <c r="R15" s="418"/>
      <c r="S15" s="418"/>
      <c r="T15" s="418"/>
      <c r="U15" s="418"/>
      <c r="V15" s="418"/>
      <c r="W15" s="418"/>
      <c r="X15" s="418"/>
      <c r="Y15" s="419"/>
      <c r="Z15" s="420"/>
    </row>
    <row r="16" spans="1:26" s="421" customFormat="1" ht="21.75" customHeight="1">
      <c r="A16" s="415">
        <f t="shared" si="0"/>
        <v>6</v>
      </c>
      <c r="B16" s="416" t="s">
        <v>579</v>
      </c>
      <c r="C16" s="417" t="s">
        <v>719</v>
      </c>
      <c r="D16" s="415" t="s">
        <v>581</v>
      </c>
      <c r="E16" s="418">
        <v>1275000</v>
      </c>
      <c r="F16" s="418"/>
      <c r="G16" s="418">
        <v>260000</v>
      </c>
      <c r="H16" s="418"/>
      <c r="I16" s="418"/>
      <c r="J16" s="418"/>
      <c r="K16" s="418"/>
      <c r="L16" s="418"/>
      <c r="M16" s="418"/>
      <c r="N16" s="418"/>
      <c r="O16" s="418"/>
      <c r="P16" s="418"/>
      <c r="Q16" s="418"/>
      <c r="R16" s="418"/>
      <c r="S16" s="418"/>
      <c r="T16" s="418"/>
      <c r="U16" s="418"/>
      <c r="V16" s="418"/>
      <c r="W16" s="418"/>
      <c r="X16" s="418"/>
      <c r="Y16" s="419"/>
      <c r="Z16" s="420"/>
    </row>
    <row r="17" spans="1:26" s="421" customFormat="1" ht="21.75" customHeight="1">
      <c r="A17" s="415">
        <f t="shared" si="0"/>
        <v>7</v>
      </c>
      <c r="B17" s="416" t="s">
        <v>580</v>
      </c>
      <c r="C17" s="417" t="s">
        <v>720</v>
      </c>
      <c r="D17" s="415" t="s">
        <v>581</v>
      </c>
      <c r="E17" s="418">
        <v>990000</v>
      </c>
      <c r="F17" s="418"/>
      <c r="G17" s="418">
        <v>260000</v>
      </c>
      <c r="H17" s="418"/>
      <c r="I17" s="418"/>
      <c r="J17" s="418"/>
      <c r="K17" s="418"/>
      <c r="L17" s="418"/>
      <c r="M17" s="418"/>
      <c r="N17" s="418"/>
      <c r="O17" s="418"/>
      <c r="P17" s="418"/>
      <c r="Q17" s="418"/>
      <c r="R17" s="418"/>
      <c r="S17" s="418"/>
      <c r="T17" s="418"/>
      <c r="U17" s="418"/>
      <c r="V17" s="418"/>
      <c r="W17" s="418"/>
      <c r="X17" s="418"/>
      <c r="Y17" s="419"/>
      <c r="Z17" s="420"/>
    </row>
    <row r="18" spans="1:26" s="421" customFormat="1" ht="21.75" customHeight="1">
      <c r="A18" s="415">
        <f t="shared" si="0"/>
        <v>8</v>
      </c>
      <c r="B18" s="416" t="s">
        <v>582</v>
      </c>
      <c r="C18" s="417" t="s">
        <v>721</v>
      </c>
      <c r="D18" s="415" t="s">
        <v>581</v>
      </c>
      <c r="E18" s="418">
        <v>1015000</v>
      </c>
      <c r="F18" s="418"/>
      <c r="G18" s="418">
        <v>260000</v>
      </c>
      <c r="H18" s="418"/>
      <c r="I18" s="418"/>
      <c r="J18" s="418"/>
      <c r="K18" s="418"/>
      <c r="L18" s="418"/>
      <c r="M18" s="418"/>
      <c r="N18" s="418"/>
      <c r="O18" s="418"/>
      <c r="P18" s="418"/>
      <c r="Q18" s="418"/>
      <c r="R18" s="418"/>
      <c r="S18" s="418"/>
      <c r="T18" s="418"/>
      <c r="U18" s="418"/>
      <c r="V18" s="418"/>
      <c r="W18" s="418"/>
      <c r="X18" s="418"/>
      <c r="Y18" s="419"/>
      <c r="Z18" s="420"/>
    </row>
    <row r="19" spans="1:26" ht="21.75" customHeight="1">
      <c r="A19" s="408" t="str">
        <f t="shared" si="0"/>
        <v/>
      </c>
      <c r="B19" s="422"/>
      <c r="C19" s="423"/>
      <c r="D19" s="424"/>
      <c r="E19" s="425"/>
      <c r="F19" s="425"/>
      <c r="G19" s="425"/>
      <c r="H19" s="425"/>
      <c r="I19" s="425"/>
      <c r="J19" s="425"/>
      <c r="K19" s="425"/>
      <c r="L19" s="425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192"/>
    </row>
    <row r="20" spans="1:26" ht="21.75" customHeight="1">
      <c r="A20" s="408" t="str">
        <f t="shared" si="0"/>
        <v/>
      </c>
      <c r="B20" s="426"/>
      <c r="C20" s="427"/>
      <c r="D20" s="428"/>
      <c r="E20" s="429"/>
      <c r="F20" s="429"/>
      <c r="G20" s="429"/>
      <c r="H20" s="429"/>
      <c r="I20" s="429"/>
      <c r="J20" s="429"/>
      <c r="K20" s="429"/>
      <c r="L20" s="429"/>
      <c r="M20" s="429"/>
      <c r="N20" s="429"/>
      <c r="O20" s="429"/>
      <c r="P20" s="429"/>
      <c r="Q20" s="429"/>
      <c r="R20" s="429"/>
      <c r="S20" s="429"/>
      <c r="T20" s="429"/>
      <c r="U20" s="429"/>
      <c r="V20" s="429"/>
      <c r="W20" s="429"/>
      <c r="X20" s="429"/>
      <c r="Y20" s="192"/>
    </row>
    <row r="21" spans="1:26" ht="21.75" customHeight="1">
      <c r="A21" s="955" t="s">
        <v>38</v>
      </c>
      <c r="B21" s="956"/>
      <c r="C21" s="956"/>
      <c r="D21" s="430" t="s">
        <v>583</v>
      </c>
      <c r="E21" s="431">
        <f>SUM(E11:E20)</f>
        <v>13205000</v>
      </c>
      <c r="F21" s="431">
        <f>SUM(F11:F20)</f>
        <v>0</v>
      </c>
      <c r="G21" s="431">
        <f>SUM(G11:G20)</f>
        <v>2080000</v>
      </c>
      <c r="H21" s="431">
        <f>SUM(H11:H20)</f>
        <v>0</v>
      </c>
      <c r="I21" s="431"/>
      <c r="J21" s="431">
        <f t="shared" ref="J21:U21" si="1">SUMIF(J$11:J$20,"x",$E$11:$E$20)</f>
        <v>0</v>
      </c>
      <c r="K21" s="431">
        <f t="shared" si="1"/>
        <v>0</v>
      </c>
      <c r="L21" s="431">
        <f t="shared" si="1"/>
        <v>0</v>
      </c>
      <c r="M21" s="431">
        <f t="shared" si="1"/>
        <v>0</v>
      </c>
      <c r="N21" s="431">
        <f t="shared" si="1"/>
        <v>0</v>
      </c>
      <c r="O21" s="431">
        <f t="shared" si="1"/>
        <v>0</v>
      </c>
      <c r="P21" s="431">
        <f t="shared" si="1"/>
        <v>0</v>
      </c>
      <c r="Q21" s="431">
        <f t="shared" si="1"/>
        <v>0</v>
      </c>
      <c r="R21" s="431">
        <f t="shared" si="1"/>
        <v>0</v>
      </c>
      <c r="S21" s="431">
        <f t="shared" si="1"/>
        <v>0</v>
      </c>
      <c r="T21" s="431">
        <f t="shared" si="1"/>
        <v>0</v>
      </c>
      <c r="U21" s="431">
        <f t="shared" si="1"/>
        <v>0</v>
      </c>
      <c r="V21" s="431"/>
      <c r="W21" s="431"/>
      <c r="X21" s="431"/>
      <c r="Y21" s="192"/>
    </row>
    <row r="22" spans="1:26" ht="21.75" customHeight="1">
      <c r="A22" s="957"/>
      <c r="B22" s="958"/>
      <c r="C22" s="958"/>
      <c r="D22" s="430" t="s">
        <v>584</v>
      </c>
      <c r="E22" s="431"/>
      <c r="F22" s="431"/>
      <c r="G22" s="431"/>
      <c r="H22" s="431"/>
      <c r="I22" s="431"/>
      <c r="J22" s="431">
        <f t="array" ref="J22">SUM((J$11:J$20="x")*1)</f>
        <v>0</v>
      </c>
      <c r="K22" s="431">
        <f t="array" ref="K22">SUM((K$11:K$20="x")*1)</f>
        <v>0</v>
      </c>
      <c r="L22" s="431">
        <f t="array" ref="L22">SUM((L$11:L$20="x")*1)</f>
        <v>0</v>
      </c>
      <c r="M22" s="431">
        <f t="array" ref="M22">SUM((M$11:M$20="x")*1)</f>
        <v>0</v>
      </c>
      <c r="N22" s="431">
        <f t="array" ref="N22">SUM((N$11:N$20="x")*1)</f>
        <v>0</v>
      </c>
      <c r="O22" s="431">
        <f t="array" ref="O22">SUM((O$11:O$20="x")*1)</f>
        <v>0</v>
      </c>
      <c r="P22" s="431">
        <f t="array" ref="P22">SUM((P$11:P$20="x")*1)</f>
        <v>0</v>
      </c>
      <c r="Q22" s="431">
        <f t="array" ref="Q22">SUM((Q$11:Q$20="x")*1)</f>
        <v>0</v>
      </c>
      <c r="R22" s="431">
        <f t="array" ref="R22">SUM((R$11:R$20="x")*1)</f>
        <v>0</v>
      </c>
      <c r="S22" s="431">
        <f t="array" ref="S22">SUM((S$11:S$20="x")*1)</f>
        <v>0</v>
      </c>
      <c r="T22" s="431">
        <f t="array" ref="T22">SUM((T$11:T$20="x")*1)</f>
        <v>0</v>
      </c>
      <c r="U22" s="431">
        <f t="array" ref="U22">SUM((U$11:U$20="x")*1)</f>
        <v>0</v>
      </c>
      <c r="V22" s="431"/>
      <c r="W22" s="431"/>
      <c r="X22" s="431"/>
      <c r="Y22" s="192"/>
    </row>
    <row r="23" spans="1:26" ht="21.75" customHeight="1">
      <c r="A23" s="959"/>
      <c r="B23" s="960"/>
      <c r="C23" s="960"/>
      <c r="D23" s="430" t="s">
        <v>585</v>
      </c>
      <c r="E23" s="431"/>
      <c r="F23" s="431"/>
      <c r="G23" s="431"/>
      <c r="H23" s="431"/>
      <c r="I23" s="431"/>
      <c r="J23" s="431"/>
      <c r="K23" s="431"/>
      <c r="L23" s="431"/>
      <c r="M23" s="431"/>
      <c r="N23" s="431"/>
      <c r="O23" s="431"/>
      <c r="P23" s="431"/>
      <c r="Q23" s="431"/>
      <c r="R23" s="431"/>
      <c r="S23" s="431"/>
      <c r="T23" s="431"/>
      <c r="U23" s="431"/>
      <c r="V23" s="431"/>
      <c r="W23" s="431"/>
      <c r="X23" s="431"/>
      <c r="Y23" s="192"/>
    </row>
    <row r="24" spans="1:26" ht="11.25" customHeight="1">
      <c r="A24" s="432"/>
      <c r="B24" s="432"/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</row>
    <row r="25" spans="1:26" ht="11.25" customHeight="1">
      <c r="A25" s="432"/>
      <c r="B25" s="432"/>
      <c r="C25" s="433"/>
      <c r="D25" s="433"/>
      <c r="E25" s="433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4" t="s">
        <v>586</v>
      </c>
      <c r="X25" s="433"/>
    </row>
    <row r="26" spans="1:26" ht="16.5" customHeight="1">
      <c r="A26" s="432"/>
      <c r="B26" s="432"/>
      <c r="C26" s="435" t="s">
        <v>587</v>
      </c>
      <c r="D26" s="436"/>
      <c r="E26" s="360"/>
      <c r="F26" s="437"/>
      <c r="G26" s="437"/>
      <c r="H26" s="437"/>
      <c r="I26" s="438"/>
      <c r="J26" s="438">
        <v>8278</v>
      </c>
      <c r="K26" s="439">
        <f>E13/27/8</f>
        <v>7245.3703703703704</v>
      </c>
      <c r="L26" s="438"/>
      <c r="M26" s="438"/>
      <c r="N26" s="438"/>
      <c r="O26" s="438"/>
      <c r="P26" s="438"/>
      <c r="Q26" s="438"/>
      <c r="R26" s="438"/>
      <c r="S26" s="438"/>
      <c r="T26" s="438"/>
      <c r="U26" s="438"/>
      <c r="V26" s="438"/>
      <c r="W26" s="359" t="s">
        <v>104</v>
      </c>
      <c r="X26" s="359"/>
    </row>
    <row r="27" spans="1:26" ht="11.25" customHeight="1">
      <c r="A27" s="432"/>
      <c r="B27" s="432"/>
      <c r="C27" s="435"/>
      <c r="D27" s="436"/>
      <c r="E27" s="360"/>
      <c r="F27" s="437"/>
      <c r="G27" s="437"/>
      <c r="H27" s="437"/>
      <c r="I27" s="438"/>
      <c r="J27" s="438"/>
      <c r="K27" s="438">
        <f>J26/K26</f>
        <v>1.1425226837060702</v>
      </c>
      <c r="L27" s="438"/>
      <c r="M27" s="438"/>
      <c r="N27" s="438"/>
      <c r="O27" s="438"/>
      <c r="P27" s="438"/>
      <c r="Q27" s="438"/>
      <c r="R27" s="438"/>
      <c r="S27" s="438"/>
      <c r="T27" s="438"/>
      <c r="U27" s="438"/>
      <c r="V27" s="438"/>
      <c r="W27" s="359"/>
      <c r="X27" s="359"/>
    </row>
    <row r="28" spans="1:26" ht="11.25" customHeight="1">
      <c r="A28" s="432"/>
      <c r="B28" s="432"/>
      <c r="C28" s="435"/>
      <c r="D28" s="436"/>
      <c r="E28" s="360"/>
      <c r="F28" s="437"/>
      <c r="G28" s="437"/>
      <c r="H28" s="437"/>
      <c r="I28" s="438"/>
      <c r="J28" s="438"/>
      <c r="K28" s="438"/>
      <c r="L28" s="438"/>
      <c r="M28" s="438"/>
      <c r="N28" s="438"/>
      <c r="O28" s="438"/>
      <c r="P28" s="438"/>
      <c r="Q28" s="438"/>
      <c r="R28" s="438"/>
      <c r="S28" s="438"/>
      <c r="T28" s="438"/>
      <c r="U28" s="438"/>
      <c r="V28" s="438"/>
      <c r="W28" s="359"/>
      <c r="X28" s="359"/>
    </row>
    <row r="29" spans="1:26" ht="11.25" customHeight="1">
      <c r="A29" s="432"/>
      <c r="B29" s="432"/>
      <c r="C29" s="435"/>
      <c r="D29" s="436"/>
      <c r="E29" s="360"/>
      <c r="F29" s="437"/>
      <c r="G29" s="437"/>
      <c r="H29" s="437"/>
      <c r="I29" s="438"/>
      <c r="J29" s="438"/>
      <c r="K29" s="438"/>
      <c r="L29" s="438"/>
      <c r="M29" s="438"/>
      <c r="N29" s="438"/>
      <c r="O29" s="438"/>
      <c r="P29" s="438"/>
      <c r="Q29" s="438"/>
      <c r="R29" s="438"/>
      <c r="S29" s="438"/>
      <c r="T29" s="438"/>
      <c r="U29" s="438"/>
      <c r="V29" s="438"/>
      <c r="W29" s="359"/>
      <c r="X29" s="359"/>
    </row>
    <row r="30" spans="1:26" ht="11.25" customHeight="1">
      <c r="A30" s="432"/>
      <c r="B30" s="432"/>
      <c r="C30" s="435"/>
      <c r="D30" s="436"/>
      <c r="E30" s="360"/>
      <c r="F30" s="437"/>
      <c r="G30" s="437"/>
      <c r="H30" s="437"/>
      <c r="I30" s="438"/>
      <c r="J30" s="438"/>
      <c r="K30" s="438"/>
      <c r="L30" s="438"/>
      <c r="M30" s="438"/>
      <c r="N30" s="438"/>
      <c r="O30" s="438"/>
      <c r="P30" s="438"/>
      <c r="Q30" s="438"/>
      <c r="R30" s="438"/>
      <c r="S30" s="438"/>
      <c r="T30" s="438"/>
      <c r="U30" s="438"/>
      <c r="V30" s="438"/>
      <c r="W30" s="359"/>
      <c r="X30" s="359"/>
    </row>
    <row r="31" spans="1:26" ht="11.25" customHeight="1">
      <c r="A31" s="432"/>
      <c r="B31" s="432"/>
      <c r="C31" s="435"/>
      <c r="D31" s="436"/>
      <c r="E31" s="360"/>
      <c r="F31" s="437"/>
      <c r="G31" s="437"/>
      <c r="H31" s="437"/>
      <c r="I31" s="438"/>
      <c r="J31" s="438"/>
      <c r="K31" s="438"/>
      <c r="L31" s="438"/>
      <c r="M31" s="438"/>
      <c r="N31" s="438"/>
      <c r="O31" s="438"/>
      <c r="P31" s="438"/>
      <c r="Q31" s="438"/>
      <c r="R31" s="438"/>
      <c r="S31" s="438"/>
      <c r="T31" s="438"/>
      <c r="U31" s="438"/>
      <c r="V31" s="438"/>
      <c r="W31" s="359"/>
      <c r="X31" s="359"/>
    </row>
    <row r="32" spans="1:26" s="261" customFormat="1">
      <c r="A32" s="440"/>
      <c r="B32" s="440"/>
      <c r="C32" s="441" t="s">
        <v>588</v>
      </c>
      <c r="D32" s="436"/>
      <c r="E32" s="360"/>
      <c r="F32" s="437"/>
      <c r="G32" s="437"/>
      <c r="H32" s="437"/>
      <c r="I32" s="438"/>
      <c r="J32" s="442"/>
      <c r="K32" s="442"/>
      <c r="L32" s="442"/>
      <c r="M32" s="442"/>
      <c r="N32" s="442"/>
      <c r="O32" s="442"/>
      <c r="P32" s="442"/>
      <c r="Q32" s="442"/>
      <c r="R32" s="442"/>
      <c r="S32" s="442"/>
      <c r="T32" s="442"/>
      <c r="U32" s="442"/>
      <c r="V32" s="442"/>
      <c r="W32" s="443"/>
      <c r="X32" s="444"/>
    </row>
    <row r="33" spans="1:24" s="261" customFormat="1" ht="9" customHeight="1">
      <c r="A33" s="400"/>
      <c r="B33" s="400"/>
      <c r="C33" s="445"/>
      <c r="D33" s="445"/>
      <c r="E33" s="360"/>
      <c r="F33" s="446"/>
      <c r="G33" s="446"/>
      <c r="H33" s="446"/>
      <c r="I33" s="445"/>
      <c r="J33" s="445"/>
      <c r="K33" s="445"/>
      <c r="L33" s="445"/>
      <c r="M33" s="445"/>
      <c r="N33" s="445"/>
      <c r="O33" s="445"/>
      <c r="P33" s="445"/>
      <c r="Q33" s="445"/>
      <c r="R33" s="445"/>
      <c r="S33" s="445"/>
      <c r="T33" s="445"/>
      <c r="U33" s="445"/>
      <c r="V33" s="445"/>
      <c r="W33" s="447"/>
      <c r="X33" s="447"/>
    </row>
    <row r="34" spans="1:24" s="261" customFormat="1">
      <c r="A34" s="400"/>
      <c r="B34" s="400"/>
      <c r="C34" s="400"/>
      <c r="D34" s="400"/>
      <c r="E34" s="360"/>
      <c r="F34" s="401"/>
      <c r="G34" s="401"/>
      <c r="H34" s="401"/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/>
      <c r="T34" s="400"/>
      <c r="U34" s="400"/>
      <c r="V34" s="400"/>
    </row>
    <row r="35" spans="1:24" s="261" customFormat="1">
      <c r="A35" s="400"/>
      <c r="B35" s="400"/>
      <c r="C35" s="400"/>
      <c r="D35" s="400"/>
      <c r="E35" s="360"/>
      <c r="F35" s="401"/>
      <c r="G35" s="401"/>
      <c r="H35" s="401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  <c r="U35" s="400"/>
      <c r="V35" s="400"/>
    </row>
    <row r="48" spans="1:24">
      <c r="C48" s="448"/>
      <c r="G48" s="417" t="s">
        <v>589</v>
      </c>
      <c r="J48" s="400" t="s">
        <v>590</v>
      </c>
      <c r="K48" s="400" t="s">
        <v>589</v>
      </c>
      <c r="M48" s="400" t="str">
        <f>VLOOKUP(K48,$G$48:$J$107,4,0)</f>
        <v>ALTP001</v>
      </c>
      <c r="N48" s="944" t="str">
        <f>M48</f>
        <v>ALTP001</v>
      </c>
    </row>
    <row r="49" spans="3:14">
      <c r="C49" s="448"/>
      <c r="G49" s="417" t="s">
        <v>591</v>
      </c>
      <c r="J49" s="400" t="s">
        <v>592</v>
      </c>
      <c r="K49" s="400" t="s">
        <v>591</v>
      </c>
      <c r="M49" s="400" t="str">
        <f t="shared" ref="M49:M78" si="2">VLOOKUP(K49,$G$48:$J$107,4,0)</f>
        <v>ALTP002</v>
      </c>
      <c r="N49" s="944"/>
    </row>
    <row r="50" spans="3:14">
      <c r="C50" s="448"/>
      <c r="G50" s="417" t="s">
        <v>593</v>
      </c>
      <c r="J50" s="400" t="s">
        <v>594</v>
      </c>
      <c r="K50" s="400" t="s">
        <v>593</v>
      </c>
      <c r="M50" s="400" t="str">
        <f t="shared" si="2"/>
        <v>ALTP003</v>
      </c>
      <c r="N50" s="944" t="str">
        <f>M49</f>
        <v>ALTP002</v>
      </c>
    </row>
    <row r="51" spans="3:14">
      <c r="C51" s="448"/>
      <c r="G51" s="417" t="s">
        <v>595</v>
      </c>
      <c r="J51" s="400" t="s">
        <v>596</v>
      </c>
      <c r="K51" s="400" t="s">
        <v>595</v>
      </c>
      <c r="M51" s="400" t="str">
        <f t="shared" si="2"/>
        <v>ALTP004</v>
      </c>
      <c r="N51" s="944"/>
    </row>
    <row r="52" spans="3:14">
      <c r="C52" s="448"/>
      <c r="G52" s="417" t="s">
        <v>597</v>
      </c>
      <c r="J52" s="400" t="s">
        <v>598</v>
      </c>
      <c r="K52" s="400" t="s">
        <v>597</v>
      </c>
      <c r="M52" s="400" t="str">
        <f t="shared" si="2"/>
        <v>ALTP005</v>
      </c>
      <c r="N52" s="944" t="str">
        <f>M50</f>
        <v>ALTP003</v>
      </c>
    </row>
    <row r="53" spans="3:14">
      <c r="C53" s="448"/>
      <c r="G53" s="417" t="s">
        <v>599</v>
      </c>
      <c r="J53" s="400" t="s">
        <v>600</v>
      </c>
      <c r="K53" s="400" t="s">
        <v>599</v>
      </c>
      <c r="M53" s="400" t="str">
        <f t="shared" si="2"/>
        <v>ALTP006</v>
      </c>
      <c r="N53" s="944"/>
    </row>
    <row r="54" spans="3:14">
      <c r="C54" s="448"/>
      <c r="G54" s="417" t="s">
        <v>601</v>
      </c>
      <c r="J54" s="400" t="s">
        <v>602</v>
      </c>
      <c r="K54" s="400" t="s">
        <v>601</v>
      </c>
      <c r="M54" s="400" t="str">
        <f t="shared" si="2"/>
        <v>ALTP007</v>
      </c>
      <c r="N54" s="944" t="str">
        <f>M51</f>
        <v>ALTP004</v>
      </c>
    </row>
    <row r="55" spans="3:14">
      <c r="C55" s="448"/>
      <c r="G55" s="417" t="s">
        <v>603</v>
      </c>
      <c r="J55" s="400" t="s">
        <v>604</v>
      </c>
      <c r="K55" s="400" t="s">
        <v>603</v>
      </c>
      <c r="M55" s="400" t="str">
        <f t="shared" si="2"/>
        <v>ALTP008</v>
      </c>
      <c r="N55" s="944"/>
    </row>
    <row r="56" spans="3:14">
      <c r="C56" s="448"/>
      <c r="G56" s="417" t="s">
        <v>605</v>
      </c>
      <c r="J56" s="400" t="s">
        <v>606</v>
      </c>
      <c r="K56" s="400" t="s">
        <v>605</v>
      </c>
      <c r="M56" s="400" t="str">
        <f t="shared" si="2"/>
        <v>ALTP009</v>
      </c>
      <c r="N56" s="944" t="str">
        <f>M52</f>
        <v>ALTP005</v>
      </c>
    </row>
    <row r="57" spans="3:14">
      <c r="C57" s="448"/>
      <c r="G57" s="417" t="s">
        <v>607</v>
      </c>
      <c r="J57" s="400" t="s">
        <v>608</v>
      </c>
      <c r="K57" s="400" t="s">
        <v>607</v>
      </c>
      <c r="M57" s="400" t="str">
        <f t="shared" si="2"/>
        <v>ALTP010</v>
      </c>
      <c r="N57" s="944"/>
    </row>
    <row r="58" spans="3:14">
      <c r="C58" s="448"/>
      <c r="G58" s="417" t="s">
        <v>609</v>
      </c>
      <c r="J58" s="400" t="s">
        <v>610</v>
      </c>
      <c r="K58" s="400" t="s">
        <v>609</v>
      </c>
      <c r="M58" s="400" t="str">
        <f t="shared" si="2"/>
        <v>ALTP011</v>
      </c>
      <c r="N58" s="944" t="str">
        <f>M53</f>
        <v>ALTP006</v>
      </c>
    </row>
    <row r="59" spans="3:14">
      <c r="C59" s="448"/>
      <c r="G59" s="417" t="s">
        <v>611</v>
      </c>
      <c r="J59" s="400" t="s">
        <v>612</v>
      </c>
      <c r="K59" s="400" t="s">
        <v>613</v>
      </c>
      <c r="M59" s="400" t="str">
        <f t="shared" si="2"/>
        <v>ALTP013</v>
      </c>
      <c r="N59" s="944"/>
    </row>
    <row r="60" spans="3:14">
      <c r="C60" s="448"/>
      <c r="G60" s="417" t="s">
        <v>613</v>
      </c>
      <c r="J60" s="400" t="s">
        <v>614</v>
      </c>
      <c r="K60" s="400" t="s">
        <v>615</v>
      </c>
      <c r="M60" s="400" t="str">
        <f t="shared" si="2"/>
        <v>ALTP014</v>
      </c>
      <c r="N60" s="944" t="str">
        <f>M54</f>
        <v>ALTP007</v>
      </c>
    </row>
    <row r="61" spans="3:14">
      <c r="C61" s="448"/>
      <c r="G61" s="417" t="s">
        <v>615</v>
      </c>
      <c r="J61" s="400" t="s">
        <v>616</v>
      </c>
      <c r="K61" s="400" t="s">
        <v>617</v>
      </c>
      <c r="M61" s="400" t="str">
        <f t="shared" si="2"/>
        <v>ALTP015</v>
      </c>
      <c r="N61" s="944"/>
    </row>
    <row r="62" spans="3:14">
      <c r="C62" s="448"/>
      <c r="G62" s="417" t="s">
        <v>617</v>
      </c>
      <c r="J62" s="400" t="s">
        <v>618</v>
      </c>
      <c r="K62" s="400" t="s">
        <v>619</v>
      </c>
      <c r="M62" s="400" t="str">
        <f t="shared" si="2"/>
        <v>ALTP016</v>
      </c>
      <c r="N62" s="944" t="str">
        <f>M55</f>
        <v>ALTP008</v>
      </c>
    </row>
    <row r="63" spans="3:14">
      <c r="C63" s="448"/>
      <c r="G63" s="417" t="s">
        <v>619</v>
      </c>
      <c r="J63" s="400" t="s">
        <v>620</v>
      </c>
      <c r="K63" s="400" t="s">
        <v>621</v>
      </c>
      <c r="M63" s="400" t="str">
        <f t="shared" si="2"/>
        <v>ALTP017</v>
      </c>
      <c r="N63" s="944"/>
    </row>
    <row r="64" spans="3:14">
      <c r="C64" s="448"/>
      <c r="G64" s="417" t="s">
        <v>621</v>
      </c>
      <c r="J64" s="400" t="s">
        <v>622</v>
      </c>
      <c r="K64" s="400" t="s">
        <v>623</v>
      </c>
      <c r="M64" s="400" t="str">
        <f t="shared" si="2"/>
        <v>ALTP018</v>
      </c>
      <c r="N64" s="944" t="str">
        <f>M56</f>
        <v>ALTP009</v>
      </c>
    </row>
    <row r="65" spans="3:14">
      <c r="C65" s="448"/>
      <c r="G65" s="417" t="s">
        <v>623</v>
      </c>
      <c r="J65" s="400" t="s">
        <v>624</v>
      </c>
      <c r="K65" s="400" t="s">
        <v>625</v>
      </c>
      <c r="M65" s="400" t="str">
        <f t="shared" si="2"/>
        <v>ALTP019</v>
      </c>
      <c r="N65" s="944"/>
    </row>
    <row r="66" spans="3:14">
      <c r="C66" s="448"/>
      <c r="G66" s="417" t="s">
        <v>625</v>
      </c>
      <c r="J66" s="400" t="s">
        <v>626</v>
      </c>
      <c r="K66" s="400" t="s">
        <v>627</v>
      </c>
      <c r="M66" s="400" t="str">
        <f t="shared" si="2"/>
        <v>ALTP020</v>
      </c>
      <c r="N66" s="944" t="str">
        <f>M57</f>
        <v>ALTP010</v>
      </c>
    </row>
    <row r="67" spans="3:14">
      <c r="C67" s="448"/>
      <c r="G67" s="417" t="s">
        <v>627</v>
      </c>
      <c r="J67" s="400" t="s">
        <v>628</v>
      </c>
      <c r="K67" s="400" t="s">
        <v>629</v>
      </c>
      <c r="M67" s="400" t="str">
        <f t="shared" si="2"/>
        <v>ALTP025</v>
      </c>
      <c r="N67" s="944"/>
    </row>
    <row r="68" spans="3:14">
      <c r="C68" s="448"/>
      <c r="G68" s="417" t="s">
        <v>630</v>
      </c>
      <c r="J68" s="400" t="s">
        <v>631</v>
      </c>
      <c r="K68" s="400" t="s">
        <v>632</v>
      </c>
      <c r="M68" s="400" t="str">
        <f t="shared" si="2"/>
        <v>ALTP027</v>
      </c>
      <c r="N68" s="944" t="str">
        <f>M58</f>
        <v>ALTP011</v>
      </c>
    </row>
    <row r="69" spans="3:14">
      <c r="C69" s="448"/>
      <c r="G69" s="417" t="s">
        <v>633</v>
      </c>
      <c r="J69" s="400" t="s">
        <v>634</v>
      </c>
      <c r="K69" s="400" t="s">
        <v>635</v>
      </c>
      <c r="M69" s="400" t="str">
        <f t="shared" si="2"/>
        <v>ALTN001</v>
      </c>
      <c r="N69" s="944"/>
    </row>
    <row r="70" spans="3:14">
      <c r="C70" s="448"/>
      <c r="G70" s="417" t="s">
        <v>632</v>
      </c>
      <c r="J70" s="400" t="s">
        <v>636</v>
      </c>
      <c r="K70" s="400" t="s">
        <v>637</v>
      </c>
      <c r="M70" s="400" t="str">
        <f t="shared" si="2"/>
        <v>ALTN002</v>
      </c>
      <c r="N70" s="944" t="str">
        <f>M59</f>
        <v>ALTP013</v>
      </c>
    </row>
    <row r="71" spans="3:14">
      <c r="C71" s="448"/>
      <c r="G71" s="400" t="s">
        <v>638</v>
      </c>
      <c r="J71" s="400" t="s">
        <v>639</v>
      </c>
      <c r="K71" s="400" t="s">
        <v>640</v>
      </c>
      <c r="M71" s="400" t="str">
        <f t="shared" si="2"/>
        <v>ALTN003</v>
      </c>
      <c r="N71" s="944"/>
    </row>
    <row r="72" spans="3:14">
      <c r="C72" s="448"/>
      <c r="G72" s="400" t="s">
        <v>641</v>
      </c>
      <c r="J72" s="400" t="s">
        <v>642</v>
      </c>
      <c r="K72" s="400" t="s">
        <v>643</v>
      </c>
      <c r="M72" s="400" t="str">
        <f t="shared" si="2"/>
        <v>ALTN004</v>
      </c>
      <c r="N72" s="944" t="str">
        <f>M60</f>
        <v>ALTP014</v>
      </c>
    </row>
    <row r="73" spans="3:14">
      <c r="C73" s="448"/>
      <c r="G73" s="400" t="s">
        <v>629</v>
      </c>
      <c r="J73" s="400" t="s">
        <v>644</v>
      </c>
      <c r="K73" s="400" t="s">
        <v>645</v>
      </c>
      <c r="M73" s="400" t="str">
        <f t="shared" si="2"/>
        <v>ALTN006</v>
      </c>
      <c r="N73" s="944"/>
    </row>
    <row r="74" spans="3:14">
      <c r="C74" s="448"/>
      <c r="G74" s="400" t="s">
        <v>646</v>
      </c>
      <c r="J74" s="400" t="s">
        <v>647</v>
      </c>
      <c r="K74" s="400" t="s">
        <v>648</v>
      </c>
      <c r="M74" s="400" t="str">
        <f t="shared" si="2"/>
        <v>ALTN007</v>
      </c>
      <c r="N74" s="944" t="str">
        <f>M61</f>
        <v>ALTP015</v>
      </c>
    </row>
    <row r="75" spans="3:14">
      <c r="C75" s="448"/>
      <c r="G75" s="400" t="s">
        <v>635</v>
      </c>
      <c r="J75" s="400" t="s">
        <v>649</v>
      </c>
      <c r="K75" s="400" t="s">
        <v>650</v>
      </c>
      <c r="M75" s="400" t="str">
        <f t="shared" si="2"/>
        <v>ALTN008</v>
      </c>
      <c r="N75" s="944"/>
    </row>
    <row r="76" spans="3:14">
      <c r="C76" s="448"/>
      <c r="G76" s="400" t="s">
        <v>637</v>
      </c>
      <c r="J76" s="400" t="s">
        <v>651</v>
      </c>
      <c r="K76" s="400" t="s">
        <v>652</v>
      </c>
      <c r="M76" s="400" t="str">
        <f t="shared" si="2"/>
        <v>ALTN009</v>
      </c>
      <c r="N76" s="944" t="str">
        <f>M62</f>
        <v>ALTP016</v>
      </c>
    </row>
    <row r="77" spans="3:14">
      <c r="C77" s="448"/>
      <c r="G77" s="400" t="s">
        <v>640</v>
      </c>
      <c r="J77" s="400" t="s">
        <v>653</v>
      </c>
      <c r="K77" s="400" t="s">
        <v>654</v>
      </c>
      <c r="M77" s="400" t="str">
        <f t="shared" si="2"/>
        <v>ALTN010</v>
      </c>
      <c r="N77" s="944"/>
    </row>
    <row r="78" spans="3:14">
      <c r="C78" s="448"/>
      <c r="G78" s="400" t="s">
        <v>643</v>
      </c>
      <c r="J78" s="400" t="s">
        <v>655</v>
      </c>
      <c r="K78" s="400" t="s">
        <v>656</v>
      </c>
      <c r="M78" s="400" t="str">
        <f t="shared" si="2"/>
        <v>ALTN011</v>
      </c>
      <c r="N78" s="944" t="str">
        <f>M63</f>
        <v>ALTP017</v>
      </c>
    </row>
    <row r="79" spans="3:14">
      <c r="C79" s="448"/>
      <c r="G79" s="400" t="s">
        <v>657</v>
      </c>
      <c r="J79" s="400" t="s">
        <v>658</v>
      </c>
      <c r="N79" s="944"/>
    </row>
    <row r="80" spans="3:14">
      <c r="C80" s="448"/>
      <c r="G80" s="401" t="s">
        <v>645</v>
      </c>
      <c r="J80" s="400" t="s">
        <v>659</v>
      </c>
      <c r="N80" s="944" t="str">
        <f>M64</f>
        <v>ALTP018</v>
      </c>
    </row>
    <row r="81" spans="3:14">
      <c r="C81" s="448"/>
      <c r="G81" s="401" t="s">
        <v>648</v>
      </c>
      <c r="J81" s="400" t="s">
        <v>660</v>
      </c>
      <c r="N81" s="944"/>
    </row>
    <row r="82" spans="3:14">
      <c r="C82" s="448"/>
      <c r="G82" s="401" t="s">
        <v>650</v>
      </c>
      <c r="J82" s="400" t="s">
        <v>661</v>
      </c>
      <c r="N82" s="944" t="str">
        <f>M65</f>
        <v>ALTP019</v>
      </c>
    </row>
    <row r="83" spans="3:14">
      <c r="C83" s="448"/>
      <c r="G83" s="401" t="s">
        <v>652</v>
      </c>
      <c r="J83" s="400" t="s">
        <v>662</v>
      </c>
      <c r="N83" s="944"/>
    </row>
    <row r="84" spans="3:14">
      <c r="C84" s="448"/>
      <c r="G84" s="401" t="s">
        <v>654</v>
      </c>
      <c r="J84" s="400" t="s">
        <v>663</v>
      </c>
      <c r="N84" s="944" t="str">
        <f>M66</f>
        <v>ALTP020</v>
      </c>
    </row>
    <row r="85" spans="3:14">
      <c r="C85" s="448"/>
      <c r="G85" s="401" t="s">
        <v>656</v>
      </c>
      <c r="J85" s="400" t="s">
        <v>664</v>
      </c>
      <c r="N85" s="944"/>
    </row>
    <row r="86" spans="3:14">
      <c r="C86" s="448"/>
      <c r="N86" s="944" t="str">
        <f>M67</f>
        <v>ALTP025</v>
      </c>
    </row>
    <row r="87" spans="3:14">
      <c r="C87" s="448"/>
      <c r="N87" s="944"/>
    </row>
    <row r="88" spans="3:14">
      <c r="C88" s="448"/>
      <c r="N88" s="944" t="str">
        <f>M68</f>
        <v>ALTP027</v>
      </c>
    </row>
    <row r="89" spans="3:14">
      <c r="C89" s="448"/>
      <c r="N89" s="944"/>
    </row>
    <row r="90" spans="3:14">
      <c r="C90" s="448"/>
      <c r="N90" s="944" t="str">
        <f>M69</f>
        <v>ALTN001</v>
      </c>
    </row>
    <row r="91" spans="3:14">
      <c r="C91" s="448"/>
      <c r="N91" s="944"/>
    </row>
    <row r="92" spans="3:14">
      <c r="C92" s="448"/>
      <c r="N92" s="944" t="str">
        <f>M70</f>
        <v>ALTN002</v>
      </c>
    </row>
    <row r="93" spans="3:14">
      <c r="C93" s="448"/>
      <c r="N93" s="944"/>
    </row>
    <row r="94" spans="3:14">
      <c r="C94" s="448"/>
      <c r="N94" s="944" t="str">
        <f>M71</f>
        <v>ALTN003</v>
      </c>
    </row>
    <row r="95" spans="3:14">
      <c r="C95" s="448"/>
      <c r="N95" s="944"/>
    </row>
    <row r="96" spans="3:14">
      <c r="C96" s="448"/>
      <c r="N96" s="944" t="str">
        <f>M72</f>
        <v>ALTN004</v>
      </c>
    </row>
    <row r="97" spans="3:14">
      <c r="C97" s="448"/>
      <c r="N97" s="944"/>
    </row>
    <row r="98" spans="3:14">
      <c r="C98" s="448"/>
      <c r="N98" s="944" t="str">
        <f>M73</f>
        <v>ALTN006</v>
      </c>
    </row>
    <row r="99" spans="3:14">
      <c r="C99" s="448"/>
      <c r="N99" s="944"/>
    </row>
    <row r="100" spans="3:14">
      <c r="C100" s="448"/>
      <c r="N100" s="944" t="str">
        <f>M74</f>
        <v>ALTN007</v>
      </c>
    </row>
    <row r="101" spans="3:14">
      <c r="C101" s="448"/>
      <c r="N101" s="944"/>
    </row>
    <row r="102" spans="3:14">
      <c r="C102" s="448"/>
      <c r="N102" s="944" t="str">
        <f>M75</f>
        <v>ALTN008</v>
      </c>
    </row>
    <row r="103" spans="3:14">
      <c r="C103" s="448"/>
      <c r="N103" s="944"/>
    </row>
    <row r="104" spans="3:14">
      <c r="C104" s="448"/>
      <c r="N104" s="944" t="str">
        <f>M76</f>
        <v>ALTN009</v>
      </c>
    </row>
    <row r="105" spans="3:14">
      <c r="C105" s="448"/>
      <c r="N105" s="944"/>
    </row>
    <row r="106" spans="3:14">
      <c r="C106" s="448"/>
      <c r="N106" s="944" t="str">
        <f>M77</f>
        <v>ALTN010</v>
      </c>
    </row>
    <row r="107" spans="3:14">
      <c r="C107" s="448"/>
      <c r="N107" s="944"/>
    </row>
    <row r="108" spans="3:14">
      <c r="C108" s="448"/>
      <c r="N108" s="944" t="str">
        <f>M78</f>
        <v>ALTN011</v>
      </c>
    </row>
    <row r="109" spans="3:14">
      <c r="C109" s="448"/>
      <c r="N109" s="944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100:N101"/>
    <mergeCell ref="N102:N103"/>
    <mergeCell ref="N104:N105"/>
    <mergeCell ref="N106:N107"/>
    <mergeCell ref="N108:N10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5" width="3.42578125" style="509" customWidth="1"/>
    <col min="36" max="36" width="3.42578125" style="509" hidden="1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09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78" t="s">
        <v>665</v>
      </c>
      <c r="AN1" s="979"/>
      <c r="AO1" s="979"/>
      <c r="AP1" s="979"/>
      <c r="AQ1" s="979"/>
      <c r="AR1" s="979"/>
      <c r="AS1" s="98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41153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81" t="s">
        <v>666</v>
      </c>
      <c r="B5" s="981" t="s">
        <v>561</v>
      </c>
      <c r="C5" s="981" t="s">
        <v>562</v>
      </c>
      <c r="D5" s="983" t="s">
        <v>667</v>
      </c>
      <c r="E5" s="981" t="s">
        <v>668</v>
      </c>
      <c r="F5" s="470">
        <f>+E4</f>
        <v>41153</v>
      </c>
      <c r="G5" s="470">
        <f t="shared" ref="G5:AJ5" si="0">F5+1</f>
        <v>41154</v>
      </c>
      <c r="H5" s="470">
        <f t="shared" si="0"/>
        <v>41155</v>
      </c>
      <c r="I5" s="470">
        <f t="shared" si="0"/>
        <v>41156</v>
      </c>
      <c r="J5" s="470">
        <f t="shared" si="0"/>
        <v>41157</v>
      </c>
      <c r="K5" s="470">
        <f t="shared" si="0"/>
        <v>41158</v>
      </c>
      <c r="L5" s="470">
        <f t="shared" si="0"/>
        <v>41159</v>
      </c>
      <c r="M5" s="470">
        <f t="shared" si="0"/>
        <v>41160</v>
      </c>
      <c r="N5" s="470">
        <f t="shared" si="0"/>
        <v>41161</v>
      </c>
      <c r="O5" s="470">
        <f t="shared" si="0"/>
        <v>41162</v>
      </c>
      <c r="P5" s="470">
        <f t="shared" si="0"/>
        <v>41163</v>
      </c>
      <c r="Q5" s="470">
        <f t="shared" si="0"/>
        <v>41164</v>
      </c>
      <c r="R5" s="470">
        <f t="shared" si="0"/>
        <v>41165</v>
      </c>
      <c r="S5" s="470">
        <f t="shared" si="0"/>
        <v>41166</v>
      </c>
      <c r="T5" s="470">
        <f t="shared" si="0"/>
        <v>41167</v>
      </c>
      <c r="U5" s="470">
        <f t="shared" si="0"/>
        <v>41168</v>
      </c>
      <c r="V5" s="470">
        <f t="shared" si="0"/>
        <v>41169</v>
      </c>
      <c r="W5" s="470">
        <f t="shared" si="0"/>
        <v>41170</v>
      </c>
      <c r="X5" s="470">
        <f t="shared" si="0"/>
        <v>41171</v>
      </c>
      <c r="Y5" s="470">
        <f t="shared" si="0"/>
        <v>41172</v>
      </c>
      <c r="Z5" s="470">
        <f t="shared" si="0"/>
        <v>41173</v>
      </c>
      <c r="AA5" s="470">
        <f t="shared" si="0"/>
        <v>41174</v>
      </c>
      <c r="AB5" s="470">
        <f t="shared" si="0"/>
        <v>41175</v>
      </c>
      <c r="AC5" s="470">
        <f t="shared" si="0"/>
        <v>41176</v>
      </c>
      <c r="AD5" s="470">
        <f t="shared" si="0"/>
        <v>41177</v>
      </c>
      <c r="AE5" s="470">
        <f t="shared" si="0"/>
        <v>41178</v>
      </c>
      <c r="AF5" s="470">
        <f t="shared" si="0"/>
        <v>41179</v>
      </c>
      <c r="AG5" s="470">
        <f t="shared" si="0"/>
        <v>41180</v>
      </c>
      <c r="AH5" s="470">
        <f>AG5+1</f>
        <v>41181</v>
      </c>
      <c r="AI5" s="470">
        <f t="shared" si="0"/>
        <v>41182</v>
      </c>
      <c r="AJ5" s="470">
        <f t="shared" si="0"/>
        <v>41183</v>
      </c>
      <c r="AK5" s="984" t="s">
        <v>669</v>
      </c>
      <c r="AL5" s="985"/>
      <c r="AM5" s="986"/>
      <c r="AN5" s="987" t="s">
        <v>670</v>
      </c>
      <c r="AO5" s="987" t="s">
        <v>671</v>
      </c>
      <c r="AP5" s="987" t="s">
        <v>672</v>
      </c>
      <c r="AQ5" s="987" t="s">
        <v>673</v>
      </c>
      <c r="AR5" s="987" t="s">
        <v>674</v>
      </c>
      <c r="AS5" s="983" t="s">
        <v>122</v>
      </c>
      <c r="AT5" s="97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82"/>
      <c r="B6" s="982"/>
      <c r="C6" s="982"/>
      <c r="D6" s="982"/>
      <c r="E6" s="982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988"/>
      <c r="AO6" s="988"/>
      <c r="AP6" s="988"/>
      <c r="AQ6" s="988"/>
      <c r="AR6" s="988"/>
      <c r="AS6" s="982"/>
      <c r="AT6" s="97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65">
        <v>1</v>
      </c>
      <c r="B9" s="965" t="s">
        <v>573</v>
      </c>
      <c r="C9" s="967" t="str">
        <f>VLOOKUP(B9,DS,2,0)</f>
        <v>Nguyễn Đức Hải</v>
      </c>
      <c r="D9" s="969" t="str">
        <f>VLOOKUP(B9,DS,3,0)</f>
        <v>Giám Đốc</v>
      </c>
      <c r="E9" s="483" t="s">
        <v>680</v>
      </c>
      <c r="F9" s="484"/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/>
      <c r="AK9" s="971">
        <f>((SUM(F9:AJ9))/8)-(SUMIF($F$6:$AJ$6,"C.Nhật",F9:AJ9)/8)</f>
        <v>24</v>
      </c>
      <c r="AL9" s="971">
        <f>SUM(F10:AJ10)/8*1.5</f>
        <v>0</v>
      </c>
      <c r="AM9" s="973">
        <f>SUMIF($F$6:$AJ$6,"C.Nhật",$F9:$AJ10)/8*2</f>
        <v>0</v>
      </c>
      <c r="AN9" s="961">
        <f>SUM(AK9:AM10)</f>
        <v>24</v>
      </c>
      <c r="AO9" s="975">
        <v>0</v>
      </c>
      <c r="AP9" s="961"/>
      <c r="AQ9" s="961"/>
      <c r="AR9" s="961"/>
      <c r="AS9" s="96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66"/>
      <c r="B10" s="966"/>
      <c r="C10" s="968"/>
      <c r="D10" s="97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972"/>
      <c r="AL10" s="972"/>
      <c r="AM10" s="974"/>
      <c r="AN10" s="962"/>
      <c r="AO10" s="976"/>
      <c r="AP10" s="962"/>
      <c r="AQ10" s="962"/>
      <c r="AR10" s="962"/>
      <c r="AS10" s="96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65">
        <v>2</v>
      </c>
      <c r="B11" s="965" t="s">
        <v>574</v>
      </c>
      <c r="C11" s="967" t="str">
        <f>VLOOKUP(B11,DS,2,0)</f>
        <v>Huỳnh Hoàng Đạo</v>
      </c>
      <c r="D11" s="969" t="str">
        <f>VLOOKUP(B11,DS,3,0)</f>
        <v>Quản Đốc</v>
      </c>
      <c r="E11" s="483" t="s">
        <v>680</v>
      </c>
      <c r="F11" s="484"/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/>
      <c r="AK11" s="971">
        <f t="shared" ref="AK11" si="2">((SUM(F11:AJ11))/8)-(SUMIF($F$6:$AJ$6,"C.Nhật",F11:AJ11)/8)</f>
        <v>24</v>
      </c>
      <c r="AL11" s="971">
        <f t="shared" ref="AL11" si="3">SUM(F12:AJ12)/8*1.5</f>
        <v>0</v>
      </c>
      <c r="AM11" s="973">
        <f t="shared" ref="AM11:AM13" si="4">SUMIF($F$6:$AJ$6,"C.Nhật",$F11:$AJ12)/8*2</f>
        <v>0</v>
      </c>
      <c r="AN11" s="961">
        <f t="shared" ref="AN11" si="5">SUM(AK11:AM12)</f>
        <v>24</v>
      </c>
      <c r="AO11" s="975">
        <v>0</v>
      </c>
      <c r="AP11" s="961"/>
      <c r="AQ11" s="961"/>
      <c r="AR11" s="961"/>
      <c r="AS11" s="96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66"/>
      <c r="B12" s="966"/>
      <c r="C12" s="968"/>
      <c r="D12" s="97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972"/>
      <c r="AL12" s="972"/>
      <c r="AM12" s="974"/>
      <c r="AN12" s="962"/>
      <c r="AO12" s="976"/>
      <c r="AP12" s="962"/>
      <c r="AQ12" s="962"/>
      <c r="AR12" s="962"/>
      <c r="AS12" s="96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65">
        <v>3</v>
      </c>
      <c r="B13" s="965" t="s">
        <v>576</v>
      </c>
      <c r="C13" s="967" t="str">
        <f>VLOOKUP(B13,DS,2,0)</f>
        <v>Võ Ngọc Thùy Lan</v>
      </c>
      <c r="D13" s="969" t="str">
        <f>VLOOKUP(B13,DS,3,0)</f>
        <v>Kinh Doanh</v>
      </c>
      <c r="E13" s="483" t="s">
        <v>680</v>
      </c>
      <c r="F13" s="484"/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/>
      <c r="AK13" s="971">
        <f t="shared" ref="AK13" si="6">((SUM(F13:AJ13))/8)-(SUMIF($F$6:$AJ$6,"C.Nhật",F13:AJ13)/8)</f>
        <v>24</v>
      </c>
      <c r="AL13" s="971">
        <f t="shared" ref="AL13" si="7">SUM(F14:AJ14)/8*1.5</f>
        <v>0</v>
      </c>
      <c r="AM13" s="973">
        <f t="shared" si="4"/>
        <v>0</v>
      </c>
      <c r="AN13" s="961">
        <f t="shared" ref="AN13" si="8">SUM(AK13:AM14)</f>
        <v>24</v>
      </c>
      <c r="AO13" s="975">
        <v>0</v>
      </c>
      <c r="AP13" s="961"/>
      <c r="AQ13" s="961"/>
      <c r="AR13" s="961"/>
      <c r="AS13" s="96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66"/>
      <c r="B14" s="966"/>
      <c r="C14" s="968"/>
      <c r="D14" s="97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972"/>
      <c r="AL14" s="972"/>
      <c r="AM14" s="974"/>
      <c r="AN14" s="962"/>
      <c r="AO14" s="976"/>
      <c r="AP14" s="962"/>
      <c r="AQ14" s="962"/>
      <c r="AR14" s="962"/>
      <c r="AS14" s="96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965">
        <v>1</v>
      </c>
      <c r="B16" s="965" t="s">
        <v>578</v>
      </c>
      <c r="C16" s="967" t="str">
        <f>VLOOKUP(B16,DS,2,0)</f>
        <v>Nguyễn Thị Thanh Thúy</v>
      </c>
      <c r="D16" s="969" t="str">
        <f>VLOOKUP(B16,DS,3,0)</f>
        <v>Công nhân</v>
      </c>
      <c r="E16" s="483" t="s">
        <v>680</v>
      </c>
      <c r="F16" s="484"/>
      <c r="G16" s="484"/>
      <c r="H16" s="484">
        <v>8</v>
      </c>
      <c r="I16" s="484">
        <v>8</v>
      </c>
      <c r="J16" s="484">
        <v>8</v>
      </c>
      <c r="K16" s="484">
        <v>8</v>
      </c>
      <c r="L16" s="484">
        <v>8</v>
      </c>
      <c r="M16" s="484">
        <v>8</v>
      </c>
      <c r="N16" s="484"/>
      <c r="O16" s="484">
        <v>8</v>
      </c>
      <c r="P16" s="484">
        <v>8</v>
      </c>
      <c r="Q16" s="484">
        <v>8</v>
      </c>
      <c r="R16" s="484">
        <v>8</v>
      </c>
      <c r="S16" s="484">
        <v>8</v>
      </c>
      <c r="T16" s="484">
        <v>8</v>
      </c>
      <c r="U16" s="484"/>
      <c r="V16" s="484">
        <v>8</v>
      </c>
      <c r="W16" s="484">
        <v>8</v>
      </c>
      <c r="X16" s="484">
        <v>8</v>
      </c>
      <c r="Y16" s="484">
        <v>8</v>
      </c>
      <c r="Z16" s="484">
        <v>8</v>
      </c>
      <c r="AA16" s="484">
        <v>8</v>
      </c>
      <c r="AB16" s="484"/>
      <c r="AC16" s="484">
        <v>8</v>
      </c>
      <c r="AD16" s="484">
        <v>8</v>
      </c>
      <c r="AE16" s="484">
        <v>8</v>
      </c>
      <c r="AF16" s="484">
        <v>8</v>
      </c>
      <c r="AG16" s="484">
        <v>8</v>
      </c>
      <c r="AH16" s="484">
        <v>8</v>
      </c>
      <c r="AI16" s="484"/>
      <c r="AJ16" s="484"/>
      <c r="AK16" s="971">
        <f t="shared" ref="AK16" si="9">((SUM(F16:AJ16))/8)-(SUMIF($F$6:$AJ$6,"C.Nhật",F16:AJ16)/8)</f>
        <v>24</v>
      </c>
      <c r="AL16" s="971">
        <f t="shared" ref="AL16" si="10">SUM(F17:AJ17)/8*1.5</f>
        <v>0</v>
      </c>
      <c r="AM16" s="973">
        <f>SUMIF($F$6:$AJ$6,"C.Nhật",$F16:$AJ17)/8*2</f>
        <v>0</v>
      </c>
      <c r="AN16" s="961">
        <f>SUM(AK16:AM17)</f>
        <v>24</v>
      </c>
      <c r="AO16" s="975">
        <v>0</v>
      </c>
      <c r="AP16" s="961"/>
      <c r="AQ16" s="961"/>
      <c r="AR16" s="961"/>
      <c r="AS16" s="96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966"/>
      <c r="B17" s="966"/>
      <c r="C17" s="968"/>
      <c r="D17" s="970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972"/>
      <c r="AL17" s="972"/>
      <c r="AM17" s="974"/>
      <c r="AN17" s="962"/>
      <c r="AO17" s="976"/>
      <c r="AP17" s="962"/>
      <c r="AQ17" s="962"/>
      <c r="AR17" s="962"/>
      <c r="AS17" s="96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965">
        <f>A16+1</f>
        <v>2</v>
      </c>
      <c r="B18" s="965" t="s">
        <v>579</v>
      </c>
      <c r="C18" s="967" t="str">
        <f>VLOOKUP(B18,DS,2,0)</f>
        <v>Huỳnh Đoàn Viết Thanh</v>
      </c>
      <c r="D18" s="969" t="str">
        <f>VLOOKUP(B18,DS,3,0)</f>
        <v>Công nhân</v>
      </c>
      <c r="E18" s="483" t="s">
        <v>680</v>
      </c>
      <c r="F18" s="484"/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/>
      <c r="AK18" s="971">
        <f t="shared" ref="AK18" si="11">((SUM(F18:AJ18))/8)-(SUMIF($F$6:$AJ$6,"C.Nhật",F18:AJ18)/8)</f>
        <v>24</v>
      </c>
      <c r="AL18" s="971">
        <f t="shared" ref="AL18" si="12">SUM(F19:AJ19)/8*1.5</f>
        <v>0</v>
      </c>
      <c r="AM18" s="973">
        <f>SUMIF($F$6:$AJ$6,"C.Nhật",$F18:$AJ19)/8*2</f>
        <v>0</v>
      </c>
      <c r="AN18" s="961">
        <f t="shared" ref="AN18" si="13">SUM(AK18:AM19)</f>
        <v>24</v>
      </c>
      <c r="AO18" s="975">
        <v>0</v>
      </c>
      <c r="AP18" s="961"/>
      <c r="AQ18" s="961"/>
      <c r="AR18" s="961"/>
      <c r="AS18" s="96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66"/>
      <c r="B19" s="966"/>
      <c r="C19" s="968"/>
      <c r="D19" s="97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972"/>
      <c r="AL19" s="972"/>
      <c r="AM19" s="974"/>
      <c r="AN19" s="962"/>
      <c r="AO19" s="976"/>
      <c r="AP19" s="962"/>
      <c r="AQ19" s="962"/>
      <c r="AR19" s="962"/>
      <c r="AS19" s="96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65">
        <f t="shared" ref="A20" si="14">A18+1</f>
        <v>3</v>
      </c>
      <c r="B20" s="965" t="s">
        <v>580</v>
      </c>
      <c r="C20" s="967" t="str">
        <f>VLOOKUP(B20,DS,2,0)</f>
        <v>Trần Ngọc Thoại</v>
      </c>
      <c r="D20" s="969" t="str">
        <f>VLOOKUP(B20,DS,3,0)</f>
        <v>Công nhân</v>
      </c>
      <c r="E20" s="483" t="s">
        <v>680</v>
      </c>
      <c r="F20" s="484"/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/>
      <c r="AK20" s="971">
        <f t="shared" ref="AK20" si="15">((SUM(F20:AJ20))/8)-(SUMIF($F$6:$AJ$6,"C.Nhật",F20:AJ20)/8)</f>
        <v>24</v>
      </c>
      <c r="AL20" s="971">
        <f t="shared" ref="AL20" si="16">SUM(F21:AJ21)/8*1.5</f>
        <v>0</v>
      </c>
      <c r="AM20" s="973">
        <f>SUMIF($F$6:$AJ$6,"C.Nhật",$F20:$AJ21)/8*2</f>
        <v>0</v>
      </c>
      <c r="AN20" s="961">
        <f t="shared" ref="AN20" si="17">SUM(AK20:AM21)</f>
        <v>24</v>
      </c>
      <c r="AO20" s="975">
        <v>0</v>
      </c>
      <c r="AP20" s="961"/>
      <c r="AQ20" s="961"/>
      <c r="AR20" s="961"/>
      <c r="AS20" s="96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66"/>
      <c r="B21" s="966"/>
      <c r="C21" s="968"/>
      <c r="D21" s="97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972"/>
      <c r="AL21" s="972"/>
      <c r="AM21" s="974"/>
      <c r="AN21" s="962"/>
      <c r="AO21" s="976"/>
      <c r="AP21" s="962"/>
      <c r="AQ21" s="962"/>
      <c r="AR21" s="962"/>
      <c r="AS21" s="96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65">
        <f t="shared" ref="A22" si="18">A20+1</f>
        <v>4</v>
      </c>
      <c r="B22" s="965" t="s">
        <v>582</v>
      </c>
      <c r="C22" s="967" t="str">
        <f>VLOOKUP(B22,DS,2,0)</f>
        <v>Nguyễn Đức Huy</v>
      </c>
      <c r="D22" s="969" t="str">
        <f>VLOOKUP(B22,DS,3,0)</f>
        <v>Công nhân</v>
      </c>
      <c r="E22" s="483" t="s">
        <v>680</v>
      </c>
      <c r="F22" s="484"/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/>
      <c r="AK22" s="971">
        <f t="shared" ref="AK22" si="19">((SUM(F22:AJ22))/8)-(SUMIF($F$6:$AJ$6,"C.Nhật",F22:AJ22)/8)</f>
        <v>24</v>
      </c>
      <c r="AL22" s="971">
        <f t="shared" ref="AL22" si="20">SUM(F23:AJ23)/8*1.5</f>
        <v>0</v>
      </c>
      <c r="AM22" s="973">
        <f>SUMIF($F$6:$AJ$6,"C.Nhật",$F22:$AJ23)/8*2</f>
        <v>0</v>
      </c>
      <c r="AN22" s="961">
        <f t="shared" ref="AN22" si="21">SUM(AK22:AM23)</f>
        <v>24</v>
      </c>
      <c r="AO22" s="975">
        <v>0</v>
      </c>
      <c r="AP22" s="961"/>
      <c r="AQ22" s="961"/>
      <c r="AR22" s="961"/>
      <c r="AS22" s="96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66"/>
      <c r="B23" s="966"/>
      <c r="C23" s="968"/>
      <c r="D23" s="97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972"/>
      <c r="AL23" s="972"/>
      <c r="AM23" s="974"/>
      <c r="AN23" s="962"/>
      <c r="AO23" s="976"/>
      <c r="AP23" s="962"/>
      <c r="AQ23" s="962"/>
      <c r="AR23" s="962"/>
      <c r="AS23" s="96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13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I17" sqref="I17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996" t="str">
        <f>"BẢNG THANH TOÁN LƯƠNG THÁNG"&amp;" "&amp;TEXT($E$4,"mm")&amp;" / "&amp;TEXT($E$4,"yyyy")</f>
        <v>BẢNG THANH TOÁN LƯƠNG THÁNG 09 / 2012</v>
      </c>
      <c r="E1" s="996"/>
      <c r="F1" s="996"/>
      <c r="G1" s="996"/>
      <c r="H1" s="996"/>
      <c r="I1" s="996"/>
      <c r="J1" s="996"/>
      <c r="K1" s="996"/>
      <c r="L1" s="996"/>
      <c r="M1" s="996"/>
      <c r="N1" s="996"/>
      <c r="O1" s="996"/>
      <c r="P1" s="996"/>
      <c r="Q1" s="997"/>
      <c r="R1" s="998" t="s">
        <v>665</v>
      </c>
      <c r="S1" s="999"/>
      <c r="T1" s="100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-9'!$AK$9:$AK$23)</f>
        <v>24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-9'!$E$4</f>
        <v>41153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01" t="s">
        <v>34</v>
      </c>
      <c r="B5" s="1001" t="s">
        <v>693</v>
      </c>
      <c r="C5" s="951" t="s">
        <v>562</v>
      </c>
      <c r="D5" s="951" t="s">
        <v>563</v>
      </c>
      <c r="E5" s="952" t="s">
        <v>564</v>
      </c>
      <c r="F5" s="1003" t="s">
        <v>694</v>
      </c>
      <c r="G5" s="1004"/>
      <c r="H5" s="1004"/>
      <c r="I5" s="1004"/>
      <c r="J5" s="1004"/>
      <c r="K5" s="1005"/>
      <c r="L5" s="992" t="s">
        <v>571</v>
      </c>
      <c r="M5" s="992" t="s">
        <v>695</v>
      </c>
      <c r="N5" s="951" t="s">
        <v>696</v>
      </c>
      <c r="O5" s="951"/>
      <c r="P5" s="951"/>
      <c r="Q5" s="992" t="s">
        <v>697</v>
      </c>
      <c r="R5" s="992" t="s">
        <v>698</v>
      </c>
      <c r="S5" s="992" t="s">
        <v>699</v>
      </c>
      <c r="T5" s="95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02"/>
      <c r="B6" s="1002"/>
      <c r="C6" s="951"/>
      <c r="D6" s="951"/>
      <c r="E6" s="952"/>
      <c r="F6" s="1003" t="s">
        <v>701</v>
      </c>
      <c r="G6" s="1005"/>
      <c r="H6" s="1003" t="s">
        <v>702</v>
      </c>
      <c r="I6" s="1004"/>
      <c r="J6" s="990" t="s">
        <v>703</v>
      </c>
      <c r="K6" s="992" t="s">
        <v>704</v>
      </c>
      <c r="L6" s="993"/>
      <c r="M6" s="993"/>
      <c r="N6" s="994" t="s">
        <v>705</v>
      </c>
      <c r="O6" s="992" t="s">
        <v>706</v>
      </c>
      <c r="P6" s="992" t="s">
        <v>707</v>
      </c>
      <c r="Q6" s="993"/>
      <c r="R6" s="993"/>
      <c r="S6" s="993"/>
      <c r="T6" s="95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02"/>
      <c r="B7" s="1002"/>
      <c r="C7" s="992"/>
      <c r="D7" s="992"/>
      <c r="E7" s="952"/>
      <c r="F7" s="526" t="s">
        <v>708</v>
      </c>
      <c r="G7" s="527" t="s">
        <v>709</v>
      </c>
      <c r="H7" s="526" t="s">
        <v>708</v>
      </c>
      <c r="I7" s="528" t="s">
        <v>709</v>
      </c>
      <c r="J7" s="991"/>
      <c r="K7" s="993"/>
      <c r="L7" s="1006"/>
      <c r="M7" s="1006"/>
      <c r="N7" s="995"/>
      <c r="O7" s="993"/>
      <c r="P7" s="993"/>
      <c r="Q7" s="993"/>
      <c r="R7" s="993"/>
      <c r="S7" s="993"/>
      <c r="T7" s="95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" si="0">VLOOKUP(B10,DS,2,0)</f>
        <v>Nguyễn Đức Hải</v>
      </c>
      <c r="D10" s="539" t="str">
        <f t="shared" ref="D10" si="1">VLOOKUP(B10,DS,3,0)</f>
        <v>Giám Đốc</v>
      </c>
      <c r="E10" s="132">
        <f>VLOOKUP(B10,DS,4,0)</f>
        <v>2877500</v>
      </c>
      <c r="F10" s="540">
        <f>VLOOKUP(B10,'CC -9'!$B$8:$AS$23,36,0)</f>
        <v>24</v>
      </c>
      <c r="G10" s="541">
        <f t="shared" ref="G10:G11" si="2">ROUND(E10/$U$2*F10,0)</f>
        <v>2877500</v>
      </c>
      <c r="H10" s="540">
        <f>(VLOOKUP(B10,'CC -9'!$B$8:$AS$23,37,0)+VLOOKUP(B10,'CC -9'!$B$8:$AS$23,38,0))</f>
        <v>0</v>
      </c>
      <c r="I10" s="541">
        <f t="shared" ref="I10:I11" si="3">ROUND(E10/$U$2*H10,0)</f>
        <v>0</v>
      </c>
      <c r="J10" s="542">
        <f t="shared" ref="J10:K11" si="4">F10+H10</f>
        <v>24</v>
      </c>
      <c r="K10" s="543">
        <f>G10+I10</f>
        <v>2877500</v>
      </c>
      <c r="L10" s="132">
        <f>VLOOKUP(B10,DS,6,0)</f>
        <v>260000</v>
      </c>
      <c r="M10" s="544">
        <f t="shared" ref="M10:M11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1" si="6">M10-SUM(N10:P10)</f>
        <v>3137500</v>
      </c>
      <c r="R10" s="543">
        <f>VLOOKUP(B10,DS,23,0)</f>
        <v>0</v>
      </c>
      <c r="S10" s="545">
        <f t="shared" ref="S10:S11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ref="C11" si="8">VLOOKUP(B11,DS,2,0)</f>
        <v>Huỳnh Hoàng Đạo</v>
      </c>
      <c r="D11" s="539" t="str">
        <f t="shared" ref="D11" si="9">VLOOKUP(B11,DS,3,0)</f>
        <v>Quản Đốc</v>
      </c>
      <c r="E11" s="132">
        <f t="shared" ref="E11" si="10">VLOOKUP(B11,DS,4,0)</f>
        <v>2877500</v>
      </c>
      <c r="F11" s="540">
        <f>VLOOKUP(B11,'CC -9'!$B$8:$AS$23,36,0)</f>
        <v>24</v>
      </c>
      <c r="G11" s="541">
        <f t="shared" si="2"/>
        <v>2877500</v>
      </c>
      <c r="H11" s="540">
        <f>(VLOOKUP(B11,'CC -9'!$B$8:$AS$23,37,0)+VLOOKUP(B11,'CC -9'!$B$8:$AS$23,38,0))</f>
        <v>0</v>
      </c>
      <c r="I11" s="541">
        <f t="shared" si="3"/>
        <v>0</v>
      </c>
      <c r="J11" s="542">
        <f t="shared" si="4"/>
        <v>24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ref="C12" si="11">VLOOKUP(B12,DS,2,0)</f>
        <v>Võ Ngọc Thùy Lan</v>
      </c>
      <c r="D12" s="539" t="str">
        <f t="shared" ref="D12" si="12">VLOOKUP(B12,DS,3,0)</f>
        <v>Kinh Doanh</v>
      </c>
      <c r="E12" s="132">
        <f t="shared" ref="E12" si="13">VLOOKUP(B12,DS,4,0)</f>
        <v>1565000</v>
      </c>
      <c r="F12" s="540">
        <f>VLOOKUP(B12,'CC -9'!$B$8:$AS$23,36,0)</f>
        <v>24</v>
      </c>
      <c r="G12" s="541">
        <f t="shared" ref="G12" si="14">ROUND(E12/$U$2*F12,0)</f>
        <v>1565000</v>
      </c>
      <c r="H12" s="540">
        <f>(VLOOKUP(B12,'CC -9'!$B$8:$AS$23,37,0)+VLOOKUP(B12,'CC -9'!$B$8:$AS$23,38,0))</f>
        <v>0</v>
      </c>
      <c r="I12" s="541">
        <f t="shared" ref="I12" si="15">ROUND(E12/$U$2*H12,0)</f>
        <v>0</v>
      </c>
      <c r="J12" s="542">
        <f t="shared" ref="J12" si="16">F12+H12</f>
        <v>24</v>
      </c>
      <c r="K12" s="543">
        <f t="shared" ref="K12" si="17">G12+I12</f>
        <v>1565000</v>
      </c>
      <c r="L12" s="132">
        <f>VLOOKUP(B12,DS,6,0)</f>
        <v>260000</v>
      </c>
      <c r="M12" s="544">
        <f t="shared" ref="M12" si="18">K12+L12</f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ref="Q12" si="19">M12-SUM(N12:P12)</f>
        <v>1825000</v>
      </c>
      <c r="R12" s="543">
        <f>VLOOKUP(B12,DS,23,0)</f>
        <v>0</v>
      </c>
      <c r="S12" s="545">
        <f t="shared" ref="S12" si="20">Q12-R12</f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989" t="s">
        <v>38</v>
      </c>
      <c r="B14" s="989"/>
      <c r="C14" s="989"/>
      <c r="D14" s="989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21">SUM(K9:K12)</f>
        <v>7320000</v>
      </c>
      <c r="L14" s="559">
        <f t="shared" si="21"/>
        <v>780000</v>
      </c>
      <c r="M14" s="559">
        <f t="shared" si="21"/>
        <v>8100000</v>
      </c>
      <c r="N14" s="559">
        <f t="shared" si="21"/>
        <v>0</v>
      </c>
      <c r="O14" s="559">
        <f t="shared" si="21"/>
        <v>0</v>
      </c>
      <c r="P14" s="559">
        <f t="shared" si="21"/>
        <v>0</v>
      </c>
      <c r="Q14" s="559">
        <f t="shared" si="21"/>
        <v>8100000</v>
      </c>
      <c r="R14" s="559">
        <f t="shared" si="21"/>
        <v>0</v>
      </c>
      <c r="S14" s="559">
        <f t="shared" si="21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" si="22">VLOOKUP(B16,DS,2,0)</f>
        <v>Nguyễn Thị Thanh Thúy</v>
      </c>
      <c r="D16" s="539" t="str">
        <f t="shared" ref="D16" si="23">VLOOKUP(B16,DS,3,0)</f>
        <v>Công nhân</v>
      </c>
      <c r="E16" s="132">
        <f t="shared" ref="E16" si="24">VLOOKUP(B16,DS,4,0)</f>
        <v>1365000</v>
      </c>
      <c r="F16" s="540">
        <f>VLOOKUP(B16,'CC -9'!$B$8:$AS$23,36,0)</f>
        <v>24</v>
      </c>
      <c r="G16" s="541">
        <f t="shared" ref="G16:G17" si="25">ROUND(E16/$U$2*F16,0)</f>
        <v>1365000</v>
      </c>
      <c r="H16" s="540">
        <f>(VLOOKUP(B16,'CC -9'!$B$8:$AS$23,37,0)+VLOOKUP(B16,'CC -9'!$B$8:$AS$23,38,0))</f>
        <v>0</v>
      </c>
      <c r="I16" s="541">
        <f t="shared" ref="I16:I17" si="26">ROUND(E16/$U$2*H16,0)</f>
        <v>0</v>
      </c>
      <c r="J16" s="563">
        <f t="shared" ref="J16:K17" si="27">F16+H16</f>
        <v>24</v>
      </c>
      <c r="K16" s="543">
        <f t="shared" si="27"/>
        <v>1365000</v>
      </c>
      <c r="L16" s="132">
        <f>VLOOKUP(B16,DS,6,0)</f>
        <v>260000</v>
      </c>
      <c r="M16" s="544">
        <f t="shared" ref="M16:M17" si="28">K16+L16</f>
        <v>1625000</v>
      </c>
      <c r="N16" s="544">
        <f>IF(VLOOKUP(B16,DS,9,0)="x",'L - 9'!E16*$N$4,0)</f>
        <v>0</v>
      </c>
      <c r="O16" s="544">
        <f t="shared" ref="O16" si="29">IF(VLOOKUP(B16,DS,9,0)="x",E16*0.015,0)</f>
        <v>0</v>
      </c>
      <c r="P16" s="544">
        <f t="shared" ref="P16" si="30">IF(VLOOKUP(B16,DS,9,0)="x",E16*0.01,0)</f>
        <v>0</v>
      </c>
      <c r="Q16" s="543">
        <f>M16-SUM(N16:P16)</f>
        <v>1625000</v>
      </c>
      <c r="R16" s="543">
        <f t="shared" ref="R16" si="31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ref="C17" si="32">VLOOKUP(B17,DS,2,0)</f>
        <v>Huỳnh Đoàn Viết Thanh</v>
      </c>
      <c r="D17" s="539" t="str">
        <f t="shared" ref="D17" si="33">VLOOKUP(B17,DS,3,0)</f>
        <v>Công nhân</v>
      </c>
      <c r="E17" s="132">
        <f t="shared" ref="E17" si="34">VLOOKUP(B17,DS,4,0)</f>
        <v>1275000</v>
      </c>
      <c r="F17" s="540">
        <f>VLOOKUP(B17,'CC -9'!$B$8:$AS$23,36,0)</f>
        <v>24</v>
      </c>
      <c r="G17" s="541">
        <f t="shared" si="25"/>
        <v>1275000</v>
      </c>
      <c r="H17" s="540">
        <f>(VLOOKUP(B17,'CC -9'!$B$8:$AS$23,37,0)+VLOOKUP(B17,'CC -9'!$B$8:$AS$23,38,0))</f>
        <v>0</v>
      </c>
      <c r="I17" s="541">
        <f t="shared" si="26"/>
        <v>0</v>
      </c>
      <c r="J17" s="563">
        <f t="shared" si="27"/>
        <v>24</v>
      </c>
      <c r="K17" s="543">
        <f t="shared" si="27"/>
        <v>1275000</v>
      </c>
      <c r="L17" s="132">
        <f>VLOOKUP(B17,DS,6,0)</f>
        <v>260000</v>
      </c>
      <c r="M17" s="544">
        <f t="shared" si="28"/>
        <v>1535000</v>
      </c>
      <c r="N17" s="544">
        <f>IF(VLOOKUP(B17,DS,9,0)="x",'L - 9'!E17*$N$4,0)</f>
        <v>0</v>
      </c>
      <c r="O17" s="544">
        <f t="shared" ref="O17" si="35">IF(VLOOKUP(B17,DS,9,0)="x",E17*0.015,0)</f>
        <v>0</v>
      </c>
      <c r="P17" s="544">
        <f t="shared" ref="P17" si="36">IF(VLOOKUP(B17,DS,9,0)="x",E17*0.01,0)</f>
        <v>0</v>
      </c>
      <c r="Q17" s="543">
        <f t="shared" ref="Q17" si="37">M17-SUM(N17:P17)</f>
        <v>1535000</v>
      </c>
      <c r="R17" s="543">
        <f t="shared" ref="R17" si="38">VLOOKUP(B17,DS,23,0)</f>
        <v>0</v>
      </c>
      <c r="S17" s="545">
        <f t="shared" ref="S17" si="39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ref="C18:C19" si="40">VLOOKUP(B18,DS,2,0)</f>
        <v>Trần Ngọc Thoại</v>
      </c>
      <c r="D18" s="539" t="str">
        <f t="shared" ref="D18:D19" si="41">VLOOKUP(B18,DS,3,0)</f>
        <v>Công nhân</v>
      </c>
      <c r="E18" s="132">
        <f t="shared" ref="E18:E19" si="42">VLOOKUP(B18,DS,4,0)</f>
        <v>990000</v>
      </c>
      <c r="F18" s="540">
        <f>VLOOKUP(B18,'CC -9'!$B$8:$AS$23,36,0)</f>
        <v>24</v>
      </c>
      <c r="G18" s="541">
        <f t="shared" ref="G18:G19" si="43">ROUND(E18/$U$2*F18,0)</f>
        <v>990000</v>
      </c>
      <c r="H18" s="540">
        <f>(VLOOKUP(B18,'CC -9'!$B$8:$AS$23,37,0)+VLOOKUP(B18,'CC -9'!$B$8:$AS$23,38,0))</f>
        <v>0</v>
      </c>
      <c r="I18" s="541">
        <f t="shared" ref="I18:I19" si="44">ROUND(E18/$U$2*H18,0)</f>
        <v>0</v>
      </c>
      <c r="J18" s="563">
        <f t="shared" ref="J18:J19" si="45">F18+H18</f>
        <v>24</v>
      </c>
      <c r="K18" s="543">
        <f t="shared" ref="K18:K19" si="46">G18+I18</f>
        <v>990000</v>
      </c>
      <c r="L18" s="132">
        <f>VLOOKUP(B18,DS,6,0)</f>
        <v>260000</v>
      </c>
      <c r="M18" s="544">
        <f t="shared" ref="M18:M19" si="47">K18+L18</f>
        <v>1250000</v>
      </c>
      <c r="N18" s="544">
        <f>IF(VLOOKUP(B18,DS,9,0)="x",'L - 9'!E18*$N$4,0)</f>
        <v>0</v>
      </c>
      <c r="O18" s="544">
        <f t="shared" ref="O18:O19" si="48">IF(VLOOKUP(B18,DS,9,0)="x",E18*0.015,0)</f>
        <v>0</v>
      </c>
      <c r="P18" s="544">
        <f t="shared" ref="P18:P19" si="49">IF(VLOOKUP(B18,DS,9,0)="x",E18*0.01,0)</f>
        <v>0</v>
      </c>
      <c r="Q18" s="543">
        <f t="shared" ref="Q18:Q19" si="50">M18-SUM(N18:P18)</f>
        <v>1250000</v>
      </c>
      <c r="R18" s="543">
        <f t="shared" ref="R18:R19" si="51">VLOOKUP(B18,DS,23,0)</f>
        <v>0</v>
      </c>
      <c r="S18" s="545">
        <f t="shared" ref="S18:S19" si="52">Q18-R18</f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40"/>
        <v>Nguyễn Đức Huy</v>
      </c>
      <c r="D19" s="539" t="str">
        <f t="shared" si="41"/>
        <v>Công nhân</v>
      </c>
      <c r="E19" s="132">
        <f t="shared" si="42"/>
        <v>1015000</v>
      </c>
      <c r="F19" s="540">
        <f>VLOOKUP(B19,'CC -9'!$B$8:$AS$23,36,0)</f>
        <v>24</v>
      </c>
      <c r="G19" s="541">
        <f t="shared" si="43"/>
        <v>1015000</v>
      </c>
      <c r="H19" s="540">
        <f>(VLOOKUP(B19,'CC -9'!$B$8:$AS$23,37,0)+VLOOKUP(B19,'CC -9'!$B$8:$AS$23,38,0))</f>
        <v>0</v>
      </c>
      <c r="I19" s="541">
        <f t="shared" si="44"/>
        <v>0</v>
      </c>
      <c r="J19" s="563">
        <f t="shared" si="45"/>
        <v>24</v>
      </c>
      <c r="K19" s="543">
        <f t="shared" si="46"/>
        <v>1015000</v>
      </c>
      <c r="L19" s="132">
        <f>VLOOKUP(B19,DS,6,0)</f>
        <v>260000</v>
      </c>
      <c r="M19" s="544">
        <f t="shared" si="47"/>
        <v>1275000</v>
      </c>
      <c r="N19" s="544">
        <f>IF(VLOOKUP(B19,DS,9,0)="x",'L - 9'!E19*$N$4,0)</f>
        <v>0</v>
      </c>
      <c r="O19" s="544">
        <f t="shared" si="48"/>
        <v>0</v>
      </c>
      <c r="P19" s="544">
        <f t="shared" si="49"/>
        <v>0</v>
      </c>
      <c r="Q19" s="543">
        <f t="shared" si="50"/>
        <v>1275000</v>
      </c>
      <c r="R19" s="543">
        <f t="shared" si="51"/>
        <v>0</v>
      </c>
      <c r="S19" s="545">
        <f t="shared" si="52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989" t="s">
        <v>38</v>
      </c>
      <c r="B21" s="989"/>
      <c r="C21" s="989"/>
      <c r="D21" s="989"/>
      <c r="E21" s="559">
        <f>SUM(E15:E20)</f>
        <v>4645000</v>
      </c>
      <c r="F21" s="559"/>
      <c r="G21" s="559">
        <f t="shared" ref="G21:S21" si="53">SUM(G15:G20)</f>
        <v>4645000</v>
      </c>
      <c r="H21" s="559"/>
      <c r="I21" s="559">
        <f t="shared" si="53"/>
        <v>0</v>
      </c>
      <c r="J21" s="559"/>
      <c r="K21" s="559">
        <f t="shared" si="53"/>
        <v>4645000</v>
      </c>
      <c r="L21" s="559">
        <f t="shared" si="53"/>
        <v>1040000</v>
      </c>
      <c r="M21" s="559">
        <f t="shared" si="53"/>
        <v>5685000</v>
      </c>
      <c r="N21" s="559">
        <f t="shared" si="53"/>
        <v>0</v>
      </c>
      <c r="O21" s="559">
        <f t="shared" si="53"/>
        <v>0</v>
      </c>
      <c r="P21" s="559">
        <f t="shared" si="53"/>
        <v>0</v>
      </c>
      <c r="Q21" s="559">
        <f t="shared" si="53"/>
        <v>5685000</v>
      </c>
      <c r="R21" s="559">
        <f t="shared" si="53"/>
        <v>0</v>
      </c>
      <c r="S21" s="559">
        <f t="shared" si="53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10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78" t="s">
        <v>665</v>
      </c>
      <c r="AN1" s="979"/>
      <c r="AO1" s="979"/>
      <c r="AP1" s="979"/>
      <c r="AQ1" s="979"/>
      <c r="AR1" s="979"/>
      <c r="AS1" s="98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41183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81" t="s">
        <v>666</v>
      </c>
      <c r="B5" s="981" t="s">
        <v>561</v>
      </c>
      <c r="C5" s="981" t="s">
        <v>562</v>
      </c>
      <c r="D5" s="983" t="s">
        <v>667</v>
      </c>
      <c r="E5" s="981" t="s">
        <v>668</v>
      </c>
      <c r="F5" s="470">
        <f>+E4</f>
        <v>41183</v>
      </c>
      <c r="G5" s="470">
        <f t="shared" ref="G5:AJ5" si="0">F5+1</f>
        <v>41184</v>
      </c>
      <c r="H5" s="470">
        <f t="shared" si="0"/>
        <v>41185</v>
      </c>
      <c r="I5" s="470">
        <f t="shared" si="0"/>
        <v>41186</v>
      </c>
      <c r="J5" s="470">
        <f t="shared" si="0"/>
        <v>41187</v>
      </c>
      <c r="K5" s="470">
        <f t="shared" si="0"/>
        <v>41188</v>
      </c>
      <c r="L5" s="470">
        <f t="shared" si="0"/>
        <v>41189</v>
      </c>
      <c r="M5" s="470">
        <f t="shared" si="0"/>
        <v>41190</v>
      </c>
      <c r="N5" s="470">
        <f t="shared" si="0"/>
        <v>41191</v>
      </c>
      <c r="O5" s="470">
        <f t="shared" si="0"/>
        <v>41192</v>
      </c>
      <c r="P5" s="470">
        <f t="shared" si="0"/>
        <v>41193</v>
      </c>
      <c r="Q5" s="470">
        <f t="shared" si="0"/>
        <v>41194</v>
      </c>
      <c r="R5" s="470">
        <f t="shared" si="0"/>
        <v>41195</v>
      </c>
      <c r="S5" s="470">
        <f t="shared" si="0"/>
        <v>41196</v>
      </c>
      <c r="T5" s="470">
        <f t="shared" si="0"/>
        <v>41197</v>
      </c>
      <c r="U5" s="470">
        <f t="shared" si="0"/>
        <v>41198</v>
      </c>
      <c r="V5" s="470">
        <f t="shared" si="0"/>
        <v>41199</v>
      </c>
      <c r="W5" s="470">
        <f t="shared" si="0"/>
        <v>41200</v>
      </c>
      <c r="X5" s="470">
        <f t="shared" si="0"/>
        <v>41201</v>
      </c>
      <c r="Y5" s="470">
        <f t="shared" si="0"/>
        <v>41202</v>
      </c>
      <c r="Z5" s="470">
        <f t="shared" si="0"/>
        <v>41203</v>
      </c>
      <c r="AA5" s="470">
        <f t="shared" si="0"/>
        <v>41204</v>
      </c>
      <c r="AB5" s="470">
        <f t="shared" si="0"/>
        <v>41205</v>
      </c>
      <c r="AC5" s="470">
        <f t="shared" si="0"/>
        <v>41206</v>
      </c>
      <c r="AD5" s="470">
        <f t="shared" si="0"/>
        <v>41207</v>
      </c>
      <c r="AE5" s="470">
        <f t="shared" si="0"/>
        <v>41208</v>
      </c>
      <c r="AF5" s="470">
        <f t="shared" si="0"/>
        <v>41209</v>
      </c>
      <c r="AG5" s="470">
        <f t="shared" si="0"/>
        <v>41210</v>
      </c>
      <c r="AH5" s="470">
        <f>AG5+1</f>
        <v>41211</v>
      </c>
      <c r="AI5" s="470">
        <f t="shared" si="0"/>
        <v>41212</v>
      </c>
      <c r="AJ5" s="470">
        <f t="shared" si="0"/>
        <v>41213</v>
      </c>
      <c r="AK5" s="984" t="s">
        <v>669</v>
      </c>
      <c r="AL5" s="985"/>
      <c r="AM5" s="986"/>
      <c r="AN5" s="987" t="s">
        <v>670</v>
      </c>
      <c r="AO5" s="987" t="s">
        <v>671</v>
      </c>
      <c r="AP5" s="987" t="s">
        <v>672</v>
      </c>
      <c r="AQ5" s="987" t="s">
        <v>673</v>
      </c>
      <c r="AR5" s="987" t="s">
        <v>674</v>
      </c>
      <c r="AS5" s="983" t="s">
        <v>122</v>
      </c>
      <c r="AT5" s="97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82"/>
      <c r="B6" s="982"/>
      <c r="C6" s="982"/>
      <c r="D6" s="982"/>
      <c r="E6" s="982"/>
      <c r="F6" s="472" t="str">
        <f>CHOOSE(WEEKDAY(F5),"C.Nhật","T.Hai","T.Ba","T.Tư","T.Năm","T.Sáu","T.Bảy")</f>
        <v>T.Hai</v>
      </c>
      <c r="G6" s="472" t="str">
        <f t="shared" ref="G6:AJ6" si="1">CHOOSE(WEEKDAY(G5),"C.Nhật","T.Hai","T.Ba","T.Tư","T.Năm","T.Sáu","T.Bảy")</f>
        <v>T.Ba</v>
      </c>
      <c r="H6" s="472" t="str">
        <f t="shared" si="1"/>
        <v>T.Tư</v>
      </c>
      <c r="I6" s="472" t="str">
        <f t="shared" si="1"/>
        <v>T.Năm</v>
      </c>
      <c r="J6" s="472" t="str">
        <f t="shared" si="1"/>
        <v>T.Sáu</v>
      </c>
      <c r="K6" s="472" t="str">
        <f t="shared" si="1"/>
        <v>T.Bảy</v>
      </c>
      <c r="L6" s="472" t="str">
        <f t="shared" si="1"/>
        <v>C.Nhật</v>
      </c>
      <c r="M6" s="472" t="str">
        <f t="shared" si="1"/>
        <v>T.Hai</v>
      </c>
      <c r="N6" s="472" t="str">
        <f t="shared" si="1"/>
        <v>T.Ba</v>
      </c>
      <c r="O6" s="472" t="str">
        <f t="shared" si="1"/>
        <v>T.Tư</v>
      </c>
      <c r="P6" s="472" t="str">
        <f t="shared" si="1"/>
        <v>T.Năm</v>
      </c>
      <c r="Q6" s="472" t="str">
        <f t="shared" si="1"/>
        <v>T.Sáu</v>
      </c>
      <c r="R6" s="472" t="str">
        <f t="shared" si="1"/>
        <v>T.Bảy</v>
      </c>
      <c r="S6" s="472" t="str">
        <f t="shared" si="1"/>
        <v>C.Nhật</v>
      </c>
      <c r="T6" s="472" t="str">
        <f t="shared" si="1"/>
        <v>T.Hai</v>
      </c>
      <c r="U6" s="472" t="str">
        <f t="shared" si="1"/>
        <v>T.Ba</v>
      </c>
      <c r="V6" s="472" t="str">
        <f t="shared" si="1"/>
        <v>T.Tư</v>
      </c>
      <c r="W6" s="472" t="str">
        <f t="shared" si="1"/>
        <v>T.Năm</v>
      </c>
      <c r="X6" s="472" t="str">
        <f t="shared" si="1"/>
        <v>T.Sáu</v>
      </c>
      <c r="Y6" s="472" t="str">
        <f t="shared" si="1"/>
        <v>T.Bảy</v>
      </c>
      <c r="Z6" s="472" t="str">
        <f t="shared" si="1"/>
        <v>C.Nhật</v>
      </c>
      <c r="AA6" s="472" t="str">
        <f t="shared" si="1"/>
        <v>T.Hai</v>
      </c>
      <c r="AB6" s="472" t="str">
        <f t="shared" si="1"/>
        <v>T.Ba</v>
      </c>
      <c r="AC6" s="472" t="str">
        <f t="shared" si="1"/>
        <v>T.Tư</v>
      </c>
      <c r="AD6" s="472" t="str">
        <f t="shared" si="1"/>
        <v>T.Năm</v>
      </c>
      <c r="AE6" s="472" t="str">
        <f t="shared" si="1"/>
        <v>T.Sáu</v>
      </c>
      <c r="AF6" s="472" t="str">
        <f t="shared" si="1"/>
        <v>T.Bảy</v>
      </c>
      <c r="AG6" s="472" t="str">
        <f t="shared" si="1"/>
        <v>C.Nhật</v>
      </c>
      <c r="AH6" s="472" t="str">
        <f t="shared" si="1"/>
        <v>T.Hai</v>
      </c>
      <c r="AI6" s="472" t="str">
        <f t="shared" si="1"/>
        <v>T.Ba</v>
      </c>
      <c r="AJ6" s="472" t="str">
        <f t="shared" si="1"/>
        <v>T.Tư</v>
      </c>
      <c r="AK6" s="473" t="s">
        <v>675</v>
      </c>
      <c r="AL6" s="473" t="s">
        <v>676</v>
      </c>
      <c r="AM6" s="474" t="s">
        <v>677</v>
      </c>
      <c r="AN6" s="988"/>
      <c r="AO6" s="988"/>
      <c r="AP6" s="988"/>
      <c r="AQ6" s="988"/>
      <c r="AR6" s="988"/>
      <c r="AS6" s="982"/>
      <c r="AT6" s="97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65">
        <v>1</v>
      </c>
      <c r="B9" s="965" t="s">
        <v>573</v>
      </c>
      <c r="C9" s="967" t="str">
        <f>VLOOKUP(B9,DS,2,0)</f>
        <v>Nguyễn Đức Hải</v>
      </c>
      <c r="D9" s="969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>
        <v>8</v>
      </c>
      <c r="J9" s="484">
        <v>8</v>
      </c>
      <c r="K9" s="484">
        <v>8</v>
      </c>
      <c r="L9" s="484"/>
      <c r="M9" s="484">
        <v>8</v>
      </c>
      <c r="N9" s="484">
        <v>8</v>
      </c>
      <c r="O9" s="484">
        <v>8</v>
      </c>
      <c r="P9" s="484">
        <v>8</v>
      </c>
      <c r="Q9" s="484">
        <v>8</v>
      </c>
      <c r="R9" s="484">
        <v>8</v>
      </c>
      <c r="S9" s="484"/>
      <c r="T9" s="484">
        <v>8</v>
      </c>
      <c r="U9" s="484">
        <v>8</v>
      </c>
      <c r="V9" s="484">
        <v>8</v>
      </c>
      <c r="W9" s="484">
        <v>8</v>
      </c>
      <c r="X9" s="484">
        <v>8</v>
      </c>
      <c r="Y9" s="484">
        <v>8</v>
      </c>
      <c r="Z9" s="484"/>
      <c r="AA9" s="484">
        <v>8</v>
      </c>
      <c r="AB9" s="484">
        <v>8</v>
      </c>
      <c r="AC9" s="484">
        <v>8</v>
      </c>
      <c r="AD9" s="484">
        <v>8</v>
      </c>
      <c r="AE9" s="484">
        <v>8</v>
      </c>
      <c r="AF9" s="484">
        <v>8</v>
      </c>
      <c r="AG9" s="484"/>
      <c r="AH9" s="484">
        <v>8</v>
      </c>
      <c r="AI9" s="484">
        <v>8</v>
      </c>
      <c r="AJ9" s="484">
        <v>8</v>
      </c>
      <c r="AK9" s="971">
        <f>((SUM(F9:AJ9))/8)-(SUMIF($F$6:$AJ$6,"C.Nhật",F9:AJ9)/8)</f>
        <v>27</v>
      </c>
      <c r="AL9" s="971">
        <f>SUM(F10:AJ10)/8*1.5</f>
        <v>0</v>
      </c>
      <c r="AM9" s="973">
        <f>SUMIF($F$6:$AJ$6,"C.Nhật",$F9:$AJ10)/8*2</f>
        <v>0</v>
      </c>
      <c r="AN9" s="961">
        <f>SUM(AK9:AM10)</f>
        <v>27</v>
      </c>
      <c r="AO9" s="975">
        <v>0</v>
      </c>
      <c r="AP9" s="961"/>
      <c r="AQ9" s="961"/>
      <c r="AR9" s="961"/>
      <c r="AS9" s="96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66"/>
      <c r="B10" s="966"/>
      <c r="C10" s="968"/>
      <c r="D10" s="97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972"/>
      <c r="AL10" s="972"/>
      <c r="AM10" s="974"/>
      <c r="AN10" s="962"/>
      <c r="AO10" s="976"/>
      <c r="AP10" s="962"/>
      <c r="AQ10" s="962"/>
      <c r="AR10" s="962"/>
      <c r="AS10" s="96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65">
        <v>2</v>
      </c>
      <c r="B11" s="965" t="s">
        <v>574</v>
      </c>
      <c r="C11" s="967" t="str">
        <f>VLOOKUP(B11,DS,2,0)</f>
        <v>Huỳnh Hoàng Đạo</v>
      </c>
      <c r="D11" s="969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>
        <v>8</v>
      </c>
      <c r="J11" s="484">
        <v>8</v>
      </c>
      <c r="K11" s="484">
        <v>8</v>
      </c>
      <c r="L11" s="484"/>
      <c r="M11" s="484">
        <v>8</v>
      </c>
      <c r="N11" s="484">
        <v>8</v>
      </c>
      <c r="O11" s="484">
        <v>8</v>
      </c>
      <c r="P11" s="484">
        <v>8</v>
      </c>
      <c r="Q11" s="484">
        <v>8</v>
      </c>
      <c r="R11" s="484">
        <v>8</v>
      </c>
      <c r="S11" s="484"/>
      <c r="T11" s="484">
        <v>8</v>
      </c>
      <c r="U11" s="484">
        <v>8</v>
      </c>
      <c r="V11" s="484">
        <v>8</v>
      </c>
      <c r="W11" s="484">
        <v>8</v>
      </c>
      <c r="X11" s="484">
        <v>8</v>
      </c>
      <c r="Y11" s="484">
        <v>8</v>
      </c>
      <c r="Z11" s="484"/>
      <c r="AA11" s="484">
        <v>8</v>
      </c>
      <c r="AB11" s="484">
        <v>8</v>
      </c>
      <c r="AC11" s="484">
        <v>8</v>
      </c>
      <c r="AD11" s="484">
        <v>8</v>
      </c>
      <c r="AE11" s="484">
        <v>8</v>
      </c>
      <c r="AF11" s="484">
        <v>8</v>
      </c>
      <c r="AG11" s="484"/>
      <c r="AH11" s="484">
        <v>8</v>
      </c>
      <c r="AI11" s="484">
        <v>8</v>
      </c>
      <c r="AJ11" s="484">
        <v>8</v>
      </c>
      <c r="AK11" s="971">
        <f t="shared" ref="AK11" si="2">((SUM(F11:AJ11))/8)-(SUMIF($F$6:$AJ$6,"C.Nhật",F11:AJ11)/8)</f>
        <v>27</v>
      </c>
      <c r="AL11" s="971">
        <f t="shared" ref="AL11" si="3">SUM(F12:AJ12)/8*1.5</f>
        <v>0</v>
      </c>
      <c r="AM11" s="973">
        <f t="shared" ref="AM11:AM13" si="4">SUMIF($F$6:$AJ$6,"C.Nhật",$F11:$AJ12)/8*2</f>
        <v>0</v>
      </c>
      <c r="AN11" s="961">
        <f t="shared" ref="AN11" si="5">SUM(AK11:AM12)</f>
        <v>27</v>
      </c>
      <c r="AO11" s="975">
        <v>0</v>
      </c>
      <c r="AP11" s="961"/>
      <c r="AQ11" s="961"/>
      <c r="AR11" s="961"/>
      <c r="AS11" s="96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66"/>
      <c r="B12" s="966"/>
      <c r="C12" s="968"/>
      <c r="D12" s="97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972"/>
      <c r="AL12" s="972"/>
      <c r="AM12" s="974"/>
      <c r="AN12" s="962"/>
      <c r="AO12" s="976"/>
      <c r="AP12" s="962"/>
      <c r="AQ12" s="962"/>
      <c r="AR12" s="962"/>
      <c r="AS12" s="96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65">
        <v>3</v>
      </c>
      <c r="B13" s="965" t="s">
        <v>576</v>
      </c>
      <c r="C13" s="967" t="str">
        <f>VLOOKUP(B13,DS,2,0)</f>
        <v>Võ Ngọc Thùy Lan</v>
      </c>
      <c r="D13" s="969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>
        <v>8</v>
      </c>
      <c r="J13" s="484">
        <v>8</v>
      </c>
      <c r="K13" s="484">
        <v>8</v>
      </c>
      <c r="L13" s="484"/>
      <c r="M13" s="484">
        <v>8</v>
      </c>
      <c r="N13" s="484">
        <v>8</v>
      </c>
      <c r="O13" s="484">
        <v>8</v>
      </c>
      <c r="P13" s="484">
        <v>8</v>
      </c>
      <c r="Q13" s="484">
        <v>8</v>
      </c>
      <c r="R13" s="484">
        <v>8</v>
      </c>
      <c r="S13" s="484"/>
      <c r="T13" s="484">
        <v>8</v>
      </c>
      <c r="U13" s="484">
        <v>8</v>
      </c>
      <c r="V13" s="484">
        <v>8</v>
      </c>
      <c r="W13" s="484">
        <v>8</v>
      </c>
      <c r="X13" s="484">
        <v>8</v>
      </c>
      <c r="Y13" s="484">
        <v>8</v>
      </c>
      <c r="Z13" s="484"/>
      <c r="AA13" s="484">
        <v>8</v>
      </c>
      <c r="AB13" s="484">
        <v>8</v>
      </c>
      <c r="AC13" s="484">
        <v>8</v>
      </c>
      <c r="AD13" s="484">
        <v>8</v>
      </c>
      <c r="AE13" s="484">
        <v>8</v>
      </c>
      <c r="AF13" s="484">
        <v>8</v>
      </c>
      <c r="AG13" s="484"/>
      <c r="AH13" s="484">
        <v>8</v>
      </c>
      <c r="AI13" s="484">
        <v>8</v>
      </c>
      <c r="AJ13" s="484">
        <v>8</v>
      </c>
      <c r="AK13" s="971">
        <f t="shared" ref="AK13" si="6">((SUM(F13:AJ13))/8)-(SUMIF($F$6:$AJ$6,"C.Nhật",F13:AJ13)/8)</f>
        <v>27</v>
      </c>
      <c r="AL13" s="971">
        <f t="shared" ref="AL13" si="7">SUM(F14:AJ14)/8*1.5</f>
        <v>0</v>
      </c>
      <c r="AM13" s="973">
        <f t="shared" si="4"/>
        <v>0</v>
      </c>
      <c r="AN13" s="961">
        <f t="shared" ref="AN13" si="8">SUM(AK13:AM14)</f>
        <v>27</v>
      </c>
      <c r="AO13" s="975">
        <v>0</v>
      </c>
      <c r="AP13" s="961"/>
      <c r="AQ13" s="961"/>
      <c r="AR13" s="961"/>
      <c r="AS13" s="96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66"/>
      <c r="B14" s="966"/>
      <c r="C14" s="968"/>
      <c r="D14" s="97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972"/>
      <c r="AL14" s="972"/>
      <c r="AM14" s="974"/>
      <c r="AN14" s="962"/>
      <c r="AO14" s="976"/>
      <c r="AP14" s="962"/>
      <c r="AQ14" s="962"/>
      <c r="AR14" s="962"/>
      <c r="AS14" s="96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965">
        <v>1</v>
      </c>
      <c r="B16" s="965" t="s">
        <v>578</v>
      </c>
      <c r="C16" s="967" t="str">
        <f>VLOOKUP(B16,DS,2,0)</f>
        <v>Nguyễn Thị Thanh Thúy</v>
      </c>
      <c r="D16" s="969" t="str">
        <f>VLOOKUP(B16,DS,3,0)</f>
        <v>Công nhân</v>
      </c>
      <c r="E16" s="483" t="s">
        <v>680</v>
      </c>
      <c r="F16" s="484">
        <v>8</v>
      </c>
      <c r="G16" s="484">
        <v>8</v>
      </c>
      <c r="H16" s="484">
        <v>8</v>
      </c>
      <c r="I16" s="484">
        <v>8</v>
      </c>
      <c r="J16" s="484">
        <v>8</v>
      </c>
      <c r="K16" s="484">
        <v>8</v>
      </c>
      <c r="L16" s="484"/>
      <c r="M16" s="484">
        <v>8</v>
      </c>
      <c r="N16" s="484">
        <v>8</v>
      </c>
      <c r="O16" s="484">
        <v>8</v>
      </c>
      <c r="P16" s="484">
        <v>8</v>
      </c>
      <c r="Q16" s="484">
        <v>8</v>
      </c>
      <c r="R16" s="484">
        <v>8</v>
      </c>
      <c r="S16" s="484"/>
      <c r="T16" s="484">
        <v>8</v>
      </c>
      <c r="U16" s="484">
        <v>8</v>
      </c>
      <c r="V16" s="484">
        <v>8</v>
      </c>
      <c r="W16" s="484">
        <v>8</v>
      </c>
      <c r="X16" s="484">
        <v>8</v>
      </c>
      <c r="Y16" s="484">
        <v>8</v>
      </c>
      <c r="Z16" s="484"/>
      <c r="AA16" s="484">
        <v>8</v>
      </c>
      <c r="AB16" s="484">
        <v>8</v>
      </c>
      <c r="AC16" s="484">
        <v>8</v>
      </c>
      <c r="AD16" s="484">
        <v>8</v>
      </c>
      <c r="AE16" s="484">
        <v>8</v>
      </c>
      <c r="AF16" s="484">
        <v>8</v>
      </c>
      <c r="AG16" s="484"/>
      <c r="AH16" s="484">
        <v>8</v>
      </c>
      <c r="AI16" s="484">
        <v>8</v>
      </c>
      <c r="AJ16" s="484">
        <v>8</v>
      </c>
      <c r="AK16" s="971">
        <f t="shared" ref="AK16" si="9">((SUM(F16:AJ16))/8)-(SUMIF($F$6:$AJ$6,"C.Nhật",F16:AJ16)/8)</f>
        <v>27</v>
      </c>
      <c r="AL16" s="971">
        <f t="shared" ref="AL16" si="10">SUM(F17:AJ17)/8*1.5</f>
        <v>0</v>
      </c>
      <c r="AM16" s="973">
        <f>SUMIF($F$6:$AJ$6,"C.Nhật",$F16:$AJ17)/8*2</f>
        <v>0</v>
      </c>
      <c r="AN16" s="961">
        <f>SUM(AK16:AM17)</f>
        <v>27</v>
      </c>
      <c r="AO16" s="975">
        <v>0</v>
      </c>
      <c r="AP16" s="961"/>
      <c r="AQ16" s="961"/>
      <c r="AR16" s="961"/>
      <c r="AS16" s="96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966"/>
      <c r="B17" s="966"/>
      <c r="C17" s="968"/>
      <c r="D17" s="970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972"/>
      <c r="AL17" s="972"/>
      <c r="AM17" s="974"/>
      <c r="AN17" s="962"/>
      <c r="AO17" s="976"/>
      <c r="AP17" s="962"/>
      <c r="AQ17" s="962"/>
      <c r="AR17" s="962"/>
      <c r="AS17" s="96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965">
        <f>A16+1</f>
        <v>2</v>
      </c>
      <c r="B18" s="965" t="s">
        <v>579</v>
      </c>
      <c r="C18" s="967" t="str">
        <f>VLOOKUP(B18,DS,2,0)</f>
        <v>Huỳnh Đoàn Viết Thanh</v>
      </c>
      <c r="D18" s="969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>
        <v>8</v>
      </c>
      <c r="J18" s="484">
        <v>8</v>
      </c>
      <c r="K18" s="484">
        <v>8</v>
      </c>
      <c r="L18" s="484"/>
      <c r="M18" s="484">
        <v>8</v>
      </c>
      <c r="N18" s="484">
        <v>8</v>
      </c>
      <c r="O18" s="484">
        <v>8</v>
      </c>
      <c r="P18" s="484">
        <v>8</v>
      </c>
      <c r="Q18" s="484">
        <v>8</v>
      </c>
      <c r="R18" s="484">
        <v>8</v>
      </c>
      <c r="S18" s="484"/>
      <c r="T18" s="484">
        <v>8</v>
      </c>
      <c r="U18" s="484">
        <v>8</v>
      </c>
      <c r="V18" s="484">
        <v>8</v>
      </c>
      <c r="W18" s="484">
        <v>8</v>
      </c>
      <c r="X18" s="484">
        <v>8</v>
      </c>
      <c r="Y18" s="484">
        <v>8</v>
      </c>
      <c r="Z18" s="484"/>
      <c r="AA18" s="484">
        <v>8</v>
      </c>
      <c r="AB18" s="484">
        <v>8</v>
      </c>
      <c r="AC18" s="484">
        <v>8</v>
      </c>
      <c r="AD18" s="484">
        <v>8</v>
      </c>
      <c r="AE18" s="484">
        <v>8</v>
      </c>
      <c r="AF18" s="484">
        <v>8</v>
      </c>
      <c r="AG18" s="484"/>
      <c r="AH18" s="484">
        <v>8</v>
      </c>
      <c r="AI18" s="484">
        <v>8</v>
      </c>
      <c r="AJ18" s="484">
        <v>8</v>
      </c>
      <c r="AK18" s="971">
        <f t="shared" ref="AK18" si="11">((SUM(F18:AJ18))/8)-(SUMIF($F$6:$AJ$6,"C.Nhật",F18:AJ18)/8)</f>
        <v>27</v>
      </c>
      <c r="AL18" s="971">
        <f t="shared" ref="AL18" si="12">SUM(F19:AJ19)/8*1.5</f>
        <v>0</v>
      </c>
      <c r="AM18" s="973">
        <f>SUMIF($F$6:$AJ$6,"C.Nhật",$F18:$AJ19)/8*2</f>
        <v>0</v>
      </c>
      <c r="AN18" s="961">
        <f t="shared" ref="AN18" si="13">SUM(AK18:AM19)</f>
        <v>27</v>
      </c>
      <c r="AO18" s="975">
        <v>0</v>
      </c>
      <c r="AP18" s="961"/>
      <c r="AQ18" s="961"/>
      <c r="AR18" s="961"/>
      <c r="AS18" s="96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66"/>
      <c r="B19" s="966"/>
      <c r="C19" s="968"/>
      <c r="D19" s="97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972"/>
      <c r="AL19" s="972"/>
      <c r="AM19" s="974"/>
      <c r="AN19" s="962"/>
      <c r="AO19" s="976"/>
      <c r="AP19" s="962"/>
      <c r="AQ19" s="962"/>
      <c r="AR19" s="962"/>
      <c r="AS19" s="96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65">
        <f t="shared" ref="A20" si="14">A18+1</f>
        <v>3</v>
      </c>
      <c r="B20" s="965" t="s">
        <v>580</v>
      </c>
      <c r="C20" s="967" t="str">
        <f>VLOOKUP(B20,DS,2,0)</f>
        <v>Trần Ngọc Thoại</v>
      </c>
      <c r="D20" s="969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>
        <v>8</v>
      </c>
      <c r="J20" s="484">
        <v>8</v>
      </c>
      <c r="K20" s="484">
        <v>8</v>
      </c>
      <c r="L20" s="484"/>
      <c r="M20" s="484">
        <v>8</v>
      </c>
      <c r="N20" s="484">
        <v>8</v>
      </c>
      <c r="O20" s="484">
        <v>8</v>
      </c>
      <c r="P20" s="484">
        <v>8</v>
      </c>
      <c r="Q20" s="484">
        <v>8</v>
      </c>
      <c r="R20" s="484">
        <v>8</v>
      </c>
      <c r="S20" s="484"/>
      <c r="T20" s="484">
        <v>8</v>
      </c>
      <c r="U20" s="484">
        <v>8</v>
      </c>
      <c r="V20" s="484">
        <v>8</v>
      </c>
      <c r="W20" s="484">
        <v>8</v>
      </c>
      <c r="X20" s="484">
        <v>8</v>
      </c>
      <c r="Y20" s="484">
        <v>8</v>
      </c>
      <c r="Z20" s="484"/>
      <c r="AA20" s="484">
        <v>8</v>
      </c>
      <c r="AB20" s="484">
        <v>8</v>
      </c>
      <c r="AC20" s="484">
        <v>8</v>
      </c>
      <c r="AD20" s="484">
        <v>8</v>
      </c>
      <c r="AE20" s="484">
        <v>8</v>
      </c>
      <c r="AF20" s="484">
        <v>8</v>
      </c>
      <c r="AG20" s="484"/>
      <c r="AH20" s="484">
        <v>8</v>
      </c>
      <c r="AI20" s="484">
        <v>8</v>
      </c>
      <c r="AJ20" s="484">
        <v>8</v>
      </c>
      <c r="AK20" s="971">
        <f t="shared" ref="AK20" si="15">((SUM(F20:AJ20))/8)-(SUMIF($F$6:$AJ$6,"C.Nhật",F20:AJ20)/8)</f>
        <v>27</v>
      </c>
      <c r="AL20" s="971">
        <f t="shared" ref="AL20" si="16">SUM(F21:AJ21)/8*1.5</f>
        <v>0</v>
      </c>
      <c r="AM20" s="973">
        <f>SUMIF($F$6:$AJ$6,"C.Nhật",$F20:$AJ21)/8*2</f>
        <v>0</v>
      </c>
      <c r="AN20" s="961">
        <f t="shared" ref="AN20" si="17">SUM(AK20:AM21)</f>
        <v>27</v>
      </c>
      <c r="AO20" s="975">
        <v>0</v>
      </c>
      <c r="AP20" s="961"/>
      <c r="AQ20" s="961"/>
      <c r="AR20" s="961"/>
      <c r="AS20" s="96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66"/>
      <c r="B21" s="966"/>
      <c r="C21" s="968"/>
      <c r="D21" s="97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972"/>
      <c r="AL21" s="972"/>
      <c r="AM21" s="974"/>
      <c r="AN21" s="962"/>
      <c r="AO21" s="976"/>
      <c r="AP21" s="962"/>
      <c r="AQ21" s="962"/>
      <c r="AR21" s="962"/>
      <c r="AS21" s="96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65">
        <f t="shared" ref="A22" si="18">A20+1</f>
        <v>4</v>
      </c>
      <c r="B22" s="965" t="s">
        <v>582</v>
      </c>
      <c r="C22" s="967" t="str">
        <f>VLOOKUP(B22,DS,2,0)</f>
        <v>Nguyễn Đức Huy</v>
      </c>
      <c r="D22" s="969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>
        <v>8</v>
      </c>
      <c r="J22" s="484">
        <v>8</v>
      </c>
      <c r="K22" s="484">
        <v>8</v>
      </c>
      <c r="L22" s="484"/>
      <c r="M22" s="484">
        <v>8</v>
      </c>
      <c r="N22" s="484">
        <v>8</v>
      </c>
      <c r="O22" s="484">
        <v>8</v>
      </c>
      <c r="P22" s="484">
        <v>8</v>
      </c>
      <c r="Q22" s="484">
        <v>8</v>
      </c>
      <c r="R22" s="484">
        <v>8</v>
      </c>
      <c r="S22" s="484"/>
      <c r="T22" s="484">
        <v>8</v>
      </c>
      <c r="U22" s="484">
        <v>8</v>
      </c>
      <c r="V22" s="484">
        <v>8</v>
      </c>
      <c r="W22" s="484">
        <v>8</v>
      </c>
      <c r="X22" s="484">
        <v>8</v>
      </c>
      <c r="Y22" s="484">
        <v>8</v>
      </c>
      <c r="Z22" s="484"/>
      <c r="AA22" s="484">
        <v>8</v>
      </c>
      <c r="AB22" s="484">
        <v>8</v>
      </c>
      <c r="AC22" s="484">
        <v>8</v>
      </c>
      <c r="AD22" s="484">
        <v>8</v>
      </c>
      <c r="AE22" s="484">
        <v>8</v>
      </c>
      <c r="AF22" s="484">
        <v>8</v>
      </c>
      <c r="AG22" s="484"/>
      <c r="AH22" s="484">
        <v>8</v>
      </c>
      <c r="AI22" s="484">
        <v>8</v>
      </c>
      <c r="AJ22" s="484">
        <v>8</v>
      </c>
      <c r="AK22" s="971">
        <f t="shared" ref="AK22" si="19">((SUM(F22:AJ22))/8)-(SUMIF($F$6:$AJ$6,"C.Nhật",F22:AJ22)/8)</f>
        <v>27</v>
      </c>
      <c r="AL22" s="971">
        <f t="shared" ref="AL22" si="20">SUM(F23:AJ23)/8*1.5</f>
        <v>0</v>
      </c>
      <c r="AM22" s="973">
        <f>SUMIF($F$6:$AJ$6,"C.Nhật",$F22:$AJ23)/8*2</f>
        <v>0</v>
      </c>
      <c r="AN22" s="961">
        <f t="shared" ref="AN22" si="21">SUM(AK22:AM23)</f>
        <v>27</v>
      </c>
      <c r="AO22" s="975">
        <v>0</v>
      </c>
      <c r="AP22" s="961"/>
      <c r="AQ22" s="961"/>
      <c r="AR22" s="961"/>
      <c r="AS22" s="96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66"/>
      <c r="B23" s="966"/>
      <c r="C23" s="968"/>
      <c r="D23" s="97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972"/>
      <c r="AL23" s="972"/>
      <c r="AM23" s="974"/>
      <c r="AN23" s="962"/>
      <c r="AO23" s="976"/>
      <c r="AP23" s="962"/>
      <c r="AQ23" s="962"/>
      <c r="AR23" s="962"/>
      <c r="AS23" s="96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R18:AR19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24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G18" sqref="G18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996" t="str">
        <f>"BẢNG THANH TOÁN LƯƠNG THÁNG"&amp;" "&amp;TEXT($E$4,"mm")&amp;" / "&amp;TEXT($E$4,"yyyy")</f>
        <v>BẢNG THANH TOÁN LƯƠNG THÁNG 10 / 2012</v>
      </c>
      <c r="E1" s="996"/>
      <c r="F1" s="996"/>
      <c r="G1" s="996"/>
      <c r="H1" s="996"/>
      <c r="I1" s="996"/>
      <c r="J1" s="996"/>
      <c r="K1" s="996"/>
      <c r="L1" s="996"/>
      <c r="M1" s="996"/>
      <c r="N1" s="996"/>
      <c r="O1" s="996"/>
      <c r="P1" s="996"/>
      <c r="Q1" s="997"/>
      <c r="R1" s="998" t="s">
        <v>665</v>
      </c>
      <c r="S1" s="999"/>
      <c r="T1" s="100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-10'!$AK$9:$AK$23)</f>
        <v>27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-10'!$E$4</f>
        <v>41183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01" t="s">
        <v>34</v>
      </c>
      <c r="B5" s="1001" t="s">
        <v>693</v>
      </c>
      <c r="C5" s="951" t="s">
        <v>562</v>
      </c>
      <c r="D5" s="951" t="s">
        <v>563</v>
      </c>
      <c r="E5" s="952" t="s">
        <v>564</v>
      </c>
      <c r="F5" s="1003" t="s">
        <v>694</v>
      </c>
      <c r="G5" s="1004"/>
      <c r="H5" s="1004"/>
      <c r="I5" s="1004"/>
      <c r="J5" s="1004"/>
      <c r="K5" s="1005"/>
      <c r="L5" s="992" t="s">
        <v>571</v>
      </c>
      <c r="M5" s="992" t="s">
        <v>695</v>
      </c>
      <c r="N5" s="951" t="s">
        <v>696</v>
      </c>
      <c r="O5" s="951"/>
      <c r="P5" s="951"/>
      <c r="Q5" s="992" t="s">
        <v>697</v>
      </c>
      <c r="R5" s="992" t="s">
        <v>698</v>
      </c>
      <c r="S5" s="992" t="s">
        <v>699</v>
      </c>
      <c r="T5" s="95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02"/>
      <c r="B6" s="1002"/>
      <c r="C6" s="951"/>
      <c r="D6" s="951"/>
      <c r="E6" s="952"/>
      <c r="F6" s="1003" t="s">
        <v>701</v>
      </c>
      <c r="G6" s="1005"/>
      <c r="H6" s="1003" t="s">
        <v>702</v>
      </c>
      <c r="I6" s="1004"/>
      <c r="J6" s="990" t="s">
        <v>703</v>
      </c>
      <c r="K6" s="992" t="s">
        <v>704</v>
      </c>
      <c r="L6" s="993"/>
      <c r="M6" s="993"/>
      <c r="N6" s="994" t="s">
        <v>705</v>
      </c>
      <c r="O6" s="992" t="s">
        <v>706</v>
      </c>
      <c r="P6" s="992" t="s">
        <v>707</v>
      </c>
      <c r="Q6" s="993"/>
      <c r="R6" s="993"/>
      <c r="S6" s="993"/>
      <c r="T6" s="95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02"/>
      <c r="B7" s="1002"/>
      <c r="C7" s="992"/>
      <c r="D7" s="992"/>
      <c r="E7" s="952"/>
      <c r="F7" s="526" t="s">
        <v>708</v>
      </c>
      <c r="G7" s="527" t="s">
        <v>709</v>
      </c>
      <c r="H7" s="526" t="s">
        <v>708</v>
      </c>
      <c r="I7" s="528" t="s">
        <v>709</v>
      </c>
      <c r="J7" s="991"/>
      <c r="K7" s="993"/>
      <c r="L7" s="1006"/>
      <c r="M7" s="1006"/>
      <c r="N7" s="995"/>
      <c r="O7" s="993"/>
      <c r="P7" s="993"/>
      <c r="Q7" s="993"/>
      <c r="R7" s="993"/>
      <c r="S7" s="993"/>
      <c r="T7" s="95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2" si="0">VLOOKUP(B10,DS,2,0)</f>
        <v>Nguyễn Đức Hải</v>
      </c>
      <c r="D10" s="539" t="str">
        <f t="shared" ref="D10:D12" si="1">VLOOKUP(B10,DS,3,0)</f>
        <v>Giám Đốc</v>
      </c>
      <c r="E10" s="132">
        <f>VLOOKUP(B10,DS,4,0)</f>
        <v>2877500</v>
      </c>
      <c r="F10" s="540">
        <f>VLOOKUP(B10,'CC -10'!$B$8:$AS$23,36,0)</f>
        <v>27</v>
      </c>
      <c r="G10" s="541">
        <f t="shared" ref="G10:G12" si="2">ROUND(E10/$U$2*F10,0)</f>
        <v>2877500</v>
      </c>
      <c r="H10" s="540">
        <f>(VLOOKUP(B10,'CC -10'!$B$8:$AS$23,37,0)+VLOOKUP(B10,'CC -10'!$B$8:$AS$23,38,0))</f>
        <v>0</v>
      </c>
      <c r="I10" s="541">
        <f t="shared" ref="I10:I12" si="3">ROUND(E10/$U$2*H10,0)</f>
        <v>0</v>
      </c>
      <c r="J10" s="542">
        <f t="shared" ref="J10:K12" si="4">F10+H10</f>
        <v>27</v>
      </c>
      <c r="K10" s="543">
        <f>G10+I10</f>
        <v>2877500</v>
      </c>
      <c r="L10" s="132">
        <f>VLOOKUP(B10,DS,6,0)</f>
        <v>260000</v>
      </c>
      <c r="M10" s="544">
        <f t="shared" ref="M10:M12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2" si="6">M10-SUM(N10:P10)</f>
        <v>3137500</v>
      </c>
      <c r="R10" s="543">
        <f>VLOOKUP(B10,DS,23,0)</f>
        <v>0</v>
      </c>
      <c r="S10" s="545">
        <f t="shared" ref="S10:S12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2" si="8">VLOOKUP(B11,DS,4,0)</f>
        <v>2877500</v>
      </c>
      <c r="F11" s="540">
        <f>VLOOKUP(B11,'CC -10'!$B$8:$AS$23,36,0)</f>
        <v>27</v>
      </c>
      <c r="G11" s="541">
        <f t="shared" si="2"/>
        <v>2877500</v>
      </c>
      <c r="H11" s="540">
        <f>(VLOOKUP(B11,'CC -10'!$B$8:$AS$23,37,0)+VLOOKUP(B11,'CC -10'!$B$8:$AS$23,38,0))</f>
        <v>0</v>
      </c>
      <c r="I11" s="541">
        <f t="shared" si="3"/>
        <v>0</v>
      </c>
      <c r="J11" s="542">
        <f t="shared" si="4"/>
        <v>27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-10'!$B$8:$AS$23,36,0)</f>
        <v>27</v>
      </c>
      <c r="G12" s="541">
        <f t="shared" si="2"/>
        <v>1565000</v>
      </c>
      <c r="H12" s="540">
        <f>(VLOOKUP(B12,'CC -10'!$B$8:$AS$23,37,0)+VLOOKUP(B12,'CC -10'!$B$8:$AS$23,38,0))</f>
        <v>0</v>
      </c>
      <c r="I12" s="541">
        <f t="shared" si="3"/>
        <v>0</v>
      </c>
      <c r="J12" s="542">
        <f t="shared" si="4"/>
        <v>27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989" t="s">
        <v>38</v>
      </c>
      <c r="B14" s="989"/>
      <c r="C14" s="989"/>
      <c r="D14" s="989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9">SUM(K9:K12)</f>
        <v>7320000</v>
      </c>
      <c r="L14" s="559">
        <f t="shared" si="9"/>
        <v>780000</v>
      </c>
      <c r="M14" s="559">
        <f t="shared" si="9"/>
        <v>8100000</v>
      </c>
      <c r="N14" s="559">
        <f t="shared" si="9"/>
        <v>0</v>
      </c>
      <c r="O14" s="559">
        <f t="shared" si="9"/>
        <v>0</v>
      </c>
      <c r="P14" s="559">
        <f t="shared" si="9"/>
        <v>0</v>
      </c>
      <c r="Q14" s="559">
        <f t="shared" si="9"/>
        <v>8100000</v>
      </c>
      <c r="R14" s="559">
        <f t="shared" si="9"/>
        <v>0</v>
      </c>
      <c r="S14" s="559">
        <f t="shared" si="9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:C19" si="10">VLOOKUP(B16,DS,2,0)</f>
        <v>Nguyễn Thị Thanh Thúy</v>
      </c>
      <c r="D16" s="539" t="str">
        <f t="shared" ref="D16:D19" si="11">VLOOKUP(B16,DS,3,0)</f>
        <v>Công nhân</v>
      </c>
      <c r="E16" s="132">
        <f t="shared" ref="E16:E19" si="12">VLOOKUP(B16,DS,4,0)</f>
        <v>1365000</v>
      </c>
      <c r="F16" s="540">
        <f>VLOOKUP(B16,'CC -10'!$B$8:$AS$23,36,0)</f>
        <v>27</v>
      </c>
      <c r="G16" s="541">
        <f t="shared" ref="G16:G19" si="13">ROUND(E16/$U$2*F16,0)</f>
        <v>1365000</v>
      </c>
      <c r="H16" s="540">
        <f>(VLOOKUP(B16,'CC -10'!$B$8:$AS$23,37,0)+VLOOKUP(B16,'CC -10'!$B$8:$AS$23,38,0))</f>
        <v>0</v>
      </c>
      <c r="I16" s="541">
        <f t="shared" ref="I16:I19" si="14">ROUND(E16/$U$2*H16,0)</f>
        <v>0</v>
      </c>
      <c r="J16" s="563">
        <f t="shared" ref="J16:K19" si="15">F16+H16</f>
        <v>27</v>
      </c>
      <c r="K16" s="543">
        <f t="shared" si="15"/>
        <v>1365000</v>
      </c>
      <c r="L16" s="132">
        <f>VLOOKUP(B16,DS,6,0)</f>
        <v>260000</v>
      </c>
      <c r="M16" s="544">
        <f t="shared" ref="M16:M19" si="16">K16+L16</f>
        <v>1625000</v>
      </c>
      <c r="N16" s="544">
        <f>IF(VLOOKUP(B16,DS,9,0)="x",'L - 10'!E16*$N$4,0)</f>
        <v>0</v>
      </c>
      <c r="O16" s="544">
        <f t="shared" ref="O16:O19" si="17">IF(VLOOKUP(B16,DS,9,0)="x",E16*0.015,0)</f>
        <v>0</v>
      </c>
      <c r="P16" s="544">
        <f t="shared" ref="P16:P19" si="18">IF(VLOOKUP(B16,DS,9,0)="x",E16*0.01,0)</f>
        <v>0</v>
      </c>
      <c r="Q16" s="543">
        <f>M16-SUM(N16:P16)</f>
        <v>1625000</v>
      </c>
      <c r="R16" s="543">
        <f t="shared" ref="R16:R19" si="19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si="10"/>
        <v>Huỳnh Đoàn Viết Thanh</v>
      </c>
      <c r="D17" s="539" t="str">
        <f t="shared" si="11"/>
        <v>Công nhân</v>
      </c>
      <c r="E17" s="132">
        <f t="shared" si="12"/>
        <v>1275000</v>
      </c>
      <c r="F17" s="540">
        <f>VLOOKUP(B17,'CC -10'!$B$8:$AS$23,36,0)</f>
        <v>27</v>
      </c>
      <c r="G17" s="541">
        <f t="shared" si="13"/>
        <v>1275000</v>
      </c>
      <c r="H17" s="540">
        <f>(VLOOKUP(B17,'CC -10'!$B$8:$AS$23,37,0)+VLOOKUP(B17,'CC -10'!$B$8:$AS$23,38,0))</f>
        <v>0</v>
      </c>
      <c r="I17" s="541">
        <f t="shared" si="14"/>
        <v>0</v>
      </c>
      <c r="J17" s="563">
        <f t="shared" si="15"/>
        <v>27</v>
      </c>
      <c r="K17" s="543">
        <f t="shared" si="15"/>
        <v>1275000</v>
      </c>
      <c r="L17" s="132">
        <f>VLOOKUP(B17,DS,6,0)</f>
        <v>260000</v>
      </c>
      <c r="M17" s="544">
        <f t="shared" si="16"/>
        <v>1535000</v>
      </c>
      <c r="N17" s="544">
        <f>IF(VLOOKUP(B17,DS,9,0)="x",'L - 10'!E17*$N$4,0)</f>
        <v>0</v>
      </c>
      <c r="O17" s="544">
        <f t="shared" si="17"/>
        <v>0</v>
      </c>
      <c r="P17" s="544">
        <f t="shared" si="18"/>
        <v>0</v>
      </c>
      <c r="Q17" s="543">
        <f t="shared" ref="Q17:Q19" si="20">M17-SUM(N17:P17)</f>
        <v>1535000</v>
      </c>
      <c r="R17" s="543">
        <f t="shared" si="19"/>
        <v>0</v>
      </c>
      <c r="S17" s="545">
        <f t="shared" ref="S17:S19" si="21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si="10"/>
        <v>Trần Ngọc Thoại</v>
      </c>
      <c r="D18" s="539" t="str">
        <f t="shared" si="11"/>
        <v>Công nhân</v>
      </c>
      <c r="E18" s="132">
        <f t="shared" si="12"/>
        <v>990000</v>
      </c>
      <c r="F18" s="540">
        <f>VLOOKUP(B18,'CC -10'!$B$8:$AS$23,36,0)</f>
        <v>27</v>
      </c>
      <c r="G18" s="541">
        <f t="shared" si="13"/>
        <v>990000</v>
      </c>
      <c r="H18" s="540">
        <f>(VLOOKUP(B18,'CC -10'!$B$8:$AS$23,37,0)+VLOOKUP(B18,'CC -10'!$B$8:$AS$23,38,0))</f>
        <v>0</v>
      </c>
      <c r="I18" s="541">
        <f t="shared" si="14"/>
        <v>0</v>
      </c>
      <c r="J18" s="563">
        <f t="shared" si="15"/>
        <v>27</v>
      </c>
      <c r="K18" s="543">
        <f t="shared" si="15"/>
        <v>990000</v>
      </c>
      <c r="L18" s="132">
        <f>VLOOKUP(B18,DS,6,0)</f>
        <v>260000</v>
      </c>
      <c r="M18" s="544">
        <f t="shared" si="16"/>
        <v>1250000</v>
      </c>
      <c r="N18" s="544">
        <f>IF(VLOOKUP(B18,DS,9,0)="x",'L - 10'!E18*$N$4,0)</f>
        <v>0</v>
      </c>
      <c r="O18" s="544">
        <f t="shared" si="17"/>
        <v>0</v>
      </c>
      <c r="P18" s="544">
        <f t="shared" si="18"/>
        <v>0</v>
      </c>
      <c r="Q18" s="543">
        <f t="shared" si="20"/>
        <v>1250000</v>
      </c>
      <c r="R18" s="543">
        <f t="shared" si="19"/>
        <v>0</v>
      </c>
      <c r="S18" s="545">
        <f t="shared" si="21"/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10"/>
        <v>Nguyễn Đức Huy</v>
      </c>
      <c r="D19" s="539" t="str">
        <f t="shared" si="11"/>
        <v>Công nhân</v>
      </c>
      <c r="E19" s="132">
        <f t="shared" si="12"/>
        <v>1015000</v>
      </c>
      <c r="F19" s="540">
        <f>VLOOKUP(B19,'CC -10'!$B$8:$AS$23,36,0)</f>
        <v>27</v>
      </c>
      <c r="G19" s="541">
        <f t="shared" si="13"/>
        <v>1015000</v>
      </c>
      <c r="H19" s="540">
        <f>(VLOOKUP(B19,'CC -10'!$B$8:$AS$23,37,0)+VLOOKUP(B19,'CC -10'!$B$8:$AS$23,38,0))</f>
        <v>0</v>
      </c>
      <c r="I19" s="541">
        <f t="shared" si="14"/>
        <v>0</v>
      </c>
      <c r="J19" s="563">
        <f t="shared" si="15"/>
        <v>27</v>
      </c>
      <c r="K19" s="543">
        <f t="shared" si="15"/>
        <v>1015000</v>
      </c>
      <c r="L19" s="132">
        <f>VLOOKUP(B19,DS,6,0)</f>
        <v>260000</v>
      </c>
      <c r="M19" s="544">
        <f t="shared" si="16"/>
        <v>1275000</v>
      </c>
      <c r="N19" s="544">
        <f>IF(VLOOKUP(B19,DS,9,0)="x",'L - 10'!E19*$N$4,0)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1275000</v>
      </c>
      <c r="R19" s="543">
        <f t="shared" si="19"/>
        <v>0</v>
      </c>
      <c r="S19" s="545">
        <f t="shared" si="21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989" t="s">
        <v>38</v>
      </c>
      <c r="B21" s="989"/>
      <c r="C21" s="989"/>
      <c r="D21" s="989"/>
      <c r="E21" s="559">
        <f>SUM(E15:E20)</f>
        <v>4645000</v>
      </c>
      <c r="F21" s="559"/>
      <c r="G21" s="559">
        <f t="shared" ref="G21:S21" si="22">SUM(G15:G20)</f>
        <v>4645000</v>
      </c>
      <c r="H21" s="559"/>
      <c r="I21" s="559">
        <f t="shared" si="22"/>
        <v>0</v>
      </c>
      <c r="J21" s="559"/>
      <c r="K21" s="559">
        <f t="shared" si="22"/>
        <v>4645000</v>
      </c>
      <c r="L21" s="559">
        <f t="shared" si="22"/>
        <v>1040000</v>
      </c>
      <c r="M21" s="559">
        <f t="shared" si="22"/>
        <v>5685000</v>
      </c>
      <c r="N21" s="559">
        <f t="shared" si="22"/>
        <v>0</v>
      </c>
      <c r="O21" s="559">
        <f t="shared" si="22"/>
        <v>0</v>
      </c>
      <c r="P21" s="559">
        <f t="shared" si="22"/>
        <v>0</v>
      </c>
      <c r="Q21" s="559">
        <f t="shared" si="22"/>
        <v>5685000</v>
      </c>
      <c r="R21" s="559">
        <f t="shared" si="22"/>
        <v>0</v>
      </c>
      <c r="S21" s="559">
        <f t="shared" si="22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11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78" t="s">
        <v>665</v>
      </c>
      <c r="AN1" s="979"/>
      <c r="AO1" s="979"/>
      <c r="AP1" s="979"/>
      <c r="AQ1" s="979"/>
      <c r="AR1" s="979"/>
      <c r="AS1" s="98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41214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81" t="s">
        <v>666</v>
      </c>
      <c r="B5" s="981" t="s">
        <v>561</v>
      </c>
      <c r="C5" s="981" t="s">
        <v>562</v>
      </c>
      <c r="D5" s="983" t="s">
        <v>667</v>
      </c>
      <c r="E5" s="981" t="s">
        <v>668</v>
      </c>
      <c r="F5" s="470">
        <f>+E4</f>
        <v>41214</v>
      </c>
      <c r="G5" s="470">
        <f t="shared" ref="G5:AJ5" si="0">F5+1</f>
        <v>41215</v>
      </c>
      <c r="H5" s="470">
        <f t="shared" si="0"/>
        <v>41216</v>
      </c>
      <c r="I5" s="470">
        <f t="shared" si="0"/>
        <v>41217</v>
      </c>
      <c r="J5" s="470">
        <f t="shared" si="0"/>
        <v>41218</v>
      </c>
      <c r="K5" s="470">
        <f t="shared" si="0"/>
        <v>41219</v>
      </c>
      <c r="L5" s="470">
        <f t="shared" si="0"/>
        <v>41220</v>
      </c>
      <c r="M5" s="470">
        <f t="shared" si="0"/>
        <v>41221</v>
      </c>
      <c r="N5" s="470">
        <f t="shared" si="0"/>
        <v>41222</v>
      </c>
      <c r="O5" s="470">
        <f t="shared" si="0"/>
        <v>41223</v>
      </c>
      <c r="P5" s="470">
        <f t="shared" si="0"/>
        <v>41224</v>
      </c>
      <c r="Q5" s="470">
        <f t="shared" si="0"/>
        <v>41225</v>
      </c>
      <c r="R5" s="470">
        <f t="shared" si="0"/>
        <v>41226</v>
      </c>
      <c r="S5" s="470">
        <f t="shared" si="0"/>
        <v>41227</v>
      </c>
      <c r="T5" s="470">
        <f t="shared" si="0"/>
        <v>41228</v>
      </c>
      <c r="U5" s="470">
        <f t="shared" si="0"/>
        <v>41229</v>
      </c>
      <c r="V5" s="470">
        <f t="shared" si="0"/>
        <v>41230</v>
      </c>
      <c r="W5" s="470">
        <f t="shared" si="0"/>
        <v>41231</v>
      </c>
      <c r="X5" s="470">
        <f t="shared" si="0"/>
        <v>41232</v>
      </c>
      <c r="Y5" s="470">
        <f t="shared" si="0"/>
        <v>41233</v>
      </c>
      <c r="Z5" s="470">
        <f t="shared" si="0"/>
        <v>41234</v>
      </c>
      <c r="AA5" s="470">
        <f t="shared" si="0"/>
        <v>41235</v>
      </c>
      <c r="AB5" s="470">
        <f t="shared" si="0"/>
        <v>41236</v>
      </c>
      <c r="AC5" s="470">
        <f t="shared" si="0"/>
        <v>41237</v>
      </c>
      <c r="AD5" s="470">
        <f t="shared" si="0"/>
        <v>41238</v>
      </c>
      <c r="AE5" s="470">
        <f t="shared" si="0"/>
        <v>41239</v>
      </c>
      <c r="AF5" s="470">
        <f t="shared" si="0"/>
        <v>41240</v>
      </c>
      <c r="AG5" s="470">
        <f t="shared" si="0"/>
        <v>41241</v>
      </c>
      <c r="AH5" s="470">
        <f>AG5+1</f>
        <v>41242</v>
      </c>
      <c r="AI5" s="470">
        <f t="shared" si="0"/>
        <v>41243</v>
      </c>
      <c r="AJ5" s="470">
        <f t="shared" si="0"/>
        <v>41244</v>
      </c>
      <c r="AK5" s="984" t="s">
        <v>669</v>
      </c>
      <c r="AL5" s="985"/>
      <c r="AM5" s="986"/>
      <c r="AN5" s="987" t="s">
        <v>670</v>
      </c>
      <c r="AO5" s="987" t="s">
        <v>671</v>
      </c>
      <c r="AP5" s="987" t="s">
        <v>672</v>
      </c>
      <c r="AQ5" s="987" t="s">
        <v>673</v>
      </c>
      <c r="AR5" s="987" t="s">
        <v>674</v>
      </c>
      <c r="AS5" s="983" t="s">
        <v>122</v>
      </c>
      <c r="AT5" s="97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82"/>
      <c r="B6" s="982"/>
      <c r="C6" s="982"/>
      <c r="D6" s="982"/>
      <c r="E6" s="982"/>
      <c r="F6" s="472" t="str">
        <f>CHOOSE(WEEKDAY(F5),"C.Nhật","T.Hai","T.Ba","T.Tư","T.Năm","T.Sáu","T.Bảy")</f>
        <v>T.Năm</v>
      </c>
      <c r="G6" s="472" t="str">
        <f t="shared" ref="G6:AJ6" si="1">CHOOSE(WEEKDAY(G5),"C.Nhật","T.Hai","T.Ba","T.Tư","T.Năm","T.Sáu","T.Bảy")</f>
        <v>T.Sáu</v>
      </c>
      <c r="H6" s="472" t="str">
        <f t="shared" si="1"/>
        <v>T.Bảy</v>
      </c>
      <c r="I6" s="472" t="str">
        <f t="shared" si="1"/>
        <v>C.Nhật</v>
      </c>
      <c r="J6" s="472" t="str">
        <f t="shared" si="1"/>
        <v>T.Hai</v>
      </c>
      <c r="K6" s="472" t="str">
        <f t="shared" si="1"/>
        <v>T.Ba</v>
      </c>
      <c r="L6" s="472" t="str">
        <f t="shared" si="1"/>
        <v>T.Tư</v>
      </c>
      <c r="M6" s="472" t="str">
        <f t="shared" si="1"/>
        <v>T.Năm</v>
      </c>
      <c r="N6" s="472" t="str">
        <f t="shared" si="1"/>
        <v>T.Sáu</v>
      </c>
      <c r="O6" s="472" t="str">
        <f t="shared" si="1"/>
        <v>T.Bảy</v>
      </c>
      <c r="P6" s="472" t="str">
        <f t="shared" si="1"/>
        <v>C.Nhật</v>
      </c>
      <c r="Q6" s="472" t="str">
        <f t="shared" si="1"/>
        <v>T.Hai</v>
      </c>
      <c r="R6" s="472" t="str">
        <f t="shared" si="1"/>
        <v>T.Ba</v>
      </c>
      <c r="S6" s="472" t="str">
        <f t="shared" si="1"/>
        <v>T.Tư</v>
      </c>
      <c r="T6" s="472" t="str">
        <f t="shared" si="1"/>
        <v>T.Năm</v>
      </c>
      <c r="U6" s="472" t="str">
        <f t="shared" si="1"/>
        <v>T.Sáu</v>
      </c>
      <c r="V6" s="472" t="str">
        <f t="shared" si="1"/>
        <v>T.Bảy</v>
      </c>
      <c r="W6" s="472" t="str">
        <f t="shared" si="1"/>
        <v>C.Nhật</v>
      </c>
      <c r="X6" s="472" t="str">
        <f t="shared" si="1"/>
        <v>T.Hai</v>
      </c>
      <c r="Y6" s="472" t="str">
        <f t="shared" si="1"/>
        <v>T.Ba</v>
      </c>
      <c r="Z6" s="472" t="str">
        <f t="shared" si="1"/>
        <v>T.Tư</v>
      </c>
      <c r="AA6" s="472" t="str">
        <f t="shared" si="1"/>
        <v>T.Năm</v>
      </c>
      <c r="AB6" s="472" t="str">
        <f t="shared" si="1"/>
        <v>T.Sáu</v>
      </c>
      <c r="AC6" s="472" t="str">
        <f t="shared" si="1"/>
        <v>T.Bảy</v>
      </c>
      <c r="AD6" s="472" t="str">
        <f t="shared" si="1"/>
        <v>C.Nhật</v>
      </c>
      <c r="AE6" s="472" t="str">
        <f t="shared" si="1"/>
        <v>T.Hai</v>
      </c>
      <c r="AF6" s="472" t="str">
        <f t="shared" si="1"/>
        <v>T.Ba</v>
      </c>
      <c r="AG6" s="472" t="str">
        <f t="shared" si="1"/>
        <v>T.Tư</v>
      </c>
      <c r="AH6" s="472" t="str">
        <f t="shared" si="1"/>
        <v>T.Năm</v>
      </c>
      <c r="AI6" s="472" t="str">
        <f t="shared" si="1"/>
        <v>T.Sáu</v>
      </c>
      <c r="AJ6" s="472" t="str">
        <f t="shared" si="1"/>
        <v>T.Bảy</v>
      </c>
      <c r="AK6" s="473" t="s">
        <v>675</v>
      </c>
      <c r="AL6" s="473" t="s">
        <v>676</v>
      </c>
      <c r="AM6" s="474" t="s">
        <v>677</v>
      </c>
      <c r="AN6" s="988"/>
      <c r="AO6" s="988"/>
      <c r="AP6" s="988"/>
      <c r="AQ6" s="988"/>
      <c r="AR6" s="988"/>
      <c r="AS6" s="982"/>
      <c r="AT6" s="97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65">
        <v>1</v>
      </c>
      <c r="B9" s="965" t="s">
        <v>573</v>
      </c>
      <c r="C9" s="967" t="str">
        <f>VLOOKUP(B9,DS,2,0)</f>
        <v>Nguyễn Đức Hải</v>
      </c>
      <c r="D9" s="969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/>
      <c r="J9" s="484">
        <v>8</v>
      </c>
      <c r="K9" s="484">
        <v>8</v>
      </c>
      <c r="L9" s="484">
        <v>8</v>
      </c>
      <c r="M9" s="484">
        <v>8</v>
      </c>
      <c r="N9" s="484">
        <v>8</v>
      </c>
      <c r="O9" s="484">
        <v>8</v>
      </c>
      <c r="P9" s="484"/>
      <c r="Q9" s="484">
        <v>8</v>
      </c>
      <c r="R9" s="484">
        <v>8</v>
      </c>
      <c r="S9" s="484">
        <v>8</v>
      </c>
      <c r="T9" s="484">
        <v>8</v>
      </c>
      <c r="U9" s="484">
        <v>8</v>
      </c>
      <c r="V9" s="484">
        <v>8</v>
      </c>
      <c r="W9" s="484"/>
      <c r="X9" s="484">
        <v>8</v>
      </c>
      <c r="Y9" s="484">
        <v>8</v>
      </c>
      <c r="Z9" s="484">
        <v>8</v>
      </c>
      <c r="AA9" s="484">
        <v>8</v>
      </c>
      <c r="AB9" s="484">
        <v>8</v>
      </c>
      <c r="AC9" s="484">
        <v>8</v>
      </c>
      <c r="AD9" s="484"/>
      <c r="AE9" s="484">
        <v>8</v>
      </c>
      <c r="AF9" s="484">
        <v>8</v>
      </c>
      <c r="AG9" s="484">
        <v>8</v>
      </c>
      <c r="AH9" s="484">
        <v>8</v>
      </c>
      <c r="AI9" s="484">
        <v>8</v>
      </c>
      <c r="AJ9" s="484"/>
      <c r="AK9" s="971">
        <f>((SUM(F9:AJ9))/8)-(SUMIF($F$6:$AJ$6,"C.Nhật",F9:AJ9)/8)</f>
        <v>26</v>
      </c>
      <c r="AL9" s="971">
        <f>SUM(F10:AJ10)/8*1.5</f>
        <v>0</v>
      </c>
      <c r="AM9" s="973">
        <f>SUMIF($F$6:$AJ$6,"C.Nhật",$F9:$AJ10)/8*2</f>
        <v>0</v>
      </c>
      <c r="AN9" s="961">
        <f>SUM(AK9:AM10)</f>
        <v>26</v>
      </c>
      <c r="AO9" s="975">
        <v>0</v>
      </c>
      <c r="AP9" s="961"/>
      <c r="AQ9" s="961"/>
      <c r="AR9" s="961"/>
      <c r="AS9" s="96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66"/>
      <c r="B10" s="966"/>
      <c r="C10" s="968"/>
      <c r="D10" s="97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972"/>
      <c r="AL10" s="972"/>
      <c r="AM10" s="974"/>
      <c r="AN10" s="962"/>
      <c r="AO10" s="976"/>
      <c r="AP10" s="962"/>
      <c r="AQ10" s="962"/>
      <c r="AR10" s="962"/>
      <c r="AS10" s="96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65">
        <v>2</v>
      </c>
      <c r="B11" s="965" t="s">
        <v>574</v>
      </c>
      <c r="C11" s="967" t="str">
        <f>VLOOKUP(B11,DS,2,0)</f>
        <v>Huỳnh Hoàng Đạo</v>
      </c>
      <c r="D11" s="969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/>
      <c r="J11" s="484">
        <v>8</v>
      </c>
      <c r="K11" s="484">
        <v>8</v>
      </c>
      <c r="L11" s="484">
        <v>8</v>
      </c>
      <c r="M11" s="484">
        <v>8</v>
      </c>
      <c r="N11" s="484">
        <v>8</v>
      </c>
      <c r="O11" s="484">
        <v>8</v>
      </c>
      <c r="P11" s="484"/>
      <c r="Q11" s="484">
        <v>8</v>
      </c>
      <c r="R11" s="484">
        <v>8</v>
      </c>
      <c r="S11" s="484">
        <v>8</v>
      </c>
      <c r="T11" s="484">
        <v>8</v>
      </c>
      <c r="U11" s="484">
        <v>8</v>
      </c>
      <c r="V11" s="484">
        <v>8</v>
      </c>
      <c r="W11" s="484"/>
      <c r="X11" s="484">
        <v>8</v>
      </c>
      <c r="Y11" s="484">
        <v>8</v>
      </c>
      <c r="Z11" s="484">
        <v>8</v>
      </c>
      <c r="AA11" s="484">
        <v>8</v>
      </c>
      <c r="AB11" s="484">
        <v>8</v>
      </c>
      <c r="AC11" s="484">
        <v>8</v>
      </c>
      <c r="AD11" s="484"/>
      <c r="AE11" s="484">
        <v>8</v>
      </c>
      <c r="AF11" s="484">
        <v>8</v>
      </c>
      <c r="AG11" s="484">
        <v>8</v>
      </c>
      <c r="AH11" s="484">
        <v>8</v>
      </c>
      <c r="AI11" s="484">
        <v>8</v>
      </c>
      <c r="AJ11" s="484"/>
      <c r="AK11" s="971">
        <f t="shared" ref="AK11" si="2">((SUM(F11:AJ11))/8)-(SUMIF($F$6:$AJ$6,"C.Nhật",F11:AJ11)/8)</f>
        <v>26</v>
      </c>
      <c r="AL11" s="971">
        <f t="shared" ref="AL11" si="3">SUM(F12:AJ12)/8*1.5</f>
        <v>0</v>
      </c>
      <c r="AM11" s="973">
        <f t="shared" ref="AM11:AM15" si="4">SUMIF($F$6:$AJ$6,"C.Nhật",$F11:$AJ12)/8*2</f>
        <v>0</v>
      </c>
      <c r="AN11" s="961">
        <f t="shared" ref="AN11" si="5">SUM(AK11:AM12)</f>
        <v>26</v>
      </c>
      <c r="AO11" s="975">
        <v>0</v>
      </c>
      <c r="AP11" s="961"/>
      <c r="AQ11" s="961"/>
      <c r="AR11" s="961"/>
      <c r="AS11" s="96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66"/>
      <c r="B12" s="966"/>
      <c r="C12" s="968"/>
      <c r="D12" s="97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972"/>
      <c r="AL12" s="972"/>
      <c r="AM12" s="974"/>
      <c r="AN12" s="962"/>
      <c r="AO12" s="976"/>
      <c r="AP12" s="962"/>
      <c r="AQ12" s="962"/>
      <c r="AR12" s="962"/>
      <c r="AS12" s="96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65">
        <v>3</v>
      </c>
      <c r="B13" s="965" t="s">
        <v>576</v>
      </c>
      <c r="C13" s="967" t="str">
        <f>VLOOKUP(B13,DS,2,0)</f>
        <v>Võ Ngọc Thùy Lan</v>
      </c>
      <c r="D13" s="969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/>
      <c r="J13" s="484">
        <v>8</v>
      </c>
      <c r="K13" s="484">
        <v>8</v>
      </c>
      <c r="L13" s="484">
        <v>8</v>
      </c>
      <c r="M13" s="484">
        <v>8</v>
      </c>
      <c r="N13" s="484">
        <v>8</v>
      </c>
      <c r="O13" s="484">
        <v>8</v>
      </c>
      <c r="P13" s="484"/>
      <c r="Q13" s="484">
        <v>8</v>
      </c>
      <c r="R13" s="484">
        <v>8</v>
      </c>
      <c r="S13" s="484">
        <v>8</v>
      </c>
      <c r="T13" s="484">
        <v>8</v>
      </c>
      <c r="U13" s="484">
        <v>8</v>
      </c>
      <c r="V13" s="484">
        <v>8</v>
      </c>
      <c r="W13" s="484"/>
      <c r="X13" s="484">
        <v>8</v>
      </c>
      <c r="Y13" s="484">
        <v>8</v>
      </c>
      <c r="Z13" s="484">
        <v>8</v>
      </c>
      <c r="AA13" s="484">
        <v>8</v>
      </c>
      <c r="AB13" s="484">
        <v>8</v>
      </c>
      <c r="AC13" s="484">
        <v>8</v>
      </c>
      <c r="AD13" s="484"/>
      <c r="AE13" s="484">
        <v>8</v>
      </c>
      <c r="AF13" s="484">
        <v>8</v>
      </c>
      <c r="AG13" s="484">
        <v>8</v>
      </c>
      <c r="AH13" s="484">
        <v>8</v>
      </c>
      <c r="AI13" s="484">
        <v>8</v>
      </c>
      <c r="AJ13" s="484"/>
      <c r="AK13" s="971">
        <f t="shared" ref="AK13" si="6">((SUM(F13:AJ13))/8)-(SUMIF($F$6:$AJ$6,"C.Nhật",F13:AJ13)/8)</f>
        <v>26</v>
      </c>
      <c r="AL13" s="971">
        <f t="shared" ref="AL13" si="7">SUM(F14:AJ14)/8*1.5</f>
        <v>0</v>
      </c>
      <c r="AM13" s="973">
        <f t="shared" si="4"/>
        <v>0</v>
      </c>
      <c r="AN13" s="961">
        <f t="shared" ref="AN13" si="8">SUM(AK13:AM14)</f>
        <v>26</v>
      </c>
      <c r="AO13" s="975">
        <v>0</v>
      </c>
      <c r="AP13" s="961"/>
      <c r="AQ13" s="961"/>
      <c r="AR13" s="961"/>
      <c r="AS13" s="96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66"/>
      <c r="B14" s="966"/>
      <c r="C14" s="968"/>
      <c r="D14" s="97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972"/>
      <c r="AL14" s="972"/>
      <c r="AM14" s="974"/>
      <c r="AN14" s="962"/>
      <c r="AO14" s="976"/>
      <c r="AP14" s="962"/>
      <c r="AQ14" s="962"/>
      <c r="AR14" s="962"/>
      <c r="AS14" s="96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965">
        <v>4</v>
      </c>
      <c r="B15" s="965" t="s">
        <v>717</v>
      </c>
      <c r="C15" s="967" t="str">
        <f>VLOOKUP(B15,DS,2,0)</f>
        <v>Nguyễn Thị Thu Hà</v>
      </c>
      <c r="D15" s="969" t="str">
        <f>VLOOKUP(B15,DS,3,0)</f>
        <v>Kế Toán</v>
      </c>
      <c r="E15" s="483" t="s">
        <v>680</v>
      </c>
      <c r="F15" s="484">
        <v>8</v>
      </c>
      <c r="G15" s="484">
        <v>8</v>
      </c>
      <c r="H15" s="484">
        <v>8</v>
      </c>
      <c r="I15" s="484"/>
      <c r="J15" s="484">
        <v>8</v>
      </c>
      <c r="K15" s="484">
        <v>8</v>
      </c>
      <c r="L15" s="484">
        <v>8</v>
      </c>
      <c r="M15" s="484">
        <v>8</v>
      </c>
      <c r="N15" s="484">
        <v>8</v>
      </c>
      <c r="O15" s="484">
        <v>8</v>
      </c>
      <c r="P15" s="484"/>
      <c r="Q15" s="484">
        <v>8</v>
      </c>
      <c r="R15" s="484">
        <v>8</v>
      </c>
      <c r="S15" s="484">
        <v>8</v>
      </c>
      <c r="T15" s="484">
        <v>8</v>
      </c>
      <c r="U15" s="484">
        <v>8</v>
      </c>
      <c r="V15" s="484">
        <v>8</v>
      </c>
      <c r="W15" s="484"/>
      <c r="X15" s="484">
        <v>8</v>
      </c>
      <c r="Y15" s="484">
        <v>8</v>
      </c>
      <c r="Z15" s="484">
        <v>8</v>
      </c>
      <c r="AA15" s="484">
        <v>8</v>
      </c>
      <c r="AB15" s="484">
        <v>8</v>
      </c>
      <c r="AC15" s="484">
        <v>8</v>
      </c>
      <c r="AD15" s="484"/>
      <c r="AE15" s="484">
        <v>8</v>
      </c>
      <c r="AF15" s="484">
        <v>8</v>
      </c>
      <c r="AG15" s="484">
        <v>8</v>
      </c>
      <c r="AH15" s="484">
        <v>8</v>
      </c>
      <c r="AI15" s="484">
        <v>8</v>
      </c>
      <c r="AJ15" s="484"/>
      <c r="AK15" s="971">
        <f t="shared" ref="AK15" si="9">((SUM(F15:AJ15))/8)-(SUMIF($F$6:$AJ$6,"C.Nhật",F15:AJ15)/8)</f>
        <v>26</v>
      </c>
      <c r="AL15" s="971">
        <f t="shared" ref="AL15" si="10">SUM(F16:AJ16)/8*1.5</f>
        <v>0</v>
      </c>
      <c r="AM15" s="973">
        <f t="shared" si="4"/>
        <v>0</v>
      </c>
      <c r="AN15" s="961">
        <f t="shared" ref="AN15" si="11">SUM(AK15:AM16)</f>
        <v>26</v>
      </c>
      <c r="AO15" s="975">
        <v>0</v>
      </c>
      <c r="AP15" s="961"/>
      <c r="AQ15" s="961"/>
      <c r="AR15" s="961"/>
      <c r="AS15" s="96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966"/>
      <c r="B16" s="966"/>
      <c r="C16" s="968"/>
      <c r="D16" s="970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972"/>
      <c r="AL16" s="972"/>
      <c r="AM16" s="974"/>
      <c r="AN16" s="962"/>
      <c r="AO16" s="976"/>
      <c r="AP16" s="962"/>
      <c r="AQ16" s="962"/>
      <c r="AR16" s="962"/>
      <c r="AS16" s="96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965">
        <v>1</v>
      </c>
      <c r="B18" s="965" t="s">
        <v>578</v>
      </c>
      <c r="C18" s="967" t="str">
        <f>VLOOKUP(B18,DS,2,0)</f>
        <v>Nguyễn Thị Thanh Thúy</v>
      </c>
      <c r="D18" s="969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/>
      <c r="J18" s="484">
        <v>8</v>
      </c>
      <c r="K18" s="484">
        <v>8</v>
      </c>
      <c r="L18" s="484">
        <v>8</v>
      </c>
      <c r="M18" s="484">
        <v>8</v>
      </c>
      <c r="N18" s="484">
        <v>8</v>
      </c>
      <c r="O18" s="484">
        <v>8</v>
      </c>
      <c r="P18" s="484"/>
      <c r="Q18" s="484">
        <v>8</v>
      </c>
      <c r="R18" s="484">
        <v>8</v>
      </c>
      <c r="S18" s="484">
        <v>8</v>
      </c>
      <c r="T18" s="484">
        <v>8</v>
      </c>
      <c r="U18" s="484">
        <v>8</v>
      </c>
      <c r="V18" s="484">
        <v>8</v>
      </c>
      <c r="W18" s="484"/>
      <c r="X18" s="484">
        <v>8</v>
      </c>
      <c r="Y18" s="484">
        <v>8</v>
      </c>
      <c r="Z18" s="484">
        <v>8</v>
      </c>
      <c r="AA18" s="484">
        <v>8</v>
      </c>
      <c r="AB18" s="484">
        <v>8</v>
      </c>
      <c r="AC18" s="484">
        <v>8</v>
      </c>
      <c r="AD18" s="484"/>
      <c r="AE18" s="484">
        <v>8</v>
      </c>
      <c r="AF18" s="484">
        <v>8</v>
      </c>
      <c r="AG18" s="484">
        <v>8</v>
      </c>
      <c r="AH18" s="484">
        <v>8</v>
      </c>
      <c r="AI18" s="484">
        <v>8</v>
      </c>
      <c r="AJ18" s="484"/>
      <c r="AK18" s="971">
        <f t="shared" ref="AK18" si="12">((SUM(F18:AJ18))/8)-(SUMIF($F$6:$AJ$6,"C.Nhật",F18:AJ18)/8)</f>
        <v>26</v>
      </c>
      <c r="AL18" s="971">
        <f t="shared" ref="AL18" si="13">SUM(F19:AJ19)/8*1.5</f>
        <v>0</v>
      </c>
      <c r="AM18" s="973">
        <f>SUMIF($F$6:$AJ$6,"C.Nhật",$F18:$AJ19)/8*2</f>
        <v>0</v>
      </c>
      <c r="AN18" s="961">
        <f>SUM(AK18:AM19)</f>
        <v>26</v>
      </c>
      <c r="AO18" s="975">
        <v>0</v>
      </c>
      <c r="AP18" s="961"/>
      <c r="AQ18" s="961"/>
      <c r="AR18" s="961"/>
      <c r="AS18" s="96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66"/>
      <c r="B19" s="966"/>
      <c r="C19" s="968"/>
      <c r="D19" s="97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972"/>
      <c r="AL19" s="972"/>
      <c r="AM19" s="974"/>
      <c r="AN19" s="962"/>
      <c r="AO19" s="976"/>
      <c r="AP19" s="962"/>
      <c r="AQ19" s="962"/>
      <c r="AR19" s="962"/>
      <c r="AS19" s="96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65">
        <f>A18+1</f>
        <v>2</v>
      </c>
      <c r="B20" s="965" t="s">
        <v>579</v>
      </c>
      <c r="C20" s="967" t="str">
        <f>VLOOKUP(B20,DS,2,0)</f>
        <v>Huỳnh Đoàn Viết Thanh</v>
      </c>
      <c r="D20" s="969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/>
      <c r="J20" s="484">
        <v>8</v>
      </c>
      <c r="K20" s="484">
        <v>8</v>
      </c>
      <c r="L20" s="484">
        <v>8</v>
      </c>
      <c r="M20" s="484">
        <v>8</v>
      </c>
      <c r="N20" s="484">
        <v>8</v>
      </c>
      <c r="O20" s="484">
        <v>8</v>
      </c>
      <c r="P20" s="484"/>
      <c r="Q20" s="484">
        <v>8</v>
      </c>
      <c r="R20" s="484">
        <v>8</v>
      </c>
      <c r="S20" s="484">
        <v>8</v>
      </c>
      <c r="T20" s="484">
        <v>8</v>
      </c>
      <c r="U20" s="484">
        <v>8</v>
      </c>
      <c r="V20" s="484">
        <v>8</v>
      </c>
      <c r="W20" s="484"/>
      <c r="X20" s="484">
        <v>8</v>
      </c>
      <c r="Y20" s="484">
        <v>8</v>
      </c>
      <c r="Z20" s="484">
        <v>8</v>
      </c>
      <c r="AA20" s="484">
        <v>8</v>
      </c>
      <c r="AB20" s="484">
        <v>8</v>
      </c>
      <c r="AC20" s="484">
        <v>8</v>
      </c>
      <c r="AD20" s="484"/>
      <c r="AE20" s="484">
        <v>8</v>
      </c>
      <c r="AF20" s="484">
        <v>8</v>
      </c>
      <c r="AG20" s="484">
        <v>8</v>
      </c>
      <c r="AH20" s="484">
        <v>8</v>
      </c>
      <c r="AI20" s="484">
        <v>8</v>
      </c>
      <c r="AJ20" s="484"/>
      <c r="AK20" s="971">
        <f t="shared" ref="AK20" si="14">((SUM(F20:AJ20))/8)-(SUMIF($F$6:$AJ$6,"C.Nhật",F20:AJ20)/8)</f>
        <v>26</v>
      </c>
      <c r="AL20" s="971">
        <f t="shared" ref="AL20" si="15">SUM(F21:AJ21)/8*1.5</f>
        <v>0</v>
      </c>
      <c r="AM20" s="973">
        <f>SUMIF($F$6:$AJ$6,"C.Nhật",$F20:$AJ21)/8*2</f>
        <v>0</v>
      </c>
      <c r="AN20" s="961">
        <f t="shared" ref="AN20" si="16">SUM(AK20:AM21)</f>
        <v>26</v>
      </c>
      <c r="AO20" s="975">
        <v>0</v>
      </c>
      <c r="AP20" s="961"/>
      <c r="AQ20" s="961"/>
      <c r="AR20" s="961"/>
      <c r="AS20" s="96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66"/>
      <c r="B21" s="966"/>
      <c r="C21" s="968"/>
      <c r="D21" s="97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972"/>
      <c r="AL21" s="972"/>
      <c r="AM21" s="974"/>
      <c r="AN21" s="962"/>
      <c r="AO21" s="976"/>
      <c r="AP21" s="962"/>
      <c r="AQ21" s="962"/>
      <c r="AR21" s="962"/>
      <c r="AS21" s="96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65">
        <f t="shared" ref="A22" si="17">A20+1</f>
        <v>3</v>
      </c>
      <c r="B22" s="965" t="s">
        <v>580</v>
      </c>
      <c r="C22" s="967" t="str">
        <f>VLOOKUP(B22,DS,2,0)</f>
        <v>Trần Ngọc Thoại</v>
      </c>
      <c r="D22" s="969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/>
      <c r="J22" s="484">
        <v>8</v>
      </c>
      <c r="K22" s="484">
        <v>8</v>
      </c>
      <c r="L22" s="484">
        <v>8</v>
      </c>
      <c r="M22" s="484">
        <v>8</v>
      </c>
      <c r="N22" s="484">
        <v>8</v>
      </c>
      <c r="O22" s="484">
        <v>8</v>
      </c>
      <c r="P22" s="484"/>
      <c r="Q22" s="484">
        <v>8</v>
      </c>
      <c r="R22" s="484">
        <v>8</v>
      </c>
      <c r="S22" s="484">
        <v>8</v>
      </c>
      <c r="T22" s="484">
        <v>8</v>
      </c>
      <c r="U22" s="484">
        <v>8</v>
      </c>
      <c r="V22" s="484">
        <v>8</v>
      </c>
      <c r="W22" s="484"/>
      <c r="X22" s="484">
        <v>8</v>
      </c>
      <c r="Y22" s="484">
        <v>8</v>
      </c>
      <c r="Z22" s="484">
        <v>8</v>
      </c>
      <c r="AA22" s="484">
        <v>8</v>
      </c>
      <c r="AB22" s="484">
        <v>8</v>
      </c>
      <c r="AC22" s="484">
        <v>8</v>
      </c>
      <c r="AD22" s="484"/>
      <c r="AE22" s="484">
        <v>8</v>
      </c>
      <c r="AF22" s="484">
        <v>8</v>
      </c>
      <c r="AG22" s="484">
        <v>8</v>
      </c>
      <c r="AH22" s="484">
        <v>8</v>
      </c>
      <c r="AI22" s="484">
        <v>8</v>
      </c>
      <c r="AJ22" s="484"/>
      <c r="AK22" s="971">
        <f t="shared" ref="AK22" si="18">((SUM(F22:AJ22))/8)-(SUMIF($F$6:$AJ$6,"C.Nhật",F22:AJ22)/8)</f>
        <v>26</v>
      </c>
      <c r="AL22" s="971">
        <f t="shared" ref="AL22" si="19">SUM(F23:AJ23)/8*1.5</f>
        <v>0</v>
      </c>
      <c r="AM22" s="973">
        <f>SUMIF($F$6:$AJ$6,"C.Nhật",$F22:$AJ23)/8*2</f>
        <v>0</v>
      </c>
      <c r="AN22" s="961">
        <f t="shared" ref="AN22" si="20">SUM(AK22:AM23)</f>
        <v>26</v>
      </c>
      <c r="AO22" s="975">
        <v>0</v>
      </c>
      <c r="AP22" s="961"/>
      <c r="AQ22" s="961"/>
      <c r="AR22" s="961"/>
      <c r="AS22" s="96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66"/>
      <c r="B23" s="966"/>
      <c r="C23" s="968"/>
      <c r="D23" s="97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972"/>
      <c r="AL23" s="972"/>
      <c r="AM23" s="974"/>
      <c r="AN23" s="962"/>
      <c r="AO23" s="976"/>
      <c r="AP23" s="962"/>
      <c r="AQ23" s="962"/>
      <c r="AR23" s="962"/>
      <c r="AS23" s="96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965">
        <f t="shared" ref="A24" si="21">A22+1</f>
        <v>4</v>
      </c>
      <c r="B24" s="965" t="s">
        <v>582</v>
      </c>
      <c r="C24" s="967" t="str">
        <f>VLOOKUP(B24,DS,2,0)</f>
        <v>Nguyễn Đức Huy</v>
      </c>
      <c r="D24" s="969" t="str">
        <f>VLOOKUP(B24,DS,3,0)</f>
        <v>Công nhân</v>
      </c>
      <c r="E24" s="483" t="s">
        <v>680</v>
      </c>
      <c r="F24" s="484">
        <v>8</v>
      </c>
      <c r="G24" s="484">
        <v>8</v>
      </c>
      <c r="H24" s="484">
        <v>8</v>
      </c>
      <c r="I24" s="484"/>
      <c r="J24" s="484">
        <v>8</v>
      </c>
      <c r="K24" s="484">
        <v>8</v>
      </c>
      <c r="L24" s="484">
        <v>8</v>
      </c>
      <c r="M24" s="484">
        <v>8</v>
      </c>
      <c r="N24" s="484">
        <v>8</v>
      </c>
      <c r="O24" s="484">
        <v>8</v>
      </c>
      <c r="P24" s="484"/>
      <c r="Q24" s="484">
        <v>8</v>
      </c>
      <c r="R24" s="484">
        <v>8</v>
      </c>
      <c r="S24" s="484">
        <v>8</v>
      </c>
      <c r="T24" s="484">
        <v>8</v>
      </c>
      <c r="U24" s="484">
        <v>8</v>
      </c>
      <c r="V24" s="484">
        <v>8</v>
      </c>
      <c r="W24" s="484"/>
      <c r="X24" s="484">
        <v>8</v>
      </c>
      <c r="Y24" s="484">
        <v>8</v>
      </c>
      <c r="Z24" s="484">
        <v>8</v>
      </c>
      <c r="AA24" s="484">
        <v>8</v>
      </c>
      <c r="AB24" s="484">
        <v>8</v>
      </c>
      <c r="AC24" s="484">
        <v>8</v>
      </c>
      <c r="AD24" s="484"/>
      <c r="AE24" s="484">
        <v>8</v>
      </c>
      <c r="AF24" s="484">
        <v>8</v>
      </c>
      <c r="AG24" s="484">
        <v>8</v>
      </c>
      <c r="AH24" s="484">
        <v>8</v>
      </c>
      <c r="AI24" s="484">
        <v>8</v>
      </c>
      <c r="AJ24" s="484"/>
      <c r="AK24" s="971">
        <f t="shared" ref="AK24" si="22">((SUM(F24:AJ24))/8)-(SUMIF($F$6:$AJ$6,"C.Nhật",F24:AJ24)/8)</f>
        <v>26</v>
      </c>
      <c r="AL24" s="971">
        <f t="shared" ref="AL24" si="23">SUM(F25:AJ25)/8*1.5</f>
        <v>0</v>
      </c>
      <c r="AM24" s="973">
        <f>SUMIF($F$6:$AJ$6,"C.Nhật",$F24:$AJ25)/8*2</f>
        <v>0</v>
      </c>
      <c r="AN24" s="961">
        <f t="shared" ref="AN24" si="24">SUM(AK24:AM25)</f>
        <v>26</v>
      </c>
      <c r="AO24" s="975">
        <v>0</v>
      </c>
      <c r="AP24" s="961"/>
      <c r="AQ24" s="961"/>
      <c r="AR24" s="961"/>
      <c r="AS24" s="96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966"/>
      <c r="B25" s="966"/>
      <c r="C25" s="968"/>
      <c r="D25" s="970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972"/>
      <c r="AL25" s="972"/>
      <c r="AM25" s="974"/>
      <c r="AN25" s="962"/>
      <c r="AO25" s="976"/>
      <c r="AP25" s="962"/>
      <c r="AQ25" s="962"/>
      <c r="AR25" s="962"/>
      <c r="AS25" s="96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3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29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996" t="str">
        <f>"BẢNG THANH TOÁN LƯƠNG THÁNG"&amp;" "&amp;TEXT($E$4,"mm")&amp;" / "&amp;TEXT($E$4,"yyyy")</f>
        <v>BẢNG THANH TOÁN LƯƠNG THÁNG 11 / 2012</v>
      </c>
      <c r="E1" s="996"/>
      <c r="F1" s="996"/>
      <c r="G1" s="996"/>
      <c r="H1" s="996"/>
      <c r="I1" s="996"/>
      <c r="J1" s="996"/>
      <c r="K1" s="996"/>
      <c r="L1" s="996"/>
      <c r="M1" s="996"/>
      <c r="N1" s="996"/>
      <c r="O1" s="996"/>
      <c r="P1" s="996"/>
      <c r="Q1" s="997"/>
      <c r="R1" s="998" t="s">
        <v>665</v>
      </c>
      <c r="S1" s="999"/>
      <c r="T1" s="100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-11'!$AK$9:$AK$25)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-11'!$E$4</f>
        <v>41214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01" t="s">
        <v>34</v>
      </c>
      <c r="B5" s="1001" t="s">
        <v>693</v>
      </c>
      <c r="C5" s="951" t="s">
        <v>562</v>
      </c>
      <c r="D5" s="951" t="s">
        <v>563</v>
      </c>
      <c r="E5" s="952" t="s">
        <v>564</v>
      </c>
      <c r="F5" s="1003" t="s">
        <v>694</v>
      </c>
      <c r="G5" s="1004"/>
      <c r="H5" s="1004"/>
      <c r="I5" s="1004"/>
      <c r="J5" s="1004"/>
      <c r="K5" s="1005"/>
      <c r="L5" s="992" t="s">
        <v>571</v>
      </c>
      <c r="M5" s="992" t="s">
        <v>695</v>
      </c>
      <c r="N5" s="951" t="s">
        <v>696</v>
      </c>
      <c r="O5" s="951"/>
      <c r="P5" s="951"/>
      <c r="Q5" s="992" t="s">
        <v>697</v>
      </c>
      <c r="R5" s="992" t="s">
        <v>698</v>
      </c>
      <c r="S5" s="992" t="s">
        <v>699</v>
      </c>
      <c r="T5" s="95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02"/>
      <c r="B6" s="1002"/>
      <c r="C6" s="951"/>
      <c r="D6" s="951"/>
      <c r="E6" s="952"/>
      <c r="F6" s="1003" t="s">
        <v>701</v>
      </c>
      <c r="G6" s="1005"/>
      <c r="H6" s="1003" t="s">
        <v>702</v>
      </c>
      <c r="I6" s="1004"/>
      <c r="J6" s="990" t="s">
        <v>703</v>
      </c>
      <c r="K6" s="992" t="s">
        <v>704</v>
      </c>
      <c r="L6" s="993"/>
      <c r="M6" s="993"/>
      <c r="N6" s="994" t="s">
        <v>705</v>
      </c>
      <c r="O6" s="992" t="s">
        <v>706</v>
      </c>
      <c r="P6" s="992" t="s">
        <v>707</v>
      </c>
      <c r="Q6" s="993"/>
      <c r="R6" s="993"/>
      <c r="S6" s="993"/>
      <c r="T6" s="95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02"/>
      <c r="B7" s="1002"/>
      <c r="C7" s="992"/>
      <c r="D7" s="992"/>
      <c r="E7" s="952"/>
      <c r="F7" s="526" t="s">
        <v>708</v>
      </c>
      <c r="G7" s="527" t="s">
        <v>709</v>
      </c>
      <c r="H7" s="526" t="s">
        <v>708</v>
      </c>
      <c r="I7" s="528" t="s">
        <v>709</v>
      </c>
      <c r="J7" s="991"/>
      <c r="K7" s="993"/>
      <c r="L7" s="1006"/>
      <c r="M7" s="1006"/>
      <c r="N7" s="995"/>
      <c r="O7" s="993"/>
      <c r="P7" s="993"/>
      <c r="Q7" s="993"/>
      <c r="R7" s="993"/>
      <c r="S7" s="993"/>
      <c r="T7" s="95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-11'!$B$8:$AS$25,36,0)</f>
        <v>26</v>
      </c>
      <c r="G10" s="541">
        <f t="shared" ref="G10:G13" si="2">ROUND(E10/$U$2*F10,0)</f>
        <v>2877500</v>
      </c>
      <c r="H10" s="540">
        <f>(VLOOKUP(B10,'CC -11'!$B$8:$AS$25,37,0)+VLOOKUP(B10,'CC -11'!$B$8:$AS$25,38,0))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-11'!$B$8:$AS$25,36,0)</f>
        <v>26</v>
      </c>
      <c r="G11" s="541">
        <f t="shared" si="2"/>
        <v>2877500</v>
      </c>
      <c r="H11" s="540">
        <f>(VLOOKUP(B11,'CC -11'!$B$8:$AS$25,37,0)+VLOOKUP(B11,'CC -11'!$B$8:$AS$25,38,0))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-11'!$B$8:$AS$25,36,0)</f>
        <v>26</v>
      </c>
      <c r="G12" s="541">
        <f t="shared" si="2"/>
        <v>1565000</v>
      </c>
      <c r="H12" s="540">
        <f>(VLOOKUP(B12,'CC -11'!$B$8:$AS$25,37,0)+VLOOKUP(B12,'CC -11'!$B$8:$AS$25,38,0))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-11'!$B$8:$AS$25,36,0)</f>
        <v>26</v>
      </c>
      <c r="G13" s="541">
        <f t="shared" si="2"/>
        <v>1240000</v>
      </c>
      <c r="H13" s="540">
        <f>(VLOOKUP(B13,'CC -11'!$B$8:$AS$25,37,0)+VLOOKUP(B13,'CC -11'!$B$8:$AS$25,38,0))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989" t="s">
        <v>38</v>
      </c>
      <c r="B15" s="989"/>
      <c r="C15" s="989"/>
      <c r="D15" s="989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-11'!$B$8:$AS$25,36,0)</f>
        <v>26</v>
      </c>
      <c r="G17" s="541">
        <f t="shared" ref="G17:G20" si="13">ROUND(E17/$U$2*F17,0)</f>
        <v>1365000</v>
      </c>
      <c r="H17" s="540">
        <f>(VLOOKUP(B17,'CC -11'!$B$8:$AS$25,37,0)+VLOOKUP(B17,'CC -11'!$B$8:$AS$25,38,0))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- 11'!E17*$N$4,0)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-11'!$B$8:$AS$25,36,0)</f>
        <v>26</v>
      </c>
      <c r="G18" s="541">
        <f t="shared" si="13"/>
        <v>1275000</v>
      </c>
      <c r="H18" s="540">
        <f>(VLOOKUP(B18,'CC -11'!$B$8:$AS$25,37,0)+VLOOKUP(B18,'CC -11'!$B$8:$AS$25,38,0))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- 11'!E18*$N$4,0)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-11'!$B$8:$AS$25,36,0)</f>
        <v>26</v>
      </c>
      <c r="G19" s="541">
        <f t="shared" si="13"/>
        <v>990000</v>
      </c>
      <c r="H19" s="540">
        <f>(VLOOKUP(B19,'CC -11'!$B$8:$AS$25,37,0)+VLOOKUP(B19,'CC -11'!$B$8:$AS$25,38,0))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- 11'!E19*$N$4,0)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-11'!$B$8:$AS$25,36,0)</f>
        <v>26</v>
      </c>
      <c r="G20" s="541">
        <f t="shared" si="13"/>
        <v>1015000</v>
      </c>
      <c r="H20" s="540">
        <f>(VLOOKUP(B20,'CC -11'!$B$8:$AS$25,37,0)+VLOOKUP(B20,'CC -11'!$B$8:$AS$25,38,0))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- 11'!E20*$N$4,0)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989" t="s">
        <v>38</v>
      </c>
      <c r="B22" s="989"/>
      <c r="C22" s="989"/>
      <c r="D22" s="989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12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78" t="s">
        <v>665</v>
      </c>
      <c r="AN1" s="979"/>
      <c r="AO1" s="979"/>
      <c r="AP1" s="979"/>
      <c r="AQ1" s="979"/>
      <c r="AR1" s="979"/>
      <c r="AS1" s="98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41244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81" t="s">
        <v>666</v>
      </c>
      <c r="B5" s="981" t="s">
        <v>561</v>
      </c>
      <c r="C5" s="981" t="s">
        <v>562</v>
      </c>
      <c r="D5" s="983" t="s">
        <v>667</v>
      </c>
      <c r="E5" s="981" t="s">
        <v>668</v>
      </c>
      <c r="F5" s="470">
        <f>+E4</f>
        <v>41244</v>
      </c>
      <c r="G5" s="470">
        <f t="shared" ref="G5:AJ5" si="0">F5+1</f>
        <v>41245</v>
      </c>
      <c r="H5" s="470">
        <f t="shared" si="0"/>
        <v>41246</v>
      </c>
      <c r="I5" s="470">
        <f t="shared" si="0"/>
        <v>41247</v>
      </c>
      <c r="J5" s="470">
        <f t="shared" si="0"/>
        <v>41248</v>
      </c>
      <c r="K5" s="470">
        <f t="shared" si="0"/>
        <v>41249</v>
      </c>
      <c r="L5" s="470">
        <f t="shared" si="0"/>
        <v>41250</v>
      </c>
      <c r="M5" s="470">
        <f t="shared" si="0"/>
        <v>41251</v>
      </c>
      <c r="N5" s="470">
        <f t="shared" si="0"/>
        <v>41252</v>
      </c>
      <c r="O5" s="470">
        <f t="shared" si="0"/>
        <v>41253</v>
      </c>
      <c r="P5" s="470">
        <f t="shared" si="0"/>
        <v>41254</v>
      </c>
      <c r="Q5" s="470">
        <f t="shared" si="0"/>
        <v>41255</v>
      </c>
      <c r="R5" s="470">
        <f t="shared" si="0"/>
        <v>41256</v>
      </c>
      <c r="S5" s="470">
        <f t="shared" si="0"/>
        <v>41257</v>
      </c>
      <c r="T5" s="470">
        <f t="shared" si="0"/>
        <v>41258</v>
      </c>
      <c r="U5" s="470">
        <f t="shared" si="0"/>
        <v>41259</v>
      </c>
      <c r="V5" s="470">
        <f t="shared" si="0"/>
        <v>41260</v>
      </c>
      <c r="W5" s="470">
        <f t="shared" si="0"/>
        <v>41261</v>
      </c>
      <c r="X5" s="470">
        <f t="shared" si="0"/>
        <v>41262</v>
      </c>
      <c r="Y5" s="470">
        <f t="shared" si="0"/>
        <v>41263</v>
      </c>
      <c r="Z5" s="470">
        <f t="shared" si="0"/>
        <v>41264</v>
      </c>
      <c r="AA5" s="470">
        <f t="shared" si="0"/>
        <v>41265</v>
      </c>
      <c r="AB5" s="470">
        <f t="shared" si="0"/>
        <v>41266</v>
      </c>
      <c r="AC5" s="470">
        <f t="shared" si="0"/>
        <v>41267</v>
      </c>
      <c r="AD5" s="470">
        <f t="shared" si="0"/>
        <v>41268</v>
      </c>
      <c r="AE5" s="470">
        <f t="shared" si="0"/>
        <v>41269</v>
      </c>
      <c r="AF5" s="470">
        <f t="shared" si="0"/>
        <v>41270</v>
      </c>
      <c r="AG5" s="470">
        <f t="shared" si="0"/>
        <v>41271</v>
      </c>
      <c r="AH5" s="470">
        <f>AG5+1</f>
        <v>41272</v>
      </c>
      <c r="AI5" s="470">
        <f t="shared" si="0"/>
        <v>41273</v>
      </c>
      <c r="AJ5" s="470">
        <f t="shared" si="0"/>
        <v>41274</v>
      </c>
      <c r="AK5" s="984" t="s">
        <v>669</v>
      </c>
      <c r="AL5" s="985"/>
      <c r="AM5" s="986"/>
      <c r="AN5" s="987" t="s">
        <v>670</v>
      </c>
      <c r="AO5" s="987" t="s">
        <v>671</v>
      </c>
      <c r="AP5" s="987" t="s">
        <v>672</v>
      </c>
      <c r="AQ5" s="987" t="s">
        <v>673</v>
      </c>
      <c r="AR5" s="987" t="s">
        <v>674</v>
      </c>
      <c r="AS5" s="983" t="s">
        <v>122</v>
      </c>
      <c r="AT5" s="97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82"/>
      <c r="B6" s="982"/>
      <c r="C6" s="982"/>
      <c r="D6" s="982"/>
      <c r="E6" s="982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988"/>
      <c r="AO6" s="988"/>
      <c r="AP6" s="988"/>
      <c r="AQ6" s="988"/>
      <c r="AR6" s="988"/>
      <c r="AS6" s="982"/>
      <c r="AT6" s="97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65">
        <v>1</v>
      </c>
      <c r="B9" s="965" t="s">
        <v>573</v>
      </c>
      <c r="C9" s="967" t="str">
        <f>VLOOKUP(B9,DS,2,0)</f>
        <v>Nguyễn Đức Hải</v>
      </c>
      <c r="D9" s="969" t="str">
        <f>VLOOKUP(B9,DS,3,0)</f>
        <v>Giám Đốc</v>
      </c>
      <c r="E9" s="483" t="s">
        <v>680</v>
      </c>
      <c r="F9" s="484">
        <v>8</v>
      </c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>
        <v>8</v>
      </c>
      <c r="AK9" s="971">
        <f>((SUM(F9:AJ9))/8)-(SUMIF($F$6:$AJ$6,"C.Nhật",F9:AJ9)/8)</f>
        <v>26</v>
      </c>
      <c r="AL9" s="971">
        <f>SUM(F10:AJ10)/8*1.5</f>
        <v>0</v>
      </c>
      <c r="AM9" s="973">
        <f>SUMIF($F$6:$AJ$6,"C.Nhật",$F9:$AJ10)/8*2</f>
        <v>0</v>
      </c>
      <c r="AN9" s="961">
        <f>SUM(AK9:AM10)</f>
        <v>26</v>
      </c>
      <c r="AO9" s="975">
        <v>0</v>
      </c>
      <c r="AP9" s="961"/>
      <c r="AQ9" s="961"/>
      <c r="AR9" s="961"/>
      <c r="AS9" s="96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66"/>
      <c r="B10" s="966"/>
      <c r="C10" s="968"/>
      <c r="D10" s="97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972"/>
      <c r="AL10" s="972"/>
      <c r="AM10" s="974"/>
      <c r="AN10" s="962"/>
      <c r="AO10" s="976"/>
      <c r="AP10" s="962"/>
      <c r="AQ10" s="962"/>
      <c r="AR10" s="962"/>
      <c r="AS10" s="96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65">
        <v>2</v>
      </c>
      <c r="B11" s="965" t="s">
        <v>574</v>
      </c>
      <c r="C11" s="967" t="str">
        <f>VLOOKUP(B11,DS,2,0)</f>
        <v>Huỳnh Hoàng Đạo</v>
      </c>
      <c r="D11" s="969" t="str">
        <f>VLOOKUP(B11,DS,3,0)</f>
        <v>Quản Đốc</v>
      </c>
      <c r="E11" s="483" t="s">
        <v>680</v>
      </c>
      <c r="F11" s="484">
        <v>8</v>
      </c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>
        <v>8</v>
      </c>
      <c r="AK11" s="971">
        <f t="shared" ref="AK11" si="2">((SUM(F11:AJ11))/8)-(SUMIF($F$6:$AJ$6,"C.Nhật",F11:AJ11)/8)</f>
        <v>26</v>
      </c>
      <c r="AL11" s="971">
        <f t="shared" ref="AL11" si="3">SUM(F12:AJ12)/8*1.5</f>
        <v>0</v>
      </c>
      <c r="AM11" s="973">
        <f t="shared" ref="AM11:AM15" si="4">SUMIF($F$6:$AJ$6,"C.Nhật",$F11:$AJ12)/8*2</f>
        <v>0</v>
      </c>
      <c r="AN11" s="961">
        <f t="shared" ref="AN11" si="5">SUM(AK11:AM12)</f>
        <v>26</v>
      </c>
      <c r="AO11" s="975">
        <v>0</v>
      </c>
      <c r="AP11" s="961"/>
      <c r="AQ11" s="961"/>
      <c r="AR11" s="961"/>
      <c r="AS11" s="96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66"/>
      <c r="B12" s="966"/>
      <c r="C12" s="968"/>
      <c r="D12" s="97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972"/>
      <c r="AL12" s="972"/>
      <c r="AM12" s="974"/>
      <c r="AN12" s="962"/>
      <c r="AO12" s="976"/>
      <c r="AP12" s="962"/>
      <c r="AQ12" s="962"/>
      <c r="AR12" s="962"/>
      <c r="AS12" s="96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65">
        <v>3</v>
      </c>
      <c r="B13" s="965" t="s">
        <v>576</v>
      </c>
      <c r="C13" s="967" t="str">
        <f>VLOOKUP(B13,DS,2,0)</f>
        <v>Võ Ngọc Thùy Lan</v>
      </c>
      <c r="D13" s="969" t="str">
        <f>VLOOKUP(B13,DS,3,0)</f>
        <v>Kinh Doanh</v>
      </c>
      <c r="E13" s="483" t="s">
        <v>680</v>
      </c>
      <c r="F13" s="484">
        <v>8</v>
      </c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>
        <v>8</v>
      </c>
      <c r="AK13" s="971">
        <f t="shared" ref="AK13" si="6">((SUM(F13:AJ13))/8)-(SUMIF($F$6:$AJ$6,"C.Nhật",F13:AJ13)/8)</f>
        <v>26</v>
      </c>
      <c r="AL13" s="971">
        <f t="shared" ref="AL13" si="7">SUM(F14:AJ14)/8*1.5</f>
        <v>0</v>
      </c>
      <c r="AM13" s="973">
        <f t="shared" si="4"/>
        <v>0</v>
      </c>
      <c r="AN13" s="961">
        <f t="shared" ref="AN13" si="8">SUM(AK13:AM14)</f>
        <v>26</v>
      </c>
      <c r="AO13" s="975">
        <v>0</v>
      </c>
      <c r="AP13" s="961"/>
      <c r="AQ13" s="961"/>
      <c r="AR13" s="961"/>
      <c r="AS13" s="96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66"/>
      <c r="B14" s="966"/>
      <c r="C14" s="968"/>
      <c r="D14" s="97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972"/>
      <c r="AL14" s="972"/>
      <c r="AM14" s="974"/>
      <c r="AN14" s="962"/>
      <c r="AO14" s="976"/>
      <c r="AP14" s="962"/>
      <c r="AQ14" s="962"/>
      <c r="AR14" s="962"/>
      <c r="AS14" s="96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965">
        <v>4</v>
      </c>
      <c r="B15" s="965" t="s">
        <v>717</v>
      </c>
      <c r="C15" s="967" t="str">
        <f>VLOOKUP(B15,DS,2,0)</f>
        <v>Nguyễn Thị Thu Hà</v>
      </c>
      <c r="D15" s="969" t="str">
        <f>VLOOKUP(B15,DS,3,0)</f>
        <v>Kế Toán</v>
      </c>
      <c r="E15" s="483" t="s">
        <v>680</v>
      </c>
      <c r="F15" s="484">
        <v>8</v>
      </c>
      <c r="G15" s="484"/>
      <c r="H15" s="484">
        <v>8</v>
      </c>
      <c r="I15" s="484">
        <v>8</v>
      </c>
      <c r="J15" s="484">
        <v>8</v>
      </c>
      <c r="K15" s="484">
        <v>8</v>
      </c>
      <c r="L15" s="484">
        <v>8</v>
      </c>
      <c r="M15" s="484">
        <v>8</v>
      </c>
      <c r="N15" s="484"/>
      <c r="O15" s="484">
        <v>8</v>
      </c>
      <c r="P15" s="484">
        <v>8</v>
      </c>
      <c r="Q15" s="484">
        <v>8</v>
      </c>
      <c r="R15" s="484">
        <v>8</v>
      </c>
      <c r="S15" s="484">
        <v>8</v>
      </c>
      <c r="T15" s="484">
        <v>8</v>
      </c>
      <c r="U15" s="484"/>
      <c r="V15" s="484">
        <v>8</v>
      </c>
      <c r="W15" s="484">
        <v>8</v>
      </c>
      <c r="X15" s="484">
        <v>8</v>
      </c>
      <c r="Y15" s="484">
        <v>8</v>
      </c>
      <c r="Z15" s="484">
        <v>8</v>
      </c>
      <c r="AA15" s="484">
        <v>8</v>
      </c>
      <c r="AB15" s="484"/>
      <c r="AC15" s="484">
        <v>8</v>
      </c>
      <c r="AD15" s="484">
        <v>8</v>
      </c>
      <c r="AE15" s="484">
        <v>8</v>
      </c>
      <c r="AF15" s="484">
        <v>8</v>
      </c>
      <c r="AG15" s="484">
        <v>8</v>
      </c>
      <c r="AH15" s="484">
        <v>8</v>
      </c>
      <c r="AI15" s="484"/>
      <c r="AJ15" s="484">
        <v>8</v>
      </c>
      <c r="AK15" s="971">
        <f t="shared" ref="AK15" si="9">((SUM(F15:AJ15))/8)-(SUMIF($F$6:$AJ$6,"C.Nhật",F15:AJ15)/8)</f>
        <v>26</v>
      </c>
      <c r="AL15" s="971">
        <f t="shared" ref="AL15" si="10">SUM(F16:AJ16)/8*1.5</f>
        <v>0</v>
      </c>
      <c r="AM15" s="973">
        <f t="shared" si="4"/>
        <v>0</v>
      </c>
      <c r="AN15" s="961">
        <f t="shared" ref="AN15" si="11">SUM(AK15:AM16)</f>
        <v>26</v>
      </c>
      <c r="AO15" s="975">
        <v>0</v>
      </c>
      <c r="AP15" s="961"/>
      <c r="AQ15" s="961"/>
      <c r="AR15" s="961"/>
      <c r="AS15" s="96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966"/>
      <c r="B16" s="966"/>
      <c r="C16" s="968"/>
      <c r="D16" s="970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972"/>
      <c r="AL16" s="972"/>
      <c r="AM16" s="974"/>
      <c r="AN16" s="962"/>
      <c r="AO16" s="976"/>
      <c r="AP16" s="962"/>
      <c r="AQ16" s="962"/>
      <c r="AR16" s="962"/>
      <c r="AS16" s="96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965">
        <v>1</v>
      </c>
      <c r="B18" s="965" t="s">
        <v>578</v>
      </c>
      <c r="C18" s="967" t="str">
        <f>VLOOKUP(B18,DS,2,0)</f>
        <v>Nguyễn Thị Thanh Thúy</v>
      </c>
      <c r="D18" s="969" t="str">
        <f>VLOOKUP(B18,DS,3,0)</f>
        <v>Công nhân</v>
      </c>
      <c r="E18" s="483" t="s">
        <v>680</v>
      </c>
      <c r="F18" s="484">
        <v>8</v>
      </c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>
        <v>8</v>
      </c>
      <c r="AK18" s="971">
        <f t="shared" ref="AK18" si="12">((SUM(F18:AJ18))/8)-(SUMIF($F$6:$AJ$6,"C.Nhật",F18:AJ18)/8)</f>
        <v>26</v>
      </c>
      <c r="AL18" s="971">
        <f t="shared" ref="AL18" si="13">SUM(F19:AJ19)/8*1.5</f>
        <v>0</v>
      </c>
      <c r="AM18" s="973">
        <f>SUMIF($F$6:$AJ$6,"C.Nhật",$F18:$AJ19)/8*2</f>
        <v>0</v>
      </c>
      <c r="AN18" s="961">
        <f>SUM(AK18:AM19)</f>
        <v>26</v>
      </c>
      <c r="AO18" s="975">
        <v>0</v>
      </c>
      <c r="AP18" s="961"/>
      <c r="AQ18" s="961"/>
      <c r="AR18" s="961"/>
      <c r="AS18" s="96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66"/>
      <c r="B19" s="966"/>
      <c r="C19" s="968"/>
      <c r="D19" s="97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972"/>
      <c r="AL19" s="972"/>
      <c r="AM19" s="974"/>
      <c r="AN19" s="962"/>
      <c r="AO19" s="976"/>
      <c r="AP19" s="962"/>
      <c r="AQ19" s="962"/>
      <c r="AR19" s="962"/>
      <c r="AS19" s="96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65">
        <f>A18+1</f>
        <v>2</v>
      </c>
      <c r="B20" s="965" t="s">
        <v>579</v>
      </c>
      <c r="C20" s="967" t="str">
        <f>VLOOKUP(B20,DS,2,0)</f>
        <v>Huỳnh Đoàn Viết Thanh</v>
      </c>
      <c r="D20" s="969" t="str">
        <f>VLOOKUP(B20,DS,3,0)</f>
        <v>Công nhân</v>
      </c>
      <c r="E20" s="483" t="s">
        <v>680</v>
      </c>
      <c r="F20" s="484">
        <v>8</v>
      </c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>
        <v>8</v>
      </c>
      <c r="AK20" s="971">
        <f t="shared" ref="AK20" si="14">((SUM(F20:AJ20))/8)-(SUMIF($F$6:$AJ$6,"C.Nhật",F20:AJ20)/8)</f>
        <v>26</v>
      </c>
      <c r="AL20" s="971">
        <f t="shared" ref="AL20" si="15">SUM(F21:AJ21)/8*1.5</f>
        <v>0</v>
      </c>
      <c r="AM20" s="973">
        <f>SUMIF($F$6:$AJ$6,"C.Nhật",$F20:$AJ21)/8*2</f>
        <v>0</v>
      </c>
      <c r="AN20" s="961">
        <f t="shared" ref="AN20" si="16">SUM(AK20:AM21)</f>
        <v>26</v>
      </c>
      <c r="AO20" s="975">
        <v>0</v>
      </c>
      <c r="AP20" s="961"/>
      <c r="AQ20" s="961"/>
      <c r="AR20" s="961"/>
      <c r="AS20" s="96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66"/>
      <c r="B21" s="966"/>
      <c r="C21" s="968"/>
      <c r="D21" s="97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972"/>
      <c r="AL21" s="972"/>
      <c r="AM21" s="974"/>
      <c r="AN21" s="962"/>
      <c r="AO21" s="976"/>
      <c r="AP21" s="962"/>
      <c r="AQ21" s="962"/>
      <c r="AR21" s="962"/>
      <c r="AS21" s="96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65">
        <f t="shared" ref="A22" si="17">A20+1</f>
        <v>3</v>
      </c>
      <c r="B22" s="965" t="s">
        <v>580</v>
      </c>
      <c r="C22" s="967" t="str">
        <f>VLOOKUP(B22,DS,2,0)</f>
        <v>Trần Ngọc Thoại</v>
      </c>
      <c r="D22" s="969" t="str">
        <f>VLOOKUP(B22,DS,3,0)</f>
        <v>Công nhân</v>
      </c>
      <c r="E22" s="483" t="s">
        <v>680</v>
      </c>
      <c r="F22" s="484">
        <v>8</v>
      </c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>
        <v>8</v>
      </c>
      <c r="AK22" s="971">
        <f t="shared" ref="AK22" si="18">((SUM(F22:AJ22))/8)-(SUMIF($F$6:$AJ$6,"C.Nhật",F22:AJ22)/8)</f>
        <v>26</v>
      </c>
      <c r="AL22" s="971">
        <f t="shared" ref="AL22" si="19">SUM(F23:AJ23)/8*1.5</f>
        <v>0</v>
      </c>
      <c r="AM22" s="973">
        <f>SUMIF($F$6:$AJ$6,"C.Nhật",$F22:$AJ23)/8*2</f>
        <v>0</v>
      </c>
      <c r="AN22" s="961">
        <f t="shared" ref="AN22" si="20">SUM(AK22:AM23)</f>
        <v>26</v>
      </c>
      <c r="AO22" s="975">
        <v>0</v>
      </c>
      <c r="AP22" s="961"/>
      <c r="AQ22" s="961"/>
      <c r="AR22" s="961"/>
      <c r="AS22" s="96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66"/>
      <c r="B23" s="966"/>
      <c r="C23" s="968"/>
      <c r="D23" s="97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972"/>
      <c r="AL23" s="972"/>
      <c r="AM23" s="974"/>
      <c r="AN23" s="962"/>
      <c r="AO23" s="976"/>
      <c r="AP23" s="962"/>
      <c r="AQ23" s="962"/>
      <c r="AR23" s="962"/>
      <c r="AS23" s="96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965">
        <f t="shared" ref="A24" si="21">A22+1</f>
        <v>4</v>
      </c>
      <c r="B24" s="965" t="s">
        <v>582</v>
      </c>
      <c r="C24" s="967" t="str">
        <f>VLOOKUP(B24,DS,2,0)</f>
        <v>Nguyễn Đức Huy</v>
      </c>
      <c r="D24" s="969" t="str">
        <f>VLOOKUP(B24,DS,3,0)</f>
        <v>Công nhân</v>
      </c>
      <c r="E24" s="483" t="s">
        <v>680</v>
      </c>
      <c r="F24" s="484">
        <v>8</v>
      </c>
      <c r="G24" s="484"/>
      <c r="H24" s="484">
        <v>8</v>
      </c>
      <c r="I24" s="484">
        <v>8</v>
      </c>
      <c r="J24" s="484">
        <v>8</v>
      </c>
      <c r="K24" s="484">
        <v>8</v>
      </c>
      <c r="L24" s="484">
        <v>8</v>
      </c>
      <c r="M24" s="484">
        <v>8</v>
      </c>
      <c r="N24" s="484"/>
      <c r="O24" s="484">
        <v>8</v>
      </c>
      <c r="P24" s="484">
        <v>8</v>
      </c>
      <c r="Q24" s="484">
        <v>8</v>
      </c>
      <c r="R24" s="484">
        <v>8</v>
      </c>
      <c r="S24" s="484">
        <v>8</v>
      </c>
      <c r="T24" s="484">
        <v>8</v>
      </c>
      <c r="U24" s="484"/>
      <c r="V24" s="484">
        <v>8</v>
      </c>
      <c r="W24" s="484">
        <v>8</v>
      </c>
      <c r="X24" s="484">
        <v>8</v>
      </c>
      <c r="Y24" s="484">
        <v>8</v>
      </c>
      <c r="Z24" s="484">
        <v>8</v>
      </c>
      <c r="AA24" s="484">
        <v>8</v>
      </c>
      <c r="AB24" s="484"/>
      <c r="AC24" s="484">
        <v>8</v>
      </c>
      <c r="AD24" s="484">
        <v>8</v>
      </c>
      <c r="AE24" s="484">
        <v>8</v>
      </c>
      <c r="AF24" s="484">
        <v>8</v>
      </c>
      <c r="AG24" s="484">
        <v>8</v>
      </c>
      <c r="AH24" s="484">
        <v>8</v>
      </c>
      <c r="AI24" s="484"/>
      <c r="AJ24" s="484">
        <v>8</v>
      </c>
      <c r="AK24" s="971">
        <f t="shared" ref="AK24" si="22">((SUM(F24:AJ24))/8)-(SUMIF($F$6:$AJ$6,"C.Nhật",F24:AJ24)/8)</f>
        <v>26</v>
      </c>
      <c r="AL24" s="971">
        <f t="shared" ref="AL24" si="23">SUM(F25:AJ25)/8*1.5</f>
        <v>0</v>
      </c>
      <c r="AM24" s="973">
        <f>SUMIF($F$6:$AJ$6,"C.Nhật",$F24:$AJ25)/8*2</f>
        <v>0</v>
      </c>
      <c r="AN24" s="961">
        <f t="shared" ref="AN24" si="24">SUM(AK24:AM25)</f>
        <v>26</v>
      </c>
      <c r="AO24" s="975">
        <v>0</v>
      </c>
      <c r="AP24" s="961"/>
      <c r="AQ24" s="961"/>
      <c r="AR24" s="961"/>
      <c r="AS24" s="96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966"/>
      <c r="B25" s="966"/>
      <c r="C25" s="968"/>
      <c r="D25" s="970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972"/>
      <c r="AL25" s="972"/>
      <c r="AM25" s="974"/>
      <c r="AN25" s="962"/>
      <c r="AO25" s="976"/>
      <c r="AP25" s="962"/>
      <c r="AQ25" s="962"/>
      <c r="AR25" s="962"/>
      <c r="AS25" s="96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5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33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996" t="str">
        <f>"BẢNG THANH TOÁN LƯƠNG THÁNG"&amp;" "&amp;TEXT($E$4,"mm")&amp;" / "&amp;TEXT($E$4,"yyyy")</f>
        <v>BẢNG THANH TOÁN LƯƠNG THÁNG 12 / 2012</v>
      </c>
      <c r="E1" s="996"/>
      <c r="F1" s="996"/>
      <c r="G1" s="996"/>
      <c r="H1" s="996"/>
      <c r="I1" s="996"/>
      <c r="J1" s="996"/>
      <c r="K1" s="996"/>
      <c r="L1" s="996"/>
      <c r="M1" s="996"/>
      <c r="N1" s="996"/>
      <c r="O1" s="996"/>
      <c r="P1" s="996"/>
      <c r="Q1" s="997"/>
      <c r="R1" s="998" t="s">
        <v>665</v>
      </c>
      <c r="S1" s="999"/>
      <c r="T1" s="100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-12'!$AK$9:$AK$25)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-12'!$E$4</f>
        <v>41244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01" t="s">
        <v>34</v>
      </c>
      <c r="B5" s="1001" t="s">
        <v>693</v>
      </c>
      <c r="C5" s="951" t="s">
        <v>562</v>
      </c>
      <c r="D5" s="951" t="s">
        <v>563</v>
      </c>
      <c r="E5" s="952" t="s">
        <v>564</v>
      </c>
      <c r="F5" s="1003" t="s">
        <v>694</v>
      </c>
      <c r="G5" s="1004"/>
      <c r="H5" s="1004"/>
      <c r="I5" s="1004"/>
      <c r="J5" s="1004"/>
      <c r="K5" s="1005"/>
      <c r="L5" s="992" t="s">
        <v>571</v>
      </c>
      <c r="M5" s="992" t="s">
        <v>695</v>
      </c>
      <c r="N5" s="951" t="s">
        <v>696</v>
      </c>
      <c r="O5" s="951"/>
      <c r="P5" s="951"/>
      <c r="Q5" s="992" t="s">
        <v>697</v>
      </c>
      <c r="R5" s="992" t="s">
        <v>698</v>
      </c>
      <c r="S5" s="992" t="s">
        <v>699</v>
      </c>
      <c r="T5" s="95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02"/>
      <c r="B6" s="1002"/>
      <c r="C6" s="951"/>
      <c r="D6" s="951"/>
      <c r="E6" s="952"/>
      <c r="F6" s="1003" t="s">
        <v>701</v>
      </c>
      <c r="G6" s="1005"/>
      <c r="H6" s="1003" t="s">
        <v>702</v>
      </c>
      <c r="I6" s="1004"/>
      <c r="J6" s="990" t="s">
        <v>703</v>
      </c>
      <c r="K6" s="992" t="s">
        <v>704</v>
      </c>
      <c r="L6" s="993"/>
      <c r="M6" s="993"/>
      <c r="N6" s="994" t="s">
        <v>705</v>
      </c>
      <c r="O6" s="992" t="s">
        <v>706</v>
      </c>
      <c r="P6" s="992" t="s">
        <v>707</v>
      </c>
      <c r="Q6" s="993"/>
      <c r="R6" s="993"/>
      <c r="S6" s="993"/>
      <c r="T6" s="95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02"/>
      <c r="B7" s="1002"/>
      <c r="C7" s="992"/>
      <c r="D7" s="992"/>
      <c r="E7" s="952"/>
      <c r="F7" s="526" t="s">
        <v>708</v>
      </c>
      <c r="G7" s="527" t="s">
        <v>709</v>
      </c>
      <c r="H7" s="526" t="s">
        <v>708</v>
      </c>
      <c r="I7" s="528" t="s">
        <v>709</v>
      </c>
      <c r="J7" s="991"/>
      <c r="K7" s="993"/>
      <c r="L7" s="1006"/>
      <c r="M7" s="1006"/>
      <c r="N7" s="995"/>
      <c r="O7" s="993"/>
      <c r="P7" s="993"/>
      <c r="Q7" s="993"/>
      <c r="R7" s="993"/>
      <c r="S7" s="993"/>
      <c r="T7" s="95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-12'!$B$8:$AS$25,36,0)</f>
        <v>26</v>
      </c>
      <c r="G10" s="541">
        <f t="shared" ref="G10:G13" si="2">ROUND(E10/$U$2*F10,0)</f>
        <v>2877500</v>
      </c>
      <c r="H10" s="540">
        <f>(VLOOKUP(B10,'CC -12'!$B$8:$AS$25,37,0)+VLOOKUP(B10,'CC -12'!$B$8:$AS$25,38,0))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-12'!$B$8:$AS$25,36,0)</f>
        <v>26</v>
      </c>
      <c r="G11" s="541">
        <f t="shared" si="2"/>
        <v>2877500</v>
      </c>
      <c r="H11" s="540">
        <f>(VLOOKUP(B11,'CC -12'!$B$8:$AS$25,37,0)+VLOOKUP(B11,'CC -12'!$B$8:$AS$25,38,0))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-12'!$B$8:$AS$25,36,0)</f>
        <v>26</v>
      </c>
      <c r="G12" s="541">
        <f t="shared" si="2"/>
        <v>1565000</v>
      </c>
      <c r="H12" s="540">
        <f>(VLOOKUP(B12,'CC -12'!$B$8:$AS$25,37,0)+VLOOKUP(B12,'CC -12'!$B$8:$AS$25,38,0))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-12'!$B$8:$AS$25,36,0)</f>
        <v>26</v>
      </c>
      <c r="G13" s="541">
        <f t="shared" si="2"/>
        <v>1240000</v>
      </c>
      <c r="H13" s="540">
        <f>(VLOOKUP(B13,'CC -12'!$B$8:$AS$25,37,0)+VLOOKUP(B13,'CC -12'!$B$8:$AS$25,38,0))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989" t="s">
        <v>38</v>
      </c>
      <c r="B15" s="989"/>
      <c r="C15" s="989"/>
      <c r="D15" s="989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-12'!$B$8:$AS$25,36,0)</f>
        <v>26</v>
      </c>
      <c r="G17" s="541">
        <f t="shared" ref="G17:G20" si="13">ROUND(E17/$U$2*F17,0)</f>
        <v>1365000</v>
      </c>
      <c r="H17" s="540">
        <f>(VLOOKUP(B17,'CC -12'!$B$8:$AS$25,37,0)+VLOOKUP(B17,'CC -12'!$B$8:$AS$25,38,0))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- 12'!E17*$N$4,0)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-12'!$B$8:$AS$25,36,0)</f>
        <v>26</v>
      </c>
      <c r="G18" s="541">
        <f t="shared" si="13"/>
        <v>1275000</v>
      </c>
      <c r="H18" s="540">
        <f>(VLOOKUP(B18,'CC -12'!$B$8:$AS$25,37,0)+VLOOKUP(B18,'CC -12'!$B$8:$AS$25,38,0))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- 12'!E18*$N$4,0)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-12'!$B$8:$AS$25,36,0)</f>
        <v>26</v>
      </c>
      <c r="G19" s="541">
        <f t="shared" si="13"/>
        <v>990000</v>
      </c>
      <c r="H19" s="540">
        <f>(VLOOKUP(B19,'CC -12'!$B$8:$AS$25,37,0)+VLOOKUP(B19,'CC -12'!$B$8:$AS$25,38,0))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- 12'!E19*$N$4,0)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-12'!$B$8:$AS$25,36,0)</f>
        <v>26</v>
      </c>
      <c r="G20" s="541">
        <f t="shared" si="13"/>
        <v>1015000</v>
      </c>
      <c r="H20" s="540">
        <f>(VLOOKUP(B20,'CC -12'!$B$8:$AS$25,37,0)+VLOOKUP(B20,'CC -12'!$B$8:$AS$25,38,0))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- 12'!E20*$N$4,0)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989" t="s">
        <v>38</v>
      </c>
      <c r="B22" s="989"/>
      <c r="C22" s="989"/>
      <c r="D22" s="989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48</vt:i4>
      </vt:variant>
    </vt:vector>
  </HeadingPairs>
  <TitlesOfParts>
    <vt:vector size="75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'L - 10'!Print_Area</vt:lpstr>
      <vt:lpstr>'L - 11'!Print_Area</vt:lpstr>
      <vt:lpstr>'L - 12'!Print_Area</vt:lpstr>
      <vt:lpstr>'L - 9'!Print_Area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2017-02-09T06:40:00Z</cp:lastPrinted>
  <dcterms:created xsi:type="dcterms:W3CDTF">1996-10-14T23:33:28Z</dcterms:created>
  <dcterms:modified xsi:type="dcterms:W3CDTF">2017-02-09T06:40:06Z</dcterms:modified>
</cp:coreProperties>
</file>