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210" windowWidth="15150" windowHeight="8580" tabRatio="897" activeTab="2"/>
  </bookViews>
  <sheets>
    <sheet name="TH" sheetId="15" r:id="rId1"/>
    <sheet name="CC -5" sheetId="14" r:id="rId2"/>
    <sheet name="L - 5" sheetId="16" r:id="rId3"/>
    <sheet name="CC -6" sheetId="33" r:id="rId4"/>
    <sheet name="L - 6" sheetId="34" r:id="rId5"/>
    <sheet name="CC -7" sheetId="31" r:id="rId6"/>
    <sheet name="L - 7" sheetId="32" r:id="rId7"/>
    <sheet name="CC -8" sheetId="29" r:id="rId8"/>
    <sheet name="L - 8" sheetId="30" r:id="rId9"/>
    <sheet name="CC -9" sheetId="27" r:id="rId10"/>
    <sheet name="L - 9" sheetId="28" r:id="rId11"/>
    <sheet name="CC -10" sheetId="25" r:id="rId12"/>
    <sheet name="L - 10" sheetId="26" r:id="rId13"/>
    <sheet name="CC -11" sheetId="23" r:id="rId14"/>
    <sheet name="L - 11" sheetId="24" r:id="rId15"/>
    <sheet name="CC -12" sheetId="21" r:id="rId16"/>
    <sheet name="L - 12" sheetId="22" r:id="rId17"/>
  </sheets>
  <definedNames>
    <definedName name="____a1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1" hidden="1">'CC -10'!$A$7:$AS$7</definedName>
    <definedName name="_xlnm._FilterDatabase" localSheetId="13" hidden="1">'CC -11'!$A$7:$AS$7</definedName>
    <definedName name="_xlnm._FilterDatabase" localSheetId="15" hidden="1">'CC -12'!$A$7:$AS$7</definedName>
    <definedName name="_xlnm._FilterDatabase" localSheetId="1" hidden="1">'CC -5'!$A$7:$AS$7</definedName>
    <definedName name="_xlnm._FilterDatabase" localSheetId="3" hidden="1">'CC -6'!$A$7:$AS$7</definedName>
    <definedName name="_xlnm._FilterDatabase" localSheetId="5" hidden="1">'CC -7'!$A$7:$AS$7</definedName>
    <definedName name="_xlnm._FilterDatabase" localSheetId="7" hidden="1">'CC -8'!$A$7:$AS$7</definedName>
    <definedName name="_xlnm._FilterDatabase" localSheetId="9" hidden="1">'CC -9'!$A$7:$AS$7</definedName>
    <definedName name="_xlnm._FilterDatabase" localSheetId="12" hidden="1">'L - 10'!$A$7:$AE$10</definedName>
    <definedName name="_xlnm._FilterDatabase" localSheetId="14" hidden="1">'L - 11'!$A$7:$AE$10</definedName>
    <definedName name="_xlnm._FilterDatabase" localSheetId="16" hidden="1">'L - 12'!$A$7:$AE$10</definedName>
    <definedName name="_xlnm._FilterDatabase" localSheetId="2" hidden="1">'L - 5'!$A$7:$AE$10</definedName>
    <definedName name="_xlnm._FilterDatabase" localSheetId="4" hidden="1">'L - 6'!$A$7:$AE$10</definedName>
    <definedName name="_xlnm._FilterDatabase" localSheetId="6" hidden="1">'L - 7'!$A$7:$AE$10</definedName>
    <definedName name="_xlnm._FilterDatabase" localSheetId="8" hidden="1">'L - 8'!$A$7:$AE$10</definedName>
    <definedName name="_xlnm._FilterDatabase" localSheetId="10" hidden="1">'L - 9'!$A$7:$AE$10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0" hidden="1">{"'Sheet1'!$L$16"}</definedName>
    <definedName name="GFSAH" hidden="1">{"'Sheet1'!$L$16"}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0" hidden="1">{"'Sheet1'!$L$16"}</definedName>
    <definedName name="h" hidden="1">{"'Sheet1'!$L$16"}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0" hidden="1">{"'Sheet1'!$L$16"}</definedName>
    <definedName name="huy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0" hidden="1">{"'Sheet1'!$L$16"}</definedName>
    <definedName name="khkl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0" hidden="1">{"'Sheet1'!$L$16"}</definedName>
    <definedName name="kjjh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0" hidden="1">{"'Sheet1'!$L$16"}</definedName>
    <definedName name="KTLDLAN3" hidden="1">{"'Sheet1'!$L$16"}</definedName>
    <definedName name="_xlnm.Print_Area" localSheetId="11">'CC -10'!$A$1:$AS$47</definedName>
    <definedName name="_xlnm.Print_Area" localSheetId="13">'CC -11'!$A$1:$AS$47</definedName>
    <definedName name="_xlnm.Print_Area" localSheetId="15">'CC -12'!$A$1:$AS$47</definedName>
    <definedName name="_xlnm.Print_Area" localSheetId="1">'CC -5'!$A$1:$AS$49</definedName>
    <definedName name="_xlnm.Print_Area" localSheetId="3">'CC -6'!$A$1:$AS$47</definedName>
    <definedName name="_xlnm.Print_Area" localSheetId="5">'CC -7'!$A$1:$AS$47</definedName>
    <definedName name="_xlnm.Print_Area" localSheetId="7">'CC -8'!$A$1:$AS$47</definedName>
    <definedName name="_xlnm.Print_Area" localSheetId="9">'CC -9'!$A$1:$AS$47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0" hidden="1">{"'Sheet1'!$L$16"}</definedName>
    <definedName name="ưer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0" hidden="1">{"'Sheet1'!$L$16"}</definedName>
    <definedName name="UU" hidden="1">{"'Sheet1'!$L$16"}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C11" i="16" l="1"/>
  <c r="D11" i="16"/>
  <c r="E11" i="16"/>
  <c r="F11" i="16"/>
  <c r="G11" i="16" s="1"/>
  <c r="H11" i="16"/>
  <c r="I11" i="16" s="1"/>
  <c r="J11" i="16"/>
  <c r="L11" i="16"/>
  <c r="N11" i="16"/>
  <c r="O11" i="16"/>
  <c r="P11" i="16"/>
  <c r="R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AM11" i="14"/>
  <c r="AL11" i="14"/>
  <c r="AK11" i="14"/>
  <c r="AN11" i="14" s="1"/>
  <c r="D11" i="14"/>
  <c r="C11" i="14"/>
  <c r="C22" i="14"/>
  <c r="D22" i="14"/>
  <c r="AL22" i="14"/>
  <c r="C24" i="14"/>
  <c r="D24" i="14"/>
  <c r="AL24" i="14"/>
  <c r="C26" i="14"/>
  <c r="D26" i="14"/>
  <c r="AL26" i="14"/>
  <c r="A12" i="15"/>
  <c r="A13" i="15"/>
  <c r="A14" i="15"/>
  <c r="A15" i="15"/>
  <c r="A16" i="15"/>
  <c r="A17" i="15"/>
  <c r="A18" i="15"/>
  <c r="A19" i="15"/>
  <c r="A20" i="15"/>
  <c r="A21" i="15"/>
  <c r="A11" i="15"/>
  <c r="K11" i="16" l="1"/>
  <c r="M11" i="16" s="1"/>
  <c r="Q11" i="16" s="1"/>
  <c r="S11" i="16" s="1"/>
  <c r="R18" i="34"/>
  <c r="P18" i="34"/>
  <c r="O18" i="34"/>
  <c r="N18" i="34"/>
  <c r="E18" i="34"/>
  <c r="D18" i="34"/>
  <c r="C18" i="34"/>
  <c r="R17" i="34"/>
  <c r="P17" i="34"/>
  <c r="O17" i="34"/>
  <c r="N17" i="34"/>
  <c r="E17" i="34"/>
  <c r="D17" i="34"/>
  <c r="C17" i="34"/>
  <c r="R16" i="34"/>
  <c r="P16" i="34"/>
  <c r="O16" i="34"/>
  <c r="N16" i="34"/>
  <c r="E16" i="34"/>
  <c r="D16" i="34"/>
  <c r="C16" i="34"/>
  <c r="R15" i="34"/>
  <c r="P15" i="34"/>
  <c r="O15" i="34"/>
  <c r="N15" i="34"/>
  <c r="E15" i="34"/>
  <c r="D15" i="34"/>
  <c r="C15" i="34"/>
  <c r="R14" i="34"/>
  <c r="P14" i="34"/>
  <c r="O14" i="34"/>
  <c r="N14" i="34"/>
  <c r="E14" i="34"/>
  <c r="D14" i="34"/>
  <c r="C14" i="34"/>
  <c r="R13" i="34"/>
  <c r="P13" i="34"/>
  <c r="O13" i="34"/>
  <c r="N13" i="34"/>
  <c r="E13" i="34"/>
  <c r="D13" i="34"/>
  <c r="C13" i="34"/>
  <c r="R11" i="34"/>
  <c r="P11" i="34"/>
  <c r="O11" i="34"/>
  <c r="N11" i="34"/>
  <c r="E11" i="34"/>
  <c r="D11" i="34"/>
  <c r="C11" i="34"/>
  <c r="R10" i="34"/>
  <c r="P10" i="34"/>
  <c r="P20" i="34" s="1"/>
  <c r="O10" i="34"/>
  <c r="O20" i="34" s="1"/>
  <c r="N10" i="34"/>
  <c r="N20" i="34" s="1"/>
  <c r="E10" i="34"/>
  <c r="E20" i="34" s="1"/>
  <c r="D10" i="34"/>
  <c r="C10" i="34"/>
  <c r="E4" i="34"/>
  <c r="S22" i="34" s="1"/>
  <c r="A3" i="34"/>
  <c r="A2" i="34"/>
  <c r="AL24" i="33"/>
  <c r="D24" i="33"/>
  <c r="C24" i="33"/>
  <c r="AL22" i="33"/>
  <c r="D22" i="33"/>
  <c r="C22" i="33"/>
  <c r="AL20" i="33"/>
  <c r="D20" i="33"/>
  <c r="C20" i="33"/>
  <c r="AL18" i="33"/>
  <c r="D18" i="33"/>
  <c r="C18" i="33"/>
  <c r="AL16" i="33"/>
  <c r="D16" i="33"/>
  <c r="C16" i="33"/>
  <c r="A16" i="33"/>
  <c r="A18" i="33" s="1"/>
  <c r="A20" i="33" s="1"/>
  <c r="A22" i="33" s="1"/>
  <c r="A24" i="33" s="1"/>
  <c r="AL14" i="33"/>
  <c r="D14" i="33"/>
  <c r="C14" i="33"/>
  <c r="AL11" i="33"/>
  <c r="D11" i="33"/>
  <c r="C11" i="33"/>
  <c r="A11" i="33"/>
  <c r="AL9" i="33"/>
  <c r="D9" i="33"/>
  <c r="C9" i="33"/>
  <c r="F6" i="33"/>
  <c r="F5" i="33"/>
  <c r="G5" i="33" s="1"/>
  <c r="A3" i="33"/>
  <c r="A2" i="33"/>
  <c r="S1" i="33"/>
  <c r="R18" i="32"/>
  <c r="P18" i="32"/>
  <c r="O18" i="32"/>
  <c r="N18" i="32"/>
  <c r="E18" i="32"/>
  <c r="D18" i="32"/>
  <c r="C18" i="32"/>
  <c r="R17" i="32"/>
  <c r="P17" i="32"/>
  <c r="O17" i="32"/>
  <c r="N17" i="32"/>
  <c r="E17" i="32"/>
  <c r="D17" i="32"/>
  <c r="C17" i="32"/>
  <c r="R16" i="32"/>
  <c r="P16" i="32"/>
  <c r="O16" i="32"/>
  <c r="N16" i="32"/>
  <c r="E16" i="32"/>
  <c r="D16" i="32"/>
  <c r="C16" i="32"/>
  <c r="R15" i="32"/>
  <c r="P15" i="32"/>
  <c r="O15" i="32"/>
  <c r="N15" i="32"/>
  <c r="E15" i="32"/>
  <c r="D15" i="32"/>
  <c r="C15" i="32"/>
  <c r="R14" i="32"/>
  <c r="P14" i="32"/>
  <c r="O14" i="32"/>
  <c r="N14" i="32"/>
  <c r="E14" i="32"/>
  <c r="D14" i="32"/>
  <c r="C14" i="32"/>
  <c r="R13" i="32"/>
  <c r="P13" i="32"/>
  <c r="O13" i="32"/>
  <c r="N13" i="32"/>
  <c r="E13" i="32"/>
  <c r="D13" i="32"/>
  <c r="C13" i="32"/>
  <c r="R11" i="32"/>
  <c r="P11" i="32"/>
  <c r="O11" i="32"/>
  <c r="N11" i="32"/>
  <c r="E11" i="32"/>
  <c r="D11" i="32"/>
  <c r="C11" i="32"/>
  <c r="R10" i="32"/>
  <c r="P10" i="32"/>
  <c r="O10" i="32"/>
  <c r="O20" i="32" s="1"/>
  <c r="N10" i="32"/>
  <c r="E10" i="32"/>
  <c r="D10" i="32"/>
  <c r="C10" i="32"/>
  <c r="E4" i="32"/>
  <c r="S22" i="32" s="1"/>
  <c r="A3" i="32"/>
  <c r="A2" i="32"/>
  <c r="AL24" i="31"/>
  <c r="D24" i="31"/>
  <c r="C24" i="31"/>
  <c r="AL22" i="31"/>
  <c r="D22" i="31"/>
  <c r="C22" i="31"/>
  <c r="AL20" i="31"/>
  <c r="D20" i="31"/>
  <c r="C20" i="31"/>
  <c r="AL18" i="31"/>
  <c r="D18" i="31"/>
  <c r="C18" i="31"/>
  <c r="AL16" i="31"/>
  <c r="D16" i="31"/>
  <c r="C16" i="31"/>
  <c r="A16" i="31"/>
  <c r="A18" i="31" s="1"/>
  <c r="A20" i="31" s="1"/>
  <c r="A22" i="31" s="1"/>
  <c r="A24" i="31" s="1"/>
  <c r="AL14" i="31"/>
  <c r="D14" i="31"/>
  <c r="C14" i="31"/>
  <c r="AL11" i="31"/>
  <c r="D11" i="31"/>
  <c r="C11" i="31"/>
  <c r="A11" i="31"/>
  <c r="AL9" i="31"/>
  <c r="D9" i="31"/>
  <c r="C9" i="31"/>
  <c r="G5" i="31"/>
  <c r="G6" i="31" s="1"/>
  <c r="F5" i="31"/>
  <c r="F6" i="31" s="1"/>
  <c r="A3" i="31"/>
  <c r="A2" i="31"/>
  <c r="S1" i="31"/>
  <c r="AJ5" i="29"/>
  <c r="AJ6" i="29"/>
  <c r="R18" i="30"/>
  <c r="P18" i="30"/>
  <c r="O18" i="30"/>
  <c r="N18" i="30"/>
  <c r="E18" i="30"/>
  <c r="D18" i="30"/>
  <c r="C18" i="30"/>
  <c r="R17" i="30"/>
  <c r="P17" i="30"/>
  <c r="O17" i="30"/>
  <c r="N17" i="30"/>
  <c r="E17" i="30"/>
  <c r="D17" i="30"/>
  <c r="C17" i="30"/>
  <c r="R16" i="30"/>
  <c r="P16" i="30"/>
  <c r="O16" i="30"/>
  <c r="N16" i="30"/>
  <c r="E16" i="30"/>
  <c r="D16" i="30"/>
  <c r="C16" i="30"/>
  <c r="R15" i="30"/>
  <c r="P15" i="30"/>
  <c r="O15" i="30"/>
  <c r="N15" i="30"/>
  <c r="E15" i="30"/>
  <c r="D15" i="30"/>
  <c r="C15" i="30"/>
  <c r="R14" i="30"/>
  <c r="P14" i="30"/>
  <c r="O14" i="30"/>
  <c r="N14" i="30"/>
  <c r="E14" i="30"/>
  <c r="D14" i="30"/>
  <c r="C14" i="30"/>
  <c r="R13" i="30"/>
  <c r="P13" i="30"/>
  <c r="O13" i="30"/>
  <c r="N13" i="30"/>
  <c r="E13" i="30"/>
  <c r="D13" i="30"/>
  <c r="C13" i="30"/>
  <c r="R11" i="30"/>
  <c r="P11" i="30"/>
  <c r="O11" i="30"/>
  <c r="N11" i="30"/>
  <c r="E11" i="30"/>
  <c r="D11" i="30"/>
  <c r="C11" i="30"/>
  <c r="R10" i="30"/>
  <c r="P10" i="30"/>
  <c r="O10" i="30"/>
  <c r="N10" i="30"/>
  <c r="E10" i="30"/>
  <c r="D10" i="30"/>
  <c r="C10" i="30"/>
  <c r="E4" i="30"/>
  <c r="S22" i="30" s="1"/>
  <c r="A3" i="30"/>
  <c r="A2" i="30"/>
  <c r="AL24" i="29"/>
  <c r="D24" i="29"/>
  <c r="C24" i="29"/>
  <c r="AL22" i="29"/>
  <c r="D22" i="29"/>
  <c r="C22" i="29"/>
  <c r="AL20" i="29"/>
  <c r="D20" i="29"/>
  <c r="C20" i="29"/>
  <c r="AL18" i="29"/>
  <c r="D18" i="29"/>
  <c r="C18" i="29"/>
  <c r="AL16" i="29"/>
  <c r="D16" i="29"/>
  <c r="C16" i="29"/>
  <c r="A16" i="29"/>
  <c r="A18" i="29" s="1"/>
  <c r="A20" i="29" s="1"/>
  <c r="A22" i="29" s="1"/>
  <c r="A24" i="29" s="1"/>
  <c r="AL14" i="29"/>
  <c r="D14" i="29"/>
  <c r="C14" i="29"/>
  <c r="AL11" i="29"/>
  <c r="D11" i="29"/>
  <c r="C11" i="29"/>
  <c r="A11" i="29"/>
  <c r="AL9" i="29"/>
  <c r="D9" i="29"/>
  <c r="C9" i="29"/>
  <c r="F5" i="29"/>
  <c r="F6" i="29" s="1"/>
  <c r="A3" i="29"/>
  <c r="A2" i="29"/>
  <c r="S1" i="29"/>
  <c r="R18" i="28"/>
  <c r="P18" i="28"/>
  <c r="O18" i="28"/>
  <c r="N18" i="28"/>
  <c r="E18" i="28"/>
  <c r="D18" i="28"/>
  <c r="C18" i="28"/>
  <c r="R17" i="28"/>
  <c r="P17" i="28"/>
  <c r="O17" i="28"/>
  <c r="N17" i="28"/>
  <c r="E17" i="28"/>
  <c r="D17" i="28"/>
  <c r="C17" i="28"/>
  <c r="R16" i="28"/>
  <c r="P16" i="28"/>
  <c r="O16" i="28"/>
  <c r="N16" i="28"/>
  <c r="E16" i="28"/>
  <c r="D16" i="28"/>
  <c r="C16" i="28"/>
  <c r="R15" i="28"/>
  <c r="P15" i="28"/>
  <c r="O15" i="28"/>
  <c r="N15" i="28"/>
  <c r="E15" i="28"/>
  <c r="D15" i="28"/>
  <c r="C15" i="28"/>
  <c r="R14" i="28"/>
  <c r="P14" i="28"/>
  <c r="O14" i="28"/>
  <c r="N14" i="28"/>
  <c r="E14" i="28"/>
  <c r="D14" i="28"/>
  <c r="C14" i="28"/>
  <c r="R13" i="28"/>
  <c r="P13" i="28"/>
  <c r="O13" i="28"/>
  <c r="N13" i="28"/>
  <c r="E13" i="28"/>
  <c r="D13" i="28"/>
  <c r="C13" i="28"/>
  <c r="R11" i="28"/>
  <c r="P11" i="28"/>
  <c r="O11" i="28"/>
  <c r="N11" i="28"/>
  <c r="E11" i="28"/>
  <c r="D11" i="28"/>
  <c r="C11" i="28"/>
  <c r="R10" i="28"/>
  <c r="P10" i="28"/>
  <c r="O10" i="28"/>
  <c r="N10" i="28"/>
  <c r="E10" i="28"/>
  <c r="D10" i="28"/>
  <c r="C10" i="28"/>
  <c r="E4" i="28"/>
  <c r="S22" i="28" s="1"/>
  <c r="A3" i="28"/>
  <c r="A2" i="28"/>
  <c r="AL24" i="27"/>
  <c r="D24" i="27"/>
  <c r="C24" i="27"/>
  <c r="AL22" i="27"/>
  <c r="D22" i="27"/>
  <c r="C22" i="27"/>
  <c r="AL20" i="27"/>
  <c r="D20" i="27"/>
  <c r="C20" i="27"/>
  <c r="AL18" i="27"/>
  <c r="D18" i="27"/>
  <c r="C18" i="27"/>
  <c r="AL16" i="27"/>
  <c r="D16" i="27"/>
  <c r="C16" i="27"/>
  <c r="A16" i="27"/>
  <c r="A18" i="27" s="1"/>
  <c r="A20" i="27" s="1"/>
  <c r="A22" i="27" s="1"/>
  <c r="A24" i="27" s="1"/>
  <c r="AL14" i="27"/>
  <c r="D14" i="27"/>
  <c r="C14" i="27"/>
  <c r="AL11" i="27"/>
  <c r="D11" i="27"/>
  <c r="C11" i="27"/>
  <c r="A11" i="27"/>
  <c r="AL9" i="27"/>
  <c r="D9" i="27"/>
  <c r="C9" i="27"/>
  <c r="F6" i="27"/>
  <c r="F5" i="27"/>
  <c r="G5" i="27" s="1"/>
  <c r="A3" i="27"/>
  <c r="A2" i="27"/>
  <c r="S1" i="27"/>
  <c r="AJ5" i="25"/>
  <c r="AJ6" i="25"/>
  <c r="R18" i="26"/>
  <c r="P18" i="26"/>
  <c r="O18" i="26"/>
  <c r="N18" i="26"/>
  <c r="E18" i="26"/>
  <c r="D18" i="26"/>
  <c r="C18" i="26"/>
  <c r="R17" i="26"/>
  <c r="P17" i="26"/>
  <c r="O17" i="26"/>
  <c r="N17" i="26"/>
  <c r="E17" i="26"/>
  <c r="D17" i="26"/>
  <c r="C17" i="26"/>
  <c r="R16" i="26"/>
  <c r="P16" i="26"/>
  <c r="O16" i="26"/>
  <c r="N16" i="26"/>
  <c r="E16" i="26"/>
  <c r="D16" i="26"/>
  <c r="C16" i="26"/>
  <c r="R15" i="26"/>
  <c r="P15" i="26"/>
  <c r="O15" i="26"/>
  <c r="N15" i="26"/>
  <c r="E15" i="26"/>
  <c r="D15" i="26"/>
  <c r="C15" i="26"/>
  <c r="R14" i="26"/>
  <c r="P14" i="26"/>
  <c r="O14" i="26"/>
  <c r="N14" i="26"/>
  <c r="E14" i="26"/>
  <c r="D14" i="26"/>
  <c r="C14" i="26"/>
  <c r="R13" i="26"/>
  <c r="P13" i="26"/>
  <c r="O13" i="26"/>
  <c r="N13" i="26"/>
  <c r="E13" i="26"/>
  <c r="D13" i="26"/>
  <c r="C13" i="26"/>
  <c r="R11" i="26"/>
  <c r="P11" i="26"/>
  <c r="O11" i="26"/>
  <c r="N11" i="26"/>
  <c r="E11" i="26"/>
  <c r="D11" i="26"/>
  <c r="C11" i="26"/>
  <c r="R10" i="26"/>
  <c r="P10" i="26"/>
  <c r="O10" i="26"/>
  <c r="N10" i="26"/>
  <c r="E10" i="26"/>
  <c r="D10" i="26"/>
  <c r="C10" i="26"/>
  <c r="E4" i="26"/>
  <c r="S22" i="26" s="1"/>
  <c r="A3" i="26"/>
  <c r="A2" i="26"/>
  <c r="AL24" i="25"/>
  <c r="D24" i="25"/>
  <c r="C24" i="25"/>
  <c r="AL22" i="25"/>
  <c r="D22" i="25"/>
  <c r="C22" i="25"/>
  <c r="AL20" i="25"/>
  <c r="D20" i="25"/>
  <c r="C20" i="25"/>
  <c r="AL18" i="25"/>
  <c r="D18" i="25"/>
  <c r="C18" i="25"/>
  <c r="AL16" i="25"/>
  <c r="D16" i="25"/>
  <c r="C16" i="25"/>
  <c r="A16" i="25"/>
  <c r="A18" i="25" s="1"/>
  <c r="A20" i="25" s="1"/>
  <c r="A22" i="25" s="1"/>
  <c r="A24" i="25" s="1"/>
  <c r="AL14" i="25"/>
  <c r="D14" i="25"/>
  <c r="C14" i="25"/>
  <c r="AL11" i="25"/>
  <c r="D11" i="25"/>
  <c r="C11" i="25"/>
  <c r="A11" i="25"/>
  <c r="AL9" i="25"/>
  <c r="D9" i="25"/>
  <c r="C9" i="25"/>
  <c r="F5" i="25"/>
  <c r="F6" i="25" s="1"/>
  <c r="A3" i="25"/>
  <c r="A2" i="25"/>
  <c r="S1" i="25"/>
  <c r="R18" i="24"/>
  <c r="P18" i="24"/>
  <c r="O18" i="24"/>
  <c r="N18" i="24"/>
  <c r="E18" i="24"/>
  <c r="D18" i="24"/>
  <c r="C18" i="24"/>
  <c r="R17" i="24"/>
  <c r="P17" i="24"/>
  <c r="O17" i="24"/>
  <c r="N17" i="24"/>
  <c r="E17" i="24"/>
  <c r="D17" i="24"/>
  <c r="C17" i="24"/>
  <c r="R16" i="24"/>
  <c r="P16" i="24"/>
  <c r="O16" i="24"/>
  <c r="N16" i="24"/>
  <c r="E16" i="24"/>
  <c r="D16" i="24"/>
  <c r="C16" i="24"/>
  <c r="R15" i="24"/>
  <c r="P15" i="24"/>
  <c r="O15" i="24"/>
  <c r="N15" i="24"/>
  <c r="E15" i="24"/>
  <c r="D15" i="24"/>
  <c r="C15" i="24"/>
  <c r="R14" i="24"/>
  <c r="P14" i="24"/>
  <c r="O14" i="24"/>
  <c r="N14" i="24"/>
  <c r="E14" i="24"/>
  <c r="D14" i="24"/>
  <c r="C14" i="24"/>
  <c r="R13" i="24"/>
  <c r="P13" i="24"/>
  <c r="O13" i="24"/>
  <c r="N13" i="24"/>
  <c r="E13" i="24"/>
  <c r="D13" i="24"/>
  <c r="C13" i="24"/>
  <c r="R11" i="24"/>
  <c r="P11" i="24"/>
  <c r="O11" i="24"/>
  <c r="N11" i="24"/>
  <c r="E11" i="24"/>
  <c r="D11" i="24"/>
  <c r="C11" i="24"/>
  <c r="R10" i="24"/>
  <c r="P10" i="24"/>
  <c r="O10" i="24"/>
  <c r="N10" i="24"/>
  <c r="E10" i="24"/>
  <c r="D10" i="24"/>
  <c r="C10" i="24"/>
  <c r="E4" i="24"/>
  <c r="S22" i="24" s="1"/>
  <c r="A3" i="24"/>
  <c r="A2" i="24"/>
  <c r="AL24" i="23"/>
  <c r="D24" i="23"/>
  <c r="C24" i="23"/>
  <c r="AL22" i="23"/>
  <c r="D22" i="23"/>
  <c r="C22" i="23"/>
  <c r="AL20" i="23"/>
  <c r="D20" i="23"/>
  <c r="C20" i="23"/>
  <c r="AL18" i="23"/>
  <c r="D18" i="23"/>
  <c r="C18" i="23"/>
  <c r="AL16" i="23"/>
  <c r="D16" i="23"/>
  <c r="C16" i="23"/>
  <c r="A16" i="23"/>
  <c r="A18" i="23" s="1"/>
  <c r="A20" i="23" s="1"/>
  <c r="A22" i="23" s="1"/>
  <c r="A24" i="23" s="1"/>
  <c r="AL14" i="23"/>
  <c r="D14" i="23"/>
  <c r="C14" i="23"/>
  <c r="AL11" i="23"/>
  <c r="D11" i="23"/>
  <c r="C11" i="23"/>
  <c r="A11" i="23"/>
  <c r="AL9" i="23"/>
  <c r="D9" i="23"/>
  <c r="C9" i="23"/>
  <c r="G5" i="23"/>
  <c r="G6" i="23" s="1"/>
  <c r="F5" i="23"/>
  <c r="F6" i="23" s="1"/>
  <c r="A3" i="23"/>
  <c r="A2" i="23"/>
  <c r="S1" i="23"/>
  <c r="R18" i="22"/>
  <c r="P18" i="22"/>
  <c r="O18" i="22"/>
  <c r="N18" i="22"/>
  <c r="E18" i="22"/>
  <c r="D18" i="22"/>
  <c r="C18" i="22"/>
  <c r="R17" i="22"/>
  <c r="P17" i="22"/>
  <c r="O17" i="22"/>
  <c r="N17" i="22"/>
  <c r="E17" i="22"/>
  <c r="D17" i="22"/>
  <c r="C17" i="22"/>
  <c r="R16" i="22"/>
  <c r="P16" i="22"/>
  <c r="O16" i="22"/>
  <c r="N16" i="22"/>
  <c r="E16" i="22"/>
  <c r="D16" i="22"/>
  <c r="C16" i="22"/>
  <c r="R15" i="22"/>
  <c r="P15" i="22"/>
  <c r="O15" i="22"/>
  <c r="N15" i="22"/>
  <c r="E15" i="22"/>
  <c r="D15" i="22"/>
  <c r="C15" i="22"/>
  <c r="R14" i="22"/>
  <c r="P14" i="22"/>
  <c r="O14" i="22"/>
  <c r="N14" i="22"/>
  <c r="E14" i="22"/>
  <c r="D14" i="22"/>
  <c r="C14" i="22"/>
  <c r="R13" i="22"/>
  <c r="P13" i="22"/>
  <c r="O13" i="22"/>
  <c r="N13" i="22"/>
  <c r="E13" i="22"/>
  <c r="D13" i="22"/>
  <c r="C13" i="22"/>
  <c r="R11" i="22"/>
  <c r="P11" i="22"/>
  <c r="O11" i="22"/>
  <c r="N11" i="22"/>
  <c r="E11" i="22"/>
  <c r="D11" i="22"/>
  <c r="C11" i="22"/>
  <c r="R10" i="22"/>
  <c r="P10" i="22"/>
  <c r="O10" i="22"/>
  <c r="N10" i="22"/>
  <c r="E10" i="22"/>
  <c r="D10" i="22"/>
  <c r="C10" i="22"/>
  <c r="E4" i="22"/>
  <c r="S22" i="22" s="1"/>
  <c r="A3" i="22"/>
  <c r="A2" i="22"/>
  <c r="AL24" i="21"/>
  <c r="D24" i="21"/>
  <c r="C24" i="21"/>
  <c r="AL22" i="21"/>
  <c r="D22" i="21"/>
  <c r="C22" i="21"/>
  <c r="AL20" i="21"/>
  <c r="D20" i="21"/>
  <c r="C20" i="21"/>
  <c r="AL18" i="21"/>
  <c r="D18" i="21"/>
  <c r="C18" i="21"/>
  <c r="AL16" i="21"/>
  <c r="D16" i="21"/>
  <c r="C16" i="21"/>
  <c r="A16" i="21"/>
  <c r="A18" i="21" s="1"/>
  <c r="A20" i="21" s="1"/>
  <c r="A22" i="21" s="1"/>
  <c r="A24" i="21" s="1"/>
  <c r="AL14" i="21"/>
  <c r="D14" i="21"/>
  <c r="C14" i="21"/>
  <c r="AL11" i="21"/>
  <c r="D11" i="21"/>
  <c r="C11" i="21"/>
  <c r="A11" i="21"/>
  <c r="AL9" i="21"/>
  <c r="D9" i="21"/>
  <c r="C9" i="21"/>
  <c r="F5" i="21"/>
  <c r="F6" i="21" s="1"/>
  <c r="A3" i="21"/>
  <c r="A2" i="21"/>
  <c r="S1" i="21"/>
  <c r="R20" i="34" l="1"/>
  <c r="G6" i="33"/>
  <c r="H5" i="33"/>
  <c r="P20" i="32"/>
  <c r="E20" i="30"/>
  <c r="R20" i="30"/>
  <c r="E20" i="32"/>
  <c r="R20" i="32"/>
  <c r="N20" i="32"/>
  <c r="D1" i="34"/>
  <c r="H5" i="31"/>
  <c r="O20" i="28"/>
  <c r="N20" i="30"/>
  <c r="O20" i="30"/>
  <c r="P20" i="30"/>
  <c r="D1" i="32"/>
  <c r="E20" i="26"/>
  <c r="R20" i="26"/>
  <c r="E20" i="28"/>
  <c r="R20" i="28"/>
  <c r="N20" i="28"/>
  <c r="G5" i="29"/>
  <c r="P20" i="28"/>
  <c r="D1" i="30"/>
  <c r="G6" i="27"/>
  <c r="H5" i="27"/>
  <c r="O20" i="24"/>
  <c r="N20" i="26"/>
  <c r="O20" i="26"/>
  <c r="P20" i="26"/>
  <c r="D1" i="28"/>
  <c r="O20" i="22"/>
  <c r="E20" i="24"/>
  <c r="R20" i="24"/>
  <c r="N20" i="24"/>
  <c r="G5" i="25"/>
  <c r="P20" i="24"/>
  <c r="D1" i="26"/>
  <c r="P20" i="22"/>
  <c r="H5" i="23"/>
  <c r="E20" i="22"/>
  <c r="R20" i="22"/>
  <c r="N20" i="22"/>
  <c r="D1" i="24"/>
  <c r="D1" i="22"/>
  <c r="G5" i="21"/>
  <c r="E28" i="15"/>
  <c r="I5" i="33" l="1"/>
  <c r="H6" i="33"/>
  <c r="H6" i="31"/>
  <c r="I5" i="31"/>
  <c r="H5" i="29"/>
  <c r="G6" i="29"/>
  <c r="I5" i="27"/>
  <c r="H6" i="27"/>
  <c r="H5" i="25"/>
  <c r="G6" i="25"/>
  <c r="H6" i="23"/>
  <c r="I5" i="23"/>
  <c r="G6" i="21"/>
  <c r="H5" i="21"/>
  <c r="J22" i="15"/>
  <c r="F22" i="15"/>
  <c r="J5" i="33" l="1"/>
  <c r="I6" i="33"/>
  <c r="J5" i="31"/>
  <c r="I6" i="31"/>
  <c r="H6" i="29"/>
  <c r="I5" i="29"/>
  <c r="J5" i="27"/>
  <c r="I6" i="27"/>
  <c r="H6" i="25"/>
  <c r="I5" i="25"/>
  <c r="J5" i="23"/>
  <c r="I6" i="23"/>
  <c r="I5" i="21"/>
  <c r="H6" i="21"/>
  <c r="E4" i="16"/>
  <c r="D1" i="16" s="1"/>
  <c r="A3" i="16"/>
  <c r="A2" i="16"/>
  <c r="J6" i="33" l="1"/>
  <c r="K5" i="33"/>
  <c r="J6" i="31"/>
  <c r="K5" i="31"/>
  <c r="I6" i="29"/>
  <c r="J5" i="29"/>
  <c r="J6" i="27"/>
  <c r="K5" i="27"/>
  <c r="I6" i="25"/>
  <c r="J5" i="25"/>
  <c r="K5" i="23"/>
  <c r="J6" i="23"/>
  <c r="J5" i="21"/>
  <c r="I6" i="21"/>
  <c r="S23" i="16"/>
  <c r="A3" i="14"/>
  <c r="A2" i="14"/>
  <c r="K6" i="33" l="1"/>
  <c r="L5" i="33"/>
  <c r="L5" i="31"/>
  <c r="K6" i="31"/>
  <c r="J6" i="29"/>
  <c r="K5" i="29"/>
  <c r="K6" i="27"/>
  <c r="L5" i="27"/>
  <c r="J6" i="25"/>
  <c r="K5" i="25"/>
  <c r="K6" i="23"/>
  <c r="L5" i="23"/>
  <c r="J6" i="21"/>
  <c r="K5" i="21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C15" i="16"/>
  <c r="D15" i="16"/>
  <c r="E15" i="16"/>
  <c r="O15" i="16" s="1"/>
  <c r="R15" i="16"/>
  <c r="C16" i="16"/>
  <c r="D16" i="16"/>
  <c r="E16" i="16"/>
  <c r="N16" i="16" s="1"/>
  <c r="R16" i="16"/>
  <c r="C17" i="16"/>
  <c r="D17" i="16"/>
  <c r="E17" i="16"/>
  <c r="O17" i="16" s="1"/>
  <c r="R17" i="16"/>
  <c r="C18" i="16"/>
  <c r="D18" i="16"/>
  <c r="E18" i="16"/>
  <c r="N18" i="16" s="1"/>
  <c r="R18" i="16"/>
  <c r="C19" i="16"/>
  <c r="D19" i="16"/>
  <c r="E19" i="16"/>
  <c r="O19" i="16" s="1"/>
  <c r="R19" i="16"/>
  <c r="J23" i="15" a="1"/>
  <c r="J23" i="15" s="1"/>
  <c r="M5" i="33" l="1"/>
  <c r="L6" i="33"/>
  <c r="L6" i="31"/>
  <c r="M5" i="31"/>
  <c r="L5" i="29"/>
  <c r="K6" i="29"/>
  <c r="M5" i="27"/>
  <c r="L6" i="27"/>
  <c r="L5" i="25"/>
  <c r="K6" i="25"/>
  <c r="M5" i="23"/>
  <c r="L6" i="23"/>
  <c r="K6" i="21"/>
  <c r="L5" i="21"/>
  <c r="O18" i="16"/>
  <c r="N15" i="16"/>
  <c r="N19" i="16"/>
  <c r="N17" i="16"/>
  <c r="O16" i="16"/>
  <c r="P19" i="16"/>
  <c r="P17" i="16"/>
  <c r="P15" i="16"/>
  <c r="P18" i="16"/>
  <c r="P16" i="16"/>
  <c r="AL18" i="14"/>
  <c r="AL20" i="14"/>
  <c r="AL16" i="14"/>
  <c r="AL13" i="14"/>
  <c r="AL9" i="14"/>
  <c r="N5" i="33" l="1"/>
  <c r="M6" i="33"/>
  <c r="M6" i="31"/>
  <c r="N5" i="31"/>
  <c r="L6" i="29"/>
  <c r="M5" i="29"/>
  <c r="N5" i="27"/>
  <c r="M6" i="27"/>
  <c r="L6" i="25"/>
  <c r="M5" i="25"/>
  <c r="N5" i="23"/>
  <c r="M6" i="23"/>
  <c r="M5" i="21"/>
  <c r="L6" i="21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N6" i="33" l="1"/>
  <c r="O5" i="33"/>
  <c r="O5" i="31"/>
  <c r="N6" i="31"/>
  <c r="M6" i="29"/>
  <c r="N5" i="29"/>
  <c r="N6" i="27"/>
  <c r="O5" i="27"/>
  <c r="M6" i="25"/>
  <c r="N5" i="25"/>
  <c r="N6" i="23"/>
  <c r="O5" i="23"/>
  <c r="N5" i="21"/>
  <c r="M6" i="21"/>
  <c r="S1" i="14"/>
  <c r="E22" i="15"/>
  <c r="O6" i="33" l="1"/>
  <c r="P5" i="33"/>
  <c r="O6" i="31"/>
  <c r="P5" i="31"/>
  <c r="N6" i="29"/>
  <c r="O5" i="29"/>
  <c r="O6" i="27"/>
  <c r="P5" i="27"/>
  <c r="N6" i="25"/>
  <c r="O5" i="25"/>
  <c r="O6" i="23"/>
  <c r="P5" i="23"/>
  <c r="N6" i="21"/>
  <c r="O5" i="21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D20" i="14"/>
  <c r="D18" i="14"/>
  <c r="A18" i="14"/>
  <c r="A20" i="14" s="1"/>
  <c r="A22" i="14" s="1"/>
  <c r="A24" i="14" s="1"/>
  <c r="A26" i="14" s="1"/>
  <c r="D16" i="14"/>
  <c r="R14" i="16"/>
  <c r="R10" i="16"/>
  <c r="E14" i="16"/>
  <c r="N14" i="16" s="1"/>
  <c r="D14" i="16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E10" i="16"/>
  <c r="D10" i="16"/>
  <c r="C10" i="16"/>
  <c r="C13" i="14"/>
  <c r="A6" i="15"/>
  <c r="Q5" i="33" l="1"/>
  <c r="P6" i="33"/>
  <c r="Q5" i="31"/>
  <c r="P6" i="31"/>
  <c r="P5" i="29"/>
  <c r="O6" i="29"/>
  <c r="Q5" i="27"/>
  <c r="P6" i="27"/>
  <c r="P5" i="25"/>
  <c r="O6" i="25"/>
  <c r="P6" i="23"/>
  <c r="Q5" i="23"/>
  <c r="O6" i="21"/>
  <c r="P5" i="21"/>
  <c r="E21" i="16"/>
  <c r="O10" i="16"/>
  <c r="N10" i="16"/>
  <c r="P10" i="16"/>
  <c r="C20" i="14"/>
  <c r="C14" i="16"/>
  <c r="C16" i="14"/>
  <c r="C18" i="14"/>
  <c r="O14" i="16"/>
  <c r="P14" i="16"/>
  <c r="R21" i="16"/>
  <c r="D13" i="14"/>
  <c r="D9" i="14"/>
  <c r="C9" i="14"/>
  <c r="F5" i="14"/>
  <c r="R5" i="33" l="1"/>
  <c r="Q6" i="33"/>
  <c r="R5" i="31"/>
  <c r="Q6" i="31"/>
  <c r="P6" i="29"/>
  <c r="Q5" i="29"/>
  <c r="R5" i="27"/>
  <c r="Q6" i="27"/>
  <c r="P6" i="25"/>
  <c r="Q5" i="25"/>
  <c r="R5" i="23"/>
  <c r="Q6" i="23"/>
  <c r="Q5" i="21"/>
  <c r="P6" i="21"/>
  <c r="N21" i="16"/>
  <c r="F6" i="14"/>
  <c r="G5" i="14"/>
  <c r="O21" i="16"/>
  <c r="P21" i="16"/>
  <c r="R6" i="33" l="1"/>
  <c r="S5" i="33"/>
  <c r="R6" i="31"/>
  <c r="S5" i="31"/>
  <c r="Q6" i="29"/>
  <c r="R5" i="29"/>
  <c r="R6" i="27"/>
  <c r="S5" i="27"/>
  <c r="Q6" i="25"/>
  <c r="R5" i="25"/>
  <c r="R6" i="23"/>
  <c r="S5" i="23"/>
  <c r="R5" i="21"/>
  <c r="Q6" i="21"/>
  <c r="H5" i="14"/>
  <c r="G6" i="14"/>
  <c r="S6" i="33" l="1"/>
  <c r="T5" i="33"/>
  <c r="T5" i="31"/>
  <c r="S6" i="31"/>
  <c r="R6" i="29"/>
  <c r="S5" i="29"/>
  <c r="S6" i="27"/>
  <c r="T5" i="27"/>
  <c r="R6" i="25"/>
  <c r="S5" i="25"/>
  <c r="S6" i="23"/>
  <c r="T5" i="23"/>
  <c r="R6" i="21"/>
  <c r="S5" i="21"/>
  <c r="H6" i="14"/>
  <c r="I5" i="14"/>
  <c r="U5" i="33" l="1"/>
  <c r="T6" i="33"/>
  <c r="U5" i="31"/>
  <c r="T6" i="31"/>
  <c r="T5" i="29"/>
  <c r="S6" i="29"/>
  <c r="U5" i="27"/>
  <c r="T6" i="27"/>
  <c r="T5" i="25"/>
  <c r="S6" i="25"/>
  <c r="U5" i="23"/>
  <c r="T6" i="23"/>
  <c r="S6" i="21"/>
  <c r="T5" i="21"/>
  <c r="I6" i="14"/>
  <c r="J5" i="14"/>
  <c r="V5" i="33" l="1"/>
  <c r="U6" i="33"/>
  <c r="V5" i="31"/>
  <c r="U6" i="31"/>
  <c r="T6" i="29"/>
  <c r="U5" i="29"/>
  <c r="V5" i="27"/>
  <c r="U6" i="27"/>
  <c r="T6" i="25"/>
  <c r="U5" i="25"/>
  <c r="V5" i="23"/>
  <c r="U6" i="23"/>
  <c r="U5" i="21"/>
  <c r="T6" i="21"/>
  <c r="K5" i="14"/>
  <c r="J6" i="14"/>
  <c r="V6" i="33" l="1"/>
  <c r="W5" i="33"/>
  <c r="V6" i="31"/>
  <c r="W5" i="31"/>
  <c r="U6" i="29"/>
  <c r="V5" i="29"/>
  <c r="V6" i="27"/>
  <c r="W5" i="27"/>
  <c r="U6" i="25"/>
  <c r="V5" i="25"/>
  <c r="W5" i="23"/>
  <c r="V6" i="23"/>
  <c r="V5" i="21"/>
  <c r="U6" i="21"/>
  <c r="K6" i="14"/>
  <c r="L5" i="14"/>
  <c r="W6" i="33" l="1"/>
  <c r="X5" i="33"/>
  <c r="W6" i="31"/>
  <c r="X5" i="31"/>
  <c r="V6" i="29"/>
  <c r="W5" i="29"/>
  <c r="W6" i="27"/>
  <c r="X5" i="27"/>
  <c r="V6" i="25"/>
  <c r="W5" i="25"/>
  <c r="W6" i="23"/>
  <c r="X5" i="23"/>
  <c r="V6" i="21"/>
  <c r="W5" i="21"/>
  <c r="M5" i="14"/>
  <c r="L6" i="14"/>
  <c r="Y5" i="33" l="1"/>
  <c r="X6" i="33"/>
  <c r="X6" i="31"/>
  <c r="Y5" i="31"/>
  <c r="X5" i="29"/>
  <c r="W6" i="29"/>
  <c r="Y5" i="27"/>
  <c r="X6" i="27"/>
  <c r="X5" i="25"/>
  <c r="W6" i="25"/>
  <c r="Y5" i="23"/>
  <c r="X6" i="23"/>
  <c r="W6" i="21"/>
  <c r="X5" i="21"/>
  <c r="N5" i="14"/>
  <c r="M6" i="14"/>
  <c r="Z5" i="33" l="1"/>
  <c r="Y6" i="33"/>
  <c r="Z5" i="31"/>
  <c r="Y6" i="31"/>
  <c r="X6" i="29"/>
  <c r="Y5" i="29"/>
  <c r="Z5" i="27"/>
  <c r="Y6" i="27"/>
  <c r="X6" i="25"/>
  <c r="Y5" i="25"/>
  <c r="Z5" i="23"/>
  <c r="Y6" i="23"/>
  <c r="Y5" i="21"/>
  <c r="X6" i="21"/>
  <c r="O5" i="14"/>
  <c r="N6" i="14"/>
  <c r="Z6" i="33" l="1"/>
  <c r="AA5" i="33"/>
  <c r="Z6" i="31"/>
  <c r="AA5" i="31"/>
  <c r="Y6" i="29"/>
  <c r="Z5" i="29"/>
  <c r="Z6" i="27"/>
  <c r="AA5" i="27"/>
  <c r="Y6" i="25"/>
  <c r="Z5" i="25"/>
  <c r="Z6" i="23"/>
  <c r="AA5" i="23"/>
  <c r="Z5" i="21"/>
  <c r="Y6" i="21"/>
  <c r="P5" i="14"/>
  <c r="O6" i="14"/>
  <c r="AA6" i="33" l="1"/>
  <c r="AB5" i="33"/>
  <c r="AA6" i="31"/>
  <c r="AB5" i="31"/>
  <c r="Z6" i="29"/>
  <c r="AA5" i="29"/>
  <c r="AA6" i="27"/>
  <c r="AB5" i="27"/>
  <c r="Z6" i="25"/>
  <c r="AA5" i="25"/>
  <c r="AA6" i="23"/>
  <c r="AB5" i="23"/>
  <c r="Z6" i="21"/>
  <c r="AA5" i="21"/>
  <c r="P6" i="14"/>
  <c r="Q5" i="14"/>
  <c r="AC5" i="33" l="1"/>
  <c r="AB6" i="33"/>
  <c r="AB6" i="31"/>
  <c r="AC5" i="31"/>
  <c r="AB5" i="29"/>
  <c r="AA6" i="29"/>
  <c r="AC5" i="27"/>
  <c r="AB6" i="27"/>
  <c r="AB5" i="25"/>
  <c r="AA6" i="25"/>
  <c r="AB6" i="23"/>
  <c r="AC5" i="23"/>
  <c r="AA6" i="21"/>
  <c r="AB5" i="21"/>
  <c r="R5" i="14"/>
  <c r="Q6" i="14"/>
  <c r="AD5" i="33" l="1"/>
  <c r="AC6" i="33"/>
  <c r="AD5" i="31"/>
  <c r="AC6" i="31"/>
  <c r="AB6" i="29"/>
  <c r="AC5" i="29"/>
  <c r="AD5" i="27"/>
  <c r="AC6" i="27"/>
  <c r="AB6" i="25"/>
  <c r="AC5" i="25"/>
  <c r="AD5" i="23"/>
  <c r="AC6" i="23"/>
  <c r="AC5" i="21"/>
  <c r="AB6" i="21"/>
  <c r="S5" i="14"/>
  <c r="R6" i="14"/>
  <c r="AD6" i="33" l="1"/>
  <c r="AE5" i="33"/>
  <c r="AD6" i="31"/>
  <c r="AE5" i="31"/>
  <c r="AC6" i="29"/>
  <c r="AD5" i="29"/>
  <c r="AD6" i="27"/>
  <c r="AE5" i="27"/>
  <c r="AC6" i="25"/>
  <c r="AD5" i="25"/>
  <c r="AD6" i="23"/>
  <c r="AE5" i="23"/>
  <c r="AD5" i="21"/>
  <c r="AC6" i="21"/>
  <c r="S6" i="14"/>
  <c r="T5" i="14"/>
  <c r="AE6" i="33" l="1"/>
  <c r="AF5" i="33"/>
  <c r="AE6" i="31"/>
  <c r="AF5" i="31"/>
  <c r="AD6" i="29"/>
  <c r="AE5" i="29"/>
  <c r="AE6" i="27"/>
  <c r="AF5" i="27"/>
  <c r="AD6" i="25"/>
  <c r="AE5" i="25"/>
  <c r="AE6" i="23"/>
  <c r="AF5" i="23"/>
  <c r="AD6" i="21"/>
  <c r="AE5" i="21"/>
  <c r="T6" i="14"/>
  <c r="U5" i="14"/>
  <c r="AG5" i="33" l="1"/>
  <c r="AF6" i="33"/>
  <c r="AG5" i="31"/>
  <c r="AF6" i="31"/>
  <c r="AF5" i="29"/>
  <c r="AE6" i="29"/>
  <c r="AG5" i="27"/>
  <c r="AF6" i="27"/>
  <c r="AF5" i="25"/>
  <c r="AE6" i="25"/>
  <c r="AG5" i="23"/>
  <c r="AF6" i="23"/>
  <c r="AE6" i="21"/>
  <c r="AF5" i="21"/>
  <c r="V5" i="14"/>
  <c r="U6" i="14"/>
  <c r="AH5" i="33" l="1"/>
  <c r="AG6" i="33"/>
  <c r="AG6" i="31"/>
  <c r="AH5" i="31"/>
  <c r="AF6" i="29"/>
  <c r="AG5" i="29"/>
  <c r="AH5" i="27"/>
  <c r="AG6" i="27"/>
  <c r="AF6" i="25"/>
  <c r="AG5" i="25"/>
  <c r="AH5" i="23"/>
  <c r="AG6" i="23"/>
  <c r="AG5" i="21"/>
  <c r="AF6" i="21"/>
  <c r="W5" i="14"/>
  <c r="V6" i="14"/>
  <c r="AH6" i="33" l="1"/>
  <c r="AI5" i="33"/>
  <c r="AI5" i="31"/>
  <c r="AH6" i="31"/>
  <c r="AG6" i="29"/>
  <c r="AH5" i="29"/>
  <c r="AH6" i="27"/>
  <c r="AI5" i="27"/>
  <c r="AG6" i="25"/>
  <c r="AH5" i="25"/>
  <c r="AH6" i="23"/>
  <c r="AI5" i="23"/>
  <c r="AH5" i="21"/>
  <c r="AG6" i="21"/>
  <c r="X5" i="14"/>
  <c r="W6" i="14"/>
  <c r="AI6" i="33" l="1"/>
  <c r="AJ5" i="33"/>
  <c r="AJ6" i="33" s="1"/>
  <c r="AK11" i="31"/>
  <c r="AI6" i="31"/>
  <c r="AM14" i="31" s="1"/>
  <c r="H13" i="32" s="1"/>
  <c r="I13" i="32" s="1"/>
  <c r="AJ5" i="31"/>
  <c r="AJ6" i="31" s="1"/>
  <c r="AK9" i="31" s="1"/>
  <c r="AH6" i="29"/>
  <c r="AI5" i="29"/>
  <c r="AI6" i="29" s="1"/>
  <c r="AI6" i="27"/>
  <c r="AH6" i="25"/>
  <c r="AI5" i="25"/>
  <c r="AI6" i="25" s="1"/>
  <c r="AI6" i="23"/>
  <c r="AH6" i="21"/>
  <c r="AI5" i="21"/>
  <c r="Y5" i="14"/>
  <c r="X6" i="14"/>
  <c r="AM22" i="33" l="1"/>
  <c r="H17" i="34" s="1"/>
  <c r="I17" i="34" s="1"/>
  <c r="AK24" i="33"/>
  <c r="AK16" i="33"/>
  <c r="AM16" i="33"/>
  <c r="H14" i="34" s="1"/>
  <c r="I14" i="34" s="1"/>
  <c r="AM9" i="33"/>
  <c r="H10" i="34" s="1"/>
  <c r="I10" i="34" s="1"/>
  <c r="AM14" i="33"/>
  <c r="H13" i="34" s="1"/>
  <c r="I13" i="34" s="1"/>
  <c r="AK9" i="33"/>
  <c r="AK18" i="33"/>
  <c r="AM18" i="33"/>
  <c r="H15" i="34" s="1"/>
  <c r="I15" i="34" s="1"/>
  <c r="AM24" i="33"/>
  <c r="H18" i="34" s="1"/>
  <c r="I18" i="34" s="1"/>
  <c r="AK20" i="33"/>
  <c r="AM20" i="33"/>
  <c r="H16" i="34" s="1"/>
  <c r="I16" i="34" s="1"/>
  <c r="AK22" i="33"/>
  <c r="AM11" i="33"/>
  <c r="H11" i="34" s="1"/>
  <c r="I11" i="34" s="1"/>
  <c r="AK14" i="33"/>
  <c r="AK11" i="33"/>
  <c r="F10" i="32"/>
  <c r="AM18" i="31"/>
  <c r="H15" i="32" s="1"/>
  <c r="I15" i="32" s="1"/>
  <c r="AM16" i="31"/>
  <c r="H14" i="32" s="1"/>
  <c r="I14" i="32" s="1"/>
  <c r="AM24" i="31"/>
  <c r="H18" i="32" s="1"/>
  <c r="I18" i="32" s="1"/>
  <c r="AM9" i="31"/>
  <c r="H10" i="32" s="1"/>
  <c r="I10" i="32" s="1"/>
  <c r="AM22" i="31"/>
  <c r="H17" i="32" s="1"/>
  <c r="I17" i="32" s="1"/>
  <c r="AK22" i="31"/>
  <c r="AK18" i="31"/>
  <c r="AK14" i="31"/>
  <c r="AK16" i="31"/>
  <c r="AM20" i="31"/>
  <c r="H16" i="32" s="1"/>
  <c r="I16" i="32" s="1"/>
  <c r="F11" i="32"/>
  <c r="AM11" i="31"/>
  <c r="H11" i="32" s="1"/>
  <c r="I11" i="32" s="1"/>
  <c r="AK20" i="31"/>
  <c r="AK24" i="31"/>
  <c r="AK9" i="29"/>
  <c r="AK11" i="29"/>
  <c r="AK16" i="29"/>
  <c r="AM18" i="29"/>
  <c r="H15" i="30" s="1"/>
  <c r="I15" i="30" s="1"/>
  <c r="AM20" i="29"/>
  <c r="H16" i="30" s="1"/>
  <c r="I16" i="30" s="1"/>
  <c r="AK22" i="29"/>
  <c r="AK24" i="29"/>
  <c r="AM9" i="29"/>
  <c r="H10" i="30" s="1"/>
  <c r="I10" i="30" s="1"/>
  <c r="AK18" i="29"/>
  <c r="AM16" i="29"/>
  <c r="H14" i="30" s="1"/>
  <c r="I14" i="30" s="1"/>
  <c r="AM22" i="29"/>
  <c r="H17" i="30" s="1"/>
  <c r="I17" i="30" s="1"/>
  <c r="AK20" i="29"/>
  <c r="AM11" i="29"/>
  <c r="H11" i="30" s="1"/>
  <c r="I11" i="30" s="1"/>
  <c r="AM14" i="29"/>
  <c r="H13" i="30" s="1"/>
  <c r="I13" i="30" s="1"/>
  <c r="AM24" i="29"/>
  <c r="H18" i="30" s="1"/>
  <c r="I18" i="30" s="1"/>
  <c r="AK14" i="29"/>
  <c r="AK24" i="27"/>
  <c r="AM18" i="27"/>
  <c r="H15" i="28" s="1"/>
  <c r="I15" i="28" s="1"/>
  <c r="AK16" i="27"/>
  <c r="AK14" i="27"/>
  <c r="AM14" i="27"/>
  <c r="H13" i="28" s="1"/>
  <c r="I13" i="28" s="1"/>
  <c r="AK9" i="27"/>
  <c r="AM9" i="27"/>
  <c r="H10" i="28" s="1"/>
  <c r="I10" i="28" s="1"/>
  <c r="AK18" i="27"/>
  <c r="AK11" i="27"/>
  <c r="AM16" i="27"/>
  <c r="H14" i="28" s="1"/>
  <c r="I14" i="28" s="1"/>
  <c r="AM11" i="27"/>
  <c r="H11" i="28" s="1"/>
  <c r="I11" i="28" s="1"/>
  <c r="AK22" i="27"/>
  <c r="AM22" i="27"/>
  <c r="H17" i="28" s="1"/>
  <c r="I17" i="28" s="1"/>
  <c r="AK20" i="27"/>
  <c r="AM20" i="27"/>
  <c r="H16" i="28" s="1"/>
  <c r="I16" i="28" s="1"/>
  <c r="AM24" i="27"/>
  <c r="H18" i="28" s="1"/>
  <c r="I18" i="28" s="1"/>
  <c r="AK14" i="25"/>
  <c r="AM24" i="25"/>
  <c r="H18" i="26" s="1"/>
  <c r="I18" i="26" s="1"/>
  <c r="AK20" i="25"/>
  <c r="AM16" i="25"/>
  <c r="H14" i="26" s="1"/>
  <c r="I14" i="26" s="1"/>
  <c r="AM18" i="25"/>
  <c r="H15" i="26" s="1"/>
  <c r="I15" i="26" s="1"/>
  <c r="AK9" i="25"/>
  <c r="AM11" i="25"/>
  <c r="H11" i="26" s="1"/>
  <c r="I11" i="26" s="1"/>
  <c r="AM20" i="25"/>
  <c r="H16" i="26" s="1"/>
  <c r="I16" i="26" s="1"/>
  <c r="AM22" i="25"/>
  <c r="H17" i="26" s="1"/>
  <c r="I17" i="26" s="1"/>
  <c r="AK22" i="25"/>
  <c r="AM9" i="25"/>
  <c r="H10" i="26" s="1"/>
  <c r="I10" i="26" s="1"/>
  <c r="AM14" i="25"/>
  <c r="H13" i="26" s="1"/>
  <c r="I13" i="26" s="1"/>
  <c r="AK18" i="25"/>
  <c r="AK24" i="25"/>
  <c r="AK11" i="25"/>
  <c r="AK16" i="25"/>
  <c r="AK24" i="23"/>
  <c r="AK14" i="23"/>
  <c r="AK18" i="23"/>
  <c r="AM9" i="23"/>
  <c r="H10" i="24" s="1"/>
  <c r="I10" i="24" s="1"/>
  <c r="AM22" i="23"/>
  <c r="H17" i="24" s="1"/>
  <c r="I17" i="24" s="1"/>
  <c r="AM20" i="23"/>
  <c r="H16" i="24" s="1"/>
  <c r="I16" i="24" s="1"/>
  <c r="AM24" i="23"/>
  <c r="H18" i="24" s="1"/>
  <c r="I18" i="24" s="1"/>
  <c r="AK9" i="23"/>
  <c r="AK20" i="23"/>
  <c r="AK16" i="23"/>
  <c r="AM14" i="23"/>
  <c r="H13" i="24" s="1"/>
  <c r="I13" i="24" s="1"/>
  <c r="AK11" i="23"/>
  <c r="AM16" i="23"/>
  <c r="H14" i="24" s="1"/>
  <c r="I14" i="24" s="1"/>
  <c r="AM11" i="23"/>
  <c r="H11" i="24" s="1"/>
  <c r="I11" i="24" s="1"/>
  <c r="AM18" i="23"/>
  <c r="H15" i="24" s="1"/>
  <c r="I15" i="24" s="1"/>
  <c r="AK22" i="23"/>
  <c r="AI6" i="21"/>
  <c r="AJ5" i="21"/>
  <c r="AJ6" i="21" s="1"/>
  <c r="Z5" i="14"/>
  <c r="Y6" i="14"/>
  <c r="F11" i="34" l="1"/>
  <c r="AN11" i="33"/>
  <c r="F15" i="34"/>
  <c r="AN18" i="33"/>
  <c r="AN14" i="33"/>
  <c r="F13" i="34"/>
  <c r="F16" i="34"/>
  <c r="AN20" i="33"/>
  <c r="F10" i="34"/>
  <c r="AN9" i="33"/>
  <c r="AN16" i="33"/>
  <c r="F14" i="34"/>
  <c r="AN24" i="33"/>
  <c r="F18" i="34"/>
  <c r="AN22" i="33"/>
  <c r="F17" i="34"/>
  <c r="I20" i="34"/>
  <c r="AN22" i="31"/>
  <c r="F17" i="32"/>
  <c r="AN16" i="31"/>
  <c r="F14" i="32"/>
  <c r="AN11" i="31"/>
  <c r="F13" i="32"/>
  <c r="AN14" i="31"/>
  <c r="I20" i="32"/>
  <c r="J10" i="32"/>
  <c r="L10" i="32"/>
  <c r="G10" i="32"/>
  <c r="F16" i="32"/>
  <c r="AN20" i="31"/>
  <c r="F18" i="32"/>
  <c r="AN24" i="31"/>
  <c r="G11" i="32"/>
  <c r="K11" i="32" s="1"/>
  <c r="L11" i="32"/>
  <c r="J11" i="32"/>
  <c r="AN18" i="31"/>
  <c r="F15" i="32"/>
  <c r="AN9" i="31"/>
  <c r="AN14" i="29"/>
  <c r="F13" i="30"/>
  <c r="F16" i="30"/>
  <c r="AN20" i="29"/>
  <c r="I20" i="30"/>
  <c r="AN24" i="29"/>
  <c r="F18" i="30"/>
  <c r="AN16" i="29"/>
  <c r="F14" i="30"/>
  <c r="AN22" i="29"/>
  <c r="F17" i="30"/>
  <c r="F11" i="30"/>
  <c r="AN11" i="29"/>
  <c r="F15" i="30"/>
  <c r="AN18" i="29"/>
  <c r="F10" i="30"/>
  <c r="AN9" i="29"/>
  <c r="F15" i="28"/>
  <c r="AN18" i="27"/>
  <c r="I20" i="28"/>
  <c r="AN16" i="27"/>
  <c r="F14" i="28"/>
  <c r="AN22" i="27"/>
  <c r="F17" i="28"/>
  <c r="F16" i="28"/>
  <c r="AN20" i="27"/>
  <c r="F10" i="28"/>
  <c r="AN9" i="27"/>
  <c r="AN14" i="27"/>
  <c r="F13" i="28"/>
  <c r="F11" i="28"/>
  <c r="AN11" i="27"/>
  <c r="AN24" i="27"/>
  <c r="F18" i="28"/>
  <c r="AN22" i="25"/>
  <c r="F17" i="26"/>
  <c r="AN16" i="25"/>
  <c r="F14" i="26"/>
  <c r="F11" i="26"/>
  <c r="AN11" i="25"/>
  <c r="I20" i="26"/>
  <c r="F16" i="26"/>
  <c r="AN20" i="25"/>
  <c r="F10" i="26"/>
  <c r="AN9" i="25"/>
  <c r="AN24" i="25"/>
  <c r="F18" i="26"/>
  <c r="F15" i="26"/>
  <c r="AN18" i="25"/>
  <c r="AN14" i="25"/>
  <c r="F13" i="26"/>
  <c r="F16" i="24"/>
  <c r="AN20" i="23"/>
  <c r="AN22" i="23"/>
  <c r="F17" i="24"/>
  <c r="F11" i="24"/>
  <c r="AN11" i="23"/>
  <c r="F10" i="24"/>
  <c r="AN9" i="23"/>
  <c r="I20" i="24"/>
  <c r="F15" i="24"/>
  <c r="AN18" i="23"/>
  <c r="AN16" i="23"/>
  <c r="F14" i="24"/>
  <c r="AN14" i="23"/>
  <c r="F13" i="24"/>
  <c r="AN24" i="23"/>
  <c r="F18" i="24"/>
  <c r="AK20" i="21"/>
  <c r="AK18" i="21"/>
  <c r="AK22" i="21"/>
  <c r="AM22" i="21"/>
  <c r="H17" i="22" s="1"/>
  <c r="I17" i="22" s="1"/>
  <c r="AM11" i="21"/>
  <c r="H11" i="22" s="1"/>
  <c r="I11" i="22" s="1"/>
  <c r="AM9" i="21"/>
  <c r="H10" i="22" s="1"/>
  <c r="I10" i="22" s="1"/>
  <c r="AM14" i="21"/>
  <c r="H13" i="22" s="1"/>
  <c r="I13" i="22" s="1"/>
  <c r="AM18" i="21"/>
  <c r="H15" i="22" s="1"/>
  <c r="I15" i="22" s="1"/>
  <c r="AM20" i="21"/>
  <c r="H16" i="22" s="1"/>
  <c r="I16" i="22" s="1"/>
  <c r="AK14" i="21"/>
  <c r="AM16" i="21"/>
  <c r="H14" i="22" s="1"/>
  <c r="I14" i="22" s="1"/>
  <c r="AK9" i="21"/>
  <c r="AK16" i="21"/>
  <c r="AK24" i="21"/>
  <c r="AK11" i="21"/>
  <c r="AM24" i="21"/>
  <c r="H18" i="22" s="1"/>
  <c r="I18" i="22" s="1"/>
  <c r="AA5" i="14"/>
  <c r="Z6" i="14"/>
  <c r="L17" i="34" l="1"/>
  <c r="G17" i="34"/>
  <c r="K17" i="34" s="1"/>
  <c r="J17" i="34"/>
  <c r="L14" i="34"/>
  <c r="G14" i="34"/>
  <c r="K14" i="34" s="1"/>
  <c r="J14" i="34"/>
  <c r="J16" i="34"/>
  <c r="L16" i="34"/>
  <c r="G16" i="34"/>
  <c r="K16" i="34" s="1"/>
  <c r="J15" i="34"/>
  <c r="L15" i="34"/>
  <c r="G15" i="34"/>
  <c r="K15" i="34" s="1"/>
  <c r="L18" i="34"/>
  <c r="G18" i="34"/>
  <c r="K18" i="34" s="1"/>
  <c r="J18" i="34"/>
  <c r="L13" i="34"/>
  <c r="G13" i="34"/>
  <c r="K13" i="34" s="1"/>
  <c r="J13" i="34"/>
  <c r="J10" i="34"/>
  <c r="L10" i="34"/>
  <c r="G10" i="34"/>
  <c r="J11" i="34"/>
  <c r="L11" i="34"/>
  <c r="G11" i="34"/>
  <c r="K11" i="34" s="1"/>
  <c r="M11" i="32"/>
  <c r="Q11" i="32" s="1"/>
  <c r="S11" i="32" s="1"/>
  <c r="G14" i="32"/>
  <c r="K14" i="32" s="1"/>
  <c r="J14" i="32"/>
  <c r="L14" i="32"/>
  <c r="K10" i="32"/>
  <c r="J16" i="32"/>
  <c r="L16" i="32"/>
  <c r="G16" i="32"/>
  <c r="K16" i="32" s="1"/>
  <c r="G18" i="32"/>
  <c r="K18" i="32" s="1"/>
  <c r="J18" i="32"/>
  <c r="L18" i="32"/>
  <c r="L13" i="32"/>
  <c r="G13" i="32"/>
  <c r="K13" i="32" s="1"/>
  <c r="J13" i="32"/>
  <c r="L17" i="32"/>
  <c r="J17" i="32"/>
  <c r="G17" i="32"/>
  <c r="K17" i="32" s="1"/>
  <c r="G15" i="32"/>
  <c r="K15" i="32" s="1"/>
  <c r="J15" i="32"/>
  <c r="L15" i="32"/>
  <c r="J10" i="30"/>
  <c r="L10" i="30"/>
  <c r="G10" i="30"/>
  <c r="J11" i="30"/>
  <c r="L11" i="30"/>
  <c r="G11" i="30"/>
  <c r="K11" i="30" s="1"/>
  <c r="L17" i="30"/>
  <c r="J17" i="30"/>
  <c r="G17" i="30"/>
  <c r="K17" i="30" s="1"/>
  <c r="L18" i="30"/>
  <c r="G18" i="30"/>
  <c r="K18" i="30" s="1"/>
  <c r="J18" i="30"/>
  <c r="J16" i="30"/>
  <c r="L16" i="30"/>
  <c r="G16" i="30"/>
  <c r="K16" i="30" s="1"/>
  <c r="J15" i="30"/>
  <c r="L15" i="30"/>
  <c r="G15" i="30"/>
  <c r="K15" i="30" s="1"/>
  <c r="L13" i="30"/>
  <c r="G13" i="30"/>
  <c r="K13" i="30" s="1"/>
  <c r="J13" i="30"/>
  <c r="L14" i="30"/>
  <c r="G14" i="30"/>
  <c r="K14" i="30" s="1"/>
  <c r="J14" i="30"/>
  <c r="L17" i="28"/>
  <c r="G17" i="28"/>
  <c r="K17" i="28" s="1"/>
  <c r="J17" i="28"/>
  <c r="J11" i="28"/>
  <c r="L11" i="28"/>
  <c r="G11" i="28"/>
  <c r="K11" i="28" s="1"/>
  <c r="J10" i="28"/>
  <c r="L10" i="28"/>
  <c r="G10" i="28"/>
  <c r="J16" i="28"/>
  <c r="L16" i="28"/>
  <c r="G16" i="28"/>
  <c r="K16" i="28" s="1"/>
  <c r="L18" i="28"/>
  <c r="G18" i="28"/>
  <c r="K18" i="28" s="1"/>
  <c r="J18" i="28"/>
  <c r="L13" i="28"/>
  <c r="G13" i="28"/>
  <c r="K13" i="28" s="1"/>
  <c r="J13" i="28"/>
  <c r="L14" i="28"/>
  <c r="G14" i="28"/>
  <c r="K14" i="28" s="1"/>
  <c r="J14" i="28"/>
  <c r="J15" i="28"/>
  <c r="L15" i="28"/>
  <c r="G15" i="28"/>
  <c r="K15" i="28" s="1"/>
  <c r="J16" i="26"/>
  <c r="L16" i="26"/>
  <c r="G16" i="26"/>
  <c r="K16" i="26" s="1"/>
  <c r="L14" i="26"/>
  <c r="G14" i="26"/>
  <c r="K14" i="26" s="1"/>
  <c r="J14" i="26"/>
  <c r="J15" i="26"/>
  <c r="L15" i="26"/>
  <c r="G15" i="26"/>
  <c r="K15" i="26" s="1"/>
  <c r="J10" i="26"/>
  <c r="L10" i="26"/>
  <c r="G10" i="26"/>
  <c r="L17" i="26"/>
  <c r="G17" i="26"/>
  <c r="K17" i="26" s="1"/>
  <c r="J17" i="26"/>
  <c r="L13" i="26"/>
  <c r="G13" i="26"/>
  <c r="K13" i="26" s="1"/>
  <c r="J13" i="26"/>
  <c r="L18" i="26"/>
  <c r="G18" i="26"/>
  <c r="K18" i="26" s="1"/>
  <c r="J18" i="26"/>
  <c r="J11" i="26"/>
  <c r="L11" i="26"/>
  <c r="G11" i="26"/>
  <c r="K11" i="26" s="1"/>
  <c r="L17" i="24"/>
  <c r="J17" i="24"/>
  <c r="G17" i="24"/>
  <c r="K17" i="24" s="1"/>
  <c r="J13" i="24"/>
  <c r="L13" i="24"/>
  <c r="G13" i="24"/>
  <c r="K13" i="24" s="1"/>
  <c r="J10" i="24"/>
  <c r="L10" i="24"/>
  <c r="G10" i="24"/>
  <c r="L15" i="24"/>
  <c r="J15" i="24"/>
  <c r="G15" i="24"/>
  <c r="K15" i="24" s="1"/>
  <c r="L18" i="24"/>
  <c r="J18" i="24"/>
  <c r="G18" i="24"/>
  <c r="K18" i="24" s="1"/>
  <c r="L14" i="24"/>
  <c r="J14" i="24"/>
  <c r="G14" i="24"/>
  <c r="K14" i="24" s="1"/>
  <c r="J11" i="24"/>
  <c r="L11" i="24"/>
  <c r="G11" i="24"/>
  <c r="K11" i="24" s="1"/>
  <c r="J16" i="24"/>
  <c r="G16" i="24"/>
  <c r="K16" i="24" s="1"/>
  <c r="L16" i="24"/>
  <c r="F10" i="22"/>
  <c r="AN9" i="21"/>
  <c r="AN24" i="21"/>
  <c r="F18" i="22"/>
  <c r="F11" i="22"/>
  <c r="AN11" i="21"/>
  <c r="AN22" i="21"/>
  <c r="F17" i="22"/>
  <c r="I20" i="22"/>
  <c r="F15" i="22"/>
  <c r="AN18" i="21"/>
  <c r="AN14" i="21"/>
  <c r="F13" i="22"/>
  <c r="AN16" i="21"/>
  <c r="F14" i="22"/>
  <c r="F16" i="22"/>
  <c r="AN20" i="21"/>
  <c r="AB5" i="14"/>
  <c r="AA6" i="14"/>
  <c r="M11" i="34" l="1"/>
  <c r="Q11" i="34" s="1"/>
  <c r="S11" i="34" s="1"/>
  <c r="L20" i="34"/>
  <c r="M15" i="34"/>
  <c r="Q15" i="34" s="1"/>
  <c r="S15" i="34" s="1"/>
  <c r="M18" i="34"/>
  <c r="Q18" i="34" s="1"/>
  <c r="S18" i="34" s="1"/>
  <c r="M17" i="34"/>
  <c r="Q17" i="34" s="1"/>
  <c r="S17" i="34" s="1"/>
  <c r="M13" i="34"/>
  <c r="Q13" i="34" s="1"/>
  <c r="S13" i="34" s="1"/>
  <c r="M16" i="34"/>
  <c r="Q16" i="34" s="1"/>
  <c r="S16" i="34" s="1"/>
  <c r="M14" i="34"/>
  <c r="Q14" i="34" s="1"/>
  <c r="S14" i="34" s="1"/>
  <c r="K10" i="34"/>
  <c r="G20" i="34"/>
  <c r="M18" i="32"/>
  <c r="Q18" i="32" s="1"/>
  <c r="S18" i="32" s="1"/>
  <c r="M16" i="32"/>
  <c r="Q16" i="32" s="1"/>
  <c r="S16" i="32" s="1"/>
  <c r="M14" i="32"/>
  <c r="Q14" i="32" s="1"/>
  <c r="S14" i="32" s="1"/>
  <c r="L20" i="32"/>
  <c r="G20" i="32"/>
  <c r="K20" i="32"/>
  <c r="M10" i="32"/>
  <c r="M15" i="32"/>
  <c r="Q15" i="32" s="1"/>
  <c r="S15" i="32" s="1"/>
  <c r="M17" i="32"/>
  <c r="Q17" i="32" s="1"/>
  <c r="S17" i="32" s="1"/>
  <c r="M13" i="32"/>
  <c r="Q13" i="32" s="1"/>
  <c r="S13" i="32" s="1"/>
  <c r="M15" i="30"/>
  <c r="Q15" i="30" s="1"/>
  <c r="S15" i="30" s="1"/>
  <c r="M11" i="30"/>
  <c r="Q11" i="30" s="1"/>
  <c r="S11" i="30" s="1"/>
  <c r="M13" i="30"/>
  <c r="Q13" i="30" s="1"/>
  <c r="S13" i="30" s="1"/>
  <c r="M14" i="30"/>
  <c r="Q14" i="30" s="1"/>
  <c r="S14" i="30" s="1"/>
  <c r="M16" i="30"/>
  <c r="Q16" i="30" s="1"/>
  <c r="S16" i="30" s="1"/>
  <c r="M18" i="30"/>
  <c r="Q18" i="30" s="1"/>
  <c r="S18" i="30" s="1"/>
  <c r="K10" i="30"/>
  <c r="G20" i="30"/>
  <c r="L20" i="30"/>
  <c r="M17" i="30"/>
  <c r="Q17" i="30" s="1"/>
  <c r="S17" i="30" s="1"/>
  <c r="M11" i="28"/>
  <c r="Q11" i="28" s="1"/>
  <c r="S11" i="28" s="1"/>
  <c r="M17" i="28"/>
  <c r="Q17" i="28" s="1"/>
  <c r="S17" i="28" s="1"/>
  <c r="M15" i="28"/>
  <c r="Q15" i="28" s="1"/>
  <c r="S15" i="28" s="1"/>
  <c r="M14" i="28"/>
  <c r="Q14" i="28" s="1"/>
  <c r="S14" i="28" s="1"/>
  <c r="M16" i="28"/>
  <c r="Q16" i="28" s="1"/>
  <c r="S16" i="28" s="1"/>
  <c r="M18" i="28"/>
  <c r="Q18" i="28" s="1"/>
  <c r="S18" i="28" s="1"/>
  <c r="L20" i="28"/>
  <c r="M13" i="28"/>
  <c r="Q13" i="28" s="1"/>
  <c r="S13" i="28" s="1"/>
  <c r="K10" i="28"/>
  <c r="G20" i="28"/>
  <c r="M11" i="26"/>
  <c r="Q11" i="26" s="1"/>
  <c r="S11" i="26" s="1"/>
  <c r="M13" i="26"/>
  <c r="Q13" i="26" s="1"/>
  <c r="S13" i="26" s="1"/>
  <c r="M15" i="26"/>
  <c r="Q15" i="26" s="1"/>
  <c r="S15" i="26" s="1"/>
  <c r="M16" i="26"/>
  <c r="Q16" i="26" s="1"/>
  <c r="S16" i="26" s="1"/>
  <c r="M14" i="26"/>
  <c r="Q14" i="26" s="1"/>
  <c r="S14" i="26" s="1"/>
  <c r="M18" i="26"/>
  <c r="Q18" i="26" s="1"/>
  <c r="S18" i="26" s="1"/>
  <c r="K10" i="26"/>
  <c r="G20" i="26"/>
  <c r="L20" i="26"/>
  <c r="M17" i="26"/>
  <c r="Q17" i="26" s="1"/>
  <c r="S17" i="26" s="1"/>
  <c r="M13" i="24"/>
  <c r="Q13" i="24" s="1"/>
  <c r="S13" i="24" s="1"/>
  <c r="M18" i="24"/>
  <c r="Q18" i="24" s="1"/>
  <c r="S18" i="24" s="1"/>
  <c r="M17" i="24"/>
  <c r="Q17" i="24" s="1"/>
  <c r="S17" i="24" s="1"/>
  <c r="M15" i="24"/>
  <c r="Q15" i="24" s="1"/>
  <c r="S15" i="24" s="1"/>
  <c r="L20" i="24"/>
  <c r="M16" i="24"/>
  <c r="Q16" i="24" s="1"/>
  <c r="S16" i="24" s="1"/>
  <c r="M14" i="24"/>
  <c r="Q14" i="24" s="1"/>
  <c r="S14" i="24" s="1"/>
  <c r="M11" i="24"/>
  <c r="Q11" i="24" s="1"/>
  <c r="S11" i="24" s="1"/>
  <c r="K10" i="24"/>
  <c r="G20" i="24"/>
  <c r="J16" i="22"/>
  <c r="L16" i="22"/>
  <c r="G16" i="22"/>
  <c r="K16" i="22" s="1"/>
  <c r="L18" i="22"/>
  <c r="G18" i="22"/>
  <c r="K18" i="22" s="1"/>
  <c r="J18" i="22"/>
  <c r="L14" i="22"/>
  <c r="J14" i="22"/>
  <c r="G14" i="22"/>
  <c r="K14" i="22" s="1"/>
  <c r="L17" i="22"/>
  <c r="J17" i="22"/>
  <c r="G17" i="22"/>
  <c r="K17" i="22" s="1"/>
  <c r="G15" i="22"/>
  <c r="K15" i="22" s="1"/>
  <c r="J15" i="22"/>
  <c r="L15" i="22"/>
  <c r="L13" i="22"/>
  <c r="J13" i="22"/>
  <c r="G13" i="22"/>
  <c r="K13" i="22" s="1"/>
  <c r="J11" i="22"/>
  <c r="L11" i="22"/>
  <c r="G11" i="22"/>
  <c r="K11" i="22" s="1"/>
  <c r="G10" i="22"/>
  <c r="J10" i="22"/>
  <c r="L10" i="22"/>
  <c r="AB6" i="14"/>
  <c r="AC5" i="14"/>
  <c r="K20" i="34" l="1"/>
  <c r="M10" i="34"/>
  <c r="Q10" i="32"/>
  <c r="M20" i="32"/>
  <c r="K20" i="30"/>
  <c r="M10" i="30"/>
  <c r="K20" i="28"/>
  <c r="M10" i="28"/>
  <c r="K20" i="26"/>
  <c r="M10" i="26"/>
  <c r="K20" i="24"/>
  <c r="M10" i="24"/>
  <c r="M13" i="22"/>
  <c r="Q13" i="22" s="1"/>
  <c r="S13" i="22" s="1"/>
  <c r="M11" i="22"/>
  <c r="Q11" i="22" s="1"/>
  <c r="S11" i="22" s="1"/>
  <c r="M15" i="22"/>
  <c r="Q15" i="22" s="1"/>
  <c r="S15" i="22" s="1"/>
  <c r="M14" i="22"/>
  <c r="Q14" i="22" s="1"/>
  <c r="S14" i="22" s="1"/>
  <c r="M18" i="22"/>
  <c r="Q18" i="22" s="1"/>
  <c r="S18" i="22" s="1"/>
  <c r="K10" i="22"/>
  <c r="G20" i="22"/>
  <c r="L20" i="22"/>
  <c r="M17" i="22"/>
  <c r="Q17" i="22" s="1"/>
  <c r="S17" i="22" s="1"/>
  <c r="M16" i="22"/>
  <c r="Q16" i="22" s="1"/>
  <c r="S16" i="22" s="1"/>
  <c r="AC6" i="14"/>
  <c r="AD5" i="14"/>
  <c r="Q10" i="34" l="1"/>
  <c r="M20" i="34"/>
  <c r="S10" i="32"/>
  <c r="S20" i="32" s="1"/>
  <c r="Q20" i="32"/>
  <c r="Q10" i="30"/>
  <c r="M20" i="30"/>
  <c r="Q10" i="28"/>
  <c r="M20" i="28"/>
  <c r="Q10" i="26"/>
  <c r="M20" i="26"/>
  <c r="M20" i="24"/>
  <c r="Q10" i="24"/>
  <c r="K20" i="22"/>
  <c r="M10" i="22"/>
  <c r="AD6" i="14"/>
  <c r="AE5" i="14"/>
  <c r="S10" i="34" l="1"/>
  <c r="S20" i="34" s="1"/>
  <c r="Q20" i="34"/>
  <c r="S10" i="30"/>
  <c r="S20" i="30" s="1"/>
  <c r="Q20" i="30"/>
  <c r="S10" i="28"/>
  <c r="S20" i="28" s="1"/>
  <c r="Q20" i="28"/>
  <c r="S10" i="26"/>
  <c r="S20" i="26" s="1"/>
  <c r="Q20" i="26"/>
  <c r="S10" i="24"/>
  <c r="S20" i="24" s="1"/>
  <c r="Q20" i="24"/>
  <c r="Q10" i="22"/>
  <c r="M20" i="22"/>
  <c r="AF5" i="14"/>
  <c r="AE6" i="14"/>
  <c r="S10" i="22" l="1"/>
  <c r="S20" i="22" s="1"/>
  <c r="Q20" i="22"/>
  <c r="AF6" i="14"/>
  <c r="AG5" i="14"/>
  <c r="AH5" i="14" l="1"/>
  <c r="AG6" i="14"/>
  <c r="AI5" i="14" l="1"/>
  <c r="AH6" i="14"/>
  <c r="AJ5" i="14" l="1"/>
  <c r="AJ6" i="14" s="1"/>
  <c r="AI6" i="14"/>
  <c r="AM24" i="14" l="1"/>
  <c r="AK24" i="14"/>
  <c r="AK26" i="14"/>
  <c r="AN26" i="14" s="1"/>
  <c r="AM26" i="14"/>
  <c r="AM22" i="14"/>
  <c r="H17" i="16" s="1"/>
  <c r="I17" i="16" s="1"/>
  <c r="AK22" i="14"/>
  <c r="AM18" i="14"/>
  <c r="H15" i="16" s="1"/>
  <c r="I15" i="16" s="1"/>
  <c r="H18" i="16"/>
  <c r="I18" i="16" s="1"/>
  <c r="AK9" i="14"/>
  <c r="F10" i="16" s="1"/>
  <c r="F18" i="16"/>
  <c r="AK18" i="14"/>
  <c r="F15" i="16" s="1"/>
  <c r="AM20" i="14"/>
  <c r="H16" i="16" s="1"/>
  <c r="I16" i="16" s="1"/>
  <c r="H19" i="16"/>
  <c r="I19" i="16" s="1"/>
  <c r="AK16" i="14"/>
  <c r="F14" i="16" s="1"/>
  <c r="AK20" i="14"/>
  <c r="F16" i="16" s="1"/>
  <c r="AM9" i="14"/>
  <c r="H10" i="16" s="1"/>
  <c r="F19" i="16"/>
  <c r="AM16" i="14"/>
  <c r="H14" i="16" s="1"/>
  <c r="AM13" i="14"/>
  <c r="F17" i="16"/>
  <c r="AK13" i="14"/>
  <c r="AN22" i="14" l="1"/>
  <c r="AN24" i="14"/>
  <c r="L19" i="16"/>
  <c r="J19" i="16"/>
  <c r="G19" i="16"/>
  <c r="K19" i="16" s="1"/>
  <c r="J16" i="16"/>
  <c r="G16" i="16"/>
  <c r="K16" i="16" s="1"/>
  <c r="L16" i="16"/>
  <c r="L15" i="16"/>
  <c r="G15" i="16"/>
  <c r="K15" i="16" s="1"/>
  <c r="J15" i="16"/>
  <c r="L18" i="16"/>
  <c r="G18" i="16"/>
  <c r="K18" i="16" s="1"/>
  <c r="J18" i="16"/>
  <c r="L17" i="16"/>
  <c r="G17" i="16"/>
  <c r="K17" i="16" s="1"/>
  <c r="J17" i="16"/>
  <c r="AN20" i="14"/>
  <c r="AN18" i="14"/>
  <c r="AN9" i="14"/>
  <c r="L10" i="16"/>
  <c r="AN13" i="14"/>
  <c r="AN16" i="14"/>
  <c r="I10" i="16"/>
  <c r="M19" i="16" l="1"/>
  <c r="Q19" i="16" s="1"/>
  <c r="S19" i="16" s="1"/>
  <c r="M16" i="16"/>
  <c r="Q16" i="16" s="1"/>
  <c r="S16" i="16" s="1"/>
  <c r="M15" i="16"/>
  <c r="Q15" i="16" s="1"/>
  <c r="S15" i="16" s="1"/>
  <c r="M18" i="16"/>
  <c r="Q18" i="16" s="1"/>
  <c r="S18" i="16" s="1"/>
  <c r="M17" i="16"/>
  <c r="Q17" i="16" s="1"/>
  <c r="S17" i="16" s="1"/>
  <c r="J10" i="16"/>
  <c r="G10" i="16"/>
  <c r="L14" i="16"/>
  <c r="G14" i="16"/>
  <c r="J14" i="16"/>
  <c r="I14" i="16"/>
  <c r="I21" i="16" s="1"/>
  <c r="K14" i="16" l="1"/>
  <c r="K10" i="16"/>
  <c r="G21" i="16"/>
  <c r="L21" i="16"/>
  <c r="K21" i="16" l="1"/>
  <c r="M10" i="16"/>
  <c r="M14" i="16"/>
  <c r="Q14" i="16" l="1"/>
  <c r="M21" i="16"/>
  <c r="Q10" i="16"/>
  <c r="S14" i="16" l="1"/>
  <c r="S10" i="16"/>
  <c r="Q21" i="16"/>
  <c r="S21" i="16" l="1"/>
</calcChain>
</file>

<file path=xl/sharedStrings.xml><?xml version="1.0" encoding="utf-8"?>
<sst xmlns="http://schemas.openxmlformats.org/spreadsheetml/2006/main" count="951" uniqueCount="187">
  <si>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</si>
  <si>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</si>
  <si>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</si>
  <si>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</si>
  <si>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</si>
  <si>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</si>
  <si>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</si>
  <si>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</si>
  <si>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</si>
  <si>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</si>
  <si>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</si>
  <si>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</si>
  <si>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</si>
  <si>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</si>
  <si>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</si>
  <si>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</si>
  <si>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</si>
  <si>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</si>
  <si>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</si>
  <si>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</si>
  <si>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</si>
  <si>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</si>
  <si>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</si>
  <si>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</si>
  <si>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</si>
  <si>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</si>
  <si>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</si>
  <si>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</si>
  <si>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</si>
  <si>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</si>
  <si>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</si>
  <si>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</si>
  <si>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</si>
  <si>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</si>
  <si>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</si>
  <si>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</si>
  <si>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</si>
  <si>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</si>
  <si>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</si>
  <si>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</si>
  <si>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</si>
  <si>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</si>
  <si>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</si>
  <si>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</si>
  <si>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</si>
  <si>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</si>
  <si>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</si>
  <si>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</si>
  <si>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</si>
  <si>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</si>
  <si>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</si>
  <si>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</si>
  <si>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</si>
  <si>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</si>
  <si>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</si>
  <si>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</si>
  <si>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</si>
  <si>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</si>
  <si>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</si>
  <si>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</si>
  <si>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</si>
  <si>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</si>
  <si>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</si>
  <si>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</si>
  <si>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</si>
  <si>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</si>
  <si>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</si>
  <si>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</si>
  <si>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</si>
  <si>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</si>
  <si>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</si>
  <si>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</si>
  <si>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</si>
  <si>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</si>
  <si>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</si>
  <si>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</si>
  <si>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</si>
  <si>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</si>
  <si>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</si>
  <si>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</si>
  <si>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</si>
  <si>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</si>
  <si>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</si>
  <si>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</si>
  <si>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</si>
  <si>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</si>
  <si>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</si>
  <si>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</si>
  <si>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</si>
  <si>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</si>
  <si>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</si>
  <si>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</si>
  <si>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</si>
  <si>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</si>
  <si>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</si>
  <si>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</si>
  <si>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</si>
  <si>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</si>
  <si>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</si>
  <si>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</si>
  <si>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</si>
  <si>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</si>
  <si>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</si>
  <si>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</si>
  <si>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</si>
  <si>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</si>
  <si>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</si>
  <si>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</si>
  <si>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</si>
  <si>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</si>
  <si>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</si>
  <si>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</si>
  <si>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</si>
  <si>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</si>
  <si>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</si>
  <si>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</si>
  <si>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</si>
  <si>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</si>
  <si>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</si>
  <si>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</si>
  <si>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</si>
  <si>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</si>
  <si>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</si>
  <si>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</si>
  <si>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</si>
  <si>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</si>
  <si>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</si>
  <si>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</si>
  <si>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</si>
  <si>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</si>
  <si>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</si>
  <si>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</si>
  <si>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</si>
  <si>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</si>
  <si>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</si>
  <si>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</si>
  <si>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</si>
  <si>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</si>
  <si>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</si>
  <si>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</si>
  <si>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</si>
  <si>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</si>
  <si>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</si>
  <si>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</si>
  <si>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</si>
  <si>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</si>
  <si>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</si>
  <si>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</si>
  <si>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</si>
  <si>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</si>
  <si>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</si>
  <si>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</si>
  <si>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</si>
  <si>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</si>
  <si>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</si>
  <si>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</si>
  <si>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</si>
  <si>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</si>
  <si>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</si>
  <si>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</si>
  <si>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</si>
  <si>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</si>
  <si>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</si>
  <si>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</si>
  <si>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</si>
  <si>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</si>
  <si>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</si>
  <si>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</si>
  <si>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</si>
  <si>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CN04</t>
  </si>
  <si>
    <t>CN05</t>
  </si>
  <si>
    <t>CN06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</si>
  <si>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</si>
  <si>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</si>
  <si>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</si>
  <si>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</si>
  <si>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</si>
  <si>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</si>
  <si>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</si>
  <si>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</si>
  <si>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Trương Văn Thành</t>
  </si>
  <si>
    <t>Thợ in</t>
  </si>
  <si>
    <t>Đoàn Hồng Phong</t>
  </si>
  <si>
    <t>Thợ đóng - xả</t>
  </si>
  <si>
    <t>Trần Thị Ngọc Anh</t>
  </si>
  <si>
    <t>Nguyễn Minh Vương</t>
  </si>
  <si>
    <t>QL03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</si>
</sst>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2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58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169" fontId="118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9" fillId="0" borderId="0" xfId="0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169" fontId="120" fillId="0" borderId="2" xfId="337" applyNumberFormat="1" applyFont="1" applyBorder="1" applyAlignment="1">
      <alignment horizontal="center" vertical="center" wrapText="1"/>
    </xf>
    <xf numFmtId="169" fontId="121" fillId="0" borderId="0" xfId="337" applyNumberFormat="1" applyFont="1"/>
    <xf numFmtId="169" fontId="120" fillId="0" borderId="0" xfId="337" applyNumberFormat="1" applyFont="1"/>
    <xf numFmtId="0" fontId="120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9" fillId="0" borderId="0" xfId="0" applyNumberFormat="1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237" fontId="99" fillId="28" borderId="28" xfId="0" applyNumberFormat="1" applyFont="1" applyFill="1" applyBorder="1" applyAlignment="1">
      <alignment horizontal="center" vertical="center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66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opLeftCell="A8" workbookViewId="0">
      <pane ySplit="3" topLeftCell="A11" activePane="bottomLeft" state="frozen"/>
      <selection activeCell="A8" sqref="A8"/>
      <selection pane="bottomLeft" activeCell="B11" sqref="B11:B13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155</v>
      </c>
    </row>
    <row r="2" spans="1:26" ht="15">
      <c r="A2" s="1" t="s">
        <v>156</v>
      </c>
    </row>
    <row r="3" spans="1:26" ht="15">
      <c r="A3" s="1"/>
    </row>
    <row r="4" spans="1:26">
      <c r="A4" s="109"/>
      <c r="B4" s="109"/>
    </row>
    <row r="5" spans="1:26" ht="23.25" customHeight="1">
      <c r="A5" s="205" t="s">
        <v>35</v>
      </c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X5" s="205"/>
    </row>
    <row r="6" spans="1:26" ht="23.25" customHeight="1">
      <c r="A6" s="206" t="str">
        <f>"Tháng "&amp;'CC -5'!C4&amp;" năm 2011"</f>
        <v>Tháng  năm 2011</v>
      </c>
      <c r="B6" s="206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07" t="s">
        <v>19</v>
      </c>
      <c r="B8" s="207" t="s">
        <v>3</v>
      </c>
      <c r="C8" s="207" t="s">
        <v>1</v>
      </c>
      <c r="D8" s="207" t="s">
        <v>2</v>
      </c>
      <c r="E8" s="210" t="s">
        <v>56</v>
      </c>
      <c r="F8" s="210"/>
      <c r="G8" s="210" t="s">
        <v>36</v>
      </c>
      <c r="H8" s="210"/>
      <c r="I8" s="210" t="s">
        <v>24</v>
      </c>
      <c r="J8" s="210" t="s">
        <v>33</v>
      </c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08" t="s">
        <v>39</v>
      </c>
      <c r="W8" s="208" t="s">
        <v>23</v>
      </c>
      <c r="X8" s="208" t="s">
        <v>11</v>
      </c>
      <c r="Y8" s="107"/>
      <c r="Z8" s="107"/>
    </row>
    <row r="9" spans="1:26" s="1" customFormat="1" ht="20.25" customHeight="1">
      <c r="A9" s="207"/>
      <c r="B9" s="207"/>
      <c r="C9" s="207"/>
      <c r="D9" s="207"/>
      <c r="E9" s="173" t="s">
        <v>162</v>
      </c>
      <c r="F9" s="173">
        <v>2015</v>
      </c>
      <c r="G9" s="172" t="s">
        <v>57</v>
      </c>
      <c r="H9" s="172" t="s">
        <v>38</v>
      </c>
      <c r="I9" s="210"/>
      <c r="J9" s="172" t="s">
        <v>105</v>
      </c>
      <c r="K9" s="172" t="s">
        <v>106</v>
      </c>
      <c r="L9" s="172" t="s">
        <v>107</v>
      </c>
      <c r="M9" s="172" t="s">
        <v>108</v>
      </c>
      <c r="N9" s="172" t="s">
        <v>109</v>
      </c>
      <c r="O9" s="172" t="s">
        <v>110</v>
      </c>
      <c r="P9" s="172" t="s">
        <v>111</v>
      </c>
      <c r="Q9" s="172" t="s">
        <v>112</v>
      </c>
      <c r="R9" s="172" t="s">
        <v>113</v>
      </c>
      <c r="S9" s="172" t="s">
        <v>114</v>
      </c>
      <c r="T9" s="172" t="s">
        <v>115</v>
      </c>
      <c r="U9" s="172" t="s">
        <v>116</v>
      </c>
      <c r="V9" s="209"/>
      <c r="W9" s="209"/>
      <c r="X9" s="209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IF(B11&lt;&gt;"",ROW()-10,"")</f>
        <v>1</v>
      </c>
      <c r="B11" s="158" t="s">
        <v>164</v>
      </c>
      <c r="C11" s="162" t="s">
        <v>172</v>
      </c>
      <c r="D11" s="158" t="s">
        <v>175</v>
      </c>
      <c r="E11" s="191">
        <v>4500000</v>
      </c>
      <c r="F11" s="153"/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21" si="0">IF(B12&lt;&gt;"",ROW()-10,"")</f>
        <v>2</v>
      </c>
      <c r="B12" s="158" t="s">
        <v>165</v>
      </c>
      <c r="C12" s="162" t="s">
        <v>173</v>
      </c>
      <c r="D12" s="158" t="s">
        <v>176</v>
      </c>
      <c r="E12" s="191">
        <v>4000000</v>
      </c>
      <c r="F12" s="153"/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61" customFormat="1" ht="21.75" customHeight="1">
      <c r="A13" s="158">
        <f t="shared" si="0"/>
        <v>3</v>
      </c>
      <c r="B13" s="158" t="s">
        <v>186</v>
      </c>
      <c r="C13" s="162" t="s">
        <v>174</v>
      </c>
      <c r="D13" s="158" t="s">
        <v>177</v>
      </c>
      <c r="E13" s="191">
        <v>4000000</v>
      </c>
      <c r="F13" s="153"/>
      <c r="G13" s="153">
        <v>390000</v>
      </c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9"/>
      <c r="Z13" s="160"/>
    </row>
    <row r="14" spans="1:26" s="170" customFormat="1" ht="21.75" customHeight="1">
      <c r="A14" s="164">
        <f t="shared" si="0"/>
        <v>4</v>
      </c>
      <c r="B14" s="165" t="s">
        <v>166</v>
      </c>
      <c r="C14" s="166" t="s">
        <v>178</v>
      </c>
      <c r="D14" s="164" t="s">
        <v>181</v>
      </c>
      <c r="E14" s="167">
        <v>3000000</v>
      </c>
      <c r="F14" s="167"/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167</v>
      </c>
      <c r="C15" s="166" t="s">
        <v>182</v>
      </c>
      <c r="D15" s="164" t="s">
        <v>183</v>
      </c>
      <c r="E15" s="167">
        <v>3000000</v>
      </c>
      <c r="F15" s="167"/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168</v>
      </c>
      <c r="C16" s="166" t="s">
        <v>179</v>
      </c>
      <c r="D16" s="164" t="s">
        <v>88</v>
      </c>
      <c r="E16" s="167">
        <v>2700000</v>
      </c>
      <c r="F16" s="167"/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6" s="170" customFormat="1" ht="21.75" customHeight="1">
      <c r="A17" s="158">
        <f t="shared" si="0"/>
        <v>7</v>
      </c>
      <c r="B17" s="165" t="s">
        <v>169</v>
      </c>
      <c r="C17" s="166" t="s">
        <v>180</v>
      </c>
      <c r="D17" s="164" t="s">
        <v>88</v>
      </c>
      <c r="E17" s="167">
        <v>2700000</v>
      </c>
      <c r="F17" s="167"/>
      <c r="G17" s="167">
        <v>390000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8"/>
      <c r="Z17" s="169"/>
    </row>
    <row r="18" spans="1:26" s="170" customFormat="1" ht="21.75" customHeight="1">
      <c r="A18" s="158">
        <f t="shared" si="0"/>
        <v>8</v>
      </c>
      <c r="B18" s="165" t="s">
        <v>170</v>
      </c>
      <c r="C18" s="166" t="s">
        <v>184</v>
      </c>
      <c r="D18" s="164" t="s">
        <v>88</v>
      </c>
      <c r="E18" s="167">
        <v>2700000</v>
      </c>
      <c r="F18" s="167"/>
      <c r="G18" s="167">
        <v>390000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8"/>
      <c r="Z18" s="169"/>
    </row>
    <row r="19" spans="1:26" s="170" customFormat="1" ht="21.75" customHeight="1">
      <c r="A19" s="158">
        <f t="shared" si="0"/>
        <v>9</v>
      </c>
      <c r="B19" s="165" t="s">
        <v>171</v>
      </c>
      <c r="C19" s="166" t="s">
        <v>185</v>
      </c>
      <c r="D19" s="164" t="s">
        <v>88</v>
      </c>
      <c r="E19" s="167">
        <v>2700000</v>
      </c>
      <c r="F19" s="167"/>
      <c r="G19" s="167">
        <v>390000</v>
      </c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8"/>
      <c r="Z19" s="169"/>
    </row>
    <row r="20" spans="1:26" ht="21.75" customHeight="1">
      <c r="A20" s="158" t="str">
        <f t="shared" si="0"/>
        <v/>
      </c>
      <c r="B20" s="17"/>
      <c r="C20" s="53"/>
      <c r="D20" s="14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07"/>
    </row>
    <row r="21" spans="1:26" ht="21.75" customHeight="1">
      <c r="A21" s="158" t="str">
        <f t="shared" si="0"/>
        <v/>
      </c>
      <c r="B21" s="142"/>
      <c r="C21" s="150"/>
      <c r="D21" s="149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6" ht="21.75" customHeight="1">
      <c r="A22" s="199" t="s">
        <v>25</v>
      </c>
      <c r="B22" s="200"/>
      <c r="C22" s="200"/>
      <c r="D22" s="155" t="s">
        <v>135</v>
      </c>
      <c r="E22" s="152">
        <f>SUM(E11:E21)</f>
        <v>29300000</v>
      </c>
      <c r="F22" s="152">
        <f>SUM(F11:F21)</f>
        <v>0</v>
      </c>
      <c r="G22" s="152">
        <f>SUM(G11:G21)</f>
        <v>3510000</v>
      </c>
      <c r="H22" s="152">
        <f>SUM(H11:H21)</f>
        <v>0</v>
      </c>
      <c r="I22" s="152"/>
      <c r="J22" s="152">
        <f t="shared" ref="J22:U22" si="1">SUMIF(J$11:J$21,"x",$E$11:$E$21)</f>
        <v>0</v>
      </c>
      <c r="K22" s="152">
        <f t="shared" si="1"/>
        <v>0</v>
      </c>
      <c r="L22" s="152">
        <f t="shared" si="1"/>
        <v>0</v>
      </c>
      <c r="M22" s="152">
        <f t="shared" si="1"/>
        <v>0</v>
      </c>
      <c r="N22" s="152">
        <f t="shared" si="1"/>
        <v>0</v>
      </c>
      <c r="O22" s="152">
        <f t="shared" si="1"/>
        <v>0</v>
      </c>
      <c r="P22" s="152">
        <f t="shared" si="1"/>
        <v>0</v>
      </c>
      <c r="Q22" s="152">
        <f t="shared" si="1"/>
        <v>0</v>
      </c>
      <c r="R22" s="152">
        <f t="shared" si="1"/>
        <v>0</v>
      </c>
      <c r="S22" s="152">
        <f t="shared" si="1"/>
        <v>0</v>
      </c>
      <c r="T22" s="152">
        <f t="shared" si="1"/>
        <v>0</v>
      </c>
      <c r="U22" s="152">
        <f t="shared" si="1"/>
        <v>0</v>
      </c>
      <c r="V22" s="152"/>
      <c r="W22" s="152"/>
      <c r="X22" s="152"/>
      <c r="Y22" s="107"/>
    </row>
    <row r="23" spans="1:26" ht="21.75" customHeight="1">
      <c r="A23" s="201"/>
      <c r="B23" s="202"/>
      <c r="C23" s="202"/>
      <c r="D23" s="155" t="s">
        <v>136</v>
      </c>
      <c r="E23" s="152"/>
      <c r="F23" s="152"/>
      <c r="G23" s="152"/>
      <c r="H23" s="152"/>
      <c r="I23" s="152"/>
      <c r="J23" s="152">
        <f t="array" ref="J23">SUM((J$11:J$21="x")*1)</f>
        <v>0</v>
      </c>
      <c r="K23" s="152">
        <f t="array" ref="K23">SUM((K$11:K$21="x")*1)</f>
        <v>0</v>
      </c>
      <c r="L23" s="152">
        <f t="array" ref="L23">SUM((L$11:L$21="x")*1)</f>
        <v>0</v>
      </c>
      <c r="M23" s="152">
        <f t="array" ref="M23">SUM((M$11:M$21="x")*1)</f>
        <v>0</v>
      </c>
      <c r="N23" s="152">
        <f t="array" ref="N23">SUM((N$11:N$21="x")*1)</f>
        <v>0</v>
      </c>
      <c r="O23" s="152">
        <f t="array" ref="O23">SUM((O$11:O$21="x")*1)</f>
        <v>0</v>
      </c>
      <c r="P23" s="152">
        <f t="array" ref="P23">SUM((P$11:P$21="x")*1)</f>
        <v>0</v>
      </c>
      <c r="Q23" s="152">
        <f t="array" ref="Q23">SUM((Q$11:Q$21="x")*1)</f>
        <v>0</v>
      </c>
      <c r="R23" s="152">
        <f t="array" ref="R23">SUM((R$11:R$21="x")*1)</f>
        <v>0</v>
      </c>
      <c r="S23" s="152">
        <f t="array" ref="S23">SUM((S$11:S$21="x")*1)</f>
        <v>0</v>
      </c>
      <c r="T23" s="152">
        <f t="array" ref="T23">SUM((T$11:T$21="x")*1)</f>
        <v>0</v>
      </c>
      <c r="U23" s="152">
        <f t="array" ref="U23">SUM((U$11:U$21="x")*1)</f>
        <v>0</v>
      </c>
      <c r="V23" s="152"/>
      <c r="W23" s="152"/>
      <c r="X23" s="152"/>
      <c r="Y23" s="107"/>
    </row>
    <row r="24" spans="1:26" ht="21.75" customHeight="1">
      <c r="A24" s="203"/>
      <c r="B24" s="204"/>
      <c r="C24" s="204"/>
      <c r="D24" s="155" t="s">
        <v>137</v>
      </c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07"/>
    </row>
    <row r="25" spans="1:26" ht="11.25" customHeight="1">
      <c r="A25" s="19"/>
      <c r="B25" s="1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1:26" ht="11.25" customHeight="1">
      <c r="A26" s="19"/>
      <c r="B26" s="1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108" t="s">
        <v>55</v>
      </c>
      <c r="X26" s="78"/>
    </row>
    <row r="27" spans="1:26" ht="16.5" customHeight="1">
      <c r="A27" s="19"/>
      <c r="B27" s="19"/>
      <c r="C27" s="20" t="s">
        <v>14</v>
      </c>
      <c r="D27" s="21"/>
      <c r="E27" s="22"/>
      <c r="F27" s="30"/>
      <c r="G27" s="30"/>
      <c r="H27" s="30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 t="s">
        <v>22</v>
      </c>
      <c r="X27" s="49"/>
    </row>
    <row r="28" spans="1:26" ht="11.25" customHeight="1">
      <c r="A28" s="19"/>
      <c r="B28" s="19"/>
      <c r="C28" s="20"/>
      <c r="D28" s="21"/>
      <c r="E28" s="22">
        <f>3317000*0.105</f>
        <v>348285</v>
      </c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 ht="11.25" customHeight="1">
      <c r="A32" s="19"/>
      <c r="B32" s="19"/>
      <c r="C32" s="20"/>
      <c r="D32" s="21"/>
      <c r="E32" s="22"/>
      <c r="F32" s="30"/>
      <c r="G32" s="30"/>
      <c r="H32" s="30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9"/>
      <c r="X32" s="49"/>
    </row>
    <row r="33" spans="1:24">
      <c r="A33" s="24"/>
      <c r="B33" s="24"/>
      <c r="C33" s="29" t="s">
        <v>21</v>
      </c>
      <c r="D33" s="21"/>
      <c r="E33" s="22"/>
      <c r="F33" s="30"/>
      <c r="G33" s="30"/>
      <c r="H33" s="30"/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9"/>
      <c r="X33" s="50"/>
    </row>
    <row r="34" spans="1:24" ht="9" customHeight="1">
      <c r="C34" s="46"/>
      <c r="D34" s="46"/>
      <c r="E34" s="22"/>
      <c r="F34" s="51"/>
      <c r="G34" s="51"/>
      <c r="H34" s="5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52"/>
      <c r="X34" s="52"/>
    </row>
    <row r="35" spans="1:24">
      <c r="E35" s="22"/>
    </row>
    <row r="36" spans="1:24" ht="409.6">
      <c r="E36" s="22"/>
    </row>
    <row r="49" spans="3:14">
      <c r="C49" s="154"/>
      <c r="G49" s="166" t="s">
        <v>117</v>
      </c>
      <c r="J49" s="2" t="s">
        <v>61</v>
      </c>
      <c r="K49" s="2" t="s">
        <v>117</v>
      </c>
      <c r="M49" s="2" t="str">
        <f>VLOOKUP(K49,$G$49:$J$108,4,0)</f>
        <v>ALTP001</v>
      </c>
      <c r="N49" s="198" t="str">
        <f>M49</f>
        <v>ALTP001</v>
      </c>
    </row>
    <row r="50" spans="3:14">
      <c r="C50" s="154"/>
      <c r="G50" s="166" t="s">
        <v>118</v>
      </c>
      <c r="J50" s="2" t="s">
        <v>62</v>
      </c>
      <c r="K50" s="2" t="s">
        <v>118</v>
      </c>
      <c r="M50" s="2" t="str">
        <f t="shared" ref="M50:M79" si="2">VLOOKUP(K50,$G$49:$J$108,4,0)</f>
        <v>ALTP002</v>
      </c>
      <c r="N50" s="198"/>
    </row>
    <row r="51" spans="3:14">
      <c r="C51" s="154"/>
      <c r="G51" s="166" t="s">
        <v>119</v>
      </c>
      <c r="J51" s="2" t="s">
        <v>63</v>
      </c>
      <c r="K51" s="2" t="s">
        <v>119</v>
      </c>
      <c r="M51" s="2" t="str">
        <f t="shared" si="2"/>
        <v>ALTP003</v>
      </c>
      <c r="N51" s="198" t="str">
        <f>M50</f>
        <v>ALTP002</v>
      </c>
    </row>
    <row r="52" spans="3:14">
      <c r="C52" s="154"/>
      <c r="G52" s="166" t="s">
        <v>120</v>
      </c>
      <c r="J52" s="2" t="s">
        <v>64</v>
      </c>
      <c r="K52" s="2" t="s">
        <v>120</v>
      </c>
      <c r="M52" s="2" t="str">
        <f t="shared" si="2"/>
        <v>ALTP004</v>
      </c>
      <c r="N52" s="198"/>
    </row>
    <row r="53" spans="3:14">
      <c r="C53" s="154"/>
      <c r="G53" s="166" t="s">
        <v>121</v>
      </c>
      <c r="J53" s="2" t="s">
        <v>65</v>
      </c>
      <c r="K53" s="2" t="s">
        <v>121</v>
      </c>
      <c r="M53" s="2" t="str">
        <f t="shared" si="2"/>
        <v>ALTP005</v>
      </c>
      <c r="N53" s="198" t="str">
        <f>M51</f>
        <v>ALTP003</v>
      </c>
    </row>
    <row r="54" spans="3:14">
      <c r="C54" s="154"/>
      <c r="G54" s="166" t="s">
        <v>122</v>
      </c>
      <c r="J54" s="2" t="s">
        <v>66</v>
      </c>
      <c r="K54" s="2" t="s">
        <v>122</v>
      </c>
      <c r="M54" s="2" t="str">
        <f t="shared" si="2"/>
        <v>ALTP006</v>
      </c>
      <c r="N54" s="198"/>
    </row>
    <row r="55" spans="3:14">
      <c r="C55" s="154"/>
      <c r="G55" s="166" t="s">
        <v>123</v>
      </c>
      <c r="J55" s="2" t="s">
        <v>67</v>
      </c>
      <c r="K55" s="2" t="s">
        <v>123</v>
      </c>
      <c r="M55" s="2" t="str">
        <f t="shared" si="2"/>
        <v>ALTP007</v>
      </c>
      <c r="N55" s="198" t="str">
        <f>M52</f>
        <v>ALTP004</v>
      </c>
    </row>
    <row r="56" spans="3:14">
      <c r="C56" s="154"/>
      <c r="G56" s="166" t="s">
        <v>124</v>
      </c>
      <c r="J56" s="2" t="s">
        <v>68</v>
      </c>
      <c r="K56" s="2" t="s">
        <v>124</v>
      </c>
      <c r="M56" s="2" t="str">
        <f t="shared" si="2"/>
        <v>ALTP008</v>
      </c>
      <c r="N56" s="198"/>
    </row>
    <row r="57" spans="3:14">
      <c r="C57" s="154"/>
      <c r="G57" s="166" t="s">
        <v>125</v>
      </c>
      <c r="J57" s="2" t="s">
        <v>69</v>
      </c>
      <c r="K57" s="2" t="s">
        <v>125</v>
      </c>
      <c r="M57" s="2" t="str">
        <f t="shared" si="2"/>
        <v>ALTP009</v>
      </c>
      <c r="N57" s="198" t="str">
        <f>M53</f>
        <v>ALTP005</v>
      </c>
    </row>
    <row r="58" spans="3:14">
      <c r="C58" s="154"/>
      <c r="G58" s="166" t="s">
        <v>126</v>
      </c>
      <c r="J58" s="2" t="s">
        <v>70</v>
      </c>
      <c r="K58" s="2" t="s">
        <v>126</v>
      </c>
      <c r="M58" s="2" t="str">
        <f t="shared" si="2"/>
        <v>ALTP010</v>
      </c>
      <c r="N58" s="198"/>
    </row>
    <row r="59" spans="3:14">
      <c r="C59" s="154"/>
      <c r="G59" s="166" t="s">
        <v>127</v>
      </c>
      <c r="J59" s="2" t="s">
        <v>71</v>
      </c>
      <c r="K59" s="2" t="s">
        <v>127</v>
      </c>
      <c r="M59" s="2" t="str">
        <f t="shared" si="2"/>
        <v>ALTP011</v>
      </c>
      <c r="N59" s="198" t="str">
        <f>M54</f>
        <v>ALTP006</v>
      </c>
    </row>
    <row r="60" spans="3:14">
      <c r="C60" s="154"/>
      <c r="G60" s="166" t="s">
        <v>128</v>
      </c>
      <c r="J60" s="2" t="s">
        <v>72</v>
      </c>
      <c r="K60" s="2" t="s">
        <v>129</v>
      </c>
      <c r="M60" s="2" t="str">
        <f t="shared" si="2"/>
        <v>ALTP013</v>
      </c>
      <c r="N60" s="198"/>
    </row>
    <row r="61" spans="3:14">
      <c r="C61" s="154"/>
      <c r="G61" s="166" t="s">
        <v>129</v>
      </c>
      <c r="J61" s="2" t="s">
        <v>73</v>
      </c>
      <c r="K61" s="2" t="s">
        <v>130</v>
      </c>
      <c r="M61" s="2" t="str">
        <f t="shared" si="2"/>
        <v>ALTP014</v>
      </c>
      <c r="N61" s="198" t="str">
        <f>M55</f>
        <v>ALTP007</v>
      </c>
    </row>
    <row r="62" spans="3:14">
      <c r="C62" s="154"/>
      <c r="G62" s="166" t="s">
        <v>130</v>
      </c>
      <c r="J62" s="2" t="s">
        <v>74</v>
      </c>
      <c r="K62" s="2" t="s">
        <v>131</v>
      </c>
      <c r="M62" s="2" t="str">
        <f t="shared" si="2"/>
        <v>ALTP015</v>
      </c>
      <c r="N62" s="198"/>
    </row>
    <row r="63" spans="3:14">
      <c r="C63" s="154"/>
      <c r="G63" s="166" t="s">
        <v>131</v>
      </c>
      <c r="J63" s="2" t="s">
        <v>75</v>
      </c>
      <c r="K63" s="2" t="s">
        <v>132</v>
      </c>
      <c r="M63" s="2" t="str">
        <f t="shared" si="2"/>
        <v>ALTP016</v>
      </c>
      <c r="N63" s="198" t="str">
        <f>M56</f>
        <v>ALTP008</v>
      </c>
    </row>
    <row r="64" spans="3:14">
      <c r="C64" s="154"/>
      <c r="G64" s="166" t="s">
        <v>132</v>
      </c>
      <c r="J64" s="2" t="s">
        <v>76</v>
      </c>
      <c r="K64" s="2" t="s">
        <v>133</v>
      </c>
      <c r="M64" s="2" t="str">
        <f t="shared" si="2"/>
        <v>ALTP017</v>
      </c>
      <c r="N64" s="198"/>
    </row>
    <row r="65" spans="3:14">
      <c r="C65" s="154"/>
      <c r="G65" s="166" t="s">
        <v>133</v>
      </c>
      <c r="J65" s="2" t="s">
        <v>77</v>
      </c>
      <c r="K65" s="2" t="s">
        <v>134</v>
      </c>
      <c r="M65" s="2" t="str">
        <f t="shared" si="2"/>
        <v>ALTP018</v>
      </c>
      <c r="N65" s="198" t="str">
        <f>M57</f>
        <v>ALTP009</v>
      </c>
    </row>
    <row r="66" spans="3:14">
      <c r="C66" s="154"/>
      <c r="G66" s="166" t="s">
        <v>134</v>
      </c>
      <c r="J66" s="2" t="s">
        <v>78</v>
      </c>
      <c r="K66" s="2" t="s">
        <v>138</v>
      </c>
      <c r="M66" s="2" t="str">
        <f t="shared" si="2"/>
        <v>ALTP019</v>
      </c>
      <c r="N66" s="198"/>
    </row>
    <row r="67" spans="3:14">
      <c r="C67" s="154"/>
      <c r="G67" s="166" t="s">
        <v>138</v>
      </c>
      <c r="J67" s="2" t="s">
        <v>79</v>
      </c>
      <c r="K67" s="2" t="s">
        <v>140</v>
      </c>
      <c r="M67" s="2" t="str">
        <f t="shared" si="2"/>
        <v>ALTP020</v>
      </c>
      <c r="N67" s="198" t="str">
        <f>M58</f>
        <v>ALTP010</v>
      </c>
    </row>
    <row r="68" spans="3:14">
      <c r="C68" s="154"/>
      <c r="G68" s="166" t="s">
        <v>140</v>
      </c>
      <c r="J68" s="2" t="s">
        <v>80</v>
      </c>
      <c r="K68" s="2" t="s">
        <v>145</v>
      </c>
      <c r="M68" s="2" t="str">
        <f t="shared" si="2"/>
        <v>ALTP025</v>
      </c>
      <c r="N68" s="198"/>
    </row>
    <row r="69" spans="3:14">
      <c r="C69" s="154"/>
      <c r="G69" s="166" t="s">
        <v>141</v>
      </c>
      <c r="J69" s="2" t="s">
        <v>81</v>
      </c>
      <c r="K69" s="2" t="s">
        <v>152</v>
      </c>
      <c r="M69" s="2" t="str">
        <f t="shared" si="2"/>
        <v>ALTP027</v>
      </c>
      <c r="N69" s="198" t="str">
        <f>M59</f>
        <v>ALTP011</v>
      </c>
    </row>
    <row r="70" spans="3:14">
      <c r="C70" s="154"/>
      <c r="G70" s="166" t="s">
        <v>142</v>
      </c>
      <c r="J70" s="2" t="s">
        <v>82</v>
      </c>
      <c r="K70" s="2" t="s">
        <v>100</v>
      </c>
      <c r="M70" s="2" t="str">
        <f t="shared" si="2"/>
        <v>ALTN001</v>
      </c>
      <c r="N70" s="198"/>
    </row>
    <row r="71" spans="3:14">
      <c r="C71" s="154"/>
      <c r="G71" s="166" t="s">
        <v>152</v>
      </c>
      <c r="J71" s="2" t="s">
        <v>87</v>
      </c>
      <c r="K71" s="2" t="s">
        <v>101</v>
      </c>
      <c r="M71" s="2" t="str">
        <f t="shared" si="2"/>
        <v>ALTN002</v>
      </c>
      <c r="N71" s="198" t="str">
        <f>M60</f>
        <v>ALTP013</v>
      </c>
    </row>
    <row r="72" spans="3:14">
      <c r="C72" s="154"/>
      <c r="G72" s="2" t="s">
        <v>143</v>
      </c>
      <c r="J72" s="2" t="s">
        <v>83</v>
      </c>
      <c r="K72" s="2" t="s">
        <v>102</v>
      </c>
      <c r="M72" s="2" t="str">
        <f t="shared" si="2"/>
        <v>ALTN003</v>
      </c>
      <c r="N72" s="198"/>
    </row>
    <row r="73" spans="3:14">
      <c r="C73" s="154"/>
      <c r="G73" s="2" t="s">
        <v>144</v>
      </c>
      <c r="J73" s="2" t="s">
        <v>84</v>
      </c>
      <c r="K73" s="2" t="s">
        <v>151</v>
      </c>
      <c r="M73" s="2" t="str">
        <f t="shared" si="2"/>
        <v>ALTN004</v>
      </c>
      <c r="N73" s="198" t="str">
        <f>M61</f>
        <v>ALTP014</v>
      </c>
    </row>
    <row r="74" spans="3:14">
      <c r="C74" s="154"/>
      <c r="G74" s="2" t="s">
        <v>145</v>
      </c>
      <c r="J74" s="2" t="s">
        <v>85</v>
      </c>
      <c r="K74" s="2" t="s">
        <v>104</v>
      </c>
      <c r="M74" s="2" t="str">
        <f t="shared" si="2"/>
        <v>ALTN006</v>
      </c>
      <c r="N74" s="198"/>
    </row>
    <row r="75" spans="3:14">
      <c r="C75" s="154"/>
      <c r="G75" s="2" t="s">
        <v>150</v>
      </c>
      <c r="J75" s="2" t="s">
        <v>86</v>
      </c>
      <c r="K75" s="2" t="s">
        <v>139</v>
      </c>
      <c r="M75" s="2" t="str">
        <f t="shared" si="2"/>
        <v>ALTN007</v>
      </c>
      <c r="N75" s="198" t="str">
        <f>M62</f>
        <v>ALTP015</v>
      </c>
    </row>
    <row r="76" spans="3:14">
      <c r="C76" s="154"/>
      <c r="G76" s="2" t="s">
        <v>100</v>
      </c>
      <c r="J76" s="2" t="s">
        <v>89</v>
      </c>
      <c r="K76" s="2" t="s">
        <v>146</v>
      </c>
      <c r="M76" s="2" t="str">
        <f t="shared" si="2"/>
        <v>ALTN008</v>
      </c>
      <c r="N76" s="198"/>
    </row>
    <row r="77" spans="3:14">
      <c r="C77" s="154"/>
      <c r="G77" s="2" t="s">
        <v>101</v>
      </c>
      <c r="J77" s="2" t="s">
        <v>90</v>
      </c>
      <c r="K77" s="2" t="s">
        <v>147</v>
      </c>
      <c r="M77" s="2" t="str">
        <f t="shared" si="2"/>
        <v>ALTN009</v>
      </c>
      <c r="N77" s="198" t="str">
        <f>M63</f>
        <v>ALTP016</v>
      </c>
    </row>
    <row r="78" spans="3:14">
      <c r="C78" s="154"/>
      <c r="G78" s="2" t="s">
        <v>102</v>
      </c>
      <c r="J78" s="2" t="s">
        <v>91</v>
      </c>
      <c r="K78" s="2" t="s">
        <v>148</v>
      </c>
      <c r="M78" s="2" t="str">
        <f t="shared" si="2"/>
        <v>ALTN010</v>
      </c>
      <c r="N78" s="198"/>
    </row>
    <row r="79" spans="3:14">
      <c r="C79" s="154"/>
      <c r="G79" s="2" t="s">
        <v>151</v>
      </c>
      <c r="J79" s="2" t="s">
        <v>92</v>
      </c>
      <c r="K79" s="2" t="s">
        <v>149</v>
      </c>
      <c r="M79" s="2" t="str">
        <f t="shared" si="2"/>
        <v>ALTN011</v>
      </c>
      <c r="N79" s="198" t="str">
        <f>M64</f>
        <v>ALTP017</v>
      </c>
    </row>
    <row r="80" spans="3:14">
      <c r="C80" s="154"/>
      <c r="G80" s="2" t="s">
        <v>103</v>
      </c>
      <c r="J80" s="2" t="s">
        <v>93</v>
      </c>
      <c r="N80" s="198"/>
    </row>
    <row r="81" spans="3:14">
      <c r="C81" s="154"/>
      <c r="G81" s="31" t="s">
        <v>104</v>
      </c>
      <c r="J81" s="2" t="s">
        <v>94</v>
      </c>
      <c r="N81" s="198" t="str">
        <f>M65</f>
        <v>ALTP018</v>
      </c>
    </row>
    <row r="82" spans="3:14">
      <c r="C82" s="154"/>
      <c r="G82" s="31" t="s">
        <v>139</v>
      </c>
      <c r="J82" s="2" t="s">
        <v>95</v>
      </c>
      <c r="N82" s="198"/>
    </row>
    <row r="83" spans="3:14">
      <c r="C83" s="154"/>
      <c r="G83" s="31" t="s">
        <v>146</v>
      </c>
      <c r="J83" s="2" t="s">
        <v>96</v>
      </c>
      <c r="N83" s="198" t="str">
        <f>M66</f>
        <v>ALTP019</v>
      </c>
    </row>
    <row r="84" spans="3:14">
      <c r="C84" s="154"/>
      <c r="G84" s="31" t="s">
        <v>147</v>
      </c>
      <c r="J84" s="2" t="s">
        <v>97</v>
      </c>
      <c r="N84" s="198"/>
    </row>
    <row r="85" spans="3:14">
      <c r="C85" s="154"/>
      <c r="G85" s="31" t="s">
        <v>148</v>
      </c>
      <c r="J85" s="2" t="s">
        <v>98</v>
      </c>
      <c r="N85" s="198" t="str">
        <f>M67</f>
        <v>ALTP020</v>
      </c>
    </row>
    <row r="86" spans="3:14">
      <c r="C86" s="154"/>
      <c r="G86" s="31" t="s">
        <v>149</v>
      </c>
      <c r="J86" s="2" t="s">
        <v>99</v>
      </c>
      <c r="N86" s="198"/>
    </row>
    <row r="87" spans="3:14">
      <c r="C87" s="154"/>
      <c r="N87" s="198" t="str">
        <f>M68</f>
        <v>ALTP025</v>
      </c>
    </row>
    <row r="88" spans="3:14">
      <c r="C88" s="154"/>
      <c r="N88" s="198"/>
    </row>
    <row r="89" spans="3:14">
      <c r="C89" s="154"/>
      <c r="N89" s="198" t="str">
        <f>M69</f>
        <v>ALTP027</v>
      </c>
    </row>
    <row r="90" spans="3:14">
      <c r="C90" s="154"/>
      <c r="N90" s="198"/>
    </row>
    <row r="91" spans="3:14">
      <c r="C91" s="154"/>
      <c r="N91" s="198" t="str">
        <f>M70</f>
        <v>ALTN001</v>
      </c>
    </row>
    <row r="92" spans="3:14">
      <c r="C92" s="154"/>
      <c r="N92" s="198"/>
    </row>
    <row r="93" spans="3:14">
      <c r="C93" s="154"/>
      <c r="N93" s="198" t="str">
        <f>M71</f>
        <v>ALTN002</v>
      </c>
    </row>
    <row r="94" spans="3:14">
      <c r="C94" s="154"/>
      <c r="N94" s="198"/>
    </row>
    <row r="95" spans="3:14">
      <c r="C95" s="154"/>
      <c r="N95" s="198" t="str">
        <f>M72</f>
        <v>ALTN003</v>
      </c>
    </row>
    <row r="96" spans="3:14">
      <c r="C96" s="154"/>
      <c r="N96" s="198"/>
    </row>
    <row r="97" spans="3:14">
      <c r="C97" s="154"/>
      <c r="N97" s="198" t="str">
        <f>M73</f>
        <v>ALTN004</v>
      </c>
    </row>
    <row r="98" spans="3:14">
      <c r="C98" s="154"/>
      <c r="N98" s="198"/>
    </row>
    <row r="99" spans="3:14">
      <c r="C99" s="154"/>
      <c r="N99" s="198" t="str">
        <f>M74</f>
        <v>ALTN006</v>
      </c>
    </row>
    <row r="100" spans="3:14">
      <c r="C100" s="154"/>
      <c r="N100" s="198"/>
    </row>
    <row r="101" spans="3:14">
      <c r="C101" s="154"/>
      <c r="N101" s="198" t="str">
        <f>M75</f>
        <v>ALTN007</v>
      </c>
    </row>
    <row r="102" spans="3:14">
      <c r="C102" s="154"/>
      <c r="N102" s="198"/>
    </row>
    <row r="103" spans="3:14">
      <c r="C103" s="154"/>
      <c r="N103" s="198" t="str">
        <f>M76</f>
        <v>ALTN008</v>
      </c>
    </row>
    <row r="104" spans="3:14">
      <c r="C104" s="154"/>
      <c r="N104" s="198"/>
    </row>
    <row r="105" spans="3:14">
      <c r="C105" s="154"/>
      <c r="N105" s="198" t="str">
        <f>M77</f>
        <v>ALTN009</v>
      </c>
    </row>
    <row r="106" spans="3:14">
      <c r="C106" s="154"/>
      <c r="N106" s="198"/>
    </row>
    <row r="107" spans="3:14">
      <c r="C107" s="154"/>
      <c r="N107" s="198" t="str">
        <f>M78</f>
        <v>ALTN010</v>
      </c>
    </row>
    <row r="108" spans="3:14">
      <c r="C108" s="154"/>
      <c r="N108" s="198"/>
    </row>
    <row r="109" spans="3:14">
      <c r="C109" s="154"/>
      <c r="N109" s="198" t="str">
        <f>M79</f>
        <v>ALTN011</v>
      </c>
    </row>
    <row r="110" spans="3:14">
      <c r="C110" s="154"/>
      <c r="N110" s="198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0:H24 B10:X10 V14:JG19 J11:X12 J13:JG13 A8:A65338 E11:H19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0:B24" name="Range1_1"/>
    <protectedRange password="CC78" sqref="E8:E9 F9" name="Range1_4"/>
    <protectedRange password="CC78" sqref="B14:B19" name="Range1_6"/>
    <protectedRange password="CC78" sqref="D14:D19" name="Range1_7"/>
    <protectedRange password="CC78" sqref="J11:U19" name="Range1_11"/>
  </protectedRanges>
  <autoFilter ref="A10:Z19"/>
  <mergeCells count="45"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44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H16" sqref="H16:AJ2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6" t="s">
        <v>154</v>
      </c>
      <c r="AN1" s="237"/>
      <c r="AO1" s="237"/>
      <c r="AP1" s="237"/>
      <c r="AQ1" s="237"/>
      <c r="AR1" s="237"/>
      <c r="AS1" s="2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40664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32" t="s">
        <v>28</v>
      </c>
      <c r="B5" s="232" t="s">
        <v>3</v>
      </c>
      <c r="C5" s="232" t="s">
        <v>1</v>
      </c>
      <c r="D5" s="228" t="s">
        <v>29</v>
      </c>
      <c r="E5" s="232" t="s">
        <v>30</v>
      </c>
      <c r="F5" s="118">
        <f>+E4</f>
        <v>40664</v>
      </c>
      <c r="G5" s="118">
        <f t="shared" ref="G5:AJ5" si="0">F5+1</f>
        <v>40665</v>
      </c>
      <c r="H5" s="118">
        <f t="shared" si="0"/>
        <v>40666</v>
      </c>
      <c r="I5" s="118">
        <f t="shared" si="0"/>
        <v>40667</v>
      </c>
      <c r="J5" s="118">
        <f t="shared" si="0"/>
        <v>40668</v>
      </c>
      <c r="K5" s="118">
        <f t="shared" si="0"/>
        <v>40669</v>
      </c>
      <c r="L5" s="118">
        <f t="shared" si="0"/>
        <v>40670</v>
      </c>
      <c r="M5" s="118">
        <f t="shared" si="0"/>
        <v>40671</v>
      </c>
      <c r="N5" s="118">
        <f t="shared" si="0"/>
        <v>40672</v>
      </c>
      <c r="O5" s="118">
        <f t="shared" si="0"/>
        <v>40673</v>
      </c>
      <c r="P5" s="118">
        <f t="shared" si="0"/>
        <v>40674</v>
      </c>
      <c r="Q5" s="118">
        <f t="shared" si="0"/>
        <v>40675</v>
      </c>
      <c r="R5" s="118">
        <f t="shared" si="0"/>
        <v>40676</v>
      </c>
      <c r="S5" s="118">
        <f t="shared" si="0"/>
        <v>40677</v>
      </c>
      <c r="T5" s="118">
        <f t="shared" si="0"/>
        <v>40678</v>
      </c>
      <c r="U5" s="118">
        <f t="shared" si="0"/>
        <v>40679</v>
      </c>
      <c r="V5" s="118">
        <f t="shared" si="0"/>
        <v>40680</v>
      </c>
      <c r="W5" s="118">
        <f t="shared" si="0"/>
        <v>40681</v>
      </c>
      <c r="X5" s="118">
        <f t="shared" si="0"/>
        <v>40682</v>
      </c>
      <c r="Y5" s="118">
        <f t="shared" si="0"/>
        <v>40683</v>
      </c>
      <c r="Z5" s="118">
        <f t="shared" si="0"/>
        <v>40684</v>
      </c>
      <c r="AA5" s="118">
        <f t="shared" si="0"/>
        <v>40685</v>
      </c>
      <c r="AB5" s="118">
        <f t="shared" si="0"/>
        <v>40686</v>
      </c>
      <c r="AC5" s="118">
        <f t="shared" si="0"/>
        <v>40687</v>
      </c>
      <c r="AD5" s="118">
        <f t="shared" si="0"/>
        <v>40688</v>
      </c>
      <c r="AE5" s="118">
        <f t="shared" si="0"/>
        <v>40689</v>
      </c>
      <c r="AF5" s="118">
        <f t="shared" si="0"/>
        <v>40690</v>
      </c>
      <c r="AG5" s="118">
        <f t="shared" si="0"/>
        <v>40691</v>
      </c>
      <c r="AH5" s="118">
        <f>AG5+1</f>
        <v>40692</v>
      </c>
      <c r="AI5" s="118">
        <f t="shared" si="0"/>
        <v>40693</v>
      </c>
      <c r="AJ5" s="118">
        <f t="shared" si="0"/>
        <v>40694</v>
      </c>
      <c r="AK5" s="233" t="s">
        <v>15</v>
      </c>
      <c r="AL5" s="234"/>
      <c r="AM5" s="235"/>
      <c r="AN5" s="230" t="s">
        <v>45</v>
      </c>
      <c r="AO5" s="230" t="s">
        <v>41</v>
      </c>
      <c r="AP5" s="230" t="s">
        <v>42</v>
      </c>
      <c r="AQ5" s="230" t="s">
        <v>43</v>
      </c>
      <c r="AR5" s="230" t="s">
        <v>44</v>
      </c>
      <c r="AS5" s="228" t="s">
        <v>0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29"/>
      <c r="B6" s="229"/>
      <c r="C6" s="229"/>
      <c r="D6" s="229"/>
      <c r="E6" s="229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31"/>
      <c r="AO6" s="231"/>
      <c r="AP6" s="231"/>
      <c r="AQ6" s="231"/>
      <c r="AR6" s="231"/>
      <c r="AS6" s="229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157</v>
      </c>
      <c r="B8" s="182" t="s">
        <v>158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15">
        <v>1</v>
      </c>
      <c r="B9" s="215" t="s">
        <v>164</v>
      </c>
      <c r="C9" s="217" t="str">
        <f>VLOOKUP(B9,DS,2,0)</f>
        <v>Lê Thị Dung</v>
      </c>
      <c r="D9" s="225" t="str">
        <f>VLOOKUP(B9,DS,3,0)</f>
        <v>Giám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19">
        <f>((SUM(F9:AJ9))/8)-(SUMIF($F$6:$AJ$6,"C.Nhật",F9:AJ9)/8)</f>
        <v>25</v>
      </c>
      <c r="AL9" s="219">
        <f>SUM(F10:AJ10)/8*1.5</f>
        <v>0</v>
      </c>
      <c r="AM9" s="221">
        <f>SUMIF($F$6:$AJ$6,"C.Nhật",$F9:$AJ10)/8*2</f>
        <v>0</v>
      </c>
      <c r="AN9" s="211">
        <f>SUM(AK9:AM10)</f>
        <v>25</v>
      </c>
      <c r="AO9" s="223">
        <v>0</v>
      </c>
      <c r="AP9" s="211"/>
      <c r="AQ9" s="211"/>
      <c r="AR9" s="211"/>
      <c r="AS9" s="213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16"/>
      <c r="B10" s="216"/>
      <c r="C10" s="218"/>
      <c r="D10" s="22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20"/>
      <c r="AL10" s="220"/>
      <c r="AM10" s="222"/>
      <c r="AN10" s="212"/>
      <c r="AO10" s="224"/>
      <c r="AP10" s="212"/>
      <c r="AQ10" s="212"/>
      <c r="AR10" s="212"/>
      <c r="AS10" s="214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15">
        <v>2</v>
      </c>
      <c r="B11" s="215" t="s">
        <v>165</v>
      </c>
      <c r="C11" s="217" t="str">
        <f>VLOOKUP(B11,DS,2,0)</f>
        <v>Phan Văn Hiền</v>
      </c>
      <c r="D11" s="225" t="str">
        <f>VLOOKUP(B11,DS,3,0)</f>
        <v>Quản Đốc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19">
        <f t="shared" ref="AK11" si="2">((SUM(F11:AJ11))/8)-(SUMIF($F$6:$AJ$6,"C.Nhật",F11:AJ11)/8)</f>
        <v>25</v>
      </c>
      <c r="AL11" s="219">
        <f t="shared" ref="AL11" si="3">SUM(F12:AJ12)/8*1.5</f>
        <v>0</v>
      </c>
      <c r="AM11" s="221">
        <f t="shared" ref="AM11:AM13" si="4">SUMIF($F$6:$AJ$6,"C.Nhật",$F11:$AJ12)/8*2</f>
        <v>0</v>
      </c>
      <c r="AN11" s="211">
        <f t="shared" ref="AN11" si="5">SUM(AK11:AM12)</f>
        <v>25</v>
      </c>
      <c r="AO11" s="223">
        <v>0</v>
      </c>
      <c r="AP11" s="211"/>
      <c r="AQ11" s="211"/>
      <c r="AR11" s="211"/>
      <c r="AS11" s="213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16"/>
      <c r="B12" s="216"/>
      <c r="C12" s="218"/>
      <c r="D12" s="22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20"/>
      <c r="AL12" s="220"/>
      <c r="AM12" s="222"/>
      <c r="AN12" s="212"/>
      <c r="AO12" s="224"/>
      <c r="AP12" s="212"/>
      <c r="AQ12" s="212"/>
      <c r="AR12" s="212"/>
      <c r="AS12" s="214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15">
        <v>3</v>
      </c>
      <c r="B13" s="215" t="s">
        <v>186</v>
      </c>
      <c r="C13" s="217" t="str">
        <f>VLOOKUP(B13,DS,2,0)</f>
        <v>Nguyễn Thị Thu Sương</v>
      </c>
      <c r="D13" s="225" t="str">
        <f>VLOOKUP(B13,DS,3,0)</f>
        <v>Kinh Doanh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19">
        <f t="shared" ref="AK13" si="6">((SUM(F13:AJ13))/8)-(SUMIF($F$6:$AJ$6,"C.Nhật",F13:AJ13)/8)</f>
        <v>25</v>
      </c>
      <c r="AL13" s="219">
        <f t="shared" ref="AL13" si="7">SUM(F14:AJ14)/8*1.5</f>
        <v>0</v>
      </c>
      <c r="AM13" s="221">
        <f t="shared" si="4"/>
        <v>0</v>
      </c>
      <c r="AN13" s="211">
        <f t="shared" ref="AN13" si="8">SUM(AK13:AM14)</f>
        <v>25</v>
      </c>
      <c r="AO13" s="223">
        <v>0</v>
      </c>
      <c r="AP13" s="211"/>
      <c r="AQ13" s="211"/>
      <c r="AR13" s="211"/>
      <c r="AS13" s="213"/>
      <c r="AT13" s="11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16"/>
      <c r="B14" s="216"/>
      <c r="C14" s="218"/>
      <c r="D14" s="226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20"/>
      <c r="AL14" s="220"/>
      <c r="AM14" s="222"/>
      <c r="AN14" s="212"/>
      <c r="AO14" s="224"/>
      <c r="AP14" s="212"/>
      <c r="AQ14" s="212"/>
      <c r="AR14" s="212"/>
      <c r="AS14" s="214"/>
      <c r="AT14" s="11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159</v>
      </c>
      <c r="B15" s="182" t="s">
        <v>163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15">
        <v>1</v>
      </c>
      <c r="B16" s="215" t="s">
        <v>166</v>
      </c>
      <c r="C16" s="217" t="str">
        <f>VLOOKUP(B16,DS,2,0)</f>
        <v>Nguyễn Trường Giang</v>
      </c>
      <c r="D16" s="225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19">
        <f t="shared" ref="AK16" si="9">((SUM(F16:AJ16))/8)-(SUMIF($F$6:$AJ$6,"C.Nhật",F16:AJ16)/8)</f>
        <v>25</v>
      </c>
      <c r="AL16" s="219">
        <f t="shared" ref="AL16" si="10">SUM(F17:AJ17)/8*1.5</f>
        <v>0</v>
      </c>
      <c r="AM16" s="221">
        <f>SUMIF($F$6:$AJ$6,"C.Nhật",$F16:$AJ17)/8*2</f>
        <v>0</v>
      </c>
      <c r="AN16" s="211">
        <f>SUM(AK16:AM17)</f>
        <v>25</v>
      </c>
      <c r="AO16" s="223">
        <v>0</v>
      </c>
      <c r="AP16" s="211"/>
      <c r="AQ16" s="211"/>
      <c r="AR16" s="211"/>
      <c r="AS16" s="213"/>
      <c r="AT16" s="14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16"/>
      <c r="B17" s="216"/>
      <c r="C17" s="218"/>
      <c r="D17" s="22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20"/>
      <c r="AL17" s="220"/>
      <c r="AM17" s="222"/>
      <c r="AN17" s="212"/>
      <c r="AO17" s="224"/>
      <c r="AP17" s="212"/>
      <c r="AQ17" s="212"/>
      <c r="AR17" s="212"/>
      <c r="AS17" s="214"/>
      <c r="AT17" s="14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15">
        <f>A16+1</f>
        <v>2</v>
      </c>
      <c r="B18" s="215" t="s">
        <v>167</v>
      </c>
      <c r="C18" s="217" t="str">
        <f>VLOOKUP(B18,DS,2,0)</f>
        <v>Đoàn Hồng Phong</v>
      </c>
      <c r="D18" s="225" t="str">
        <f>VLOOKUP(B18,DS,3,0)</f>
        <v>Thợ đóng - xả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19">
        <f t="shared" ref="AK18" si="11">((SUM(F18:AJ18))/8)-(SUMIF($F$6:$AJ$6,"C.Nhật",F18:AJ18)/8)</f>
        <v>25</v>
      </c>
      <c r="AL18" s="219">
        <f t="shared" ref="AL18" si="12">SUM(F19:AJ19)/8*1.5</f>
        <v>0</v>
      </c>
      <c r="AM18" s="221">
        <f>SUMIF($F$6:$AJ$6,"C.Nhật",$F18:$AJ19)/8*2</f>
        <v>0</v>
      </c>
      <c r="AN18" s="211">
        <f t="shared" ref="AN18" si="13">SUM(AK18:AM19)</f>
        <v>25</v>
      </c>
      <c r="AO18" s="223">
        <v>0</v>
      </c>
      <c r="AP18" s="211"/>
      <c r="AQ18" s="211"/>
      <c r="AR18" s="211"/>
      <c r="AS18" s="213"/>
      <c r="AT18" s="14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16"/>
      <c r="B19" s="216"/>
      <c r="C19" s="218"/>
      <c r="D19" s="22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20"/>
      <c r="AL19" s="220"/>
      <c r="AM19" s="222"/>
      <c r="AN19" s="212"/>
      <c r="AO19" s="224"/>
      <c r="AP19" s="212"/>
      <c r="AQ19" s="212"/>
      <c r="AR19" s="212"/>
      <c r="AS19" s="214"/>
      <c r="AT19" s="14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15">
        <f t="shared" ref="A20" si="14">A18+1</f>
        <v>3</v>
      </c>
      <c r="B20" s="215" t="s">
        <v>168</v>
      </c>
      <c r="C20" s="217" t="str">
        <f>VLOOKUP(B20,DS,2,0)</f>
        <v>Trần Hữu Tình</v>
      </c>
      <c r="D20" s="225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19">
        <f t="shared" ref="AK20" si="15">((SUM(F20:AJ20))/8)-(SUMIF($F$6:$AJ$6,"C.Nhật",F20:AJ20)/8)</f>
        <v>25</v>
      </c>
      <c r="AL20" s="219">
        <f t="shared" ref="AL20" si="16">SUM(F21:AJ21)/8*1.5</f>
        <v>0</v>
      </c>
      <c r="AM20" s="221">
        <f>SUMIF($F$6:$AJ$6,"C.Nhật",$F20:$AJ21)/8*2</f>
        <v>0</v>
      </c>
      <c r="AN20" s="211">
        <f t="shared" ref="AN20" si="17">SUM(AK20:AM21)</f>
        <v>25</v>
      </c>
      <c r="AO20" s="223">
        <v>0</v>
      </c>
      <c r="AP20" s="211"/>
      <c r="AQ20" s="211"/>
      <c r="AR20" s="211"/>
      <c r="AS20" s="213"/>
      <c r="AT20" s="14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16"/>
      <c r="B21" s="216"/>
      <c r="C21" s="218"/>
      <c r="D21" s="22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20"/>
      <c r="AL21" s="220"/>
      <c r="AM21" s="222"/>
      <c r="AN21" s="212"/>
      <c r="AO21" s="224"/>
      <c r="AP21" s="212"/>
      <c r="AQ21" s="212"/>
      <c r="AR21" s="212"/>
      <c r="AS21" s="214"/>
      <c r="AT21" s="14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15">
        <f t="shared" ref="A22" si="18">A20+1</f>
        <v>4</v>
      </c>
      <c r="B22" s="215" t="s">
        <v>169</v>
      </c>
      <c r="C22" s="217" t="str">
        <f>VLOOKUP(B22,DS,2,0)</f>
        <v>Trương Văn Thành</v>
      </c>
      <c r="D22" s="225" t="str">
        <f>VLOOKUP(B22,DS,3,0)</f>
        <v>Công nhân</v>
      </c>
      <c r="E22" s="68" t="s">
        <v>32</v>
      </c>
      <c r="F22" s="143"/>
      <c r="G22" s="143"/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/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/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/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/>
      <c r="AI22" s="143">
        <v>8</v>
      </c>
      <c r="AJ22" s="143">
        <v>8</v>
      </c>
      <c r="AK22" s="219">
        <f t="shared" ref="AK22" si="19">((SUM(F22:AJ22))/8)-(SUMIF($F$6:$AJ$6,"C.Nhật",F22:AJ22)/8)</f>
        <v>25</v>
      </c>
      <c r="AL22" s="219">
        <f t="shared" ref="AL22" si="20">SUM(F23:AJ23)/8*1.5</f>
        <v>0</v>
      </c>
      <c r="AM22" s="221">
        <f>SUMIF($F$6:$AJ$6,"C.Nhật",$F22:$AJ23)/8*2</f>
        <v>0</v>
      </c>
      <c r="AN22" s="211">
        <f t="shared" ref="AN22" si="21">SUM(AK22:AM23)</f>
        <v>25</v>
      </c>
      <c r="AO22" s="223">
        <v>0</v>
      </c>
      <c r="AP22" s="211"/>
      <c r="AQ22" s="211"/>
      <c r="AR22" s="211"/>
      <c r="AS22" s="213"/>
      <c r="AT22" s="14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16"/>
      <c r="B23" s="216"/>
      <c r="C23" s="218"/>
      <c r="D23" s="226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57"/>
      <c r="AL23" s="257"/>
      <c r="AM23" s="222"/>
      <c r="AN23" s="212"/>
      <c r="AO23" s="224"/>
      <c r="AP23" s="212"/>
      <c r="AQ23" s="212"/>
      <c r="AR23" s="212"/>
      <c r="AS23" s="214"/>
      <c r="AT23" s="14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15">
        <f t="shared" ref="A24" si="22">A22+1</f>
        <v>5</v>
      </c>
      <c r="B24" s="215" t="s">
        <v>170</v>
      </c>
      <c r="C24" s="217" t="str">
        <f>VLOOKUP(B24,DS,2,0)</f>
        <v>Trần Thị Ngọc Anh</v>
      </c>
      <c r="D24" s="225" t="str">
        <f>VLOOKUP(B24,DS,3,0)</f>
        <v>Công nhân</v>
      </c>
      <c r="E24" s="68" t="s">
        <v>32</v>
      </c>
      <c r="F24" s="143"/>
      <c r="G24" s="143"/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/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/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/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/>
      <c r="AI24" s="143">
        <v>8</v>
      </c>
      <c r="AJ24" s="143">
        <v>8</v>
      </c>
      <c r="AK24" s="219">
        <f t="shared" ref="AK24" si="23">((SUM(F24:AJ24))/8)-(SUMIF($F$6:$AJ$6,"C.Nhật",F24:AJ24)/8)</f>
        <v>25</v>
      </c>
      <c r="AL24" s="219">
        <f t="shared" ref="AL24" si="24">SUM(F25:AJ25)/8*1.5</f>
        <v>0</v>
      </c>
      <c r="AM24" s="221">
        <f>SUMIF($F$6:$AJ$6,"C.Nhật",$F24:$AJ25)/8*2</f>
        <v>0</v>
      </c>
      <c r="AN24" s="211">
        <f t="shared" ref="AN24" si="25">SUM(AK24:AM25)</f>
        <v>25</v>
      </c>
      <c r="AO24" s="223">
        <v>0</v>
      </c>
      <c r="AP24" s="211"/>
      <c r="AQ24" s="211"/>
      <c r="AR24" s="211"/>
      <c r="AS24" s="213"/>
      <c r="AT24" s="14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16"/>
      <c r="B25" s="216"/>
      <c r="C25" s="218"/>
      <c r="D25" s="226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57"/>
      <c r="AL25" s="257"/>
      <c r="AM25" s="222"/>
      <c r="AN25" s="212"/>
      <c r="AO25" s="224"/>
      <c r="AP25" s="212"/>
      <c r="AQ25" s="212"/>
      <c r="AR25" s="212"/>
      <c r="AS25" s="214"/>
      <c r="AT25" s="14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215">
        <f t="shared" ref="A26" si="26">A24+1</f>
        <v>6</v>
      </c>
      <c r="B26" s="215" t="s">
        <v>171</v>
      </c>
      <c r="C26" s="217" t="str">
        <f>VLOOKUP(B26,DS,2,0)</f>
        <v>Nguyễn Minh Vương</v>
      </c>
      <c r="D26" s="225" t="str">
        <f>VLOOKUP(B26,DS,3,0)</f>
        <v>Công nhân</v>
      </c>
      <c r="E26" s="68" t="s">
        <v>32</v>
      </c>
      <c r="F26" s="143"/>
      <c r="G26" s="143"/>
      <c r="H26" s="143">
        <v>8</v>
      </c>
      <c r="I26" s="143">
        <v>8</v>
      </c>
      <c r="J26" s="143">
        <v>8</v>
      </c>
      <c r="K26" s="143">
        <v>8</v>
      </c>
      <c r="L26" s="143">
        <v>8</v>
      </c>
      <c r="M26" s="143"/>
      <c r="N26" s="143">
        <v>8</v>
      </c>
      <c r="O26" s="143">
        <v>8</v>
      </c>
      <c r="P26" s="143">
        <v>8</v>
      </c>
      <c r="Q26" s="143">
        <v>8</v>
      </c>
      <c r="R26" s="143">
        <v>8</v>
      </c>
      <c r="S26" s="143">
        <v>8</v>
      </c>
      <c r="T26" s="143"/>
      <c r="U26" s="143">
        <v>8</v>
      </c>
      <c r="V26" s="143">
        <v>8</v>
      </c>
      <c r="W26" s="143">
        <v>8</v>
      </c>
      <c r="X26" s="143">
        <v>8</v>
      </c>
      <c r="Y26" s="143">
        <v>8</v>
      </c>
      <c r="Z26" s="143">
        <v>8</v>
      </c>
      <c r="AA26" s="143"/>
      <c r="AB26" s="143">
        <v>8</v>
      </c>
      <c r="AC26" s="143">
        <v>8</v>
      </c>
      <c r="AD26" s="143">
        <v>8</v>
      </c>
      <c r="AE26" s="143">
        <v>8</v>
      </c>
      <c r="AF26" s="143">
        <v>8</v>
      </c>
      <c r="AG26" s="143">
        <v>8</v>
      </c>
      <c r="AH26" s="143"/>
      <c r="AI26" s="143">
        <v>8</v>
      </c>
      <c r="AJ26" s="143">
        <v>8</v>
      </c>
      <c r="AK26" s="219">
        <f t="shared" ref="AK26" si="27">((SUM(F26:AJ26))/8)-(SUMIF($F$6:$AJ$6,"C.Nhật",F26:AJ26)/8)</f>
        <v>25</v>
      </c>
      <c r="AL26" s="219">
        <f t="shared" ref="AL26" si="28">SUM(F27:AJ27)/8*1.5</f>
        <v>0</v>
      </c>
      <c r="AM26" s="221">
        <f>SUMIF($F$6:$AJ$6,"C.Nhật",$F26:$AJ27)/8*2</f>
        <v>0</v>
      </c>
      <c r="AN26" s="211">
        <f t="shared" ref="AN26" si="29">SUM(AK26:AM27)</f>
        <v>25</v>
      </c>
      <c r="AO26" s="223">
        <v>0</v>
      </c>
      <c r="AP26" s="211"/>
      <c r="AQ26" s="211"/>
      <c r="AR26" s="211"/>
      <c r="AS26" s="213"/>
      <c r="AT26" s="14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216"/>
      <c r="B27" s="216"/>
      <c r="C27" s="218"/>
      <c r="D27" s="226"/>
      <c r="E27" s="69" t="s">
        <v>31</v>
      </c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257"/>
      <c r="AL27" s="257"/>
      <c r="AM27" s="222"/>
      <c r="AN27" s="212"/>
      <c r="AO27" s="224"/>
      <c r="AP27" s="212"/>
      <c r="AQ27" s="212"/>
      <c r="AR27" s="212"/>
      <c r="AS27" s="214"/>
      <c r="AT27" s="14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70" customFormat="1" ht="12.75">
      <c r="A28" s="14"/>
      <c r="B28" s="71"/>
      <c r="C28" s="4"/>
      <c r="D28" s="113"/>
      <c r="E28" s="4"/>
      <c r="F28" s="75"/>
      <c r="G28" s="75"/>
      <c r="H28" s="72"/>
      <c r="I28" s="72"/>
      <c r="J28" s="120"/>
      <c r="K28" s="75"/>
      <c r="L28" s="72"/>
      <c r="M28" s="75"/>
      <c r="N28" s="75"/>
      <c r="O28" s="75"/>
      <c r="P28" s="75"/>
      <c r="Q28" s="72"/>
      <c r="R28" s="75"/>
      <c r="S28" s="75"/>
      <c r="T28" s="120"/>
      <c r="U28" s="75"/>
      <c r="V28" s="75"/>
      <c r="W28" s="75"/>
      <c r="X28" s="71"/>
      <c r="Y28" s="75"/>
      <c r="Z28" s="75"/>
      <c r="AA28" s="75"/>
      <c r="AB28" s="75"/>
      <c r="AC28" s="75"/>
      <c r="AD28" s="72"/>
      <c r="AE28" s="75"/>
      <c r="AF28" s="75"/>
      <c r="AG28" s="75"/>
      <c r="AH28" s="75"/>
      <c r="AI28" s="75"/>
      <c r="AJ28" s="75"/>
      <c r="AK28" s="4"/>
      <c r="AL28" s="4"/>
      <c r="AM28" s="98"/>
      <c r="AN28" s="74"/>
      <c r="AO28" s="74"/>
      <c r="AP28" s="74"/>
      <c r="AQ28" s="74"/>
      <c r="AR28" s="74"/>
      <c r="AS28" s="4"/>
      <c r="AT28" s="104"/>
    </row>
    <row r="29" spans="1:90" s="70" customFormat="1" ht="12.75">
      <c r="A29" s="14"/>
      <c r="B29" s="71"/>
      <c r="C29" s="14" t="s">
        <v>14</v>
      </c>
      <c r="D29" s="113"/>
      <c r="E29" s="4"/>
      <c r="F29" s="75"/>
      <c r="G29" s="75"/>
      <c r="H29" s="72"/>
      <c r="I29" s="72"/>
      <c r="J29" s="120"/>
      <c r="K29" s="75"/>
      <c r="L29" s="72"/>
      <c r="M29" s="75"/>
      <c r="N29" s="75"/>
      <c r="O29" s="75"/>
      <c r="P29" s="75"/>
      <c r="Q29" s="72"/>
      <c r="R29" s="75"/>
      <c r="S29" s="75"/>
      <c r="T29" s="120"/>
      <c r="U29" s="75"/>
      <c r="V29" s="75"/>
      <c r="W29" s="75"/>
      <c r="X29" s="71"/>
      <c r="Y29" s="75"/>
      <c r="Z29" s="75"/>
      <c r="AA29" s="75"/>
      <c r="AB29" s="75"/>
      <c r="AC29" s="75"/>
      <c r="AD29" s="72"/>
      <c r="AE29" s="75"/>
      <c r="AF29" s="75"/>
      <c r="AG29" s="75"/>
      <c r="AH29" s="75"/>
      <c r="AI29" s="75"/>
      <c r="AJ29" s="75"/>
      <c r="AK29" s="4"/>
      <c r="AL29" s="4"/>
      <c r="AM29" s="98"/>
      <c r="AN29" s="74"/>
      <c r="AO29" s="74"/>
      <c r="AP29" s="74"/>
      <c r="AQ29" s="74"/>
      <c r="AR29" s="74"/>
      <c r="AS29" s="4"/>
      <c r="AT29" s="104"/>
    </row>
    <row r="30" spans="1:90" s="70" customFormat="1" ht="12.7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104"/>
    </row>
    <row r="31" spans="1:90" s="73" customFormat="1" ht="15" customHeight="1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2"/>
      <c r="B32" s="12"/>
      <c r="C32" s="4"/>
      <c r="D32" s="113"/>
      <c r="E32" s="4"/>
      <c r="F32" s="75"/>
      <c r="G32" s="75"/>
      <c r="H32" s="121"/>
      <c r="I32" s="121"/>
      <c r="J32" s="121"/>
      <c r="K32" s="75"/>
      <c r="L32" s="121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121"/>
      <c r="AE32" s="75"/>
      <c r="AF32" s="75"/>
      <c r="AG32" s="75"/>
      <c r="AH32" s="75"/>
      <c r="AI32" s="75"/>
      <c r="AJ32" s="75"/>
      <c r="AK32" s="4"/>
      <c r="AL32" s="4"/>
      <c r="AM32" s="98"/>
      <c r="AN32" s="76"/>
      <c r="AO32" s="76"/>
      <c r="AP32" s="76"/>
      <c r="AQ32" s="76"/>
      <c r="AR32" s="76"/>
      <c r="AS32" s="4"/>
      <c r="AT32" s="4"/>
    </row>
    <row r="33" spans="1:46" s="73" customFormat="1" ht="11.25">
      <c r="A33" s="12"/>
      <c r="B33" s="12"/>
      <c r="C33" s="4"/>
      <c r="D33" s="113"/>
      <c r="E33" s="4"/>
      <c r="F33" s="75"/>
      <c r="G33" s="75"/>
      <c r="H33" s="121"/>
      <c r="I33" s="121"/>
      <c r="J33" s="121"/>
      <c r="K33" s="75"/>
      <c r="L33" s="121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121"/>
      <c r="AE33" s="75"/>
      <c r="AF33" s="75"/>
      <c r="AG33" s="75"/>
      <c r="AH33" s="75"/>
      <c r="AI33" s="75"/>
      <c r="AJ33" s="75"/>
      <c r="AK33" s="4"/>
      <c r="AL33" s="4"/>
      <c r="AM33" s="98"/>
      <c r="AN33" s="76"/>
      <c r="AO33" s="76"/>
      <c r="AP33" s="76"/>
      <c r="AQ33" s="76"/>
      <c r="AR33" s="76"/>
      <c r="AS33" s="4"/>
      <c r="AT33" s="4"/>
    </row>
    <row r="34" spans="1:46" s="73" customFormat="1" ht="11.25">
      <c r="A34" s="10"/>
      <c r="B34" s="10"/>
      <c r="C34" s="14"/>
      <c r="D34" s="114"/>
      <c r="E34" s="77"/>
      <c r="F34" s="120"/>
      <c r="G34" s="122"/>
      <c r="H34" s="72"/>
      <c r="I34" s="72"/>
      <c r="J34" s="72"/>
      <c r="K34" s="122"/>
      <c r="L34" s="72"/>
      <c r="M34" s="122"/>
      <c r="N34" s="122"/>
      <c r="O34" s="122"/>
      <c r="P34" s="122"/>
      <c r="Q34" s="72"/>
      <c r="R34" s="120"/>
      <c r="S34" s="122"/>
      <c r="T34" s="122"/>
      <c r="U34" s="72"/>
      <c r="V34" s="122"/>
      <c r="W34" s="122"/>
      <c r="X34" s="72"/>
      <c r="Y34" s="122"/>
      <c r="Z34" s="122"/>
      <c r="AA34" s="122"/>
      <c r="AB34" s="122"/>
      <c r="AC34" s="122"/>
      <c r="AD34" s="72"/>
      <c r="AE34" s="122"/>
      <c r="AF34" s="122"/>
      <c r="AG34" s="122"/>
      <c r="AH34" s="122"/>
      <c r="AI34" s="122"/>
      <c r="AJ34" s="122"/>
      <c r="AK34" s="77"/>
      <c r="AM34" s="99"/>
      <c r="AN34" s="10"/>
      <c r="AO34" s="10"/>
      <c r="AP34" s="10"/>
      <c r="AQ34" s="10"/>
      <c r="AR34" s="10"/>
      <c r="AS34" s="14"/>
      <c r="AT34" s="4"/>
    </row>
    <row r="35" spans="1:46" s="73" customFormat="1" ht="12.75">
      <c r="A35" s="2"/>
      <c r="B35" s="2" t="s">
        <v>0</v>
      </c>
      <c r="C35" s="2"/>
      <c r="D35" s="115"/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4"/>
    </row>
    <row r="36" spans="1:46" s="73" customFormat="1" ht="12.75">
      <c r="A36" s="2"/>
      <c r="B36" s="2"/>
      <c r="C36" s="2" t="s">
        <v>46</v>
      </c>
      <c r="D36" s="115"/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14"/>
    </row>
    <row r="37" spans="1:46" ht="15" customHeight="1">
      <c r="C37" s="2" t="s">
        <v>47</v>
      </c>
    </row>
    <row r="38" spans="1:46" ht="15" customHeight="1">
      <c r="C38" s="2" t="s">
        <v>48</v>
      </c>
    </row>
    <row r="39" spans="1:46" ht="15" customHeight="1">
      <c r="C39" s="2" t="s">
        <v>49</v>
      </c>
    </row>
    <row r="40" spans="1:46" ht="15" customHeight="1">
      <c r="C40" s="2" t="s">
        <v>50</v>
      </c>
    </row>
    <row r="41" spans="1:46" ht="15" customHeight="1">
      <c r="C41" s="2" t="s">
        <v>51</v>
      </c>
    </row>
    <row r="42" spans="1:46" ht="15" customHeight="1">
      <c r="C42" s="2" t="s">
        <v>52</v>
      </c>
    </row>
    <row r="43" spans="1:46" ht="15" customHeight="1">
      <c r="C43" s="2" t="s">
        <v>53</v>
      </c>
    </row>
    <row r="44" spans="1:46" ht="15" customHeight="1">
      <c r="C44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0:J33 Q28:Q29" name="Range1_1_1_1"/>
    <protectedRange password="CC78" sqref="J34" name="Range1_3_1_1"/>
    <protectedRange password="CC78" sqref="A16:A27" name="Range1_1_2"/>
    <protectedRange password="CC78" sqref="A16:A27 C16:E27" name="Range1_6_2"/>
    <protectedRange password="CC78" sqref="B16:B27" name="Range1_4_2"/>
  </protectedRanges>
  <mergeCells count="131"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1:AS1"/>
    <mergeCell ref="AS13:AS14"/>
    <mergeCell ref="AK13:AK14"/>
    <mergeCell ref="AL13:AL14"/>
    <mergeCell ref="AM13:AM14"/>
    <mergeCell ref="AR13:AR14"/>
    <mergeCell ref="AP20:AP21"/>
    <mergeCell ref="AQ20:AQ21"/>
    <mergeCell ref="AR20:AR21"/>
    <mergeCell ref="AS20:AS21"/>
    <mergeCell ref="AP16:AP17"/>
    <mergeCell ref="AQ16:AQ17"/>
    <mergeCell ref="AR16:AR17"/>
    <mergeCell ref="AS16:AS17"/>
    <mergeCell ref="AP18:AP19"/>
    <mergeCell ref="AQ18:AQ19"/>
    <mergeCell ref="AR18:AR19"/>
    <mergeCell ref="AS18:AS19"/>
    <mergeCell ref="AP11:AP12"/>
    <mergeCell ref="AQ11:AQ12"/>
    <mergeCell ref="AR11:AR12"/>
    <mergeCell ref="AS11:AS12"/>
    <mergeCell ref="AN22:AN23"/>
    <mergeCell ref="AO22:AO23"/>
    <mergeCell ref="D26:D27"/>
    <mergeCell ref="A13:A14"/>
    <mergeCell ref="B13:B14"/>
    <mergeCell ref="C13:C14"/>
    <mergeCell ref="D13:D14"/>
    <mergeCell ref="AN13:AN14"/>
    <mergeCell ref="AL18:AL19"/>
    <mergeCell ref="AM18:AM19"/>
    <mergeCell ref="AN18:AN19"/>
    <mergeCell ref="AO18:AO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20:A21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K5:AM5"/>
    <mergeCell ref="AK9:AK10"/>
    <mergeCell ref="AN9:AN10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3:AO14"/>
    <mergeCell ref="AP13:AP14"/>
    <mergeCell ref="AQ13:AQ14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4:AP25"/>
    <mergeCell ref="AQ24:AQ25"/>
    <mergeCell ref="AR24:AR25"/>
    <mergeCell ref="AS24:AS25"/>
    <mergeCell ref="A22:A23"/>
    <mergeCell ref="B22:B23"/>
    <mergeCell ref="C22:C23"/>
    <mergeCell ref="D22:D23"/>
    <mergeCell ref="AK22:AK23"/>
    <mergeCell ref="AP22:AP23"/>
    <mergeCell ref="AQ22:AQ23"/>
    <mergeCell ref="AR22:AR23"/>
    <mergeCell ref="AL22:AL23"/>
    <mergeCell ref="AM22:AM23"/>
    <mergeCell ref="AP26:AP27"/>
    <mergeCell ref="AQ26:AQ27"/>
    <mergeCell ref="AR26:AR27"/>
    <mergeCell ref="AS26:AS27"/>
    <mergeCell ref="A26:A27"/>
    <mergeCell ref="B26:B27"/>
    <mergeCell ref="C26:C27"/>
    <mergeCell ref="AK26:AK27"/>
    <mergeCell ref="AL26:AL27"/>
    <mergeCell ref="AM26:AM27"/>
    <mergeCell ref="AN26:AN27"/>
    <mergeCell ref="AO26:AO27"/>
  </mergeCells>
  <phoneticPr fontId="47" type="noConversion"/>
  <conditionalFormatting sqref="F5:AJ6 F13:G14 F9:AJ10 H11:AJ14 F16:G27">
    <cfRule type="expression" dxfId="55" priority="25" stopIfTrue="1">
      <formula>IF(WEEKDAY(F$5)=1,TRUE,FALSE)</formula>
    </cfRule>
  </conditionalFormatting>
  <conditionalFormatting sqref="F13:G14 F9:AJ10 H11:AJ14">
    <cfRule type="expression" dxfId="54" priority="22" stopIfTrue="1">
      <formula>IF(WEEKDAY(F$5)=1,TRUE,FALSE)</formula>
    </cfRule>
  </conditionalFormatting>
  <conditionalFormatting sqref="F16:G27">
    <cfRule type="expression" dxfId="53" priority="5" stopIfTrue="1">
      <formula>IF(WEEKDAY(F$5)=1,TRUE,FALSE)</formula>
    </cfRule>
  </conditionalFormatting>
  <conditionalFormatting sqref="F11:G12">
    <cfRule type="expression" dxfId="52" priority="4" stopIfTrue="1">
      <formula>IF(WEEKDAY(F$5)=1,TRUE,FALSE)</formula>
    </cfRule>
  </conditionalFormatting>
  <conditionalFormatting sqref="F11:G12">
    <cfRule type="expression" dxfId="51" priority="3" stopIfTrue="1">
      <formula>IF(WEEKDAY(F$5)=1,TRUE,FALSE)</formula>
    </cfRule>
  </conditionalFormatting>
  <conditionalFormatting sqref="H16:AJ27">
    <cfRule type="expression" dxfId="50" priority="2" stopIfTrue="1">
      <formula>IF(WEEKDAY(H$5)=1,TRUE,FALSE)</formula>
    </cfRule>
  </conditionalFormatting>
  <conditionalFormatting sqref="H16:AJ27">
    <cfRule type="expression" dxfId="49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2"/>
  <sheetViews>
    <sheetView tabSelected="1" zoomScaleNormal="70" workbookViewId="0">
      <pane xSplit="3" ySplit="8" topLeftCell="D15" activePane="bottomRight" state="frozen"/>
      <selection activeCell="E5" sqref="E5:E6"/>
      <selection pane="topRight" activeCell="E5" sqref="E5:E6"/>
      <selection pane="bottomLeft" activeCell="E5" sqref="E5:E6"/>
      <selection pane="bottomRight" activeCell="A10" sqref="A10:T1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40" t="str">
        <f>"BẢNG THANH TOÁN LƯƠNG THÁNG"&amp;" "&amp;TEXT($E$4,"mm")&amp;" / "&amp;TEXT($E$4,"yyyy")</f>
        <v>BẢNG THANH TOÁN LƯƠNG THÁNG 05 / 2011</v>
      </c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1"/>
      <c r="R1" s="247" t="s">
        <v>153</v>
      </c>
      <c r="S1" s="248"/>
      <c r="T1" s="2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40664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2" t="s">
        <v>19</v>
      </c>
      <c r="B5" s="242" t="s">
        <v>20</v>
      </c>
      <c r="C5" s="207" t="s">
        <v>1</v>
      </c>
      <c r="D5" s="207" t="s">
        <v>2</v>
      </c>
      <c r="E5" s="210" t="s">
        <v>56</v>
      </c>
      <c r="F5" s="252" t="s">
        <v>26</v>
      </c>
      <c r="G5" s="254"/>
      <c r="H5" s="254"/>
      <c r="I5" s="254"/>
      <c r="J5" s="254"/>
      <c r="K5" s="253"/>
      <c r="L5" s="244" t="s">
        <v>57</v>
      </c>
      <c r="M5" s="244" t="s">
        <v>5</v>
      </c>
      <c r="N5" s="207" t="s">
        <v>6</v>
      </c>
      <c r="O5" s="207"/>
      <c r="P5" s="207"/>
      <c r="Q5" s="244" t="s">
        <v>7</v>
      </c>
      <c r="R5" s="244" t="s">
        <v>8</v>
      </c>
      <c r="S5" s="244" t="s">
        <v>9</v>
      </c>
      <c r="T5" s="20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3"/>
      <c r="B6" s="243"/>
      <c r="C6" s="207"/>
      <c r="D6" s="207"/>
      <c r="E6" s="210"/>
      <c r="F6" s="252" t="s">
        <v>59</v>
      </c>
      <c r="G6" s="253"/>
      <c r="H6" s="252" t="s">
        <v>161</v>
      </c>
      <c r="I6" s="254"/>
      <c r="J6" s="255" t="s">
        <v>27</v>
      </c>
      <c r="K6" s="244" t="s">
        <v>4</v>
      </c>
      <c r="L6" s="245"/>
      <c r="M6" s="245"/>
      <c r="N6" s="250" t="s">
        <v>12</v>
      </c>
      <c r="O6" s="244" t="s">
        <v>13</v>
      </c>
      <c r="P6" s="244" t="s">
        <v>34</v>
      </c>
      <c r="Q6" s="245"/>
      <c r="R6" s="245"/>
      <c r="S6" s="245"/>
      <c r="T6" s="20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3"/>
      <c r="B7" s="243"/>
      <c r="C7" s="244"/>
      <c r="D7" s="244"/>
      <c r="E7" s="210"/>
      <c r="F7" s="34" t="s">
        <v>40</v>
      </c>
      <c r="G7" s="35" t="s">
        <v>18</v>
      </c>
      <c r="H7" s="171" t="s">
        <v>40</v>
      </c>
      <c r="I7" s="128" t="s">
        <v>18</v>
      </c>
      <c r="J7" s="256"/>
      <c r="K7" s="245"/>
      <c r="L7" s="246"/>
      <c r="M7" s="246"/>
      <c r="N7" s="251"/>
      <c r="O7" s="245"/>
      <c r="P7" s="245"/>
      <c r="Q7" s="245"/>
      <c r="R7" s="245"/>
      <c r="S7" s="245"/>
      <c r="T7" s="20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157</v>
      </c>
      <c r="B9" s="188" t="s">
        <v>158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164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4500000</v>
      </c>
      <c r="F10" s="92">
        <f>VLOOKUP(B10,'CC -5'!$B$8:$AS$27,36,0)</f>
        <v>25</v>
      </c>
      <c r="G10" s="145">
        <f t="shared" ref="G10" si="3">ROUND(E10/$U$2*F10,0)</f>
        <v>4500000</v>
      </c>
      <c r="H10" s="92">
        <f>(VLOOKUP(B10,'CC -5'!$B$8:$AS$27,37,0)+VLOOKUP(B10,'CC -5'!$B$8:$AS$27,38,0))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4500000</v>
      </c>
      <c r="L10" s="90">
        <f t="shared" ref="L10:L12" si="6">+F10*15000</f>
        <v>375000</v>
      </c>
      <c r="M10" s="40">
        <f t="shared" ref="M10:M12" si="7">K10+L10</f>
        <v>4875000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4875000</v>
      </c>
      <c r="R10" s="39">
        <f>VLOOKUP(B10,DS,23,0)</f>
        <v>0</v>
      </c>
      <c r="S10" s="45">
        <f t="shared" ref="S10:S12" si="9">Q10-R10</f>
        <v>4875000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165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4000000</v>
      </c>
      <c r="F11" s="92">
        <f>VLOOKUP(B11,'CC -5'!$B$8:$AS$27,36,0)</f>
        <v>25</v>
      </c>
      <c r="G11" s="145">
        <f t="shared" ref="G11:G12" si="13">ROUND(E11/$U$2*F11,0)</f>
        <v>4000000</v>
      </c>
      <c r="H11" s="92">
        <f>(VLOOKUP(B11,'CC -5'!$B$8:$AS$27,37,0)+VLOOKUP(B11,'CC -5'!$B$8:$AS$27,38,0))</f>
        <v>0</v>
      </c>
      <c r="I11" s="145">
        <f t="shared" ref="I11:I12" si="14">ROUND(E11/$U$2*H11,0)</f>
        <v>0</v>
      </c>
      <c r="J11" s="93">
        <f t="shared" ref="J11:J12" si="15">F11+H11</f>
        <v>25</v>
      </c>
      <c r="K11" s="39">
        <f t="shared" ref="K11:K12" si="16">G11+I11</f>
        <v>4000000</v>
      </c>
      <c r="L11" s="90">
        <f t="shared" ref="L11:L12" si="17">+F11*15000</f>
        <v>375000</v>
      </c>
      <c r="M11" s="40">
        <f t="shared" ref="M11:M12" si="18">K11+L11</f>
        <v>4375000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4375000</v>
      </c>
      <c r="R11" s="39">
        <f>VLOOKUP(B11,DS,23,0)</f>
        <v>0</v>
      </c>
      <c r="S11" s="45">
        <f t="shared" ref="S11:S12" si="20">Q11-R11</f>
        <v>4375000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186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4000000</v>
      </c>
      <c r="F12" s="92">
        <f>VLOOKUP(B12,'CC -5'!$B$8:$AS$27,36,0)</f>
        <v>25</v>
      </c>
      <c r="G12" s="145">
        <f t="shared" si="13"/>
        <v>4000000</v>
      </c>
      <c r="H12" s="92">
        <f>(VLOOKUP(B12,'CC -5'!$B$8:$AS$27,37,0)+VLOOKUP(B12,'CC -5'!$B$8:$AS$27,38,0))</f>
        <v>0</v>
      </c>
      <c r="I12" s="145">
        <f t="shared" si="14"/>
        <v>0</v>
      </c>
      <c r="J12" s="93">
        <f t="shared" si="15"/>
        <v>25</v>
      </c>
      <c r="K12" s="39">
        <f t="shared" si="16"/>
        <v>4000000</v>
      </c>
      <c r="L12" s="90">
        <f t="shared" si="17"/>
        <v>375000</v>
      </c>
      <c r="M12" s="40">
        <f t="shared" si="18"/>
        <v>4375000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4375000</v>
      </c>
      <c r="R12" s="39">
        <f>VLOOKUP(B12,DS,23,0)</f>
        <v>0</v>
      </c>
      <c r="S12" s="45">
        <f t="shared" si="20"/>
        <v>4375000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85" customFormat="1" ht="24" customHeight="1">
      <c r="A13" s="189" t="s">
        <v>159</v>
      </c>
      <c r="B13" s="188" t="s">
        <v>160</v>
      </c>
      <c r="C13" s="187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04"/>
      <c r="V13" s="86"/>
      <c r="W13" s="86"/>
      <c r="X13" s="87"/>
      <c r="Y13" s="87"/>
      <c r="Z13" s="87"/>
      <c r="AA13" s="88"/>
      <c r="AB13" s="88"/>
      <c r="AC13" s="88"/>
      <c r="AD13" s="88"/>
      <c r="AE13" s="88"/>
    </row>
    <row r="14" spans="1:31" s="36" customFormat="1" ht="24" customHeight="1">
      <c r="A14" s="38">
        <v>1</v>
      </c>
      <c r="B14" s="141" t="s">
        <v>166</v>
      </c>
      <c r="C14" s="89" t="str">
        <f t="shared" ref="C14" si="21">VLOOKUP(B14,DS,2,0)</f>
        <v>Nguyễn Trường Giang</v>
      </c>
      <c r="D14" s="116" t="str">
        <f t="shared" ref="D14" si="22">VLOOKUP(B14,DS,3,0)</f>
        <v>Thợ in</v>
      </c>
      <c r="E14" s="90">
        <f t="shared" ref="E14" si="23">VLOOKUP(B14,DS,4,0)</f>
        <v>3000000</v>
      </c>
      <c r="F14" s="92">
        <f>VLOOKUP(B14,'CC -5'!$B$8:$AS$27,36,0)</f>
        <v>25</v>
      </c>
      <c r="G14" s="145">
        <f t="shared" ref="G14" si="24">ROUND(E14/$U$2*F14,0)</f>
        <v>3000000</v>
      </c>
      <c r="H14" s="92">
        <f>(VLOOKUP(B14,'CC -5'!$B$8:$AS$27,37,0)+VLOOKUP(B14,'CC -5'!$B$8:$AS$27,38,0))</f>
        <v>0</v>
      </c>
      <c r="I14" s="145">
        <f t="shared" ref="I14" si="25">ROUND(E14/$U$2*H14,0)</f>
        <v>0</v>
      </c>
      <c r="J14" s="146">
        <f t="shared" ref="J14" si="26">F14+H14</f>
        <v>25</v>
      </c>
      <c r="K14" s="39">
        <f t="shared" ref="K14" si="27">G14+I14</f>
        <v>3000000</v>
      </c>
      <c r="L14" s="90">
        <f t="shared" ref="L14" si="28">+F14*15000</f>
        <v>375000</v>
      </c>
      <c r="M14" s="40">
        <f t="shared" ref="M14" si="29">K14+L14</f>
        <v>3375000</v>
      </c>
      <c r="N14" s="40">
        <f>IF(VLOOKUP(B14,DS,9,0)="x",'L - 5'!E14*$N$4,0)</f>
        <v>0</v>
      </c>
      <c r="O14" s="40">
        <f t="shared" ref="O14" si="30">IF(VLOOKUP(B14,DS,9,0)="x",E14*0.015,0)</f>
        <v>0</v>
      </c>
      <c r="P14" s="40">
        <f t="shared" ref="P14" si="31">IF(VLOOKUP(B14,DS,9,0)="x",E14*0.01,0)</f>
        <v>0</v>
      </c>
      <c r="Q14" s="39">
        <f>M14-SUM(N14:P14)</f>
        <v>3375000</v>
      </c>
      <c r="R14" s="39">
        <f t="shared" ref="R14" si="32">VLOOKUP(B14,DS,23,0)</f>
        <v>0</v>
      </c>
      <c r="S14" s="45">
        <f>Q14-R14</f>
        <v>3375000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2</v>
      </c>
      <c r="B15" s="141" t="s">
        <v>167</v>
      </c>
      <c r="C15" s="89" t="str">
        <f t="shared" ref="C15:C19" si="33">VLOOKUP(B15,DS,2,0)</f>
        <v>Đoàn Hồng Phong</v>
      </c>
      <c r="D15" s="116" t="str">
        <f t="shared" ref="D15:D19" si="34">VLOOKUP(B15,DS,3,0)</f>
        <v>Thợ đóng - xả</v>
      </c>
      <c r="E15" s="90">
        <f t="shared" ref="E15:E19" si="35">VLOOKUP(B15,DS,4,0)</f>
        <v>3000000</v>
      </c>
      <c r="F15" s="92">
        <f>VLOOKUP(B15,'CC -5'!$B$8:$AS$27,36,0)</f>
        <v>25</v>
      </c>
      <c r="G15" s="145">
        <f t="shared" ref="G15:G19" si="36">ROUND(E15/$U$2*F15,0)</f>
        <v>3000000</v>
      </c>
      <c r="H15" s="92">
        <f>(VLOOKUP(B15,'CC -5'!$B$8:$AS$27,37,0)+VLOOKUP(B15,'CC -5'!$B$8:$AS$27,38,0))</f>
        <v>0</v>
      </c>
      <c r="I15" s="145">
        <f t="shared" ref="I15:I19" si="37">ROUND(E15/$U$2*H15,0)</f>
        <v>0</v>
      </c>
      <c r="J15" s="146">
        <f t="shared" ref="J15:J19" si="38">F15+H15</f>
        <v>25</v>
      </c>
      <c r="K15" s="39">
        <f t="shared" ref="K15:K19" si="39">G15+I15</f>
        <v>3000000</v>
      </c>
      <c r="L15" s="90">
        <f t="shared" ref="L15:L19" si="40">+F15*15000</f>
        <v>375000</v>
      </c>
      <c r="M15" s="40">
        <f t="shared" ref="M15:M19" si="41">K15+L15</f>
        <v>3375000</v>
      </c>
      <c r="N15" s="40">
        <f>IF(VLOOKUP(B15,DS,9,0)="x",'L - 5'!E15*$N$4,0)</f>
        <v>0</v>
      </c>
      <c r="O15" s="40">
        <f t="shared" ref="O15:O19" si="42">IF(VLOOKUP(B15,DS,9,0)="x",E15*0.015,0)</f>
        <v>0</v>
      </c>
      <c r="P15" s="40">
        <f t="shared" ref="P15:P19" si="43">IF(VLOOKUP(B15,DS,9,0)="x",E15*0.01,0)</f>
        <v>0</v>
      </c>
      <c r="Q15" s="39">
        <f t="shared" ref="Q15:Q19" si="44">M15-SUM(N15:P15)</f>
        <v>3375000</v>
      </c>
      <c r="R15" s="39">
        <f t="shared" ref="R15:R19" si="45">VLOOKUP(B15,DS,23,0)</f>
        <v>0</v>
      </c>
      <c r="S15" s="45">
        <f t="shared" ref="S15:S19" si="46">Q15-R15</f>
        <v>3375000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3</v>
      </c>
      <c r="B16" s="141" t="s">
        <v>168</v>
      </c>
      <c r="C16" s="89" t="str">
        <f t="shared" si="33"/>
        <v>Trần Hữu Tình</v>
      </c>
      <c r="D16" s="116" t="str">
        <f t="shared" si="34"/>
        <v>Công nhân</v>
      </c>
      <c r="E16" s="90">
        <f t="shared" si="35"/>
        <v>2700000</v>
      </c>
      <c r="F16" s="92">
        <f>VLOOKUP(B16,'CC -5'!$B$8:$AS$27,36,0)</f>
        <v>25</v>
      </c>
      <c r="G16" s="145">
        <f t="shared" si="36"/>
        <v>2700000</v>
      </c>
      <c r="H16" s="92">
        <f>(VLOOKUP(B16,'CC -5'!$B$8:$AS$27,37,0)+VLOOKUP(B16,'CC -5'!$B$8:$AS$27,38,0))</f>
        <v>0</v>
      </c>
      <c r="I16" s="145">
        <f t="shared" si="37"/>
        <v>0</v>
      </c>
      <c r="J16" s="146">
        <f t="shared" si="38"/>
        <v>25</v>
      </c>
      <c r="K16" s="39">
        <f t="shared" si="39"/>
        <v>2700000</v>
      </c>
      <c r="L16" s="90">
        <f t="shared" si="40"/>
        <v>375000</v>
      </c>
      <c r="M16" s="40">
        <f t="shared" si="41"/>
        <v>3075000</v>
      </c>
      <c r="N16" s="40">
        <f>IF(VLOOKUP(B16,DS,9,0)="x",'L - 5'!E16*$N$4,0)</f>
        <v>0</v>
      </c>
      <c r="O16" s="40">
        <f t="shared" si="42"/>
        <v>0</v>
      </c>
      <c r="P16" s="40">
        <f t="shared" si="43"/>
        <v>0</v>
      </c>
      <c r="Q16" s="39">
        <f t="shared" si="44"/>
        <v>3075000</v>
      </c>
      <c r="R16" s="39">
        <f t="shared" si="45"/>
        <v>0</v>
      </c>
      <c r="S16" s="45">
        <f t="shared" si="46"/>
        <v>3075000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4</v>
      </c>
      <c r="B17" s="141" t="s">
        <v>169</v>
      </c>
      <c r="C17" s="89" t="str">
        <f t="shared" si="33"/>
        <v>Trương Văn Thành</v>
      </c>
      <c r="D17" s="116" t="str">
        <f t="shared" si="34"/>
        <v>Công nhân</v>
      </c>
      <c r="E17" s="90">
        <f t="shared" si="35"/>
        <v>2700000</v>
      </c>
      <c r="F17" s="92">
        <f>VLOOKUP(B17,'CC -5'!$B$8:$AS$27,36,0)</f>
        <v>25</v>
      </c>
      <c r="G17" s="145">
        <f t="shared" si="36"/>
        <v>2700000</v>
      </c>
      <c r="H17" s="92">
        <f>(VLOOKUP(B17,'CC -5'!$B$8:$AS$27,37,0)+VLOOKUP(B17,'CC -5'!$B$8:$AS$27,38,0))</f>
        <v>0</v>
      </c>
      <c r="I17" s="145">
        <f t="shared" si="37"/>
        <v>0</v>
      </c>
      <c r="J17" s="146">
        <f t="shared" si="38"/>
        <v>25</v>
      </c>
      <c r="K17" s="39">
        <f t="shared" si="39"/>
        <v>2700000</v>
      </c>
      <c r="L17" s="90">
        <f t="shared" si="40"/>
        <v>375000</v>
      </c>
      <c r="M17" s="40">
        <f t="shared" si="41"/>
        <v>3075000</v>
      </c>
      <c r="N17" s="40">
        <f>IF(VLOOKUP(B17,DS,9,0)="x",'L - 5'!E17*$N$4,0)</f>
        <v>0</v>
      </c>
      <c r="O17" s="40">
        <f t="shared" si="42"/>
        <v>0</v>
      </c>
      <c r="P17" s="40">
        <f t="shared" si="43"/>
        <v>0</v>
      </c>
      <c r="Q17" s="39">
        <f t="shared" si="44"/>
        <v>3075000</v>
      </c>
      <c r="R17" s="39">
        <f t="shared" si="45"/>
        <v>0</v>
      </c>
      <c r="S17" s="45">
        <f t="shared" si="46"/>
        <v>3075000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5</v>
      </c>
      <c r="B18" s="141" t="s">
        <v>170</v>
      </c>
      <c r="C18" s="89" t="str">
        <f t="shared" si="33"/>
        <v>Trần Thị Ngọc Anh</v>
      </c>
      <c r="D18" s="116" t="str">
        <f t="shared" si="34"/>
        <v>Công nhân</v>
      </c>
      <c r="E18" s="90">
        <f t="shared" si="35"/>
        <v>2700000</v>
      </c>
      <c r="F18" s="92">
        <f>VLOOKUP(B18,'CC -5'!$B$8:$AS$27,36,0)</f>
        <v>25</v>
      </c>
      <c r="G18" s="145">
        <f t="shared" si="36"/>
        <v>2700000</v>
      </c>
      <c r="H18" s="92">
        <f>(VLOOKUP(B18,'CC -5'!$B$8:$AS$27,37,0)+VLOOKUP(B18,'CC -5'!$B$8:$AS$27,38,0))</f>
        <v>0</v>
      </c>
      <c r="I18" s="145">
        <f t="shared" si="37"/>
        <v>0</v>
      </c>
      <c r="J18" s="146">
        <f t="shared" si="38"/>
        <v>25</v>
      </c>
      <c r="K18" s="39">
        <f t="shared" si="39"/>
        <v>2700000</v>
      </c>
      <c r="L18" s="90">
        <f t="shared" si="40"/>
        <v>375000</v>
      </c>
      <c r="M18" s="40">
        <f t="shared" si="41"/>
        <v>3075000</v>
      </c>
      <c r="N18" s="40">
        <f>IF(VLOOKUP(B18,DS,9,0)="x",'L - 5'!E18*$N$4,0)</f>
        <v>0</v>
      </c>
      <c r="O18" s="40">
        <f t="shared" si="42"/>
        <v>0</v>
      </c>
      <c r="P18" s="40">
        <f t="shared" si="43"/>
        <v>0</v>
      </c>
      <c r="Q18" s="39">
        <f t="shared" si="44"/>
        <v>3075000</v>
      </c>
      <c r="R18" s="39">
        <f t="shared" si="45"/>
        <v>0</v>
      </c>
      <c r="S18" s="45">
        <f t="shared" si="46"/>
        <v>3075000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4" customHeight="1">
      <c r="A19" s="38">
        <v>6</v>
      </c>
      <c r="B19" s="141" t="s">
        <v>171</v>
      </c>
      <c r="C19" s="89" t="str">
        <f t="shared" si="33"/>
        <v>Nguyễn Minh Vương</v>
      </c>
      <c r="D19" s="116" t="str">
        <f t="shared" si="34"/>
        <v>Công nhân</v>
      </c>
      <c r="E19" s="90">
        <f t="shared" si="35"/>
        <v>2700000</v>
      </c>
      <c r="F19" s="92">
        <f>VLOOKUP(B19,'CC -5'!$B$8:$AS$27,36,0)</f>
        <v>25</v>
      </c>
      <c r="G19" s="145">
        <f t="shared" si="36"/>
        <v>2700000</v>
      </c>
      <c r="H19" s="92">
        <f>(VLOOKUP(B19,'CC -5'!$B$8:$AS$27,37,0)+VLOOKUP(B19,'CC -5'!$B$8:$AS$27,38,0))</f>
        <v>0</v>
      </c>
      <c r="I19" s="145">
        <f t="shared" si="37"/>
        <v>0</v>
      </c>
      <c r="J19" s="146">
        <f t="shared" si="38"/>
        <v>25</v>
      </c>
      <c r="K19" s="39">
        <f t="shared" si="39"/>
        <v>2700000</v>
      </c>
      <c r="L19" s="90">
        <f t="shared" si="40"/>
        <v>375000</v>
      </c>
      <c r="M19" s="40">
        <f t="shared" si="41"/>
        <v>3075000</v>
      </c>
      <c r="N19" s="40">
        <f>IF(VLOOKUP(B19,DS,9,0)="x",'L - 5'!E19*$N$4,0)</f>
        <v>0</v>
      </c>
      <c r="O19" s="40">
        <f t="shared" si="42"/>
        <v>0</v>
      </c>
      <c r="P19" s="40">
        <f t="shared" si="43"/>
        <v>0</v>
      </c>
      <c r="Q19" s="39">
        <f t="shared" si="44"/>
        <v>3075000</v>
      </c>
      <c r="R19" s="39">
        <f t="shared" si="45"/>
        <v>0</v>
      </c>
      <c r="S19" s="45">
        <f t="shared" si="46"/>
        <v>3075000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2.5" customHeight="1">
      <c r="A20" s="41"/>
      <c r="B20" s="186"/>
      <c r="C20" s="42"/>
      <c r="D20" s="3"/>
      <c r="E20" s="43"/>
      <c r="F20" s="43"/>
      <c r="G20" s="43"/>
      <c r="H20" s="43"/>
      <c r="I20" s="43"/>
      <c r="J20" s="44"/>
      <c r="K20" s="43"/>
      <c r="L20" s="43"/>
      <c r="M20" s="185"/>
      <c r="N20" s="43"/>
      <c r="O20" s="43"/>
      <c r="P20" s="43"/>
      <c r="Q20" s="43"/>
      <c r="R20" s="43"/>
      <c r="S20" s="43"/>
      <c r="T20" s="39"/>
      <c r="U20" s="104"/>
      <c r="V20" s="37"/>
      <c r="W20" s="37"/>
      <c r="X20" s="37"/>
      <c r="Y20" s="37"/>
      <c r="Z20" s="37"/>
    </row>
    <row r="21" spans="1:31" s="32" customFormat="1" ht="21" customHeight="1">
      <c r="A21" s="239" t="s">
        <v>25</v>
      </c>
      <c r="B21" s="239"/>
      <c r="C21" s="239"/>
      <c r="D21" s="239"/>
      <c r="E21" s="140">
        <f>SUM(E10:E20)</f>
        <v>29300000</v>
      </c>
      <c r="F21" s="140"/>
      <c r="G21" s="140">
        <f>SUM(G10:G20)</f>
        <v>29300000</v>
      </c>
      <c r="H21" s="140"/>
      <c r="I21" s="140">
        <f>SUM(I10:I20)</f>
        <v>0</v>
      </c>
      <c r="J21" s="26"/>
      <c r="K21" s="26">
        <f t="shared" ref="K21:S21" si="47">SUM(K10:K20)</f>
        <v>29300000</v>
      </c>
      <c r="L21" s="26">
        <f t="shared" si="47"/>
        <v>3375000</v>
      </c>
      <c r="M21" s="26">
        <f t="shared" si="47"/>
        <v>32675000</v>
      </c>
      <c r="N21" s="26">
        <f t="shared" si="47"/>
        <v>0</v>
      </c>
      <c r="O21" s="26">
        <f t="shared" si="47"/>
        <v>0</v>
      </c>
      <c r="P21" s="26">
        <f t="shared" si="47"/>
        <v>0</v>
      </c>
      <c r="Q21" s="26">
        <f t="shared" si="47"/>
        <v>32675000</v>
      </c>
      <c r="R21" s="26">
        <f t="shared" si="47"/>
        <v>0</v>
      </c>
      <c r="S21" s="26">
        <f t="shared" si="47"/>
        <v>32675000</v>
      </c>
      <c r="T21" s="26"/>
      <c r="U21" s="104"/>
      <c r="V21" s="33"/>
      <c r="W21" s="33"/>
      <c r="X21" s="33"/>
      <c r="Y21" s="33"/>
      <c r="Z21" s="33"/>
    </row>
    <row r="22" spans="1:31" ht="11.25" customHeight="1">
      <c r="A22" s="8"/>
      <c r="B22" s="8"/>
      <c r="C22" s="9"/>
      <c r="D22" s="117"/>
      <c r="E22" s="94"/>
      <c r="F22" s="9"/>
      <c r="G22" s="9"/>
      <c r="H22" s="9"/>
      <c r="I22" s="9"/>
      <c r="K22" s="9"/>
      <c r="L22" s="9"/>
      <c r="M22" s="102"/>
      <c r="N22" s="9"/>
      <c r="O22" s="9"/>
      <c r="P22" s="9"/>
      <c r="Q22" s="9"/>
      <c r="R22" s="9"/>
      <c r="S22" s="9"/>
      <c r="T22" s="9"/>
      <c r="U22" s="104"/>
    </row>
    <row r="23" spans="1:31" s="36" customFormat="1" ht="11.25" customHeight="1">
      <c r="A23" s="78"/>
      <c r="B23" s="78"/>
      <c r="C23" s="78"/>
      <c r="D23" s="133"/>
      <c r="E23" s="134"/>
      <c r="F23" s="78"/>
      <c r="G23" s="78"/>
      <c r="H23" s="78"/>
      <c r="I23" s="78"/>
      <c r="J23" s="135"/>
      <c r="K23" s="134"/>
      <c r="L23" s="78"/>
      <c r="M23" s="78"/>
      <c r="N23" s="78"/>
      <c r="O23" s="78"/>
      <c r="P23" s="78"/>
      <c r="Q23" s="78"/>
      <c r="R23" s="78"/>
      <c r="S23" s="108" t="str">
        <f>"Long An, ngày  "&amp;$V$2&amp;"   tháng   "&amp;TEXT(E4,"mm")&amp;"   năm "&amp;TEXT(E4,"yyyy")</f>
        <v>Long An, ngày  31   tháng   05   năm 2011</v>
      </c>
      <c r="T23" s="78"/>
      <c r="U23" s="136"/>
      <c r="V23" s="37"/>
      <c r="W23" s="37"/>
      <c r="X23" s="37"/>
      <c r="Y23" s="37"/>
      <c r="Z23" s="37"/>
    </row>
    <row r="24" spans="1:31" s="36" customFormat="1" ht="12.75">
      <c r="A24" s="29"/>
      <c r="B24" s="29"/>
      <c r="C24" s="29" t="s">
        <v>60</v>
      </c>
      <c r="D24" s="137"/>
      <c r="E24" s="79"/>
      <c r="F24" s="136"/>
      <c r="G24" s="79"/>
      <c r="H24" s="79"/>
      <c r="I24" s="79"/>
      <c r="J24" s="138"/>
      <c r="K24" s="37"/>
      <c r="L24" s="29"/>
      <c r="M24" s="148"/>
      <c r="N24" s="20"/>
      <c r="O24" s="20"/>
      <c r="P24" s="20"/>
      <c r="Q24" s="20"/>
      <c r="S24" s="136" t="s">
        <v>22</v>
      </c>
      <c r="T24" s="136"/>
      <c r="U24" s="136"/>
      <c r="V24" s="37"/>
      <c r="W24" s="37"/>
      <c r="X24" s="37"/>
      <c r="Y24" s="37"/>
      <c r="Z24" s="37"/>
    </row>
    <row r="25" spans="1:31" ht="12">
      <c r="A25" s="8"/>
      <c r="B25" s="8"/>
      <c r="C25" s="15"/>
      <c r="E25" s="13"/>
      <c r="F25" s="12"/>
      <c r="G25" s="13"/>
      <c r="H25" s="13"/>
      <c r="I25" s="13"/>
      <c r="K25" s="7"/>
      <c r="L25" s="15"/>
      <c r="N25" s="11"/>
      <c r="O25" s="11"/>
      <c r="P25" s="11"/>
      <c r="Q25" s="11"/>
      <c r="S25" s="11"/>
      <c r="T25" s="12"/>
      <c r="U25" s="104"/>
    </row>
    <row r="26" spans="1:31" ht="12">
      <c r="C26" s="15"/>
      <c r="L26" s="15"/>
      <c r="T26" s="15"/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  <row r="32" spans="1:31" ht="12">
      <c r="U32" s="104"/>
    </row>
  </sheetData>
  <protectedRanges>
    <protectedRange password="CC78" sqref="V20:IK21 L20 C5:D7 B24:C24 V5:W9 A20:A25 B20:B23 B25 V13:W13 Q5:T7 AF5:IK13 L21:T21 E5:I6 D21:I21 N5:P6 L5 L24 J6:K7 L7 A27:T60 U33:U60 N20:S20 V27:IK60 W10:W12 J20:K21 A61:IK65328 Q10:S12 A10:B12" name="Range1"/>
    <protectedRange password="CC78" sqref="F7:H7" name="Range1_4"/>
    <protectedRange password="CC78" sqref="V24:IK25 S24:T25 N24:Q25 E24:I25" name="Range1_1_1"/>
    <protectedRange password="CC78" sqref="U1 W1:IK3 V4:IK4 B4:T4 U4:U13 X5:AE13 R2:S3 B1:Q3 U20:U32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4:W19 Q14:S19 A14:B19 AF14:IK19" name="Range1_5"/>
    <protectedRange password="CC78" sqref="U14:U19 X14:AE19" name="Range1_2_3"/>
    <protectedRange password="CC78" sqref="V14:V19" name="Range1_1_3"/>
    <protectedRange password="CC78" sqref="K14:K19 K10:K12" name="Range1_6"/>
    <protectedRange password="CC78" sqref="A2:A3" name="Range1_2_1_3"/>
  </protectedRanges>
  <autoFilter ref="A7:AE10"/>
  <mergeCells count="23">
    <mergeCell ref="C5:C7"/>
    <mergeCell ref="D5:D7"/>
    <mergeCell ref="F5:K5"/>
    <mergeCell ref="K6:K7"/>
    <mergeCell ref="J6:J7"/>
    <mergeCell ref="H6:I6"/>
    <mergeCell ref="E5:E7"/>
    <mergeCell ref="A21:D21"/>
    <mergeCell ref="D1:Q1"/>
    <mergeCell ref="A5:A7"/>
    <mergeCell ref="L5:L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B5:B7"/>
    <mergeCell ref="F6:G6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4" sqref="F14:AJ25"/>
      <selection pane="topRight" activeCell="F14" sqref="F14:AJ25"/>
      <selection pane="bottomLeft" activeCell="F14" sqref="F14:AJ25"/>
      <selection pane="bottomRight" activeCell="W12" sqref="W1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6" t="s">
        <v>154</v>
      </c>
      <c r="AN1" s="237"/>
      <c r="AO1" s="237"/>
      <c r="AP1" s="237"/>
      <c r="AQ1" s="237"/>
      <c r="AR1" s="237"/>
      <c r="AS1" s="2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32" t="s">
        <v>28</v>
      </c>
      <c r="B5" s="232" t="s">
        <v>3</v>
      </c>
      <c r="C5" s="232" t="s">
        <v>1</v>
      </c>
      <c r="D5" s="228" t="s">
        <v>29</v>
      </c>
      <c r="E5" s="232" t="s">
        <v>30</v>
      </c>
      <c r="F5" s="118">
        <f>+E4</f>
        <v>40695</v>
      </c>
      <c r="G5" s="118">
        <f t="shared" ref="G5:AJ5" si="0">F5+1</f>
        <v>40696</v>
      </c>
      <c r="H5" s="118">
        <f t="shared" si="0"/>
        <v>40697</v>
      </c>
      <c r="I5" s="118">
        <f t="shared" si="0"/>
        <v>40698</v>
      </c>
      <c r="J5" s="118">
        <f t="shared" si="0"/>
        <v>40699</v>
      </c>
      <c r="K5" s="118">
        <f t="shared" si="0"/>
        <v>40700</v>
      </c>
      <c r="L5" s="118">
        <f t="shared" si="0"/>
        <v>40701</v>
      </c>
      <c r="M5" s="118">
        <f t="shared" si="0"/>
        <v>40702</v>
      </c>
      <c r="N5" s="118">
        <f t="shared" si="0"/>
        <v>40703</v>
      </c>
      <c r="O5" s="118">
        <f t="shared" si="0"/>
        <v>40704</v>
      </c>
      <c r="P5" s="118">
        <f t="shared" si="0"/>
        <v>40705</v>
      </c>
      <c r="Q5" s="118">
        <f t="shared" si="0"/>
        <v>40706</v>
      </c>
      <c r="R5" s="118">
        <f t="shared" si="0"/>
        <v>40707</v>
      </c>
      <c r="S5" s="118">
        <f t="shared" si="0"/>
        <v>40708</v>
      </c>
      <c r="T5" s="118">
        <f t="shared" si="0"/>
        <v>40709</v>
      </c>
      <c r="U5" s="118">
        <f t="shared" si="0"/>
        <v>40710</v>
      </c>
      <c r="V5" s="118">
        <f t="shared" si="0"/>
        <v>40711</v>
      </c>
      <c r="W5" s="118">
        <f t="shared" si="0"/>
        <v>40712</v>
      </c>
      <c r="X5" s="118">
        <f t="shared" si="0"/>
        <v>40713</v>
      </c>
      <c r="Y5" s="118">
        <f t="shared" si="0"/>
        <v>40714</v>
      </c>
      <c r="Z5" s="118">
        <f t="shared" si="0"/>
        <v>40715</v>
      </c>
      <c r="AA5" s="118">
        <f t="shared" si="0"/>
        <v>40716</v>
      </c>
      <c r="AB5" s="118">
        <f t="shared" si="0"/>
        <v>40717</v>
      </c>
      <c r="AC5" s="118">
        <f t="shared" si="0"/>
        <v>40718</v>
      </c>
      <c r="AD5" s="118">
        <f t="shared" si="0"/>
        <v>40719</v>
      </c>
      <c r="AE5" s="118">
        <f t="shared" si="0"/>
        <v>40720</v>
      </c>
      <c r="AF5" s="118">
        <f t="shared" si="0"/>
        <v>40721</v>
      </c>
      <c r="AG5" s="118">
        <f t="shared" si="0"/>
        <v>40722</v>
      </c>
      <c r="AH5" s="118">
        <f>AG5+1</f>
        <v>40723</v>
      </c>
      <c r="AI5" s="118">
        <f t="shared" si="0"/>
        <v>40724</v>
      </c>
      <c r="AJ5" s="118">
        <f t="shared" si="0"/>
        <v>40725</v>
      </c>
      <c r="AK5" s="233" t="s">
        <v>15</v>
      </c>
      <c r="AL5" s="234"/>
      <c r="AM5" s="235"/>
      <c r="AN5" s="230" t="s">
        <v>45</v>
      </c>
      <c r="AO5" s="230" t="s">
        <v>41</v>
      </c>
      <c r="AP5" s="230" t="s">
        <v>42</v>
      </c>
      <c r="AQ5" s="230" t="s">
        <v>43</v>
      </c>
      <c r="AR5" s="230" t="s">
        <v>44</v>
      </c>
      <c r="AS5" s="228" t="s">
        <v>0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29"/>
      <c r="B6" s="229"/>
      <c r="C6" s="229"/>
      <c r="D6" s="229"/>
      <c r="E6" s="229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31"/>
      <c r="AO6" s="231"/>
      <c r="AP6" s="231"/>
      <c r="AQ6" s="231"/>
      <c r="AR6" s="231"/>
      <c r="AS6" s="229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157</v>
      </c>
      <c r="B8" s="182" t="s">
        <v>158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15">
        <v>1</v>
      </c>
      <c r="B9" s="215" t="s">
        <v>164</v>
      </c>
      <c r="C9" s="217" t="str">
        <f>VLOOKUP(B9,DS,2,0)</f>
        <v>Lê Thị Dung</v>
      </c>
      <c r="D9" s="22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19">
        <f>((SUM(F9:AJ9))/8)-(SUMIF($F$6:$AJ$6,"C.Nhật",F9:AJ9)/8)</f>
        <v>26</v>
      </c>
      <c r="AL9" s="219">
        <f>SUM(F10:AJ10)/8*1.5</f>
        <v>0</v>
      </c>
      <c r="AM9" s="221">
        <f>SUMIF($F$6:$AJ$6,"C.Nhật",$F9:$AJ10)/8*2</f>
        <v>0</v>
      </c>
      <c r="AN9" s="211">
        <f>SUM(AK9:AM10)</f>
        <v>26</v>
      </c>
      <c r="AO9" s="223">
        <v>0</v>
      </c>
      <c r="AP9" s="211"/>
      <c r="AQ9" s="211"/>
      <c r="AR9" s="211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16"/>
      <c r="B10" s="216"/>
      <c r="C10" s="218"/>
      <c r="D10" s="22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20"/>
      <c r="AL10" s="220"/>
      <c r="AM10" s="222"/>
      <c r="AN10" s="212"/>
      <c r="AO10" s="224"/>
      <c r="AP10" s="212"/>
      <c r="AQ10" s="212"/>
      <c r="AR10" s="212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15">
        <f>A9+1</f>
        <v>2</v>
      </c>
      <c r="B11" s="215" t="s">
        <v>165</v>
      </c>
      <c r="C11" s="217" t="str">
        <f>VLOOKUP(B11,DS,2,0)</f>
        <v>Phan Văn Hiền</v>
      </c>
      <c r="D11" s="22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/>
      <c r="AK11" s="219">
        <f t="shared" ref="AK11" si="2">((SUM(F11:AJ11))/8)-(SUMIF($F$6:$AJ$6,"C.Nhật",F11:AJ11)/8)</f>
        <v>26</v>
      </c>
      <c r="AL11" s="219">
        <f t="shared" ref="AL11" si="3">SUM(F12:AJ12)/8*1.5</f>
        <v>0</v>
      </c>
      <c r="AM11" s="221">
        <f t="shared" ref="AM11" si="4">SUMIF($F$6:$AJ$6,"C.Nhật",$F11:$AJ12)/8*2</f>
        <v>0</v>
      </c>
      <c r="AN11" s="211">
        <f t="shared" ref="AN11" si="5">SUM(AK11:AM12)</f>
        <v>26</v>
      </c>
      <c r="AO11" s="223">
        <v>0</v>
      </c>
      <c r="AP11" s="211"/>
      <c r="AQ11" s="211"/>
      <c r="AR11" s="211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16"/>
      <c r="B12" s="216"/>
      <c r="C12" s="218"/>
      <c r="D12" s="22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20"/>
      <c r="AL12" s="220"/>
      <c r="AM12" s="222"/>
      <c r="AN12" s="212"/>
      <c r="AO12" s="224"/>
      <c r="AP12" s="212"/>
      <c r="AQ12" s="212"/>
      <c r="AR12" s="212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159</v>
      </c>
      <c r="B13" s="182" t="s">
        <v>163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15">
        <v>1</v>
      </c>
      <c r="B14" s="215" t="s">
        <v>166</v>
      </c>
      <c r="C14" s="217" t="str">
        <f>VLOOKUP(B14,DS,2,0)</f>
        <v>Nguyễn Trường Giang</v>
      </c>
      <c r="D14" s="225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/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/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/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/>
      <c r="AF14" s="143">
        <v>8</v>
      </c>
      <c r="AG14" s="143">
        <v>8</v>
      </c>
      <c r="AH14" s="143">
        <v>8</v>
      </c>
      <c r="AI14" s="143">
        <v>8</v>
      </c>
      <c r="AJ14" s="143"/>
      <c r="AK14" s="219">
        <f t="shared" ref="AK14" si="6">((SUM(F14:AJ14))/8)-(SUMIF($F$6:$AJ$6,"C.Nhật",F14:AJ14)/8)</f>
        <v>26</v>
      </c>
      <c r="AL14" s="219">
        <f t="shared" ref="AL14" si="7">SUM(F15:AJ15)/8*1.5</f>
        <v>0</v>
      </c>
      <c r="AM14" s="221">
        <f>SUMIF($F$6:$AJ$6,"C.Nhật",$F14:$AJ15)/8*2</f>
        <v>0</v>
      </c>
      <c r="AN14" s="211">
        <f>SUM(AK14:AM15)</f>
        <v>26</v>
      </c>
      <c r="AO14" s="223">
        <v>0</v>
      </c>
      <c r="AP14" s="211"/>
      <c r="AQ14" s="211"/>
      <c r="AR14" s="211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16"/>
      <c r="B15" s="216"/>
      <c r="C15" s="218"/>
      <c r="D15" s="226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20"/>
      <c r="AL15" s="220"/>
      <c r="AM15" s="222"/>
      <c r="AN15" s="212"/>
      <c r="AO15" s="224"/>
      <c r="AP15" s="212"/>
      <c r="AQ15" s="212"/>
      <c r="AR15" s="212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15">
        <f>A14+1</f>
        <v>2</v>
      </c>
      <c r="B16" s="215" t="s">
        <v>167</v>
      </c>
      <c r="C16" s="217" t="str">
        <f>VLOOKUP(B16,DS,2,0)</f>
        <v>Đoàn Hồng Phong</v>
      </c>
      <c r="D16" s="225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19">
        <f t="shared" ref="AK16" si="8">((SUM(F16:AJ16))/8)-(SUMIF($F$6:$AJ$6,"C.Nhật",F16:AJ16)/8)</f>
        <v>26</v>
      </c>
      <c r="AL16" s="219">
        <f t="shared" ref="AL16" si="9">SUM(F17:AJ17)/8*1.5</f>
        <v>0</v>
      </c>
      <c r="AM16" s="221">
        <f>SUMIF($F$6:$AJ$6,"C.Nhật",$F16:$AJ17)/8*2</f>
        <v>0</v>
      </c>
      <c r="AN16" s="211">
        <f t="shared" ref="AN16" si="10">SUM(AK16:AM17)</f>
        <v>26</v>
      </c>
      <c r="AO16" s="223">
        <v>0</v>
      </c>
      <c r="AP16" s="211"/>
      <c r="AQ16" s="211"/>
      <c r="AR16" s="211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16"/>
      <c r="B17" s="216"/>
      <c r="C17" s="218"/>
      <c r="D17" s="22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20"/>
      <c r="AL17" s="220"/>
      <c r="AM17" s="222"/>
      <c r="AN17" s="212"/>
      <c r="AO17" s="224"/>
      <c r="AP17" s="212"/>
      <c r="AQ17" s="212"/>
      <c r="AR17" s="212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15">
        <f t="shared" ref="A18" si="11">A16+1</f>
        <v>3</v>
      </c>
      <c r="B18" s="215" t="s">
        <v>168</v>
      </c>
      <c r="C18" s="217" t="str">
        <f>VLOOKUP(B18,DS,2,0)</f>
        <v>Trần Hữu Tình</v>
      </c>
      <c r="D18" s="225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/>
      <c r="AK18" s="219">
        <f t="shared" ref="AK18" si="12">((SUM(F18:AJ18))/8)-(SUMIF($F$6:$AJ$6,"C.Nhật",F18:AJ18)/8)</f>
        <v>26</v>
      </c>
      <c r="AL18" s="219">
        <f t="shared" ref="AL18" si="13">SUM(F19:AJ19)/8*1.5</f>
        <v>0</v>
      </c>
      <c r="AM18" s="221">
        <f>SUMIF($F$6:$AJ$6,"C.Nhật",$F18:$AJ19)/8*2</f>
        <v>0</v>
      </c>
      <c r="AN18" s="211">
        <f t="shared" ref="AN18" si="14">SUM(AK18:AM19)</f>
        <v>26</v>
      </c>
      <c r="AO18" s="223">
        <v>0</v>
      </c>
      <c r="AP18" s="211"/>
      <c r="AQ18" s="211"/>
      <c r="AR18" s="211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16"/>
      <c r="B19" s="216"/>
      <c r="C19" s="218"/>
      <c r="D19" s="22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20"/>
      <c r="AL19" s="220"/>
      <c r="AM19" s="222"/>
      <c r="AN19" s="212"/>
      <c r="AO19" s="224"/>
      <c r="AP19" s="212"/>
      <c r="AQ19" s="212"/>
      <c r="AR19" s="212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15">
        <f t="shared" ref="A20" si="15">A18+1</f>
        <v>4</v>
      </c>
      <c r="B20" s="215" t="s">
        <v>169</v>
      </c>
      <c r="C20" s="217" t="str">
        <f>VLOOKUP(B20,DS,2,0)</f>
        <v>Trương Văn Thành</v>
      </c>
      <c r="D20" s="22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/>
      <c r="AK20" s="219">
        <f t="shared" ref="AK20" si="16">((SUM(F20:AJ20))/8)-(SUMIF($F$6:$AJ$6,"C.Nhật",F20:AJ20)/8)</f>
        <v>26</v>
      </c>
      <c r="AL20" s="219">
        <f t="shared" ref="AL20" si="17">SUM(F21:AJ21)/8*1.5</f>
        <v>0</v>
      </c>
      <c r="AM20" s="221">
        <f>SUMIF($F$6:$AJ$6,"C.Nhật",$F20:$AJ21)/8*2</f>
        <v>0</v>
      </c>
      <c r="AN20" s="211">
        <f t="shared" ref="AN20" si="18">SUM(AK20:AM21)</f>
        <v>26</v>
      </c>
      <c r="AO20" s="223">
        <v>0</v>
      </c>
      <c r="AP20" s="211"/>
      <c r="AQ20" s="211"/>
      <c r="AR20" s="211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16"/>
      <c r="B21" s="216"/>
      <c r="C21" s="218"/>
      <c r="D21" s="22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20"/>
      <c r="AL21" s="220"/>
      <c r="AM21" s="222"/>
      <c r="AN21" s="212"/>
      <c r="AO21" s="224"/>
      <c r="AP21" s="212"/>
      <c r="AQ21" s="212"/>
      <c r="AR21" s="212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15">
        <f t="shared" ref="A22" si="19">A20+1</f>
        <v>5</v>
      </c>
      <c r="B22" s="215" t="s">
        <v>170</v>
      </c>
      <c r="C22" s="217" t="str">
        <f>VLOOKUP(B22,DS,2,0)</f>
        <v>Trần Thị Ngọc Anh</v>
      </c>
      <c r="D22" s="225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/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/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/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/>
      <c r="AF22" s="143">
        <v>8</v>
      </c>
      <c r="AG22" s="143">
        <v>8</v>
      </c>
      <c r="AH22" s="143">
        <v>8</v>
      </c>
      <c r="AI22" s="143">
        <v>8</v>
      </c>
      <c r="AJ22" s="143"/>
      <c r="AK22" s="219">
        <f t="shared" ref="AK22" si="20">((SUM(F22:AJ22))/8)-(SUMIF($F$6:$AJ$6,"C.Nhật",F22:AJ22)/8)</f>
        <v>26</v>
      </c>
      <c r="AL22" s="219">
        <f t="shared" ref="AL22" si="21">SUM(F23:AJ23)/8*1.5</f>
        <v>0</v>
      </c>
      <c r="AM22" s="221">
        <f>SUMIF($F$6:$AJ$6,"C.Nhật",$F22:$AJ23)/8*2</f>
        <v>0</v>
      </c>
      <c r="AN22" s="211">
        <f t="shared" ref="AN22" si="22">SUM(AK22:AM23)</f>
        <v>26</v>
      </c>
      <c r="AO22" s="223">
        <v>0</v>
      </c>
      <c r="AP22" s="211"/>
      <c r="AQ22" s="211"/>
      <c r="AR22" s="211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16"/>
      <c r="B23" s="216"/>
      <c r="C23" s="218"/>
      <c r="D23" s="226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20"/>
      <c r="AL23" s="220"/>
      <c r="AM23" s="222"/>
      <c r="AN23" s="212"/>
      <c r="AO23" s="224"/>
      <c r="AP23" s="212"/>
      <c r="AQ23" s="212"/>
      <c r="AR23" s="212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15">
        <f t="shared" ref="A24" si="23">A22+1</f>
        <v>6</v>
      </c>
      <c r="B24" s="215" t="s">
        <v>171</v>
      </c>
      <c r="C24" s="217" t="str">
        <f>VLOOKUP(B24,DS,2,0)</f>
        <v>Nguyễn Minh Vương</v>
      </c>
      <c r="D24" s="225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/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/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/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/>
      <c r="AF24" s="143">
        <v>8</v>
      </c>
      <c r="AG24" s="143">
        <v>8</v>
      </c>
      <c r="AH24" s="143">
        <v>8</v>
      </c>
      <c r="AI24" s="143">
        <v>8</v>
      </c>
      <c r="AJ24" s="143"/>
      <c r="AK24" s="219">
        <f t="shared" ref="AK24" si="24">((SUM(F24:AJ24))/8)-(SUMIF($F$6:$AJ$6,"C.Nhật",F24:AJ24)/8)</f>
        <v>26</v>
      </c>
      <c r="AL24" s="219">
        <f t="shared" ref="AL24" si="25">SUM(F25:AJ25)/8*1.5</f>
        <v>0</v>
      </c>
      <c r="AM24" s="221">
        <f>SUMIF($F$6:$AJ$6,"C.Nhật",$F24:$AJ25)/8*2</f>
        <v>0</v>
      </c>
      <c r="AN24" s="211">
        <f t="shared" ref="AN24" si="26">SUM(AK24:AM25)</f>
        <v>26</v>
      </c>
      <c r="AO24" s="223">
        <v>0</v>
      </c>
      <c r="AP24" s="211"/>
      <c r="AQ24" s="211"/>
      <c r="AR24" s="211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16"/>
      <c r="B25" s="216"/>
      <c r="C25" s="218"/>
      <c r="D25" s="226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20"/>
      <c r="AL25" s="220"/>
      <c r="AM25" s="222"/>
      <c r="AN25" s="212"/>
      <c r="AO25" s="224"/>
      <c r="AP25" s="212"/>
      <c r="AQ25" s="212"/>
      <c r="AR25" s="212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</mergeCells>
  <conditionalFormatting sqref="F5:AJ6 F9:AJ12 F14:AJ25">
    <cfRule type="expression" dxfId="48" priority="10" stopIfTrue="1">
      <formula>IF(WEEKDAY(F$5)=1,TRUE,FALSE)</formula>
    </cfRule>
  </conditionalFormatting>
  <conditionalFormatting sqref="F9:AJ12">
    <cfRule type="expression" dxfId="47" priority="9" stopIfTrue="1">
      <formula>IF(WEEKDAY(F$5)=1,TRUE,FALSE)</formula>
    </cfRule>
  </conditionalFormatting>
  <conditionalFormatting sqref="F14:AJ25">
    <cfRule type="expression" dxfId="46" priority="8" stopIfTrue="1">
      <formula>IF(WEEKDAY(F$5)=1,TRUE,FALSE)</formula>
    </cfRule>
  </conditionalFormatting>
  <conditionalFormatting sqref="F14:AJ25">
    <cfRule type="expression" dxfId="45" priority="7" stopIfTrue="1">
      <formula>IF(WEEKDAY(F$5)=1,TRUE,FALSE)</formula>
    </cfRule>
  </conditionalFormatting>
  <conditionalFormatting sqref="F14:AI25">
    <cfRule type="expression" dxfId="44" priority="6" stopIfTrue="1">
      <formula>IF(WEEKDAY(F$5)=1,TRUE,FALSE)</formula>
    </cfRule>
  </conditionalFormatting>
  <conditionalFormatting sqref="F14:AJ25">
    <cfRule type="expression" dxfId="43" priority="5" stopIfTrue="1">
      <formula>IF(WEEKDAY(F$5)=1,TRUE,FALSE)</formula>
    </cfRule>
  </conditionalFormatting>
  <conditionalFormatting sqref="F14:AI25">
    <cfRule type="expression" dxfId="42" priority="4" stopIfTrue="1">
      <formula>IF(WEEKDAY(F$5)=1,TRUE,FALSE)</formula>
    </cfRule>
  </conditionalFormatting>
  <conditionalFormatting sqref="F14:AJ25">
    <cfRule type="expression" dxfId="41" priority="3" stopIfTrue="1">
      <formula>IF(WEEKDAY(F$5)=1,TRUE,FALSE)</formula>
    </cfRule>
  </conditionalFormatting>
  <conditionalFormatting sqref="F14:AJ25">
    <cfRule type="expression" dxfId="40" priority="2" stopIfTrue="1">
      <formula>IF(WEEKDAY(F$5)=1,TRUE,FALSE)</formula>
    </cfRule>
  </conditionalFormatting>
  <conditionalFormatting sqref="F14:AJ25">
    <cfRule type="expression" dxfId="3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F14" sqref="F14:AJ25"/>
      <selection pane="topRight" activeCell="F14" sqref="F14:AJ25"/>
      <selection pane="bottomLeft" activeCell="F14" sqref="F14:AJ25"/>
      <selection pane="bottomRight" activeCell="F14" sqref="F14:AJ2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0" t="str">
        <f>"BẢNG THANH TOÁN LƯƠNG THÁNG"&amp;" "&amp;TEXT($E$4,"mm")&amp;" / "&amp;TEXT($E$4,"yyyy")</f>
        <v>BẢNG THANH TOÁN LƯƠNG THÁNG 06 / 2011</v>
      </c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1"/>
      <c r="R1" s="247" t="s">
        <v>153</v>
      </c>
      <c r="S1" s="248"/>
      <c r="T1" s="2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40695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2" t="s">
        <v>19</v>
      </c>
      <c r="B5" s="242" t="s">
        <v>20</v>
      </c>
      <c r="C5" s="207" t="s">
        <v>1</v>
      </c>
      <c r="D5" s="207" t="s">
        <v>2</v>
      </c>
      <c r="E5" s="210" t="s">
        <v>56</v>
      </c>
      <c r="F5" s="252" t="s">
        <v>26</v>
      </c>
      <c r="G5" s="254"/>
      <c r="H5" s="254"/>
      <c r="I5" s="254"/>
      <c r="J5" s="254"/>
      <c r="K5" s="253"/>
      <c r="L5" s="244" t="s">
        <v>57</v>
      </c>
      <c r="M5" s="244" t="s">
        <v>5</v>
      </c>
      <c r="N5" s="207" t="s">
        <v>6</v>
      </c>
      <c r="O5" s="207"/>
      <c r="P5" s="207"/>
      <c r="Q5" s="244" t="s">
        <v>7</v>
      </c>
      <c r="R5" s="244" t="s">
        <v>8</v>
      </c>
      <c r="S5" s="244" t="s">
        <v>9</v>
      </c>
      <c r="T5" s="20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3"/>
      <c r="B6" s="243"/>
      <c r="C6" s="207"/>
      <c r="D6" s="207"/>
      <c r="E6" s="210"/>
      <c r="F6" s="252" t="s">
        <v>59</v>
      </c>
      <c r="G6" s="253"/>
      <c r="H6" s="252" t="s">
        <v>161</v>
      </c>
      <c r="I6" s="254"/>
      <c r="J6" s="255" t="s">
        <v>27</v>
      </c>
      <c r="K6" s="244" t="s">
        <v>4</v>
      </c>
      <c r="L6" s="245"/>
      <c r="M6" s="245"/>
      <c r="N6" s="250" t="s">
        <v>12</v>
      </c>
      <c r="O6" s="244" t="s">
        <v>13</v>
      </c>
      <c r="P6" s="244" t="s">
        <v>34</v>
      </c>
      <c r="Q6" s="245"/>
      <c r="R6" s="245"/>
      <c r="S6" s="245"/>
      <c r="T6" s="20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3"/>
      <c r="B7" s="243"/>
      <c r="C7" s="244"/>
      <c r="D7" s="244"/>
      <c r="E7" s="210"/>
      <c r="F7" s="196" t="s">
        <v>40</v>
      </c>
      <c r="G7" s="193" t="s">
        <v>18</v>
      </c>
      <c r="H7" s="196" t="s">
        <v>40</v>
      </c>
      <c r="I7" s="128" t="s">
        <v>18</v>
      </c>
      <c r="J7" s="256"/>
      <c r="K7" s="245"/>
      <c r="L7" s="246"/>
      <c r="M7" s="246"/>
      <c r="N7" s="251"/>
      <c r="O7" s="245"/>
      <c r="P7" s="245"/>
      <c r="Q7" s="245"/>
      <c r="R7" s="245"/>
      <c r="S7" s="245"/>
      <c r="T7" s="20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157</v>
      </c>
      <c r="B9" s="188" t="s">
        <v>158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164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4500000</v>
      </c>
      <c r="F10" s="92">
        <f>VLOOKUP(B10,'CC -6'!$B$8:$AS$25,36,0)</f>
        <v>26</v>
      </c>
      <c r="G10" s="145">
        <f t="shared" ref="G10:G11" si="3">ROUND(E10/$U$2*F10,0)</f>
        <v>4333333</v>
      </c>
      <c r="H10" s="92">
        <f>(VLOOKUP(B10,'CC -6'!$B$8:$AS$25,37,0)+VLOOKUP(B10,'CC -6'!$B$8:$AS$25,38,0))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4333333</v>
      </c>
      <c r="L10" s="90">
        <f t="shared" ref="L10:L11" si="6">+F10*15000</f>
        <v>390000</v>
      </c>
      <c r="M10" s="40">
        <f t="shared" ref="M10:M11" si="7">K10+L10</f>
        <v>4723333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4723333</v>
      </c>
      <c r="R10" s="39">
        <f>VLOOKUP(B10,DS,23,0)</f>
        <v>0</v>
      </c>
      <c r="S10" s="45">
        <f t="shared" ref="S10:S11" si="9">Q10-R10</f>
        <v>4723333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165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4000000</v>
      </c>
      <c r="F11" s="92">
        <f>VLOOKUP(B11,'CC -6'!$B$8:$AS$25,36,0)</f>
        <v>26</v>
      </c>
      <c r="G11" s="145">
        <f t="shared" si="3"/>
        <v>3851852</v>
      </c>
      <c r="H11" s="92">
        <f>(VLOOKUP(B11,'CC -6'!$B$8:$AS$25,37,0)+VLOOKUP(B11,'CC -6'!$B$8:$AS$25,38,0))</f>
        <v>0</v>
      </c>
      <c r="I11" s="145">
        <f t="shared" si="4"/>
        <v>0</v>
      </c>
      <c r="J11" s="93">
        <f t="shared" si="5"/>
        <v>26</v>
      </c>
      <c r="K11" s="39">
        <f t="shared" si="5"/>
        <v>3851852</v>
      </c>
      <c r="L11" s="90">
        <f t="shared" si="6"/>
        <v>390000</v>
      </c>
      <c r="M11" s="40">
        <f t="shared" si="7"/>
        <v>4241852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4241852</v>
      </c>
      <c r="R11" s="39">
        <f>VLOOKUP(B11,DS,23,0)</f>
        <v>0</v>
      </c>
      <c r="S11" s="45">
        <f t="shared" si="9"/>
        <v>4241852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159</v>
      </c>
      <c r="B12" s="188" t="s">
        <v>160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166</v>
      </c>
      <c r="C13" s="89" t="str">
        <f t="shared" ref="C13:C18" si="10">VLOOKUP(B13,DS,2,0)</f>
        <v>Nguyễn Trường Giang</v>
      </c>
      <c r="D13" s="116" t="str">
        <f t="shared" ref="D13:D18" si="11">VLOOKUP(B13,DS,3,0)</f>
        <v>Thợ in</v>
      </c>
      <c r="E13" s="90">
        <f t="shared" ref="E13:E18" si="12">VLOOKUP(B13,DS,4,0)</f>
        <v>3000000</v>
      </c>
      <c r="F13" s="92">
        <f>VLOOKUP(B13,'CC -6'!$B$8:$AS$25,36,0)</f>
        <v>26</v>
      </c>
      <c r="G13" s="145">
        <f t="shared" ref="G13:G18" si="13">ROUND(E13/$U$2*F13,0)</f>
        <v>2888889</v>
      </c>
      <c r="H13" s="92">
        <f>(VLOOKUP(B13,'CC -6'!$B$8:$AS$25,37,0)+VLOOKUP(B13,'CC -6'!$B$8:$AS$25,38,0))</f>
        <v>0</v>
      </c>
      <c r="I13" s="145">
        <f t="shared" ref="I13:I18" si="14">ROUND(E13/$U$2*H13,0)</f>
        <v>0</v>
      </c>
      <c r="J13" s="146">
        <f t="shared" ref="J13:K18" si="15">F13+H13</f>
        <v>26</v>
      </c>
      <c r="K13" s="39">
        <f t="shared" si="15"/>
        <v>2888889</v>
      </c>
      <c r="L13" s="90">
        <f t="shared" ref="L13:L18" si="16">+F13*15000</f>
        <v>390000</v>
      </c>
      <c r="M13" s="40">
        <f t="shared" ref="M13:M18" si="17">K13+L13</f>
        <v>3278889</v>
      </c>
      <c r="N13" s="40">
        <f>IF(VLOOKUP(B13,DS,9,0)="x",'L - 6'!E13*$N$4,0)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3278889</v>
      </c>
      <c r="R13" s="39">
        <f t="shared" ref="R13:R18" si="20">VLOOKUP(B13,DS,23,0)</f>
        <v>0</v>
      </c>
      <c r="S13" s="45">
        <f>Q13-R13</f>
        <v>3278889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167</v>
      </c>
      <c r="C14" s="89" t="str">
        <f t="shared" si="10"/>
        <v>Đoàn Hồng Phong</v>
      </c>
      <c r="D14" s="116" t="str">
        <f t="shared" si="11"/>
        <v>Thợ đóng - xả</v>
      </c>
      <c r="E14" s="90">
        <f t="shared" si="12"/>
        <v>3000000</v>
      </c>
      <c r="F14" s="92">
        <f>VLOOKUP(B14,'CC -6'!$B$8:$AS$25,36,0)</f>
        <v>26</v>
      </c>
      <c r="G14" s="145">
        <f t="shared" si="13"/>
        <v>2888889</v>
      </c>
      <c r="H14" s="92">
        <f>(VLOOKUP(B14,'CC -6'!$B$8:$AS$25,37,0)+VLOOKUP(B14,'CC -6'!$B$8:$AS$25,38,0))</f>
        <v>0</v>
      </c>
      <c r="I14" s="145">
        <f t="shared" si="14"/>
        <v>0</v>
      </c>
      <c r="J14" s="146">
        <f t="shared" si="15"/>
        <v>26</v>
      </c>
      <c r="K14" s="39">
        <f t="shared" si="15"/>
        <v>2888889</v>
      </c>
      <c r="L14" s="90">
        <f t="shared" si="16"/>
        <v>390000</v>
      </c>
      <c r="M14" s="40">
        <f t="shared" si="17"/>
        <v>3278889</v>
      </c>
      <c r="N14" s="40">
        <f>IF(VLOOKUP(B14,DS,9,0)="x",'L - 6'!E14*$N$4,0)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3278889</v>
      </c>
      <c r="R14" s="39">
        <f t="shared" si="20"/>
        <v>0</v>
      </c>
      <c r="S14" s="45">
        <f t="shared" ref="S14:S18" si="22">Q14-R14</f>
        <v>3278889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168</v>
      </c>
      <c r="C15" s="89" t="str">
        <f t="shared" si="10"/>
        <v>Trần Hữu Tình</v>
      </c>
      <c r="D15" s="116" t="str">
        <f t="shared" si="11"/>
        <v>Công nhân</v>
      </c>
      <c r="E15" s="90">
        <f t="shared" si="12"/>
        <v>2700000</v>
      </c>
      <c r="F15" s="92">
        <f>VLOOKUP(B15,'CC -6'!$B$8:$AS$25,36,0)</f>
        <v>26</v>
      </c>
      <c r="G15" s="145">
        <f t="shared" si="13"/>
        <v>2600000</v>
      </c>
      <c r="H15" s="92">
        <f>(VLOOKUP(B15,'CC -6'!$B$8:$AS$25,37,0)+VLOOKUP(B15,'CC -6'!$B$8:$AS$25,38,0))</f>
        <v>0</v>
      </c>
      <c r="I15" s="145">
        <f t="shared" si="14"/>
        <v>0</v>
      </c>
      <c r="J15" s="146">
        <f t="shared" si="15"/>
        <v>26</v>
      </c>
      <c r="K15" s="39">
        <f t="shared" si="15"/>
        <v>2600000</v>
      </c>
      <c r="L15" s="90">
        <f t="shared" si="16"/>
        <v>390000</v>
      </c>
      <c r="M15" s="40">
        <f t="shared" si="17"/>
        <v>2990000</v>
      </c>
      <c r="N15" s="40">
        <f>IF(VLOOKUP(B15,DS,9,0)="x",'L - 6'!E15*$N$4,0)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2990000</v>
      </c>
      <c r="R15" s="39">
        <f t="shared" si="20"/>
        <v>0</v>
      </c>
      <c r="S15" s="45">
        <f t="shared" si="22"/>
        <v>2990000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169</v>
      </c>
      <c r="C16" s="89" t="str">
        <f t="shared" si="10"/>
        <v>Trương Văn Thành</v>
      </c>
      <c r="D16" s="116" t="str">
        <f t="shared" si="11"/>
        <v>Công nhân</v>
      </c>
      <c r="E16" s="90">
        <f t="shared" si="12"/>
        <v>2700000</v>
      </c>
      <c r="F16" s="92">
        <f>VLOOKUP(B16,'CC -6'!$B$8:$AS$25,36,0)</f>
        <v>26</v>
      </c>
      <c r="G16" s="145">
        <f t="shared" si="13"/>
        <v>2600000</v>
      </c>
      <c r="H16" s="92">
        <f>(VLOOKUP(B16,'CC -6'!$B$8:$AS$25,37,0)+VLOOKUP(B16,'CC -6'!$B$8:$AS$25,38,0))</f>
        <v>0</v>
      </c>
      <c r="I16" s="145">
        <f t="shared" si="14"/>
        <v>0</v>
      </c>
      <c r="J16" s="146">
        <f t="shared" si="15"/>
        <v>26</v>
      </c>
      <c r="K16" s="39">
        <f t="shared" si="15"/>
        <v>2600000</v>
      </c>
      <c r="L16" s="90">
        <f t="shared" si="16"/>
        <v>390000</v>
      </c>
      <c r="M16" s="40">
        <f t="shared" si="17"/>
        <v>2990000</v>
      </c>
      <c r="N16" s="40">
        <f>IF(VLOOKUP(B16,DS,9,0)="x",'L - 6'!E16*$N$4,0)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2990000</v>
      </c>
      <c r="R16" s="39">
        <f t="shared" si="20"/>
        <v>0</v>
      </c>
      <c r="S16" s="45">
        <f t="shared" si="22"/>
        <v>2990000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170</v>
      </c>
      <c r="C17" s="89" t="str">
        <f t="shared" si="10"/>
        <v>Trần Thị Ngọc Anh</v>
      </c>
      <c r="D17" s="116" t="str">
        <f t="shared" si="11"/>
        <v>Công nhân</v>
      </c>
      <c r="E17" s="90">
        <f t="shared" si="12"/>
        <v>2700000</v>
      </c>
      <c r="F17" s="92">
        <f>VLOOKUP(B17,'CC -6'!$B$8:$AS$25,36,0)</f>
        <v>26</v>
      </c>
      <c r="G17" s="145">
        <f t="shared" si="13"/>
        <v>2600000</v>
      </c>
      <c r="H17" s="92">
        <f>(VLOOKUP(B17,'CC -6'!$B$8:$AS$25,37,0)+VLOOKUP(B17,'CC -6'!$B$8:$AS$25,38,0))</f>
        <v>0</v>
      </c>
      <c r="I17" s="145">
        <f t="shared" si="14"/>
        <v>0</v>
      </c>
      <c r="J17" s="146">
        <f t="shared" si="15"/>
        <v>26</v>
      </c>
      <c r="K17" s="39">
        <f t="shared" si="15"/>
        <v>2600000</v>
      </c>
      <c r="L17" s="90">
        <f t="shared" si="16"/>
        <v>390000</v>
      </c>
      <c r="M17" s="40">
        <f t="shared" si="17"/>
        <v>2990000</v>
      </c>
      <c r="N17" s="40">
        <f>IF(VLOOKUP(B17,DS,9,0)="x",'L - 6'!E17*$N$4,0)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2990000</v>
      </c>
      <c r="R17" s="39">
        <f t="shared" si="20"/>
        <v>0</v>
      </c>
      <c r="S17" s="45">
        <f t="shared" si="22"/>
        <v>2990000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171</v>
      </c>
      <c r="C18" s="89" t="str">
        <f t="shared" si="10"/>
        <v>Nguyễn Minh Vương</v>
      </c>
      <c r="D18" s="116" t="str">
        <f t="shared" si="11"/>
        <v>Công nhân</v>
      </c>
      <c r="E18" s="90">
        <f t="shared" si="12"/>
        <v>2700000</v>
      </c>
      <c r="F18" s="92">
        <f>VLOOKUP(B18,'CC -6'!$B$8:$AS$25,36,0)</f>
        <v>26</v>
      </c>
      <c r="G18" s="145">
        <f t="shared" si="13"/>
        <v>2600000</v>
      </c>
      <c r="H18" s="92">
        <f>(VLOOKUP(B18,'CC -6'!$B$8:$AS$25,37,0)+VLOOKUP(B18,'CC -6'!$B$8:$AS$25,38,0))</f>
        <v>0</v>
      </c>
      <c r="I18" s="145">
        <f t="shared" si="14"/>
        <v>0</v>
      </c>
      <c r="J18" s="146">
        <f t="shared" si="15"/>
        <v>26</v>
      </c>
      <c r="K18" s="39">
        <f t="shared" si="15"/>
        <v>2600000</v>
      </c>
      <c r="L18" s="90">
        <f t="shared" si="16"/>
        <v>390000</v>
      </c>
      <c r="M18" s="40">
        <f t="shared" si="17"/>
        <v>2990000</v>
      </c>
      <c r="N18" s="40">
        <f>IF(VLOOKUP(B18,DS,9,0)="x",'L - 6'!E18*$N$4,0)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2990000</v>
      </c>
      <c r="R18" s="39">
        <f t="shared" si="20"/>
        <v>0</v>
      </c>
      <c r="S18" s="45">
        <f t="shared" si="22"/>
        <v>2990000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39" t="s">
        <v>25</v>
      </c>
      <c r="B20" s="239"/>
      <c r="C20" s="239"/>
      <c r="D20" s="239"/>
      <c r="E20" s="140">
        <f>SUM(E10:E19)</f>
        <v>25300000</v>
      </c>
      <c r="F20" s="140"/>
      <c r="G20" s="140">
        <f>SUM(G10:G19)</f>
        <v>24362963</v>
      </c>
      <c r="H20" s="140"/>
      <c r="I20" s="140">
        <f>SUM(I10:I19)</f>
        <v>0</v>
      </c>
      <c r="J20" s="26"/>
      <c r="K20" s="26">
        <f t="shared" ref="K20:S20" si="23">SUM(K10:K19)</f>
        <v>24362963</v>
      </c>
      <c r="L20" s="26">
        <f t="shared" si="23"/>
        <v>3120000</v>
      </c>
      <c r="M20" s="26">
        <f t="shared" si="23"/>
        <v>27482963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27482963</v>
      </c>
      <c r="R20" s="26">
        <f t="shared" si="23"/>
        <v>0</v>
      </c>
      <c r="S20" s="26">
        <f t="shared" si="23"/>
        <v>27482963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06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20:D20"/>
    <mergeCell ref="N5:P5"/>
    <mergeCell ref="Q5:Q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9" activePane="bottomRight" state="frozen"/>
      <selection activeCell="F14" sqref="F14:AJ25"/>
      <selection pane="topRight" activeCell="F14" sqref="F14:AJ25"/>
      <selection pane="bottomLeft" activeCell="F14" sqref="F14:AJ25"/>
      <selection pane="bottomRight" activeCell="F14" sqref="F14:AJ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6" t="s">
        <v>154</v>
      </c>
      <c r="AN1" s="237"/>
      <c r="AO1" s="237"/>
      <c r="AP1" s="237"/>
      <c r="AQ1" s="237"/>
      <c r="AR1" s="237"/>
      <c r="AS1" s="2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40725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32" t="s">
        <v>28</v>
      </c>
      <c r="B5" s="232" t="s">
        <v>3</v>
      </c>
      <c r="C5" s="232" t="s">
        <v>1</v>
      </c>
      <c r="D5" s="228" t="s">
        <v>29</v>
      </c>
      <c r="E5" s="232" t="s">
        <v>30</v>
      </c>
      <c r="F5" s="118">
        <f>+E4</f>
        <v>40725</v>
      </c>
      <c r="G5" s="118">
        <f t="shared" ref="G5:AJ5" si="0">F5+1</f>
        <v>40726</v>
      </c>
      <c r="H5" s="118">
        <f t="shared" si="0"/>
        <v>40727</v>
      </c>
      <c r="I5" s="118">
        <f t="shared" si="0"/>
        <v>40728</v>
      </c>
      <c r="J5" s="118">
        <f t="shared" si="0"/>
        <v>40729</v>
      </c>
      <c r="K5" s="118">
        <f t="shared" si="0"/>
        <v>40730</v>
      </c>
      <c r="L5" s="118">
        <f t="shared" si="0"/>
        <v>40731</v>
      </c>
      <c r="M5" s="118">
        <f t="shared" si="0"/>
        <v>40732</v>
      </c>
      <c r="N5" s="118">
        <f t="shared" si="0"/>
        <v>40733</v>
      </c>
      <c r="O5" s="118">
        <f t="shared" si="0"/>
        <v>40734</v>
      </c>
      <c r="P5" s="118">
        <f t="shared" si="0"/>
        <v>40735</v>
      </c>
      <c r="Q5" s="118">
        <f t="shared" si="0"/>
        <v>40736</v>
      </c>
      <c r="R5" s="118">
        <f t="shared" si="0"/>
        <v>40737</v>
      </c>
      <c r="S5" s="118">
        <f t="shared" si="0"/>
        <v>40738</v>
      </c>
      <c r="T5" s="118">
        <f t="shared" si="0"/>
        <v>40739</v>
      </c>
      <c r="U5" s="118">
        <f t="shared" si="0"/>
        <v>40740</v>
      </c>
      <c r="V5" s="118">
        <f t="shared" si="0"/>
        <v>40741</v>
      </c>
      <c r="W5" s="118">
        <f t="shared" si="0"/>
        <v>40742</v>
      </c>
      <c r="X5" s="118">
        <f t="shared" si="0"/>
        <v>40743</v>
      </c>
      <c r="Y5" s="118">
        <f t="shared" si="0"/>
        <v>40744</v>
      </c>
      <c r="Z5" s="118">
        <f t="shared" si="0"/>
        <v>40745</v>
      </c>
      <c r="AA5" s="118">
        <f t="shared" si="0"/>
        <v>40746</v>
      </c>
      <c r="AB5" s="118">
        <f t="shared" si="0"/>
        <v>40747</v>
      </c>
      <c r="AC5" s="118">
        <f t="shared" si="0"/>
        <v>40748</v>
      </c>
      <c r="AD5" s="118">
        <f t="shared" si="0"/>
        <v>40749</v>
      </c>
      <c r="AE5" s="118">
        <f t="shared" si="0"/>
        <v>40750</v>
      </c>
      <c r="AF5" s="118">
        <f t="shared" si="0"/>
        <v>40751</v>
      </c>
      <c r="AG5" s="118">
        <f t="shared" si="0"/>
        <v>40752</v>
      </c>
      <c r="AH5" s="118">
        <f>AG5+1</f>
        <v>40753</v>
      </c>
      <c r="AI5" s="118">
        <f t="shared" si="0"/>
        <v>40754</v>
      </c>
      <c r="AJ5" s="118">
        <f t="shared" si="0"/>
        <v>40755</v>
      </c>
      <c r="AK5" s="233" t="s">
        <v>15</v>
      </c>
      <c r="AL5" s="234"/>
      <c r="AM5" s="235"/>
      <c r="AN5" s="230" t="s">
        <v>45</v>
      </c>
      <c r="AO5" s="230" t="s">
        <v>41</v>
      </c>
      <c r="AP5" s="230" t="s">
        <v>42</v>
      </c>
      <c r="AQ5" s="230" t="s">
        <v>43</v>
      </c>
      <c r="AR5" s="230" t="s">
        <v>44</v>
      </c>
      <c r="AS5" s="228" t="s">
        <v>0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29"/>
      <c r="B6" s="229"/>
      <c r="C6" s="229"/>
      <c r="D6" s="229"/>
      <c r="E6" s="229"/>
      <c r="F6" s="175" t="str">
        <f>CHOOSE(WEEKDAY(F5),"C.Nhật","T.Hai","T.Ba","T.Tư","T.Năm","T.Sáu","T.Bảy")</f>
        <v>T.Sáu</v>
      </c>
      <c r="G6" s="175" t="str">
        <f t="shared" ref="G6:AJ6" si="1">CHOOSE(WEEKDAY(G5),"C.Nhật","T.Hai","T.Ba","T.Tư","T.Năm","T.Sáu","T.Bảy")</f>
        <v>T.Bảy</v>
      </c>
      <c r="H6" s="175" t="str">
        <f t="shared" si="1"/>
        <v>C.Nhật</v>
      </c>
      <c r="I6" s="175" t="str">
        <f t="shared" si="1"/>
        <v>T.Hai</v>
      </c>
      <c r="J6" s="175" t="str">
        <f t="shared" si="1"/>
        <v>T.Ba</v>
      </c>
      <c r="K6" s="175" t="str">
        <f t="shared" si="1"/>
        <v>T.Tư</v>
      </c>
      <c r="L6" s="175" t="str">
        <f t="shared" si="1"/>
        <v>T.Năm</v>
      </c>
      <c r="M6" s="175" t="str">
        <f t="shared" si="1"/>
        <v>T.Sáu</v>
      </c>
      <c r="N6" s="175" t="str">
        <f t="shared" si="1"/>
        <v>T.Bảy</v>
      </c>
      <c r="O6" s="175" t="str">
        <f t="shared" si="1"/>
        <v>C.Nhật</v>
      </c>
      <c r="P6" s="175" t="str">
        <f t="shared" si="1"/>
        <v>T.Hai</v>
      </c>
      <c r="Q6" s="175" t="str">
        <f t="shared" si="1"/>
        <v>T.Ba</v>
      </c>
      <c r="R6" s="175" t="str">
        <f t="shared" si="1"/>
        <v>T.Tư</v>
      </c>
      <c r="S6" s="175" t="str">
        <f t="shared" si="1"/>
        <v>T.Năm</v>
      </c>
      <c r="T6" s="175" t="str">
        <f t="shared" si="1"/>
        <v>T.Sáu</v>
      </c>
      <c r="U6" s="175" t="str">
        <f t="shared" si="1"/>
        <v>T.Bảy</v>
      </c>
      <c r="V6" s="175" t="str">
        <f t="shared" si="1"/>
        <v>C.Nhật</v>
      </c>
      <c r="W6" s="175" t="str">
        <f t="shared" si="1"/>
        <v>T.Hai</v>
      </c>
      <c r="X6" s="175" t="str">
        <f t="shared" si="1"/>
        <v>T.Ba</v>
      </c>
      <c r="Y6" s="175" t="str">
        <f t="shared" si="1"/>
        <v>T.Tư</v>
      </c>
      <c r="Z6" s="175" t="str">
        <f t="shared" si="1"/>
        <v>T.Năm</v>
      </c>
      <c r="AA6" s="175" t="str">
        <f t="shared" si="1"/>
        <v>T.Sáu</v>
      </c>
      <c r="AB6" s="175" t="str">
        <f t="shared" si="1"/>
        <v>T.Bảy</v>
      </c>
      <c r="AC6" s="175" t="str">
        <f t="shared" si="1"/>
        <v>C.Nhật</v>
      </c>
      <c r="AD6" s="175" t="str">
        <f t="shared" si="1"/>
        <v>T.Hai</v>
      </c>
      <c r="AE6" s="175" t="str">
        <f t="shared" si="1"/>
        <v>T.Ba</v>
      </c>
      <c r="AF6" s="175" t="str">
        <f t="shared" si="1"/>
        <v>T.Tư</v>
      </c>
      <c r="AG6" s="175" t="str">
        <f t="shared" si="1"/>
        <v>T.Năm</v>
      </c>
      <c r="AH6" s="175" t="str">
        <f t="shared" si="1"/>
        <v>T.Sáu</v>
      </c>
      <c r="AI6" s="175" t="str">
        <f t="shared" si="1"/>
        <v>T.Bảy</v>
      </c>
      <c r="AJ6" s="175" t="str">
        <f t="shared" si="1"/>
        <v>C.Nhật</v>
      </c>
      <c r="AK6" s="176" t="s">
        <v>16</v>
      </c>
      <c r="AL6" s="176" t="s">
        <v>31</v>
      </c>
      <c r="AM6" s="177" t="s">
        <v>17</v>
      </c>
      <c r="AN6" s="231"/>
      <c r="AO6" s="231"/>
      <c r="AP6" s="231"/>
      <c r="AQ6" s="231"/>
      <c r="AR6" s="231"/>
      <c r="AS6" s="229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157</v>
      </c>
      <c r="B8" s="182" t="s">
        <v>158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15">
        <v>1</v>
      </c>
      <c r="B9" s="215" t="s">
        <v>164</v>
      </c>
      <c r="C9" s="217" t="str">
        <f>VLOOKUP(B9,DS,2,0)</f>
        <v>Lê Thị Dung</v>
      </c>
      <c r="D9" s="225" t="str">
        <f>VLOOKUP(B9,DS,3,0)</f>
        <v>Giám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19">
        <f>((SUM(F9:AJ9))/8)-(SUMIF($F$6:$AJ$6,"C.Nhật",F9:AJ9)/8)</f>
        <v>26</v>
      </c>
      <c r="AL9" s="219">
        <f>SUM(F10:AJ10)/8*1.5</f>
        <v>0</v>
      </c>
      <c r="AM9" s="221">
        <f>SUMIF($F$6:$AJ$6,"C.Nhật",$F9:$AJ10)/8*2</f>
        <v>0</v>
      </c>
      <c r="AN9" s="211">
        <f>SUM(AK9:AM10)</f>
        <v>26</v>
      </c>
      <c r="AO9" s="223">
        <v>0</v>
      </c>
      <c r="AP9" s="211"/>
      <c r="AQ9" s="211"/>
      <c r="AR9" s="211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16"/>
      <c r="B10" s="216"/>
      <c r="C10" s="218"/>
      <c r="D10" s="22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20"/>
      <c r="AL10" s="220"/>
      <c r="AM10" s="222"/>
      <c r="AN10" s="212"/>
      <c r="AO10" s="224"/>
      <c r="AP10" s="212"/>
      <c r="AQ10" s="212"/>
      <c r="AR10" s="212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15">
        <f>A9+1</f>
        <v>2</v>
      </c>
      <c r="B11" s="215" t="s">
        <v>165</v>
      </c>
      <c r="C11" s="217" t="str">
        <f>VLOOKUP(B11,DS,2,0)</f>
        <v>Phan Văn Hiền</v>
      </c>
      <c r="D11" s="225" t="str">
        <f>VLOOKUP(B11,DS,3,0)</f>
        <v>Quản Đốc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19">
        <f t="shared" ref="AK11" si="2">((SUM(F11:AJ11))/8)-(SUMIF($F$6:$AJ$6,"C.Nhật",F11:AJ11)/8)</f>
        <v>26</v>
      </c>
      <c r="AL11" s="219">
        <f t="shared" ref="AL11" si="3">SUM(F12:AJ12)/8*1.5</f>
        <v>0</v>
      </c>
      <c r="AM11" s="221">
        <f t="shared" ref="AM11" si="4">SUMIF($F$6:$AJ$6,"C.Nhật",$F11:$AJ12)/8*2</f>
        <v>0</v>
      </c>
      <c r="AN11" s="211">
        <f t="shared" ref="AN11" si="5">SUM(AK11:AM12)</f>
        <v>26</v>
      </c>
      <c r="AO11" s="223">
        <v>0</v>
      </c>
      <c r="AP11" s="211"/>
      <c r="AQ11" s="211"/>
      <c r="AR11" s="211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16"/>
      <c r="B12" s="216"/>
      <c r="C12" s="218"/>
      <c r="D12" s="22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20"/>
      <c r="AL12" s="220"/>
      <c r="AM12" s="222"/>
      <c r="AN12" s="212"/>
      <c r="AO12" s="224"/>
      <c r="AP12" s="212"/>
      <c r="AQ12" s="212"/>
      <c r="AR12" s="212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159</v>
      </c>
      <c r="B13" s="182" t="s">
        <v>163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15">
        <v>1</v>
      </c>
      <c r="B14" s="215" t="s">
        <v>166</v>
      </c>
      <c r="C14" s="217" t="str">
        <f>VLOOKUP(B14,DS,2,0)</f>
        <v>Nguyễn Trường Giang</v>
      </c>
      <c r="D14" s="225" t="str">
        <f>VLOOKUP(B14,DS,3,0)</f>
        <v>Thợ in</v>
      </c>
      <c r="E14" s="68" t="s">
        <v>32</v>
      </c>
      <c r="F14" s="143">
        <v>8</v>
      </c>
      <c r="G14" s="143">
        <v>8</v>
      </c>
      <c r="H14" s="143"/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/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/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/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19">
        <f t="shared" ref="AK14" si="6">((SUM(F14:AJ14))/8)-(SUMIF($F$6:$AJ$6,"C.Nhật",F14:AJ14)/8)</f>
        <v>26</v>
      </c>
      <c r="AL14" s="219">
        <f t="shared" ref="AL14" si="7">SUM(F15:AJ15)/8*1.5</f>
        <v>0</v>
      </c>
      <c r="AM14" s="221">
        <f>SUMIF($F$6:$AJ$6,"C.Nhật",$F14:$AJ15)/8*2</f>
        <v>0</v>
      </c>
      <c r="AN14" s="211">
        <f>SUM(AK14:AM15)</f>
        <v>26</v>
      </c>
      <c r="AO14" s="223">
        <v>0</v>
      </c>
      <c r="AP14" s="211"/>
      <c r="AQ14" s="211"/>
      <c r="AR14" s="211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16"/>
      <c r="B15" s="216"/>
      <c r="C15" s="218"/>
      <c r="D15" s="226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20"/>
      <c r="AL15" s="220"/>
      <c r="AM15" s="222"/>
      <c r="AN15" s="212"/>
      <c r="AO15" s="224"/>
      <c r="AP15" s="212"/>
      <c r="AQ15" s="212"/>
      <c r="AR15" s="212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15">
        <f>A14+1</f>
        <v>2</v>
      </c>
      <c r="B16" s="215" t="s">
        <v>167</v>
      </c>
      <c r="C16" s="217" t="str">
        <f>VLOOKUP(B16,DS,2,0)</f>
        <v>Đoàn Hồng Phong</v>
      </c>
      <c r="D16" s="225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19">
        <f t="shared" ref="AK16" si="8">((SUM(F16:AJ16))/8)-(SUMIF($F$6:$AJ$6,"C.Nhật",F16:AJ16)/8)</f>
        <v>26</v>
      </c>
      <c r="AL16" s="219">
        <f t="shared" ref="AL16" si="9">SUM(F17:AJ17)/8*1.5</f>
        <v>0</v>
      </c>
      <c r="AM16" s="221">
        <f>SUMIF($F$6:$AJ$6,"C.Nhật",$F16:$AJ17)/8*2</f>
        <v>0</v>
      </c>
      <c r="AN16" s="211">
        <f t="shared" ref="AN16" si="10">SUM(AK16:AM17)</f>
        <v>26</v>
      </c>
      <c r="AO16" s="223">
        <v>0</v>
      </c>
      <c r="AP16" s="211"/>
      <c r="AQ16" s="211"/>
      <c r="AR16" s="211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16"/>
      <c r="B17" s="216"/>
      <c r="C17" s="218"/>
      <c r="D17" s="22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20"/>
      <c r="AL17" s="220"/>
      <c r="AM17" s="222"/>
      <c r="AN17" s="212"/>
      <c r="AO17" s="224"/>
      <c r="AP17" s="212"/>
      <c r="AQ17" s="212"/>
      <c r="AR17" s="212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15">
        <f t="shared" ref="A18" si="11">A16+1</f>
        <v>3</v>
      </c>
      <c r="B18" s="215" t="s">
        <v>168</v>
      </c>
      <c r="C18" s="217" t="str">
        <f>VLOOKUP(B18,DS,2,0)</f>
        <v>Trần Hữu Tình</v>
      </c>
      <c r="D18" s="225" t="str">
        <f>VLOOKUP(B18,DS,3,0)</f>
        <v>Công nhân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19">
        <f t="shared" ref="AK18" si="12">((SUM(F18:AJ18))/8)-(SUMIF($F$6:$AJ$6,"C.Nhật",F18:AJ18)/8)</f>
        <v>26</v>
      </c>
      <c r="AL18" s="219">
        <f t="shared" ref="AL18" si="13">SUM(F19:AJ19)/8*1.5</f>
        <v>0</v>
      </c>
      <c r="AM18" s="221">
        <f>SUMIF($F$6:$AJ$6,"C.Nhật",$F18:$AJ19)/8*2</f>
        <v>0</v>
      </c>
      <c r="AN18" s="211">
        <f t="shared" ref="AN18" si="14">SUM(AK18:AM19)</f>
        <v>26</v>
      </c>
      <c r="AO18" s="223">
        <v>0</v>
      </c>
      <c r="AP18" s="211"/>
      <c r="AQ18" s="211"/>
      <c r="AR18" s="211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16"/>
      <c r="B19" s="216"/>
      <c r="C19" s="218"/>
      <c r="D19" s="22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20"/>
      <c r="AL19" s="220"/>
      <c r="AM19" s="222"/>
      <c r="AN19" s="212"/>
      <c r="AO19" s="224"/>
      <c r="AP19" s="212"/>
      <c r="AQ19" s="212"/>
      <c r="AR19" s="212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15">
        <f t="shared" ref="A20" si="15">A18+1</f>
        <v>4</v>
      </c>
      <c r="B20" s="215" t="s">
        <v>169</v>
      </c>
      <c r="C20" s="217" t="str">
        <f>VLOOKUP(B20,DS,2,0)</f>
        <v>Trương Văn Thành</v>
      </c>
      <c r="D20" s="225" t="str">
        <f>VLOOKUP(B20,DS,3,0)</f>
        <v>Công nhân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19">
        <f t="shared" ref="AK20" si="16">((SUM(F20:AJ20))/8)-(SUMIF($F$6:$AJ$6,"C.Nhật",F20:AJ20)/8)</f>
        <v>26</v>
      </c>
      <c r="AL20" s="219">
        <f t="shared" ref="AL20" si="17">SUM(F21:AJ21)/8*1.5</f>
        <v>0</v>
      </c>
      <c r="AM20" s="221">
        <f>SUMIF($F$6:$AJ$6,"C.Nhật",$F20:$AJ21)/8*2</f>
        <v>0</v>
      </c>
      <c r="AN20" s="211">
        <f t="shared" ref="AN20" si="18">SUM(AK20:AM21)</f>
        <v>26</v>
      </c>
      <c r="AO20" s="223">
        <v>0</v>
      </c>
      <c r="AP20" s="211"/>
      <c r="AQ20" s="211"/>
      <c r="AR20" s="211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16"/>
      <c r="B21" s="216"/>
      <c r="C21" s="218"/>
      <c r="D21" s="22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20"/>
      <c r="AL21" s="220"/>
      <c r="AM21" s="222"/>
      <c r="AN21" s="212"/>
      <c r="AO21" s="224"/>
      <c r="AP21" s="212"/>
      <c r="AQ21" s="212"/>
      <c r="AR21" s="212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15">
        <f t="shared" ref="A22" si="19">A20+1</f>
        <v>5</v>
      </c>
      <c r="B22" s="215" t="s">
        <v>170</v>
      </c>
      <c r="C22" s="217" t="str">
        <f>VLOOKUP(B22,DS,2,0)</f>
        <v>Trần Thị Ngọc Anh</v>
      </c>
      <c r="D22" s="225" t="str">
        <f>VLOOKUP(B22,DS,3,0)</f>
        <v>Công nhân</v>
      </c>
      <c r="E22" s="68" t="s">
        <v>32</v>
      </c>
      <c r="F22" s="143">
        <v>8</v>
      </c>
      <c r="G22" s="143">
        <v>8</v>
      </c>
      <c r="H22" s="143"/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/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/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/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19">
        <f t="shared" ref="AK22" si="20">((SUM(F22:AJ22))/8)-(SUMIF($F$6:$AJ$6,"C.Nhật",F22:AJ22)/8)</f>
        <v>26</v>
      </c>
      <c r="AL22" s="219">
        <f t="shared" ref="AL22" si="21">SUM(F23:AJ23)/8*1.5</f>
        <v>0</v>
      </c>
      <c r="AM22" s="221">
        <f>SUMIF($F$6:$AJ$6,"C.Nhật",$F22:$AJ23)/8*2</f>
        <v>0</v>
      </c>
      <c r="AN22" s="211">
        <f t="shared" ref="AN22" si="22">SUM(AK22:AM23)</f>
        <v>26</v>
      </c>
      <c r="AO22" s="223">
        <v>0</v>
      </c>
      <c r="AP22" s="211"/>
      <c r="AQ22" s="211"/>
      <c r="AR22" s="211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16"/>
      <c r="B23" s="216"/>
      <c r="C23" s="218"/>
      <c r="D23" s="226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20"/>
      <c r="AL23" s="220"/>
      <c r="AM23" s="222"/>
      <c r="AN23" s="212"/>
      <c r="AO23" s="224"/>
      <c r="AP23" s="212"/>
      <c r="AQ23" s="212"/>
      <c r="AR23" s="212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15">
        <f t="shared" ref="A24" si="23">A22+1</f>
        <v>6</v>
      </c>
      <c r="B24" s="215" t="s">
        <v>171</v>
      </c>
      <c r="C24" s="217" t="str">
        <f>VLOOKUP(B24,DS,2,0)</f>
        <v>Nguyễn Minh Vương</v>
      </c>
      <c r="D24" s="225" t="str">
        <f>VLOOKUP(B24,DS,3,0)</f>
        <v>Công nhân</v>
      </c>
      <c r="E24" s="68" t="s">
        <v>32</v>
      </c>
      <c r="F24" s="143">
        <v>8</v>
      </c>
      <c r="G24" s="143">
        <v>8</v>
      </c>
      <c r="H24" s="143"/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/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/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/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/>
      <c r="AK24" s="219">
        <f t="shared" ref="AK24" si="24">((SUM(F24:AJ24))/8)-(SUMIF($F$6:$AJ$6,"C.Nhật",F24:AJ24)/8)</f>
        <v>26</v>
      </c>
      <c r="AL24" s="219">
        <f t="shared" ref="AL24" si="25">SUM(F25:AJ25)/8*1.5</f>
        <v>0</v>
      </c>
      <c r="AM24" s="221">
        <f>SUMIF($F$6:$AJ$6,"C.Nhật",$F24:$AJ25)/8*2</f>
        <v>0</v>
      </c>
      <c r="AN24" s="211">
        <f t="shared" ref="AN24" si="26">SUM(AK24:AM25)</f>
        <v>26</v>
      </c>
      <c r="AO24" s="223">
        <v>0</v>
      </c>
      <c r="AP24" s="211"/>
      <c r="AQ24" s="211"/>
      <c r="AR24" s="211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16"/>
      <c r="B25" s="216"/>
      <c r="C25" s="218"/>
      <c r="D25" s="226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20"/>
      <c r="AL25" s="220"/>
      <c r="AM25" s="222"/>
      <c r="AN25" s="212"/>
      <c r="AO25" s="224"/>
      <c r="AP25" s="212"/>
      <c r="AQ25" s="212"/>
      <c r="AR25" s="212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</mergeCells>
  <conditionalFormatting sqref="F5:AJ6 F9:AJ12 F14:AJ25">
    <cfRule type="expression" dxfId="38" priority="9" stopIfTrue="1">
      <formula>IF(WEEKDAY(F$5)=1,TRUE,FALSE)</formula>
    </cfRule>
  </conditionalFormatting>
  <conditionalFormatting sqref="F9:AJ12">
    <cfRule type="expression" dxfId="37" priority="8" stopIfTrue="1">
      <formula>IF(WEEKDAY(F$5)=1,TRUE,FALSE)</formula>
    </cfRule>
  </conditionalFormatting>
  <conditionalFormatting sqref="F14:AJ25">
    <cfRule type="expression" dxfId="36" priority="7" stopIfTrue="1">
      <formula>IF(WEEKDAY(F$5)=1,TRUE,FALSE)</formula>
    </cfRule>
  </conditionalFormatting>
  <conditionalFormatting sqref="F14:AJ25">
    <cfRule type="expression" dxfId="35" priority="6" stopIfTrue="1">
      <formula>IF(WEEKDAY(F$5)=1,TRUE,FALSE)</formula>
    </cfRule>
  </conditionalFormatting>
  <conditionalFormatting sqref="F14:AI25">
    <cfRule type="expression" dxfId="34" priority="5" stopIfTrue="1">
      <formula>IF(WEEKDAY(F$5)=1,TRUE,FALSE)</formula>
    </cfRule>
  </conditionalFormatting>
  <conditionalFormatting sqref="F14:AJ25">
    <cfRule type="expression" dxfId="33" priority="4" stopIfTrue="1">
      <formula>IF(WEEKDAY(F$5)=1,TRUE,FALSE)</formula>
    </cfRule>
  </conditionalFormatting>
  <conditionalFormatting sqref="F14:AI25">
    <cfRule type="expression" dxfId="32" priority="3" stopIfTrue="1">
      <formula>IF(WEEKDAY(F$5)=1,TRUE,FALSE)</formula>
    </cfRule>
  </conditionalFormatting>
  <conditionalFormatting sqref="F14:AJ25">
    <cfRule type="expression" dxfId="31" priority="2" stopIfTrue="1">
      <formula>IF(WEEKDAY(F$5)=1,TRUE,FALSE)</formula>
    </cfRule>
  </conditionalFormatting>
  <conditionalFormatting sqref="F14:AJ25">
    <cfRule type="expression" dxfId="3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F14" sqref="F14:AJ25"/>
      <selection pane="topRight" activeCell="F14" sqref="F14:AJ25"/>
      <selection pane="bottomLeft" activeCell="F14" sqref="F14:AJ25"/>
      <selection pane="bottomRight" activeCell="F14" sqref="F14:AJ2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0" t="str">
        <f>"BẢNG THANH TOÁN LƯƠNG THÁNG"&amp;" "&amp;TEXT($E$4,"mm")&amp;" / "&amp;TEXT($E$4,"yyyy")</f>
        <v>BẢNG THANH TOÁN LƯƠNG THÁNG 07 / 2011</v>
      </c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1"/>
      <c r="R1" s="247" t="s">
        <v>153</v>
      </c>
      <c r="S1" s="248"/>
      <c r="T1" s="2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-7'!$E$4</f>
        <v>40725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2" t="s">
        <v>19</v>
      </c>
      <c r="B5" s="242" t="s">
        <v>20</v>
      </c>
      <c r="C5" s="207" t="s">
        <v>1</v>
      </c>
      <c r="D5" s="207" t="s">
        <v>2</v>
      </c>
      <c r="E5" s="210" t="s">
        <v>56</v>
      </c>
      <c r="F5" s="252" t="s">
        <v>26</v>
      </c>
      <c r="G5" s="254"/>
      <c r="H5" s="254"/>
      <c r="I5" s="254"/>
      <c r="J5" s="254"/>
      <c r="K5" s="253"/>
      <c r="L5" s="244" t="s">
        <v>57</v>
      </c>
      <c r="M5" s="244" t="s">
        <v>5</v>
      </c>
      <c r="N5" s="207" t="s">
        <v>6</v>
      </c>
      <c r="O5" s="207"/>
      <c r="P5" s="207"/>
      <c r="Q5" s="244" t="s">
        <v>7</v>
      </c>
      <c r="R5" s="244" t="s">
        <v>8</v>
      </c>
      <c r="S5" s="244" t="s">
        <v>9</v>
      </c>
      <c r="T5" s="20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3"/>
      <c r="B6" s="243"/>
      <c r="C6" s="207"/>
      <c r="D6" s="207"/>
      <c r="E6" s="210"/>
      <c r="F6" s="252" t="s">
        <v>59</v>
      </c>
      <c r="G6" s="253"/>
      <c r="H6" s="252" t="s">
        <v>161</v>
      </c>
      <c r="I6" s="254"/>
      <c r="J6" s="255" t="s">
        <v>27</v>
      </c>
      <c r="K6" s="244" t="s">
        <v>4</v>
      </c>
      <c r="L6" s="245"/>
      <c r="M6" s="245"/>
      <c r="N6" s="250" t="s">
        <v>12</v>
      </c>
      <c r="O6" s="244" t="s">
        <v>13</v>
      </c>
      <c r="P6" s="244" t="s">
        <v>34</v>
      </c>
      <c r="Q6" s="245"/>
      <c r="R6" s="245"/>
      <c r="S6" s="245"/>
      <c r="T6" s="20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3"/>
      <c r="B7" s="243"/>
      <c r="C7" s="244"/>
      <c r="D7" s="244"/>
      <c r="E7" s="210"/>
      <c r="F7" s="196" t="s">
        <v>40</v>
      </c>
      <c r="G7" s="193" t="s">
        <v>18</v>
      </c>
      <c r="H7" s="196" t="s">
        <v>40</v>
      </c>
      <c r="I7" s="128" t="s">
        <v>18</v>
      </c>
      <c r="J7" s="256"/>
      <c r="K7" s="245"/>
      <c r="L7" s="246"/>
      <c r="M7" s="246"/>
      <c r="N7" s="251"/>
      <c r="O7" s="245"/>
      <c r="P7" s="245"/>
      <c r="Q7" s="245"/>
      <c r="R7" s="245"/>
      <c r="S7" s="245"/>
      <c r="T7" s="20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157</v>
      </c>
      <c r="B9" s="188" t="s">
        <v>158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164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4500000</v>
      </c>
      <c r="F10" s="92">
        <f>VLOOKUP(B10,'CC -7'!$B$8:$AS$25,36,0)</f>
        <v>26</v>
      </c>
      <c r="G10" s="145">
        <f t="shared" ref="G10:G11" si="3">ROUND(E10/$U$2*F10,0)</f>
        <v>4333333</v>
      </c>
      <c r="H10" s="92">
        <f>(VLOOKUP(B10,'CC -7'!$B$8:$AS$25,37,0)+VLOOKUP(B10,'CC -7'!$B$8:$AS$25,38,0))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4333333</v>
      </c>
      <c r="L10" s="90">
        <f t="shared" ref="L10:L11" si="6">+F10*15000</f>
        <v>390000</v>
      </c>
      <c r="M10" s="40">
        <f t="shared" ref="M10:M11" si="7">K10+L10</f>
        <v>4723333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4723333</v>
      </c>
      <c r="R10" s="39">
        <f>VLOOKUP(B10,DS,23,0)</f>
        <v>0</v>
      </c>
      <c r="S10" s="45">
        <f t="shared" ref="S10:S11" si="9">Q10-R10</f>
        <v>4723333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165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4000000</v>
      </c>
      <c r="F11" s="92">
        <f>VLOOKUP(B11,'CC -7'!$B$8:$AS$25,36,0)</f>
        <v>26</v>
      </c>
      <c r="G11" s="145">
        <f t="shared" si="3"/>
        <v>3851852</v>
      </c>
      <c r="H11" s="92">
        <f>(VLOOKUP(B11,'CC -7'!$B$8:$AS$25,37,0)+VLOOKUP(B11,'CC -7'!$B$8:$AS$25,38,0))</f>
        <v>0</v>
      </c>
      <c r="I11" s="145">
        <f t="shared" si="4"/>
        <v>0</v>
      </c>
      <c r="J11" s="93">
        <f t="shared" si="5"/>
        <v>26</v>
      </c>
      <c r="K11" s="39">
        <f t="shared" si="5"/>
        <v>3851852</v>
      </c>
      <c r="L11" s="90">
        <f t="shared" si="6"/>
        <v>390000</v>
      </c>
      <c r="M11" s="40">
        <f t="shared" si="7"/>
        <v>4241852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4241852</v>
      </c>
      <c r="R11" s="39">
        <f>VLOOKUP(B11,DS,23,0)</f>
        <v>0</v>
      </c>
      <c r="S11" s="45">
        <f t="shared" si="9"/>
        <v>4241852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159</v>
      </c>
      <c r="B12" s="188" t="s">
        <v>160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166</v>
      </c>
      <c r="C13" s="89" t="str">
        <f t="shared" ref="C13:C18" si="10">VLOOKUP(B13,DS,2,0)</f>
        <v>Nguyễn Trường Giang</v>
      </c>
      <c r="D13" s="116" t="str">
        <f t="shared" ref="D13:D18" si="11">VLOOKUP(B13,DS,3,0)</f>
        <v>Thợ in</v>
      </c>
      <c r="E13" s="90">
        <f t="shared" ref="E13:E18" si="12">VLOOKUP(B13,DS,4,0)</f>
        <v>3000000</v>
      </c>
      <c r="F13" s="92">
        <f>VLOOKUP(B13,'CC -7'!$B$8:$AS$25,36,0)</f>
        <v>26</v>
      </c>
      <c r="G13" s="145">
        <f t="shared" ref="G13:G18" si="13">ROUND(E13/$U$2*F13,0)</f>
        <v>2888889</v>
      </c>
      <c r="H13" s="92">
        <f>(VLOOKUP(B13,'CC -7'!$B$8:$AS$25,37,0)+VLOOKUP(B13,'CC -7'!$B$8:$AS$25,38,0))</f>
        <v>0</v>
      </c>
      <c r="I13" s="145">
        <f t="shared" ref="I13:I18" si="14">ROUND(E13/$U$2*H13,0)</f>
        <v>0</v>
      </c>
      <c r="J13" s="146">
        <f t="shared" ref="J13:K18" si="15">F13+H13</f>
        <v>26</v>
      </c>
      <c r="K13" s="39">
        <f t="shared" si="15"/>
        <v>2888889</v>
      </c>
      <c r="L13" s="90">
        <f t="shared" ref="L13:L18" si="16">+F13*15000</f>
        <v>390000</v>
      </c>
      <c r="M13" s="40">
        <f t="shared" ref="M13:M18" si="17">K13+L13</f>
        <v>3278889</v>
      </c>
      <c r="N13" s="40">
        <f>IF(VLOOKUP(B13,DS,9,0)="x",'L - 7'!E13*$N$4,0)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3278889</v>
      </c>
      <c r="R13" s="39">
        <f t="shared" ref="R13:R18" si="20">VLOOKUP(B13,DS,23,0)</f>
        <v>0</v>
      </c>
      <c r="S13" s="45">
        <f>Q13-R13</f>
        <v>3278889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167</v>
      </c>
      <c r="C14" s="89" t="str">
        <f t="shared" si="10"/>
        <v>Đoàn Hồng Phong</v>
      </c>
      <c r="D14" s="116" t="str">
        <f t="shared" si="11"/>
        <v>Thợ đóng - xả</v>
      </c>
      <c r="E14" s="90">
        <f t="shared" si="12"/>
        <v>3000000</v>
      </c>
      <c r="F14" s="92">
        <f>VLOOKUP(B14,'CC -7'!$B$8:$AS$25,36,0)</f>
        <v>26</v>
      </c>
      <c r="G14" s="145">
        <f t="shared" si="13"/>
        <v>2888889</v>
      </c>
      <c r="H14" s="92">
        <f>(VLOOKUP(B14,'CC -7'!$B$8:$AS$25,37,0)+VLOOKUP(B14,'CC -7'!$B$8:$AS$25,38,0))</f>
        <v>0</v>
      </c>
      <c r="I14" s="145">
        <f t="shared" si="14"/>
        <v>0</v>
      </c>
      <c r="J14" s="146">
        <f t="shared" si="15"/>
        <v>26</v>
      </c>
      <c r="K14" s="39">
        <f t="shared" si="15"/>
        <v>2888889</v>
      </c>
      <c r="L14" s="90">
        <f t="shared" si="16"/>
        <v>390000</v>
      </c>
      <c r="M14" s="40">
        <f t="shared" si="17"/>
        <v>3278889</v>
      </c>
      <c r="N14" s="40">
        <f>IF(VLOOKUP(B14,DS,9,0)="x",'L - 7'!E14*$N$4,0)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3278889</v>
      </c>
      <c r="R14" s="39">
        <f t="shared" si="20"/>
        <v>0</v>
      </c>
      <c r="S14" s="45">
        <f t="shared" ref="S14:S18" si="22">Q14-R14</f>
        <v>3278889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168</v>
      </c>
      <c r="C15" s="89" t="str">
        <f t="shared" si="10"/>
        <v>Trần Hữu Tình</v>
      </c>
      <c r="D15" s="116" t="str">
        <f t="shared" si="11"/>
        <v>Công nhân</v>
      </c>
      <c r="E15" s="90">
        <f t="shared" si="12"/>
        <v>2700000</v>
      </c>
      <c r="F15" s="92">
        <f>VLOOKUP(B15,'CC -7'!$B$8:$AS$25,36,0)</f>
        <v>26</v>
      </c>
      <c r="G15" s="145">
        <f t="shared" si="13"/>
        <v>2600000</v>
      </c>
      <c r="H15" s="92">
        <f>(VLOOKUP(B15,'CC -7'!$B$8:$AS$25,37,0)+VLOOKUP(B15,'CC -7'!$B$8:$AS$25,38,0))</f>
        <v>0</v>
      </c>
      <c r="I15" s="145">
        <f t="shared" si="14"/>
        <v>0</v>
      </c>
      <c r="J15" s="146">
        <f t="shared" si="15"/>
        <v>26</v>
      </c>
      <c r="K15" s="39">
        <f t="shared" si="15"/>
        <v>2600000</v>
      </c>
      <c r="L15" s="90">
        <f t="shared" si="16"/>
        <v>390000</v>
      </c>
      <c r="M15" s="40">
        <f t="shared" si="17"/>
        <v>2990000</v>
      </c>
      <c r="N15" s="40">
        <f>IF(VLOOKUP(B15,DS,9,0)="x",'L - 7'!E15*$N$4,0)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2990000</v>
      </c>
      <c r="R15" s="39">
        <f t="shared" si="20"/>
        <v>0</v>
      </c>
      <c r="S15" s="45">
        <f t="shared" si="22"/>
        <v>2990000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169</v>
      </c>
      <c r="C16" s="89" t="str">
        <f t="shared" si="10"/>
        <v>Trương Văn Thành</v>
      </c>
      <c r="D16" s="116" t="str">
        <f t="shared" si="11"/>
        <v>Công nhân</v>
      </c>
      <c r="E16" s="90">
        <f t="shared" si="12"/>
        <v>2700000</v>
      </c>
      <c r="F16" s="92">
        <f>VLOOKUP(B16,'CC -7'!$B$8:$AS$25,36,0)</f>
        <v>26</v>
      </c>
      <c r="G16" s="145">
        <f t="shared" si="13"/>
        <v>2600000</v>
      </c>
      <c r="H16" s="92">
        <f>(VLOOKUP(B16,'CC -7'!$B$8:$AS$25,37,0)+VLOOKUP(B16,'CC -7'!$B$8:$AS$25,38,0))</f>
        <v>0</v>
      </c>
      <c r="I16" s="145">
        <f t="shared" si="14"/>
        <v>0</v>
      </c>
      <c r="J16" s="146">
        <f t="shared" si="15"/>
        <v>26</v>
      </c>
      <c r="K16" s="39">
        <f t="shared" si="15"/>
        <v>2600000</v>
      </c>
      <c r="L16" s="90">
        <f t="shared" si="16"/>
        <v>390000</v>
      </c>
      <c r="M16" s="40">
        <f t="shared" si="17"/>
        <v>2990000</v>
      </c>
      <c r="N16" s="40">
        <f>IF(VLOOKUP(B16,DS,9,0)="x",'L - 7'!E16*$N$4,0)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2990000</v>
      </c>
      <c r="R16" s="39">
        <f t="shared" si="20"/>
        <v>0</v>
      </c>
      <c r="S16" s="45">
        <f t="shared" si="22"/>
        <v>2990000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170</v>
      </c>
      <c r="C17" s="89" t="str">
        <f t="shared" si="10"/>
        <v>Trần Thị Ngọc Anh</v>
      </c>
      <c r="D17" s="116" t="str">
        <f t="shared" si="11"/>
        <v>Công nhân</v>
      </c>
      <c r="E17" s="90">
        <f t="shared" si="12"/>
        <v>2700000</v>
      </c>
      <c r="F17" s="92">
        <f>VLOOKUP(B17,'CC -7'!$B$8:$AS$25,36,0)</f>
        <v>26</v>
      </c>
      <c r="G17" s="145">
        <f t="shared" si="13"/>
        <v>2600000</v>
      </c>
      <c r="H17" s="92">
        <f>(VLOOKUP(B17,'CC -7'!$B$8:$AS$25,37,0)+VLOOKUP(B17,'CC -7'!$B$8:$AS$25,38,0))</f>
        <v>0</v>
      </c>
      <c r="I17" s="145">
        <f t="shared" si="14"/>
        <v>0</v>
      </c>
      <c r="J17" s="146">
        <f t="shared" si="15"/>
        <v>26</v>
      </c>
      <c r="K17" s="39">
        <f t="shared" si="15"/>
        <v>2600000</v>
      </c>
      <c r="L17" s="90">
        <f t="shared" si="16"/>
        <v>390000</v>
      </c>
      <c r="M17" s="40">
        <f t="shared" si="17"/>
        <v>2990000</v>
      </c>
      <c r="N17" s="40">
        <f>IF(VLOOKUP(B17,DS,9,0)="x",'L - 7'!E17*$N$4,0)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2990000</v>
      </c>
      <c r="R17" s="39">
        <f t="shared" si="20"/>
        <v>0</v>
      </c>
      <c r="S17" s="45">
        <f t="shared" si="22"/>
        <v>2990000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171</v>
      </c>
      <c r="C18" s="89" t="str">
        <f t="shared" si="10"/>
        <v>Nguyễn Minh Vương</v>
      </c>
      <c r="D18" s="116" t="str">
        <f t="shared" si="11"/>
        <v>Công nhân</v>
      </c>
      <c r="E18" s="90">
        <f t="shared" si="12"/>
        <v>2700000</v>
      </c>
      <c r="F18" s="92">
        <f>VLOOKUP(B18,'CC -7'!$B$8:$AS$25,36,0)</f>
        <v>26</v>
      </c>
      <c r="G18" s="145">
        <f t="shared" si="13"/>
        <v>2600000</v>
      </c>
      <c r="H18" s="92">
        <f>(VLOOKUP(B18,'CC -7'!$B$8:$AS$25,37,0)+VLOOKUP(B18,'CC -7'!$B$8:$AS$25,38,0))</f>
        <v>0</v>
      </c>
      <c r="I18" s="145">
        <f t="shared" si="14"/>
        <v>0</v>
      </c>
      <c r="J18" s="146">
        <f t="shared" si="15"/>
        <v>26</v>
      </c>
      <c r="K18" s="39">
        <f t="shared" si="15"/>
        <v>2600000</v>
      </c>
      <c r="L18" s="90">
        <f t="shared" si="16"/>
        <v>390000</v>
      </c>
      <c r="M18" s="40">
        <f t="shared" si="17"/>
        <v>2990000</v>
      </c>
      <c r="N18" s="40">
        <f>IF(VLOOKUP(B18,DS,9,0)="x",'L - 7'!E18*$N$4,0)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2990000</v>
      </c>
      <c r="R18" s="39">
        <f t="shared" si="20"/>
        <v>0</v>
      </c>
      <c r="S18" s="45">
        <f t="shared" si="22"/>
        <v>2990000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39" t="s">
        <v>25</v>
      </c>
      <c r="B20" s="239"/>
      <c r="C20" s="239"/>
      <c r="D20" s="239"/>
      <c r="E20" s="140">
        <f>SUM(E10:E19)</f>
        <v>25300000</v>
      </c>
      <c r="F20" s="140"/>
      <c r="G20" s="140">
        <f>SUM(G10:G19)</f>
        <v>24362963</v>
      </c>
      <c r="H20" s="140"/>
      <c r="I20" s="140">
        <f>SUM(I10:I19)</f>
        <v>0</v>
      </c>
      <c r="J20" s="26"/>
      <c r="K20" s="26">
        <f t="shared" ref="K20:S20" si="23">SUM(K10:K19)</f>
        <v>24362963</v>
      </c>
      <c r="L20" s="26">
        <f t="shared" si="23"/>
        <v>3120000</v>
      </c>
      <c r="M20" s="26">
        <f t="shared" si="23"/>
        <v>27482963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27482963</v>
      </c>
      <c r="R20" s="26">
        <f t="shared" si="23"/>
        <v>0</v>
      </c>
      <c r="S20" s="26">
        <f t="shared" si="23"/>
        <v>27482963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07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20:D20"/>
    <mergeCell ref="N5:P5"/>
    <mergeCell ref="Q5:Q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P31" sqref="P31"/>
      <selection pane="topRight" activeCell="P31" sqref="P31"/>
      <selection pane="bottomLeft" activeCell="P31" sqref="P31"/>
      <selection pane="bottomRight" activeCell="P31" sqref="P3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6" t="s">
        <v>154</v>
      </c>
      <c r="AN1" s="237"/>
      <c r="AO1" s="237"/>
      <c r="AP1" s="237"/>
      <c r="AQ1" s="237"/>
      <c r="AR1" s="237"/>
      <c r="AS1" s="2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40756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32" t="s">
        <v>28</v>
      </c>
      <c r="B5" s="232" t="s">
        <v>3</v>
      </c>
      <c r="C5" s="232" t="s">
        <v>1</v>
      </c>
      <c r="D5" s="228" t="s">
        <v>29</v>
      </c>
      <c r="E5" s="232" t="s">
        <v>30</v>
      </c>
      <c r="F5" s="118">
        <f>+E4</f>
        <v>40756</v>
      </c>
      <c r="G5" s="118">
        <f t="shared" ref="G5:AJ5" si="0">F5+1</f>
        <v>40757</v>
      </c>
      <c r="H5" s="118">
        <f t="shared" si="0"/>
        <v>40758</v>
      </c>
      <c r="I5" s="118">
        <f t="shared" si="0"/>
        <v>40759</v>
      </c>
      <c r="J5" s="118">
        <f t="shared" si="0"/>
        <v>40760</v>
      </c>
      <c r="K5" s="118">
        <f t="shared" si="0"/>
        <v>40761</v>
      </c>
      <c r="L5" s="118">
        <f t="shared" si="0"/>
        <v>40762</v>
      </c>
      <c r="M5" s="118">
        <f t="shared" si="0"/>
        <v>40763</v>
      </c>
      <c r="N5" s="118">
        <f t="shared" si="0"/>
        <v>40764</v>
      </c>
      <c r="O5" s="118">
        <f t="shared" si="0"/>
        <v>40765</v>
      </c>
      <c r="P5" s="118">
        <f t="shared" si="0"/>
        <v>40766</v>
      </c>
      <c r="Q5" s="118">
        <f t="shared" si="0"/>
        <v>40767</v>
      </c>
      <c r="R5" s="118">
        <f t="shared" si="0"/>
        <v>40768</v>
      </c>
      <c r="S5" s="118">
        <f t="shared" si="0"/>
        <v>40769</v>
      </c>
      <c r="T5" s="118">
        <f t="shared" si="0"/>
        <v>40770</v>
      </c>
      <c r="U5" s="118">
        <f t="shared" si="0"/>
        <v>40771</v>
      </c>
      <c r="V5" s="118">
        <f t="shared" si="0"/>
        <v>40772</v>
      </c>
      <c r="W5" s="118">
        <f t="shared" si="0"/>
        <v>40773</v>
      </c>
      <c r="X5" s="118">
        <f t="shared" si="0"/>
        <v>40774</v>
      </c>
      <c r="Y5" s="118">
        <f t="shared" si="0"/>
        <v>40775</v>
      </c>
      <c r="Z5" s="118">
        <f t="shared" si="0"/>
        <v>40776</v>
      </c>
      <c r="AA5" s="118">
        <f t="shared" si="0"/>
        <v>40777</v>
      </c>
      <c r="AB5" s="118">
        <f t="shared" si="0"/>
        <v>40778</v>
      </c>
      <c r="AC5" s="118">
        <f t="shared" si="0"/>
        <v>40779</v>
      </c>
      <c r="AD5" s="118">
        <f t="shared" si="0"/>
        <v>40780</v>
      </c>
      <c r="AE5" s="118">
        <f t="shared" si="0"/>
        <v>40781</v>
      </c>
      <c r="AF5" s="118">
        <f t="shared" si="0"/>
        <v>40782</v>
      </c>
      <c r="AG5" s="118">
        <f t="shared" si="0"/>
        <v>40783</v>
      </c>
      <c r="AH5" s="118">
        <f>AG5+1</f>
        <v>40784</v>
      </c>
      <c r="AI5" s="118">
        <f t="shared" si="0"/>
        <v>40785</v>
      </c>
      <c r="AJ5" s="118">
        <f t="shared" si="0"/>
        <v>40786</v>
      </c>
      <c r="AK5" s="233" t="s">
        <v>15</v>
      </c>
      <c r="AL5" s="234"/>
      <c r="AM5" s="235"/>
      <c r="AN5" s="230" t="s">
        <v>45</v>
      </c>
      <c r="AO5" s="230" t="s">
        <v>41</v>
      </c>
      <c r="AP5" s="230" t="s">
        <v>42</v>
      </c>
      <c r="AQ5" s="230" t="s">
        <v>43</v>
      </c>
      <c r="AR5" s="230" t="s">
        <v>44</v>
      </c>
      <c r="AS5" s="228" t="s">
        <v>0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29"/>
      <c r="B6" s="229"/>
      <c r="C6" s="229"/>
      <c r="D6" s="229"/>
      <c r="E6" s="229"/>
      <c r="F6" s="175" t="str">
        <f>CHOOSE(WEEKDAY(F5),"C.Nhật","T.Hai","T.Ba","T.Tư","T.Năm","T.Sáu","T.Bảy")</f>
        <v>T.Hai</v>
      </c>
      <c r="G6" s="175" t="str">
        <f t="shared" ref="G6:AI6" si="1">CHOOSE(WEEKDAY(G5),"C.Nhật","T.Hai","T.Ba","T.Tư","T.Năm","T.Sáu","T.Bảy")</f>
        <v>T.Ba</v>
      </c>
      <c r="H6" s="175" t="str">
        <f t="shared" si="1"/>
        <v>T.Tư</v>
      </c>
      <c r="I6" s="175" t="str">
        <f t="shared" si="1"/>
        <v>T.Năm</v>
      </c>
      <c r="J6" s="175" t="str">
        <f t="shared" si="1"/>
        <v>T.Sáu</v>
      </c>
      <c r="K6" s="175" t="str">
        <f t="shared" si="1"/>
        <v>T.Bảy</v>
      </c>
      <c r="L6" s="175" t="str">
        <f t="shared" si="1"/>
        <v>C.Nhật</v>
      </c>
      <c r="M6" s="175" t="str">
        <f t="shared" si="1"/>
        <v>T.Hai</v>
      </c>
      <c r="N6" s="175" t="str">
        <f t="shared" si="1"/>
        <v>T.Ba</v>
      </c>
      <c r="O6" s="175" t="str">
        <f t="shared" si="1"/>
        <v>T.Tư</v>
      </c>
      <c r="P6" s="175" t="str">
        <f t="shared" si="1"/>
        <v>T.Năm</v>
      </c>
      <c r="Q6" s="175" t="str">
        <f t="shared" si="1"/>
        <v>T.Sáu</v>
      </c>
      <c r="R6" s="175" t="str">
        <f t="shared" si="1"/>
        <v>T.Bảy</v>
      </c>
      <c r="S6" s="175" t="str">
        <f t="shared" si="1"/>
        <v>C.Nhật</v>
      </c>
      <c r="T6" s="175" t="str">
        <f t="shared" si="1"/>
        <v>T.Hai</v>
      </c>
      <c r="U6" s="175" t="str">
        <f t="shared" si="1"/>
        <v>T.Ba</v>
      </c>
      <c r="V6" s="175" t="str">
        <f t="shared" si="1"/>
        <v>T.Tư</v>
      </c>
      <c r="W6" s="175" t="str">
        <f t="shared" si="1"/>
        <v>T.Năm</v>
      </c>
      <c r="X6" s="175" t="str">
        <f t="shared" si="1"/>
        <v>T.Sáu</v>
      </c>
      <c r="Y6" s="175" t="str">
        <f t="shared" si="1"/>
        <v>T.Bảy</v>
      </c>
      <c r="Z6" s="175" t="str">
        <f t="shared" si="1"/>
        <v>C.Nhật</v>
      </c>
      <c r="AA6" s="175" t="str">
        <f t="shared" si="1"/>
        <v>T.Hai</v>
      </c>
      <c r="AB6" s="175" t="str">
        <f t="shared" si="1"/>
        <v>T.Ba</v>
      </c>
      <c r="AC6" s="175" t="str">
        <f t="shared" si="1"/>
        <v>T.Tư</v>
      </c>
      <c r="AD6" s="175" t="str">
        <f t="shared" si="1"/>
        <v>T.Năm</v>
      </c>
      <c r="AE6" s="175" t="str">
        <f t="shared" si="1"/>
        <v>T.Sáu</v>
      </c>
      <c r="AF6" s="175" t="str">
        <f t="shared" si="1"/>
        <v>T.Bảy</v>
      </c>
      <c r="AG6" s="175" t="str">
        <f t="shared" si="1"/>
        <v>C.Nhật</v>
      </c>
      <c r="AH6" s="175" t="str">
        <f t="shared" si="1"/>
        <v>T.Hai</v>
      </c>
      <c r="AI6" s="175" t="str">
        <f t="shared" si="1"/>
        <v>T.Ba</v>
      </c>
      <c r="AJ6" s="175" t="str">
        <f t="shared" ref="AJ6" si="2">CHOOSE(WEEKDAY(AJ5),"C.Nhật","T.Hai","T.Ba","T.Tư","T.Năm","T.Sáu","T.Bảy")</f>
        <v>T.Tư</v>
      </c>
      <c r="AK6" s="176" t="s">
        <v>16</v>
      </c>
      <c r="AL6" s="176" t="s">
        <v>31</v>
      </c>
      <c r="AM6" s="177" t="s">
        <v>17</v>
      </c>
      <c r="AN6" s="231"/>
      <c r="AO6" s="231"/>
      <c r="AP6" s="231"/>
      <c r="AQ6" s="231"/>
      <c r="AR6" s="231"/>
      <c r="AS6" s="229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157</v>
      </c>
      <c r="B8" s="182" t="s">
        <v>158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15">
        <v>1</v>
      </c>
      <c r="B9" s="215" t="s">
        <v>164</v>
      </c>
      <c r="C9" s="217" t="str">
        <f>VLOOKUP(B9,DS,2,0)</f>
        <v>Lê Thị Dung</v>
      </c>
      <c r="D9" s="22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19">
        <f>((SUM(F9:AJ9))/8)-(SUMIF($F$6:$AJ$6,"C.Nhật",F9:AJ9)/8)</f>
        <v>27</v>
      </c>
      <c r="AL9" s="219">
        <f>SUM(F10:AJ10)/8*1.5</f>
        <v>0</v>
      </c>
      <c r="AM9" s="221">
        <f>SUMIF($F$6:$AJ$6,"C.Nhật",$F9:$AJ10)/8*2</f>
        <v>0</v>
      </c>
      <c r="AN9" s="211">
        <f>SUM(AK9:AM10)</f>
        <v>27</v>
      </c>
      <c r="AO9" s="223">
        <v>0</v>
      </c>
      <c r="AP9" s="211"/>
      <c r="AQ9" s="211"/>
      <c r="AR9" s="211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16"/>
      <c r="B10" s="216"/>
      <c r="C10" s="218"/>
      <c r="D10" s="22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20"/>
      <c r="AL10" s="220"/>
      <c r="AM10" s="222"/>
      <c r="AN10" s="212"/>
      <c r="AO10" s="224"/>
      <c r="AP10" s="212"/>
      <c r="AQ10" s="212"/>
      <c r="AR10" s="212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15">
        <f>A9+1</f>
        <v>2</v>
      </c>
      <c r="B11" s="215" t="s">
        <v>165</v>
      </c>
      <c r="C11" s="217" t="str">
        <f>VLOOKUP(B11,DS,2,0)</f>
        <v>Phan Văn Hiền</v>
      </c>
      <c r="D11" s="22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19">
        <f t="shared" ref="AK11" si="3">((SUM(F11:AJ11))/8)-(SUMIF($F$6:$AJ$6,"C.Nhật",F11:AJ11)/8)</f>
        <v>27</v>
      </c>
      <c r="AL11" s="219">
        <f t="shared" ref="AL11" si="4">SUM(F12:AJ12)/8*1.5</f>
        <v>0</v>
      </c>
      <c r="AM11" s="221">
        <f t="shared" ref="AM11" si="5">SUMIF($F$6:$AJ$6,"C.Nhật",$F11:$AJ12)/8*2</f>
        <v>0</v>
      </c>
      <c r="AN11" s="211">
        <f t="shared" ref="AN11" si="6">SUM(AK11:AM12)</f>
        <v>27</v>
      </c>
      <c r="AO11" s="223">
        <v>0</v>
      </c>
      <c r="AP11" s="211"/>
      <c r="AQ11" s="211"/>
      <c r="AR11" s="211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16"/>
      <c r="B12" s="216"/>
      <c r="C12" s="218"/>
      <c r="D12" s="22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20"/>
      <c r="AL12" s="220"/>
      <c r="AM12" s="222"/>
      <c r="AN12" s="212"/>
      <c r="AO12" s="224"/>
      <c r="AP12" s="212"/>
      <c r="AQ12" s="212"/>
      <c r="AR12" s="212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159</v>
      </c>
      <c r="B13" s="182" t="s">
        <v>163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15">
        <v>1</v>
      </c>
      <c r="B14" s="215" t="s">
        <v>166</v>
      </c>
      <c r="C14" s="217" t="str">
        <f>VLOOKUP(B14,DS,2,0)</f>
        <v>Nguyễn Trường Giang</v>
      </c>
      <c r="D14" s="225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>
        <v>8</v>
      </c>
      <c r="L14" s="143"/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>
        <v>8</v>
      </c>
      <c r="S14" s="143"/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>
        <v>8</v>
      </c>
      <c r="Z14" s="143"/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>
        <v>8</v>
      </c>
      <c r="AG14" s="143"/>
      <c r="AH14" s="143">
        <v>8</v>
      </c>
      <c r="AI14" s="143">
        <v>8</v>
      </c>
      <c r="AJ14" s="143">
        <v>8</v>
      </c>
      <c r="AK14" s="219">
        <f t="shared" ref="AK14" si="7">((SUM(F14:AJ14))/8)-(SUMIF($F$6:$AJ$6,"C.Nhật",F14:AJ14)/8)</f>
        <v>27</v>
      </c>
      <c r="AL14" s="219">
        <f t="shared" ref="AL14" si="8">SUM(F15:AJ15)/8*1.5</f>
        <v>0</v>
      </c>
      <c r="AM14" s="221">
        <f>SUMIF($F$6:$AJ$6,"C.Nhật",$F14:$AJ15)/8*2</f>
        <v>0</v>
      </c>
      <c r="AN14" s="211">
        <f>SUM(AK14:AM15)</f>
        <v>27</v>
      </c>
      <c r="AO14" s="223">
        <v>0</v>
      </c>
      <c r="AP14" s="211"/>
      <c r="AQ14" s="211"/>
      <c r="AR14" s="211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16"/>
      <c r="B15" s="216"/>
      <c r="C15" s="218"/>
      <c r="D15" s="226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20"/>
      <c r="AL15" s="220"/>
      <c r="AM15" s="222"/>
      <c r="AN15" s="212"/>
      <c r="AO15" s="224"/>
      <c r="AP15" s="212"/>
      <c r="AQ15" s="212"/>
      <c r="AR15" s="212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15">
        <f>A14+1</f>
        <v>2</v>
      </c>
      <c r="B16" s="215" t="s">
        <v>167</v>
      </c>
      <c r="C16" s="217" t="str">
        <f>VLOOKUP(B16,DS,2,0)</f>
        <v>Đoàn Hồng Phong</v>
      </c>
      <c r="D16" s="225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19">
        <f t="shared" ref="AK16" si="9">((SUM(F16:AJ16))/8)-(SUMIF($F$6:$AJ$6,"C.Nhật",F16:AJ16)/8)</f>
        <v>27</v>
      </c>
      <c r="AL16" s="219">
        <f t="shared" ref="AL16" si="10">SUM(F17:AJ17)/8*1.5</f>
        <v>0</v>
      </c>
      <c r="AM16" s="221">
        <f>SUMIF($F$6:$AJ$6,"C.Nhật",$F16:$AJ17)/8*2</f>
        <v>0</v>
      </c>
      <c r="AN16" s="211">
        <f t="shared" ref="AN16" si="11">SUM(AK16:AM17)</f>
        <v>27</v>
      </c>
      <c r="AO16" s="223">
        <v>0</v>
      </c>
      <c r="AP16" s="211"/>
      <c r="AQ16" s="211"/>
      <c r="AR16" s="211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16"/>
      <c r="B17" s="216"/>
      <c r="C17" s="218"/>
      <c r="D17" s="22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20"/>
      <c r="AL17" s="220"/>
      <c r="AM17" s="222"/>
      <c r="AN17" s="212"/>
      <c r="AO17" s="224"/>
      <c r="AP17" s="212"/>
      <c r="AQ17" s="212"/>
      <c r="AR17" s="212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15">
        <f t="shared" ref="A18" si="12">A16+1</f>
        <v>3</v>
      </c>
      <c r="B18" s="215" t="s">
        <v>168</v>
      </c>
      <c r="C18" s="217" t="str">
        <f>VLOOKUP(B18,DS,2,0)</f>
        <v>Trần Hữu Tình</v>
      </c>
      <c r="D18" s="225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19">
        <f t="shared" ref="AK18" si="13">((SUM(F18:AJ18))/8)-(SUMIF($F$6:$AJ$6,"C.Nhật",F18:AJ18)/8)</f>
        <v>27</v>
      </c>
      <c r="AL18" s="219">
        <f t="shared" ref="AL18" si="14">SUM(F19:AJ19)/8*1.5</f>
        <v>0</v>
      </c>
      <c r="AM18" s="221">
        <f>SUMIF($F$6:$AJ$6,"C.Nhật",$F18:$AJ19)/8*2</f>
        <v>0</v>
      </c>
      <c r="AN18" s="211">
        <f t="shared" ref="AN18" si="15">SUM(AK18:AM19)</f>
        <v>27</v>
      </c>
      <c r="AO18" s="223">
        <v>0</v>
      </c>
      <c r="AP18" s="211"/>
      <c r="AQ18" s="211"/>
      <c r="AR18" s="211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16"/>
      <c r="B19" s="216"/>
      <c r="C19" s="218"/>
      <c r="D19" s="22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20"/>
      <c r="AL19" s="220"/>
      <c r="AM19" s="222"/>
      <c r="AN19" s="212"/>
      <c r="AO19" s="224"/>
      <c r="AP19" s="212"/>
      <c r="AQ19" s="212"/>
      <c r="AR19" s="212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15">
        <f t="shared" ref="A20" si="16">A18+1</f>
        <v>4</v>
      </c>
      <c r="B20" s="215" t="s">
        <v>169</v>
      </c>
      <c r="C20" s="217" t="str">
        <f>VLOOKUP(B20,DS,2,0)</f>
        <v>Trương Văn Thành</v>
      </c>
      <c r="D20" s="22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19">
        <f t="shared" ref="AK20" si="17">((SUM(F20:AJ20))/8)-(SUMIF($F$6:$AJ$6,"C.Nhật",F20:AJ20)/8)</f>
        <v>27</v>
      </c>
      <c r="AL20" s="219">
        <f t="shared" ref="AL20" si="18">SUM(F21:AJ21)/8*1.5</f>
        <v>0</v>
      </c>
      <c r="AM20" s="221">
        <f>SUMIF($F$6:$AJ$6,"C.Nhật",$F20:$AJ21)/8*2</f>
        <v>0</v>
      </c>
      <c r="AN20" s="211">
        <f t="shared" ref="AN20" si="19">SUM(AK20:AM21)</f>
        <v>27</v>
      </c>
      <c r="AO20" s="223">
        <v>0</v>
      </c>
      <c r="AP20" s="211"/>
      <c r="AQ20" s="211"/>
      <c r="AR20" s="211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16"/>
      <c r="B21" s="216"/>
      <c r="C21" s="218"/>
      <c r="D21" s="22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20"/>
      <c r="AL21" s="220"/>
      <c r="AM21" s="222"/>
      <c r="AN21" s="212"/>
      <c r="AO21" s="224"/>
      <c r="AP21" s="212"/>
      <c r="AQ21" s="212"/>
      <c r="AR21" s="212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15">
        <f t="shared" ref="A22" si="20">A20+1</f>
        <v>5</v>
      </c>
      <c r="B22" s="215" t="s">
        <v>170</v>
      </c>
      <c r="C22" s="217" t="str">
        <f>VLOOKUP(B22,DS,2,0)</f>
        <v>Trần Thị Ngọc Anh</v>
      </c>
      <c r="D22" s="225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>
        <v>8</v>
      </c>
      <c r="L22" s="143"/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>
        <v>8</v>
      </c>
      <c r="S22" s="143"/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>
        <v>8</v>
      </c>
      <c r="Z22" s="143"/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>
        <v>8</v>
      </c>
      <c r="AG22" s="143"/>
      <c r="AH22" s="143">
        <v>8</v>
      </c>
      <c r="AI22" s="143">
        <v>8</v>
      </c>
      <c r="AJ22" s="143">
        <v>8</v>
      </c>
      <c r="AK22" s="219">
        <f t="shared" ref="AK22" si="21">((SUM(F22:AJ22))/8)-(SUMIF($F$6:$AJ$6,"C.Nhật",F22:AJ22)/8)</f>
        <v>27</v>
      </c>
      <c r="AL22" s="219">
        <f t="shared" ref="AL22" si="22">SUM(F23:AJ23)/8*1.5</f>
        <v>0</v>
      </c>
      <c r="AM22" s="221">
        <f>SUMIF($F$6:$AJ$6,"C.Nhật",$F22:$AJ23)/8*2</f>
        <v>0</v>
      </c>
      <c r="AN22" s="211">
        <f t="shared" ref="AN22" si="23">SUM(AK22:AM23)</f>
        <v>27</v>
      </c>
      <c r="AO22" s="223">
        <v>0</v>
      </c>
      <c r="AP22" s="211"/>
      <c r="AQ22" s="211"/>
      <c r="AR22" s="211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16"/>
      <c r="B23" s="216"/>
      <c r="C23" s="218"/>
      <c r="D23" s="226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20"/>
      <c r="AL23" s="220"/>
      <c r="AM23" s="222"/>
      <c r="AN23" s="212"/>
      <c r="AO23" s="224"/>
      <c r="AP23" s="212"/>
      <c r="AQ23" s="212"/>
      <c r="AR23" s="212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15">
        <f t="shared" ref="A24" si="24">A22+1</f>
        <v>6</v>
      </c>
      <c r="B24" s="215" t="s">
        <v>171</v>
      </c>
      <c r="C24" s="217" t="str">
        <f>VLOOKUP(B24,DS,2,0)</f>
        <v>Nguyễn Minh Vương</v>
      </c>
      <c r="D24" s="225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>
        <v>8</v>
      </c>
      <c r="K24" s="143">
        <v>8</v>
      </c>
      <c r="L24" s="143"/>
      <c r="M24" s="143">
        <v>8</v>
      </c>
      <c r="N24" s="143">
        <v>8</v>
      </c>
      <c r="O24" s="143">
        <v>8</v>
      </c>
      <c r="P24" s="143">
        <v>8</v>
      </c>
      <c r="Q24" s="143">
        <v>8</v>
      </c>
      <c r="R24" s="143">
        <v>8</v>
      </c>
      <c r="S24" s="143"/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>
        <v>8</v>
      </c>
      <c r="Z24" s="143"/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>
        <v>8</v>
      </c>
      <c r="AG24" s="143"/>
      <c r="AH24" s="143">
        <v>8</v>
      </c>
      <c r="AI24" s="143">
        <v>8</v>
      </c>
      <c r="AJ24" s="143">
        <v>8</v>
      </c>
      <c r="AK24" s="219">
        <f t="shared" ref="AK24" si="25">((SUM(F24:AJ24))/8)-(SUMIF($F$6:$AJ$6,"C.Nhật",F24:AJ24)/8)</f>
        <v>27</v>
      </c>
      <c r="AL24" s="219">
        <f t="shared" ref="AL24" si="26">SUM(F25:AJ25)/8*1.5</f>
        <v>0</v>
      </c>
      <c r="AM24" s="221">
        <f>SUMIF($F$6:$AJ$6,"C.Nhật",$F24:$AJ25)/8*2</f>
        <v>0</v>
      </c>
      <c r="AN24" s="211">
        <f t="shared" ref="AN24" si="27">SUM(AK24:AM25)</f>
        <v>27</v>
      </c>
      <c r="AO24" s="223">
        <v>0</v>
      </c>
      <c r="AP24" s="211"/>
      <c r="AQ24" s="211"/>
      <c r="AR24" s="211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16"/>
      <c r="B25" s="216"/>
      <c r="C25" s="218"/>
      <c r="D25" s="226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20"/>
      <c r="AL25" s="220"/>
      <c r="AM25" s="222"/>
      <c r="AN25" s="212"/>
      <c r="AO25" s="224"/>
      <c r="AP25" s="212"/>
      <c r="AQ25" s="212"/>
      <c r="AR25" s="212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</mergeCells>
  <conditionalFormatting sqref="F5:AJ6 F9:AJ12 F14:AJ25">
    <cfRule type="expression" dxfId="29" priority="8" stopIfTrue="1">
      <formula>IF(WEEKDAY(F$5)=1,TRUE,FALSE)</formula>
    </cfRule>
  </conditionalFormatting>
  <conditionalFormatting sqref="F9:AJ12">
    <cfRule type="expression" dxfId="28" priority="7" stopIfTrue="1">
      <formula>IF(WEEKDAY(F$5)=1,TRUE,FALSE)</formula>
    </cfRule>
  </conditionalFormatting>
  <conditionalFormatting sqref="F14:AJ25">
    <cfRule type="expression" dxfId="27" priority="6" stopIfTrue="1">
      <formula>IF(WEEKDAY(F$5)=1,TRUE,FALSE)</formula>
    </cfRule>
  </conditionalFormatting>
  <conditionalFormatting sqref="F14:AJ25">
    <cfRule type="expression" dxfId="26" priority="5" stopIfTrue="1">
      <formula>IF(WEEKDAY(F$5)=1,TRUE,FALSE)</formula>
    </cfRule>
  </conditionalFormatting>
  <conditionalFormatting sqref="F14:AI25">
    <cfRule type="expression" dxfId="25" priority="4" stopIfTrue="1">
      <formula>IF(WEEKDAY(F$5)=1,TRUE,FALSE)</formula>
    </cfRule>
  </conditionalFormatting>
  <conditionalFormatting sqref="F14:AJ25">
    <cfRule type="expression" dxfId="24" priority="3" stopIfTrue="1">
      <formula>IF(WEEKDAY(F$5)=1,TRUE,FALSE)</formula>
    </cfRule>
  </conditionalFormatting>
  <conditionalFormatting sqref="F14:AI25">
    <cfRule type="expression" dxfId="23" priority="2" stopIfTrue="1">
      <formula>IF(WEEKDAY(F$5)=1,TRUE,FALSE)</formula>
    </cfRule>
  </conditionalFormatting>
  <conditionalFormatting sqref="F14:AJ25">
    <cfRule type="expression" dxfId="2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P31" sqref="P31"/>
      <selection pane="topRight" activeCell="P31" sqref="P31"/>
      <selection pane="bottomLeft" activeCell="P31" sqref="P31"/>
      <selection pane="bottomRight" activeCell="P31" sqref="P3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0" t="str">
        <f>"BẢNG THANH TOÁN LƯƠNG THÁNG"&amp;" "&amp;TEXT($E$4,"mm")&amp;" / "&amp;TEXT($E$4,"yyyy")</f>
        <v>BẢNG THANH TOÁN LƯƠNG THÁNG 08 / 2011</v>
      </c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1"/>
      <c r="R1" s="247" t="s">
        <v>153</v>
      </c>
      <c r="S1" s="248"/>
      <c r="T1" s="2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-8'!$E$4</f>
        <v>40756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2" t="s">
        <v>19</v>
      </c>
      <c r="B5" s="242" t="s">
        <v>20</v>
      </c>
      <c r="C5" s="207" t="s">
        <v>1</v>
      </c>
      <c r="D5" s="207" t="s">
        <v>2</v>
      </c>
      <c r="E5" s="210" t="s">
        <v>56</v>
      </c>
      <c r="F5" s="252" t="s">
        <v>26</v>
      </c>
      <c r="G5" s="254"/>
      <c r="H5" s="254"/>
      <c r="I5" s="254"/>
      <c r="J5" s="254"/>
      <c r="K5" s="253"/>
      <c r="L5" s="244" t="s">
        <v>57</v>
      </c>
      <c r="M5" s="244" t="s">
        <v>5</v>
      </c>
      <c r="N5" s="207" t="s">
        <v>6</v>
      </c>
      <c r="O5" s="207"/>
      <c r="P5" s="207"/>
      <c r="Q5" s="244" t="s">
        <v>7</v>
      </c>
      <c r="R5" s="244" t="s">
        <v>8</v>
      </c>
      <c r="S5" s="244" t="s">
        <v>9</v>
      </c>
      <c r="T5" s="20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3"/>
      <c r="B6" s="243"/>
      <c r="C6" s="207"/>
      <c r="D6" s="207"/>
      <c r="E6" s="210"/>
      <c r="F6" s="252" t="s">
        <v>59</v>
      </c>
      <c r="G6" s="253"/>
      <c r="H6" s="252" t="s">
        <v>161</v>
      </c>
      <c r="I6" s="254"/>
      <c r="J6" s="255" t="s">
        <v>27</v>
      </c>
      <c r="K6" s="244" t="s">
        <v>4</v>
      </c>
      <c r="L6" s="245"/>
      <c r="M6" s="245"/>
      <c r="N6" s="250" t="s">
        <v>12</v>
      </c>
      <c r="O6" s="244" t="s">
        <v>13</v>
      </c>
      <c r="P6" s="244" t="s">
        <v>34</v>
      </c>
      <c r="Q6" s="245"/>
      <c r="R6" s="245"/>
      <c r="S6" s="245"/>
      <c r="T6" s="20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3"/>
      <c r="B7" s="243"/>
      <c r="C7" s="244"/>
      <c r="D7" s="244"/>
      <c r="E7" s="210"/>
      <c r="F7" s="196" t="s">
        <v>40</v>
      </c>
      <c r="G7" s="193" t="s">
        <v>18</v>
      </c>
      <c r="H7" s="196" t="s">
        <v>40</v>
      </c>
      <c r="I7" s="128" t="s">
        <v>18</v>
      </c>
      <c r="J7" s="256"/>
      <c r="K7" s="245"/>
      <c r="L7" s="246"/>
      <c r="M7" s="246"/>
      <c r="N7" s="251"/>
      <c r="O7" s="245"/>
      <c r="P7" s="245"/>
      <c r="Q7" s="245"/>
      <c r="R7" s="245"/>
      <c r="S7" s="245"/>
      <c r="T7" s="20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157</v>
      </c>
      <c r="B9" s="188" t="s">
        <v>158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164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4500000</v>
      </c>
      <c r="F10" s="92">
        <f>VLOOKUP(B10,'CC -8'!$B$8:$AS$25,36,0)</f>
        <v>27</v>
      </c>
      <c r="G10" s="145">
        <f t="shared" ref="G10:G11" si="3">ROUND(E10/$U$2*F10,0)</f>
        <v>4500000</v>
      </c>
      <c r="H10" s="92">
        <f>(VLOOKUP(B10,'CC -8'!$B$8:$AS$25,37,0)+VLOOKUP(B10,'CC -8'!$B$8:$AS$25,38,0))</f>
        <v>0</v>
      </c>
      <c r="I10" s="145">
        <f t="shared" ref="I10:I11" si="4">ROUND(E10/$U$2*H10,0)</f>
        <v>0</v>
      </c>
      <c r="J10" s="93">
        <f t="shared" ref="J10:K11" si="5">F10+H10</f>
        <v>27</v>
      </c>
      <c r="K10" s="39">
        <f>G10+I10</f>
        <v>4500000</v>
      </c>
      <c r="L10" s="90">
        <f t="shared" ref="L10:L11" si="6">+F10*15000</f>
        <v>405000</v>
      </c>
      <c r="M10" s="40">
        <f t="shared" ref="M10:M11" si="7">K10+L10</f>
        <v>4905000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4905000</v>
      </c>
      <c r="R10" s="39">
        <f>VLOOKUP(B10,DS,23,0)</f>
        <v>0</v>
      </c>
      <c r="S10" s="45">
        <f t="shared" ref="S10:S11" si="9">Q10-R10</f>
        <v>4905000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165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4000000</v>
      </c>
      <c r="F11" s="92">
        <f>VLOOKUP(B11,'CC -8'!$B$8:$AS$25,36,0)</f>
        <v>27</v>
      </c>
      <c r="G11" s="145">
        <f t="shared" si="3"/>
        <v>4000000</v>
      </c>
      <c r="H11" s="92">
        <f>(VLOOKUP(B11,'CC -8'!$B$8:$AS$25,37,0)+VLOOKUP(B11,'CC -8'!$B$8:$AS$25,38,0))</f>
        <v>0</v>
      </c>
      <c r="I11" s="145">
        <f t="shared" si="4"/>
        <v>0</v>
      </c>
      <c r="J11" s="93">
        <f t="shared" si="5"/>
        <v>27</v>
      </c>
      <c r="K11" s="39">
        <f t="shared" si="5"/>
        <v>4000000</v>
      </c>
      <c r="L11" s="90">
        <f t="shared" si="6"/>
        <v>405000</v>
      </c>
      <c r="M11" s="40">
        <f t="shared" si="7"/>
        <v>4405000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4405000</v>
      </c>
      <c r="R11" s="39">
        <f>VLOOKUP(B11,DS,23,0)</f>
        <v>0</v>
      </c>
      <c r="S11" s="45">
        <f t="shared" si="9"/>
        <v>4405000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159</v>
      </c>
      <c r="B12" s="188" t="s">
        <v>160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166</v>
      </c>
      <c r="C13" s="89" t="str">
        <f t="shared" ref="C13:C18" si="10">VLOOKUP(B13,DS,2,0)</f>
        <v>Nguyễn Trường Giang</v>
      </c>
      <c r="D13" s="116" t="str">
        <f t="shared" ref="D13:D18" si="11">VLOOKUP(B13,DS,3,0)</f>
        <v>Thợ in</v>
      </c>
      <c r="E13" s="90">
        <f t="shared" ref="E13:E18" si="12">VLOOKUP(B13,DS,4,0)</f>
        <v>3000000</v>
      </c>
      <c r="F13" s="92">
        <f>VLOOKUP(B13,'CC -8'!$B$8:$AS$25,36,0)</f>
        <v>27</v>
      </c>
      <c r="G13" s="145">
        <f t="shared" ref="G13:G18" si="13">ROUND(E13/$U$2*F13,0)</f>
        <v>3000000</v>
      </c>
      <c r="H13" s="92">
        <f>(VLOOKUP(B13,'CC -8'!$B$8:$AS$25,37,0)+VLOOKUP(B13,'CC -8'!$B$8:$AS$25,38,0))</f>
        <v>0</v>
      </c>
      <c r="I13" s="145">
        <f t="shared" ref="I13:I18" si="14">ROUND(E13/$U$2*H13,0)</f>
        <v>0</v>
      </c>
      <c r="J13" s="146">
        <f t="shared" ref="J13:K18" si="15">F13+H13</f>
        <v>27</v>
      </c>
      <c r="K13" s="39">
        <f t="shared" si="15"/>
        <v>3000000</v>
      </c>
      <c r="L13" s="90">
        <f t="shared" ref="L13:L18" si="16">+F13*15000</f>
        <v>405000</v>
      </c>
      <c r="M13" s="40">
        <f t="shared" ref="M13:M18" si="17">K13+L13</f>
        <v>3405000</v>
      </c>
      <c r="N13" s="40">
        <f>IF(VLOOKUP(B13,DS,9,0)="x",'L - 8'!E13*$N$4,0)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3405000</v>
      </c>
      <c r="R13" s="39">
        <f t="shared" ref="R13:R18" si="20">VLOOKUP(B13,DS,23,0)</f>
        <v>0</v>
      </c>
      <c r="S13" s="45">
        <f>Q13-R13</f>
        <v>3405000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167</v>
      </c>
      <c r="C14" s="89" t="str">
        <f t="shared" si="10"/>
        <v>Đoàn Hồng Phong</v>
      </c>
      <c r="D14" s="116" t="str">
        <f t="shared" si="11"/>
        <v>Thợ đóng - xả</v>
      </c>
      <c r="E14" s="90">
        <f t="shared" si="12"/>
        <v>3000000</v>
      </c>
      <c r="F14" s="92">
        <f>VLOOKUP(B14,'CC -8'!$B$8:$AS$25,36,0)</f>
        <v>27</v>
      </c>
      <c r="G14" s="145">
        <f t="shared" si="13"/>
        <v>3000000</v>
      </c>
      <c r="H14" s="92">
        <f>(VLOOKUP(B14,'CC -8'!$B$8:$AS$25,37,0)+VLOOKUP(B14,'CC -8'!$B$8:$AS$25,38,0))</f>
        <v>0</v>
      </c>
      <c r="I14" s="145">
        <f t="shared" si="14"/>
        <v>0</v>
      </c>
      <c r="J14" s="146">
        <f t="shared" si="15"/>
        <v>27</v>
      </c>
      <c r="K14" s="39">
        <f t="shared" si="15"/>
        <v>3000000</v>
      </c>
      <c r="L14" s="90">
        <f t="shared" si="16"/>
        <v>405000</v>
      </c>
      <c r="M14" s="40">
        <f t="shared" si="17"/>
        <v>3405000</v>
      </c>
      <c r="N14" s="40">
        <f>IF(VLOOKUP(B14,DS,9,0)="x",'L - 8'!E14*$N$4,0)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3405000</v>
      </c>
      <c r="R14" s="39">
        <f t="shared" si="20"/>
        <v>0</v>
      </c>
      <c r="S14" s="45">
        <f t="shared" ref="S14:S18" si="22">Q14-R14</f>
        <v>3405000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168</v>
      </c>
      <c r="C15" s="89" t="str">
        <f t="shared" si="10"/>
        <v>Trần Hữu Tình</v>
      </c>
      <c r="D15" s="116" t="str">
        <f t="shared" si="11"/>
        <v>Công nhân</v>
      </c>
      <c r="E15" s="90">
        <f t="shared" si="12"/>
        <v>2700000</v>
      </c>
      <c r="F15" s="92">
        <f>VLOOKUP(B15,'CC -8'!$B$8:$AS$25,36,0)</f>
        <v>27</v>
      </c>
      <c r="G15" s="145">
        <f t="shared" si="13"/>
        <v>2700000</v>
      </c>
      <c r="H15" s="92">
        <f>(VLOOKUP(B15,'CC -8'!$B$8:$AS$25,37,0)+VLOOKUP(B15,'CC -8'!$B$8:$AS$25,38,0))</f>
        <v>0</v>
      </c>
      <c r="I15" s="145">
        <f t="shared" si="14"/>
        <v>0</v>
      </c>
      <c r="J15" s="146">
        <f t="shared" si="15"/>
        <v>27</v>
      </c>
      <c r="K15" s="39">
        <f t="shared" si="15"/>
        <v>2700000</v>
      </c>
      <c r="L15" s="90">
        <f t="shared" si="16"/>
        <v>405000</v>
      </c>
      <c r="M15" s="40">
        <f t="shared" si="17"/>
        <v>3105000</v>
      </c>
      <c r="N15" s="40">
        <f>IF(VLOOKUP(B15,DS,9,0)="x",'L - 8'!E15*$N$4,0)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3105000</v>
      </c>
      <c r="R15" s="39">
        <f t="shared" si="20"/>
        <v>0</v>
      </c>
      <c r="S15" s="45">
        <f t="shared" si="22"/>
        <v>3105000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169</v>
      </c>
      <c r="C16" s="89" t="str">
        <f t="shared" si="10"/>
        <v>Trương Văn Thành</v>
      </c>
      <c r="D16" s="116" t="str">
        <f t="shared" si="11"/>
        <v>Công nhân</v>
      </c>
      <c r="E16" s="90">
        <f t="shared" si="12"/>
        <v>2700000</v>
      </c>
      <c r="F16" s="92">
        <f>VLOOKUP(B16,'CC -8'!$B$8:$AS$25,36,0)</f>
        <v>27</v>
      </c>
      <c r="G16" s="145">
        <f t="shared" si="13"/>
        <v>2700000</v>
      </c>
      <c r="H16" s="92">
        <f>(VLOOKUP(B16,'CC -8'!$B$8:$AS$25,37,0)+VLOOKUP(B16,'CC -8'!$B$8:$AS$25,38,0))</f>
        <v>0</v>
      </c>
      <c r="I16" s="145">
        <f t="shared" si="14"/>
        <v>0</v>
      </c>
      <c r="J16" s="146">
        <f t="shared" si="15"/>
        <v>27</v>
      </c>
      <c r="K16" s="39">
        <f t="shared" si="15"/>
        <v>2700000</v>
      </c>
      <c r="L16" s="90">
        <f t="shared" si="16"/>
        <v>405000</v>
      </c>
      <c r="M16" s="40">
        <f t="shared" si="17"/>
        <v>3105000</v>
      </c>
      <c r="N16" s="40">
        <f>IF(VLOOKUP(B16,DS,9,0)="x",'L - 8'!E16*$N$4,0)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3105000</v>
      </c>
      <c r="R16" s="39">
        <f t="shared" si="20"/>
        <v>0</v>
      </c>
      <c r="S16" s="45">
        <f t="shared" si="22"/>
        <v>3105000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170</v>
      </c>
      <c r="C17" s="89" t="str">
        <f t="shared" si="10"/>
        <v>Trần Thị Ngọc Anh</v>
      </c>
      <c r="D17" s="116" t="str">
        <f t="shared" si="11"/>
        <v>Công nhân</v>
      </c>
      <c r="E17" s="90">
        <f t="shared" si="12"/>
        <v>2700000</v>
      </c>
      <c r="F17" s="92">
        <f>VLOOKUP(B17,'CC -8'!$B$8:$AS$25,36,0)</f>
        <v>27</v>
      </c>
      <c r="G17" s="145">
        <f t="shared" si="13"/>
        <v>2700000</v>
      </c>
      <c r="H17" s="92">
        <f>(VLOOKUP(B17,'CC -8'!$B$8:$AS$25,37,0)+VLOOKUP(B17,'CC -8'!$B$8:$AS$25,38,0))</f>
        <v>0</v>
      </c>
      <c r="I17" s="145">
        <f t="shared" si="14"/>
        <v>0</v>
      </c>
      <c r="J17" s="146">
        <f t="shared" si="15"/>
        <v>27</v>
      </c>
      <c r="K17" s="39">
        <f t="shared" si="15"/>
        <v>2700000</v>
      </c>
      <c r="L17" s="90">
        <f t="shared" si="16"/>
        <v>405000</v>
      </c>
      <c r="M17" s="40">
        <f t="shared" si="17"/>
        <v>3105000</v>
      </c>
      <c r="N17" s="40">
        <f>IF(VLOOKUP(B17,DS,9,0)="x",'L - 8'!E17*$N$4,0)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3105000</v>
      </c>
      <c r="R17" s="39">
        <f t="shared" si="20"/>
        <v>0</v>
      </c>
      <c r="S17" s="45">
        <f t="shared" si="22"/>
        <v>3105000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171</v>
      </c>
      <c r="C18" s="89" t="str">
        <f t="shared" si="10"/>
        <v>Nguyễn Minh Vương</v>
      </c>
      <c r="D18" s="116" t="str">
        <f t="shared" si="11"/>
        <v>Công nhân</v>
      </c>
      <c r="E18" s="90">
        <f t="shared" si="12"/>
        <v>2700000</v>
      </c>
      <c r="F18" s="92">
        <f>VLOOKUP(B18,'CC -8'!$B$8:$AS$25,36,0)</f>
        <v>27</v>
      </c>
      <c r="G18" s="145">
        <f t="shared" si="13"/>
        <v>2700000</v>
      </c>
      <c r="H18" s="92">
        <f>(VLOOKUP(B18,'CC -8'!$B$8:$AS$25,37,0)+VLOOKUP(B18,'CC -8'!$B$8:$AS$25,38,0))</f>
        <v>0</v>
      </c>
      <c r="I18" s="145">
        <f t="shared" si="14"/>
        <v>0</v>
      </c>
      <c r="J18" s="146">
        <f t="shared" si="15"/>
        <v>27</v>
      </c>
      <c r="K18" s="39">
        <f t="shared" si="15"/>
        <v>2700000</v>
      </c>
      <c r="L18" s="90">
        <f t="shared" si="16"/>
        <v>405000</v>
      </c>
      <c r="M18" s="40">
        <f t="shared" si="17"/>
        <v>3105000</v>
      </c>
      <c r="N18" s="40">
        <f>IF(VLOOKUP(B18,DS,9,0)="x",'L - 8'!E18*$N$4,0)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3105000</v>
      </c>
      <c r="R18" s="39">
        <f t="shared" si="20"/>
        <v>0</v>
      </c>
      <c r="S18" s="45">
        <f t="shared" si="22"/>
        <v>3105000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39" t="s">
        <v>25</v>
      </c>
      <c r="B20" s="239"/>
      <c r="C20" s="239"/>
      <c r="D20" s="239"/>
      <c r="E20" s="140">
        <f>SUM(E10:E19)</f>
        <v>25300000</v>
      </c>
      <c r="F20" s="140"/>
      <c r="G20" s="140">
        <f>SUM(G10:G19)</f>
        <v>25300000</v>
      </c>
      <c r="H20" s="140"/>
      <c r="I20" s="140">
        <f>SUM(I10:I19)</f>
        <v>0</v>
      </c>
      <c r="J20" s="26"/>
      <c r="K20" s="26">
        <f t="shared" ref="K20:S20" si="23">SUM(K10:K19)</f>
        <v>25300000</v>
      </c>
      <c r="L20" s="26">
        <f t="shared" si="23"/>
        <v>3240000</v>
      </c>
      <c r="M20" s="26">
        <f t="shared" si="23"/>
        <v>28540000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28540000</v>
      </c>
      <c r="R20" s="26">
        <f t="shared" si="23"/>
        <v>0</v>
      </c>
      <c r="S20" s="26">
        <f t="shared" si="23"/>
        <v>28540000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08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20:D20"/>
    <mergeCell ref="N5:P5"/>
    <mergeCell ref="Q5:Q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3" activePane="bottomRight" state="frozen"/>
      <selection activeCell="E5" sqref="E5:E7"/>
      <selection pane="topRight" activeCell="E5" sqref="E5:E7"/>
      <selection pane="bottomLeft" activeCell="E5" sqref="E5:E7"/>
      <selection pane="bottomRight" activeCell="F19" sqref="F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6" t="s">
        <v>154</v>
      </c>
      <c r="AN1" s="237"/>
      <c r="AO1" s="237"/>
      <c r="AP1" s="237"/>
      <c r="AQ1" s="237"/>
      <c r="AR1" s="237"/>
      <c r="AS1" s="2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40787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32" t="s">
        <v>28</v>
      </c>
      <c r="B5" s="232" t="s">
        <v>3</v>
      </c>
      <c r="C5" s="232" t="s">
        <v>1</v>
      </c>
      <c r="D5" s="228" t="s">
        <v>29</v>
      </c>
      <c r="E5" s="232" t="s">
        <v>30</v>
      </c>
      <c r="F5" s="118">
        <f>+E4</f>
        <v>40787</v>
      </c>
      <c r="G5" s="118">
        <f t="shared" ref="G5:AI5" si="0">F5+1</f>
        <v>40788</v>
      </c>
      <c r="H5" s="118">
        <f t="shared" si="0"/>
        <v>40789</v>
      </c>
      <c r="I5" s="118">
        <f t="shared" si="0"/>
        <v>40790</v>
      </c>
      <c r="J5" s="118">
        <f t="shared" si="0"/>
        <v>40791</v>
      </c>
      <c r="K5" s="118">
        <f t="shared" si="0"/>
        <v>40792</v>
      </c>
      <c r="L5" s="118">
        <f t="shared" si="0"/>
        <v>40793</v>
      </c>
      <c r="M5" s="118">
        <f t="shared" si="0"/>
        <v>40794</v>
      </c>
      <c r="N5" s="118">
        <f t="shared" si="0"/>
        <v>40795</v>
      </c>
      <c r="O5" s="118">
        <f t="shared" si="0"/>
        <v>40796</v>
      </c>
      <c r="P5" s="118">
        <f t="shared" si="0"/>
        <v>40797</v>
      </c>
      <c r="Q5" s="118">
        <f t="shared" si="0"/>
        <v>40798</v>
      </c>
      <c r="R5" s="118">
        <f t="shared" si="0"/>
        <v>40799</v>
      </c>
      <c r="S5" s="118">
        <f t="shared" si="0"/>
        <v>40800</v>
      </c>
      <c r="T5" s="118">
        <f t="shared" si="0"/>
        <v>40801</v>
      </c>
      <c r="U5" s="118">
        <f t="shared" si="0"/>
        <v>40802</v>
      </c>
      <c r="V5" s="118">
        <f t="shared" si="0"/>
        <v>40803</v>
      </c>
      <c r="W5" s="118">
        <f t="shared" si="0"/>
        <v>40804</v>
      </c>
      <c r="X5" s="118">
        <f t="shared" si="0"/>
        <v>40805</v>
      </c>
      <c r="Y5" s="118">
        <f t="shared" si="0"/>
        <v>40806</v>
      </c>
      <c r="Z5" s="118">
        <f t="shared" si="0"/>
        <v>40807</v>
      </c>
      <c r="AA5" s="118">
        <f t="shared" si="0"/>
        <v>40808</v>
      </c>
      <c r="AB5" s="118">
        <f t="shared" si="0"/>
        <v>40809</v>
      </c>
      <c r="AC5" s="118">
        <f t="shared" si="0"/>
        <v>40810</v>
      </c>
      <c r="AD5" s="118">
        <f t="shared" si="0"/>
        <v>40811</v>
      </c>
      <c r="AE5" s="118">
        <f t="shared" si="0"/>
        <v>40812</v>
      </c>
      <c r="AF5" s="118">
        <f t="shared" si="0"/>
        <v>40813</v>
      </c>
      <c r="AG5" s="118">
        <f t="shared" si="0"/>
        <v>40814</v>
      </c>
      <c r="AH5" s="118">
        <f>AG5+1</f>
        <v>40815</v>
      </c>
      <c r="AI5" s="118">
        <f t="shared" si="0"/>
        <v>40816</v>
      </c>
      <c r="AJ5" s="118"/>
      <c r="AK5" s="233" t="s">
        <v>15</v>
      </c>
      <c r="AL5" s="234"/>
      <c r="AM5" s="235"/>
      <c r="AN5" s="230" t="s">
        <v>45</v>
      </c>
      <c r="AO5" s="230" t="s">
        <v>41</v>
      </c>
      <c r="AP5" s="230" t="s">
        <v>42</v>
      </c>
      <c r="AQ5" s="230" t="s">
        <v>43</v>
      </c>
      <c r="AR5" s="230" t="s">
        <v>44</v>
      </c>
      <c r="AS5" s="228" t="s">
        <v>0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29"/>
      <c r="B6" s="229"/>
      <c r="C6" s="229"/>
      <c r="D6" s="229"/>
      <c r="E6" s="229"/>
      <c r="F6" s="175" t="str">
        <f>CHOOSE(WEEKDAY(F5),"C.Nhật","T.Hai","T.Ba","T.Tư","T.Năm","T.Sáu","T.Bảy")</f>
        <v>T.Năm</v>
      </c>
      <c r="G6" s="175" t="str">
        <f t="shared" ref="G6:AI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/>
      <c r="AK6" s="176" t="s">
        <v>16</v>
      </c>
      <c r="AL6" s="176" t="s">
        <v>31</v>
      </c>
      <c r="AM6" s="177" t="s">
        <v>17</v>
      </c>
      <c r="AN6" s="231"/>
      <c r="AO6" s="231"/>
      <c r="AP6" s="231"/>
      <c r="AQ6" s="231"/>
      <c r="AR6" s="231"/>
      <c r="AS6" s="229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/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157</v>
      </c>
      <c r="B8" s="182" t="s">
        <v>158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15">
        <v>1</v>
      </c>
      <c r="B9" s="215" t="s">
        <v>164</v>
      </c>
      <c r="C9" s="217" t="str">
        <f>VLOOKUP(B9,DS,2,0)</f>
        <v>Lê Thị Dung</v>
      </c>
      <c r="D9" s="22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19">
        <f>((SUM(F9:AJ9))/8)-(SUMIF($F$6:$AJ$6,"C.Nhật",F9:AJ9)/8)</f>
        <v>26</v>
      </c>
      <c r="AL9" s="219">
        <f>SUM(F10:AJ10)/8*1.5</f>
        <v>0</v>
      </c>
      <c r="AM9" s="221">
        <f>SUMIF($F$6:$AJ$6,"C.Nhật",$F9:$AJ10)/8*2</f>
        <v>0</v>
      </c>
      <c r="AN9" s="211">
        <f>SUM(AK9:AM10)</f>
        <v>26</v>
      </c>
      <c r="AO9" s="223">
        <v>0</v>
      </c>
      <c r="AP9" s="211"/>
      <c r="AQ9" s="211"/>
      <c r="AR9" s="211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16"/>
      <c r="B10" s="216"/>
      <c r="C10" s="218"/>
      <c r="D10" s="22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20"/>
      <c r="AL10" s="220"/>
      <c r="AM10" s="222"/>
      <c r="AN10" s="212"/>
      <c r="AO10" s="224"/>
      <c r="AP10" s="212"/>
      <c r="AQ10" s="212"/>
      <c r="AR10" s="212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15">
        <f>A9+1</f>
        <v>2</v>
      </c>
      <c r="B11" s="215" t="s">
        <v>165</v>
      </c>
      <c r="C11" s="217" t="str">
        <f>VLOOKUP(B11,DS,2,0)</f>
        <v>Phan Văn Hiền</v>
      </c>
      <c r="D11" s="22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19">
        <f t="shared" ref="AK11" si="2">((SUM(F11:AJ11))/8)-(SUMIF($F$6:$AJ$6,"C.Nhật",F11:AJ11)/8)</f>
        <v>26</v>
      </c>
      <c r="AL11" s="219">
        <f t="shared" ref="AL11" si="3">SUM(F12:AJ12)/8*1.5</f>
        <v>0</v>
      </c>
      <c r="AM11" s="221">
        <f t="shared" ref="AM11" si="4">SUMIF($F$6:$AJ$6,"C.Nhật",$F11:$AJ12)/8*2</f>
        <v>0</v>
      </c>
      <c r="AN11" s="211">
        <f t="shared" ref="AN11" si="5">SUM(AK11:AM12)</f>
        <v>26</v>
      </c>
      <c r="AO11" s="223">
        <v>0</v>
      </c>
      <c r="AP11" s="211"/>
      <c r="AQ11" s="211"/>
      <c r="AR11" s="211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16"/>
      <c r="B12" s="216"/>
      <c r="C12" s="218"/>
      <c r="D12" s="22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20"/>
      <c r="AL12" s="220"/>
      <c r="AM12" s="222"/>
      <c r="AN12" s="212"/>
      <c r="AO12" s="224"/>
      <c r="AP12" s="212"/>
      <c r="AQ12" s="212"/>
      <c r="AR12" s="212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159</v>
      </c>
      <c r="B13" s="182" t="s">
        <v>163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15">
        <v>1</v>
      </c>
      <c r="B14" s="215" t="s">
        <v>166</v>
      </c>
      <c r="C14" s="217" t="str">
        <f>VLOOKUP(B14,DS,2,0)</f>
        <v>Nguyễn Trường Giang</v>
      </c>
      <c r="D14" s="225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/>
      <c r="AK14" s="219">
        <f t="shared" ref="AK14" si="6">((SUM(F14:AJ14))/8)-(SUMIF($F$6:$AJ$6,"C.Nhật",F14:AJ14)/8)</f>
        <v>26</v>
      </c>
      <c r="AL14" s="219">
        <f t="shared" ref="AL14" si="7">SUM(F15:AJ15)/8*1.5</f>
        <v>0</v>
      </c>
      <c r="AM14" s="221">
        <f>SUMIF($F$6:$AJ$6,"C.Nhật",$F14:$AJ15)/8*2</f>
        <v>0</v>
      </c>
      <c r="AN14" s="211">
        <f>SUM(AK14:AM15)</f>
        <v>26</v>
      </c>
      <c r="AO14" s="223">
        <v>0</v>
      </c>
      <c r="AP14" s="211"/>
      <c r="AQ14" s="211"/>
      <c r="AR14" s="211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16"/>
      <c r="B15" s="216"/>
      <c r="C15" s="218"/>
      <c r="D15" s="226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20"/>
      <c r="AL15" s="220"/>
      <c r="AM15" s="222"/>
      <c r="AN15" s="212"/>
      <c r="AO15" s="224"/>
      <c r="AP15" s="212"/>
      <c r="AQ15" s="212"/>
      <c r="AR15" s="212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15">
        <f>A14+1</f>
        <v>2</v>
      </c>
      <c r="B16" s="215" t="s">
        <v>167</v>
      </c>
      <c r="C16" s="217" t="str">
        <f>VLOOKUP(B16,DS,2,0)</f>
        <v>Đoàn Hồng Phong</v>
      </c>
      <c r="D16" s="225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19">
        <f t="shared" ref="AK16" si="8">((SUM(F16:AJ16))/8)-(SUMIF($F$6:$AJ$6,"C.Nhật",F16:AJ16)/8)</f>
        <v>26</v>
      </c>
      <c r="AL16" s="219">
        <f t="shared" ref="AL16" si="9">SUM(F17:AJ17)/8*1.5</f>
        <v>0</v>
      </c>
      <c r="AM16" s="221">
        <f>SUMIF($F$6:$AJ$6,"C.Nhật",$F16:$AJ17)/8*2</f>
        <v>0</v>
      </c>
      <c r="AN16" s="211">
        <f t="shared" ref="AN16" si="10">SUM(AK16:AM17)</f>
        <v>26</v>
      </c>
      <c r="AO16" s="223">
        <v>0</v>
      </c>
      <c r="AP16" s="211"/>
      <c r="AQ16" s="211"/>
      <c r="AR16" s="211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16"/>
      <c r="B17" s="216"/>
      <c r="C17" s="218"/>
      <c r="D17" s="22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20"/>
      <c r="AL17" s="220"/>
      <c r="AM17" s="222"/>
      <c r="AN17" s="212"/>
      <c r="AO17" s="224"/>
      <c r="AP17" s="212"/>
      <c r="AQ17" s="212"/>
      <c r="AR17" s="212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15">
        <f t="shared" ref="A18" si="11">A16+1</f>
        <v>3</v>
      </c>
      <c r="B18" s="215" t="s">
        <v>168</v>
      </c>
      <c r="C18" s="217" t="str">
        <f>VLOOKUP(B18,DS,2,0)</f>
        <v>Trần Hữu Tình</v>
      </c>
      <c r="D18" s="225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19">
        <f t="shared" ref="AK18" si="12">((SUM(F18:AJ18))/8)-(SUMIF($F$6:$AJ$6,"C.Nhật",F18:AJ18)/8)</f>
        <v>26</v>
      </c>
      <c r="AL18" s="219">
        <f t="shared" ref="AL18" si="13">SUM(F19:AJ19)/8*1.5</f>
        <v>0</v>
      </c>
      <c r="AM18" s="221">
        <f>SUMIF($F$6:$AJ$6,"C.Nhật",$F18:$AJ19)/8*2</f>
        <v>0</v>
      </c>
      <c r="AN18" s="211">
        <f t="shared" ref="AN18" si="14">SUM(AK18:AM19)</f>
        <v>26</v>
      </c>
      <c r="AO18" s="223">
        <v>0</v>
      </c>
      <c r="AP18" s="211"/>
      <c r="AQ18" s="211"/>
      <c r="AR18" s="211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16"/>
      <c r="B19" s="216"/>
      <c r="C19" s="218"/>
      <c r="D19" s="22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20"/>
      <c r="AL19" s="220"/>
      <c r="AM19" s="222"/>
      <c r="AN19" s="212"/>
      <c r="AO19" s="224"/>
      <c r="AP19" s="212"/>
      <c r="AQ19" s="212"/>
      <c r="AR19" s="212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15">
        <f t="shared" ref="A20" si="15">A18+1</f>
        <v>4</v>
      </c>
      <c r="B20" s="215" t="s">
        <v>169</v>
      </c>
      <c r="C20" s="217" t="str">
        <f>VLOOKUP(B20,DS,2,0)</f>
        <v>Trương Văn Thành</v>
      </c>
      <c r="D20" s="22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19">
        <f t="shared" ref="AK20" si="16">((SUM(F20:AJ20))/8)-(SUMIF($F$6:$AJ$6,"C.Nhật",F20:AJ20)/8)</f>
        <v>26</v>
      </c>
      <c r="AL20" s="219">
        <f t="shared" ref="AL20" si="17">SUM(F21:AJ21)/8*1.5</f>
        <v>0</v>
      </c>
      <c r="AM20" s="221">
        <f>SUMIF($F$6:$AJ$6,"C.Nhật",$F20:$AJ21)/8*2</f>
        <v>0</v>
      </c>
      <c r="AN20" s="211">
        <f t="shared" ref="AN20" si="18">SUM(AK20:AM21)</f>
        <v>26</v>
      </c>
      <c r="AO20" s="223">
        <v>0</v>
      </c>
      <c r="AP20" s="211"/>
      <c r="AQ20" s="211"/>
      <c r="AR20" s="211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16"/>
      <c r="B21" s="216"/>
      <c r="C21" s="218"/>
      <c r="D21" s="22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20"/>
      <c r="AL21" s="220"/>
      <c r="AM21" s="222"/>
      <c r="AN21" s="212"/>
      <c r="AO21" s="224"/>
      <c r="AP21" s="212"/>
      <c r="AQ21" s="212"/>
      <c r="AR21" s="212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15">
        <f t="shared" ref="A22" si="19">A20+1</f>
        <v>5</v>
      </c>
      <c r="B22" s="215" t="s">
        <v>170</v>
      </c>
      <c r="C22" s="217" t="str">
        <f>VLOOKUP(B22,DS,2,0)</f>
        <v>Trần Thị Ngọc Anh</v>
      </c>
      <c r="D22" s="225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/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/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/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/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/>
      <c r="AK22" s="219">
        <f t="shared" ref="AK22" si="20">((SUM(F22:AJ22))/8)-(SUMIF($F$6:$AJ$6,"C.Nhật",F22:AJ22)/8)</f>
        <v>26</v>
      </c>
      <c r="AL22" s="219">
        <f t="shared" ref="AL22" si="21">SUM(F23:AJ23)/8*1.5</f>
        <v>0</v>
      </c>
      <c r="AM22" s="221">
        <f>SUMIF($F$6:$AJ$6,"C.Nhật",$F22:$AJ23)/8*2</f>
        <v>0</v>
      </c>
      <c r="AN22" s="211">
        <f t="shared" ref="AN22" si="22">SUM(AK22:AM23)</f>
        <v>26</v>
      </c>
      <c r="AO22" s="223">
        <v>0</v>
      </c>
      <c r="AP22" s="211"/>
      <c r="AQ22" s="211"/>
      <c r="AR22" s="211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16"/>
      <c r="B23" s="216"/>
      <c r="C23" s="218"/>
      <c r="D23" s="226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20"/>
      <c r="AL23" s="220"/>
      <c r="AM23" s="222"/>
      <c r="AN23" s="212"/>
      <c r="AO23" s="224"/>
      <c r="AP23" s="212"/>
      <c r="AQ23" s="212"/>
      <c r="AR23" s="212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15">
        <f t="shared" ref="A24" si="23">A22+1</f>
        <v>6</v>
      </c>
      <c r="B24" s="215" t="s">
        <v>171</v>
      </c>
      <c r="C24" s="217" t="str">
        <f>VLOOKUP(B24,DS,2,0)</f>
        <v>Nguyễn Minh Vương</v>
      </c>
      <c r="D24" s="225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/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/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/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/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/>
      <c r="AK24" s="219">
        <f t="shared" ref="AK24" si="24">((SUM(F24:AJ24))/8)-(SUMIF($F$6:$AJ$6,"C.Nhật",F24:AJ24)/8)</f>
        <v>26</v>
      </c>
      <c r="AL24" s="219">
        <f t="shared" ref="AL24" si="25">SUM(F25:AJ25)/8*1.5</f>
        <v>0</v>
      </c>
      <c r="AM24" s="221">
        <f>SUMIF($F$6:$AJ$6,"C.Nhật",$F24:$AJ25)/8*2</f>
        <v>0</v>
      </c>
      <c r="AN24" s="211">
        <f t="shared" ref="AN24" si="26">SUM(AK24:AM25)</f>
        <v>26</v>
      </c>
      <c r="AO24" s="223">
        <v>0</v>
      </c>
      <c r="AP24" s="211"/>
      <c r="AQ24" s="211"/>
      <c r="AR24" s="211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16"/>
      <c r="B25" s="216"/>
      <c r="C25" s="218"/>
      <c r="D25" s="226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20"/>
      <c r="AL25" s="220"/>
      <c r="AM25" s="222"/>
      <c r="AN25" s="212"/>
      <c r="AO25" s="224"/>
      <c r="AP25" s="212"/>
      <c r="AQ25" s="212"/>
      <c r="AR25" s="212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</mergeCells>
  <conditionalFormatting sqref="F5:AJ6 F9:AJ12 F14:AJ25">
    <cfRule type="expression" dxfId="21" priority="7" stopIfTrue="1">
      <formula>IF(WEEKDAY(F$5)=1,TRUE,FALSE)</formula>
    </cfRule>
  </conditionalFormatting>
  <conditionalFormatting sqref="F9:AJ12">
    <cfRule type="expression" dxfId="20" priority="6" stopIfTrue="1">
      <formula>IF(WEEKDAY(F$5)=1,TRUE,FALSE)</formula>
    </cfRule>
  </conditionalFormatting>
  <conditionalFormatting sqref="F14:AJ25">
    <cfRule type="expression" dxfId="19" priority="5" stopIfTrue="1">
      <formula>IF(WEEKDAY(F$5)=1,TRUE,FALSE)</formula>
    </cfRule>
  </conditionalFormatting>
  <conditionalFormatting sqref="F14:AJ25">
    <cfRule type="expression" dxfId="18" priority="4" stopIfTrue="1">
      <formula>IF(WEEKDAY(F$5)=1,TRUE,FALSE)</formula>
    </cfRule>
  </conditionalFormatting>
  <conditionalFormatting sqref="F14:AI25">
    <cfRule type="expression" dxfId="17" priority="3" stopIfTrue="1">
      <formula>IF(WEEKDAY(F$5)=1,TRUE,FALSE)</formula>
    </cfRule>
  </conditionalFormatting>
  <conditionalFormatting sqref="F14:AJ25">
    <cfRule type="expression" dxfId="16" priority="2" stopIfTrue="1">
      <formula>IF(WEEKDAY(F$5)=1,TRUE,FALSE)</formula>
    </cfRule>
  </conditionalFormatting>
  <conditionalFormatting sqref="F14:AI25">
    <cfRule type="expression" dxfId="1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F19" sqref="F19"/>
      <selection pane="topRight" activeCell="F19" sqref="F19"/>
      <selection pane="bottomLeft" activeCell="F19" sqref="F19"/>
      <selection pane="bottomRight" activeCell="F19" sqref="F1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0" t="str">
        <f>"BẢNG THANH TOÁN LƯƠNG THÁNG"&amp;" "&amp;TEXT($E$4,"mm")&amp;" / "&amp;TEXT($E$4,"yyyy")</f>
        <v>BẢNG THANH TOÁN LƯƠNG THÁNG 09 / 2011</v>
      </c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1"/>
      <c r="R1" s="247" t="s">
        <v>153</v>
      </c>
      <c r="S1" s="248"/>
      <c r="T1" s="2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-9'!$E$4</f>
        <v>40787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2" t="s">
        <v>19</v>
      </c>
      <c r="B5" s="242" t="s">
        <v>20</v>
      </c>
      <c r="C5" s="207" t="s">
        <v>1</v>
      </c>
      <c r="D5" s="207" t="s">
        <v>2</v>
      </c>
      <c r="E5" s="210" t="s">
        <v>56</v>
      </c>
      <c r="F5" s="252" t="s">
        <v>26</v>
      </c>
      <c r="G5" s="254"/>
      <c r="H5" s="254"/>
      <c r="I5" s="254"/>
      <c r="J5" s="254"/>
      <c r="K5" s="253"/>
      <c r="L5" s="244" t="s">
        <v>57</v>
      </c>
      <c r="M5" s="244" t="s">
        <v>5</v>
      </c>
      <c r="N5" s="207" t="s">
        <v>6</v>
      </c>
      <c r="O5" s="207"/>
      <c r="P5" s="207"/>
      <c r="Q5" s="244" t="s">
        <v>7</v>
      </c>
      <c r="R5" s="244" t="s">
        <v>8</v>
      </c>
      <c r="S5" s="244" t="s">
        <v>9</v>
      </c>
      <c r="T5" s="20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3"/>
      <c r="B6" s="243"/>
      <c r="C6" s="207"/>
      <c r="D6" s="207"/>
      <c r="E6" s="210"/>
      <c r="F6" s="252" t="s">
        <v>59</v>
      </c>
      <c r="G6" s="253"/>
      <c r="H6" s="252" t="s">
        <v>161</v>
      </c>
      <c r="I6" s="254"/>
      <c r="J6" s="255" t="s">
        <v>27</v>
      </c>
      <c r="K6" s="244" t="s">
        <v>4</v>
      </c>
      <c r="L6" s="245"/>
      <c r="M6" s="245"/>
      <c r="N6" s="250" t="s">
        <v>12</v>
      </c>
      <c r="O6" s="244" t="s">
        <v>13</v>
      </c>
      <c r="P6" s="244" t="s">
        <v>34</v>
      </c>
      <c r="Q6" s="245"/>
      <c r="R6" s="245"/>
      <c r="S6" s="245"/>
      <c r="T6" s="20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3"/>
      <c r="B7" s="243"/>
      <c r="C7" s="244"/>
      <c r="D7" s="244"/>
      <c r="E7" s="210"/>
      <c r="F7" s="196" t="s">
        <v>40</v>
      </c>
      <c r="G7" s="193" t="s">
        <v>18</v>
      </c>
      <c r="H7" s="196" t="s">
        <v>40</v>
      </c>
      <c r="I7" s="128" t="s">
        <v>18</v>
      </c>
      <c r="J7" s="256"/>
      <c r="K7" s="245"/>
      <c r="L7" s="246"/>
      <c r="M7" s="246"/>
      <c r="N7" s="251"/>
      <c r="O7" s="245"/>
      <c r="P7" s="245"/>
      <c r="Q7" s="245"/>
      <c r="R7" s="245"/>
      <c r="S7" s="245"/>
      <c r="T7" s="20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157</v>
      </c>
      <c r="B9" s="188" t="s">
        <v>158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164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4500000</v>
      </c>
      <c r="F10" s="92">
        <f>VLOOKUP(B10,'CC -9'!$B$8:$AS$25,36,0)</f>
        <v>26</v>
      </c>
      <c r="G10" s="145">
        <f t="shared" ref="G10:G11" si="3">ROUND(E10/$U$2*F10,0)</f>
        <v>4500000</v>
      </c>
      <c r="H10" s="92">
        <f>(VLOOKUP(B10,'CC -9'!$B$8:$AS$25,37,0)+VLOOKUP(B10,'CC -9'!$B$8:$AS$25,38,0))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4500000</v>
      </c>
      <c r="L10" s="90">
        <f t="shared" ref="L10:L11" si="6">+F10*15000</f>
        <v>390000</v>
      </c>
      <c r="M10" s="40">
        <f t="shared" ref="M10:M11" si="7">K10+L10</f>
        <v>4890000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4890000</v>
      </c>
      <c r="R10" s="39">
        <f>VLOOKUP(B10,DS,23,0)</f>
        <v>0</v>
      </c>
      <c r="S10" s="45">
        <f t="shared" ref="S10:S11" si="9">Q10-R10</f>
        <v>4890000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165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4000000</v>
      </c>
      <c r="F11" s="92">
        <f>VLOOKUP(B11,'CC -9'!$B$8:$AS$25,36,0)</f>
        <v>26</v>
      </c>
      <c r="G11" s="145">
        <f t="shared" si="3"/>
        <v>4000000</v>
      </c>
      <c r="H11" s="92">
        <f>(VLOOKUP(B11,'CC -9'!$B$8:$AS$25,37,0)+VLOOKUP(B11,'CC -9'!$B$8:$AS$25,38,0))</f>
        <v>0</v>
      </c>
      <c r="I11" s="145">
        <f t="shared" si="4"/>
        <v>0</v>
      </c>
      <c r="J11" s="93">
        <f t="shared" si="5"/>
        <v>26</v>
      </c>
      <c r="K11" s="39">
        <f t="shared" si="5"/>
        <v>4000000</v>
      </c>
      <c r="L11" s="90">
        <f t="shared" si="6"/>
        <v>390000</v>
      </c>
      <c r="M11" s="40">
        <f t="shared" si="7"/>
        <v>4390000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4390000</v>
      </c>
      <c r="R11" s="39">
        <f>VLOOKUP(B11,DS,23,0)</f>
        <v>0</v>
      </c>
      <c r="S11" s="45">
        <f t="shared" si="9"/>
        <v>4390000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159</v>
      </c>
      <c r="B12" s="188" t="s">
        <v>160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166</v>
      </c>
      <c r="C13" s="89" t="str">
        <f t="shared" ref="C13:C18" si="10">VLOOKUP(B13,DS,2,0)</f>
        <v>Nguyễn Trường Giang</v>
      </c>
      <c r="D13" s="116" t="str">
        <f t="shared" ref="D13:D18" si="11">VLOOKUP(B13,DS,3,0)</f>
        <v>Thợ in</v>
      </c>
      <c r="E13" s="90">
        <f t="shared" ref="E13:E18" si="12">VLOOKUP(B13,DS,4,0)</f>
        <v>3000000</v>
      </c>
      <c r="F13" s="92">
        <f>VLOOKUP(B13,'CC -9'!$B$8:$AS$25,36,0)</f>
        <v>26</v>
      </c>
      <c r="G13" s="145">
        <f t="shared" ref="G13:G18" si="13">ROUND(E13/$U$2*F13,0)</f>
        <v>3000000</v>
      </c>
      <c r="H13" s="92">
        <f>(VLOOKUP(B13,'CC -9'!$B$8:$AS$25,37,0)+VLOOKUP(B13,'CC -9'!$B$8:$AS$25,38,0))</f>
        <v>0</v>
      </c>
      <c r="I13" s="145">
        <f t="shared" ref="I13:I18" si="14">ROUND(E13/$U$2*H13,0)</f>
        <v>0</v>
      </c>
      <c r="J13" s="146">
        <f t="shared" ref="J13:K18" si="15">F13+H13</f>
        <v>26</v>
      </c>
      <c r="K13" s="39">
        <f t="shared" si="15"/>
        <v>3000000</v>
      </c>
      <c r="L13" s="90">
        <f t="shared" ref="L13:L18" si="16">+F13*15000</f>
        <v>390000</v>
      </c>
      <c r="M13" s="40">
        <f t="shared" ref="M13:M18" si="17">K13+L13</f>
        <v>3390000</v>
      </c>
      <c r="N13" s="40">
        <f>IF(VLOOKUP(B13,DS,9,0)="x",'L - 9'!E13*$N$4,0)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3390000</v>
      </c>
      <c r="R13" s="39">
        <f t="shared" ref="R13:R18" si="20">VLOOKUP(B13,DS,23,0)</f>
        <v>0</v>
      </c>
      <c r="S13" s="45">
        <f>Q13-R13</f>
        <v>3390000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167</v>
      </c>
      <c r="C14" s="89" t="str">
        <f t="shared" si="10"/>
        <v>Đoàn Hồng Phong</v>
      </c>
      <c r="D14" s="116" t="str">
        <f t="shared" si="11"/>
        <v>Thợ đóng - xả</v>
      </c>
      <c r="E14" s="90">
        <f t="shared" si="12"/>
        <v>3000000</v>
      </c>
      <c r="F14" s="92">
        <f>VLOOKUP(B14,'CC -9'!$B$8:$AS$25,36,0)</f>
        <v>26</v>
      </c>
      <c r="G14" s="145">
        <f t="shared" si="13"/>
        <v>3000000</v>
      </c>
      <c r="H14" s="92">
        <f>(VLOOKUP(B14,'CC -9'!$B$8:$AS$25,37,0)+VLOOKUP(B14,'CC -9'!$B$8:$AS$25,38,0))</f>
        <v>0</v>
      </c>
      <c r="I14" s="145">
        <f t="shared" si="14"/>
        <v>0</v>
      </c>
      <c r="J14" s="146">
        <f t="shared" si="15"/>
        <v>26</v>
      </c>
      <c r="K14" s="39">
        <f t="shared" si="15"/>
        <v>3000000</v>
      </c>
      <c r="L14" s="90">
        <f t="shared" si="16"/>
        <v>390000</v>
      </c>
      <c r="M14" s="40">
        <f t="shared" si="17"/>
        <v>3390000</v>
      </c>
      <c r="N14" s="40">
        <f>IF(VLOOKUP(B14,DS,9,0)="x",'L - 9'!E14*$N$4,0)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3390000</v>
      </c>
      <c r="R14" s="39">
        <f t="shared" si="20"/>
        <v>0</v>
      </c>
      <c r="S14" s="45">
        <f t="shared" ref="S14:S18" si="22">Q14-R14</f>
        <v>3390000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168</v>
      </c>
      <c r="C15" s="89" t="str">
        <f t="shared" si="10"/>
        <v>Trần Hữu Tình</v>
      </c>
      <c r="D15" s="116" t="str">
        <f t="shared" si="11"/>
        <v>Công nhân</v>
      </c>
      <c r="E15" s="90">
        <f t="shared" si="12"/>
        <v>2700000</v>
      </c>
      <c r="F15" s="92">
        <f>VLOOKUP(B15,'CC -9'!$B$8:$AS$25,36,0)</f>
        <v>26</v>
      </c>
      <c r="G15" s="145">
        <f t="shared" si="13"/>
        <v>2700000</v>
      </c>
      <c r="H15" s="92">
        <f>(VLOOKUP(B15,'CC -9'!$B$8:$AS$25,37,0)+VLOOKUP(B15,'CC -9'!$B$8:$AS$25,38,0))</f>
        <v>0</v>
      </c>
      <c r="I15" s="145">
        <f t="shared" si="14"/>
        <v>0</v>
      </c>
      <c r="J15" s="146">
        <f t="shared" si="15"/>
        <v>26</v>
      </c>
      <c r="K15" s="39">
        <f t="shared" si="15"/>
        <v>2700000</v>
      </c>
      <c r="L15" s="90">
        <f t="shared" si="16"/>
        <v>390000</v>
      </c>
      <c r="M15" s="40">
        <f t="shared" si="17"/>
        <v>3090000</v>
      </c>
      <c r="N15" s="40">
        <f>IF(VLOOKUP(B15,DS,9,0)="x",'L - 9'!E15*$N$4,0)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3090000</v>
      </c>
      <c r="R15" s="39">
        <f t="shared" si="20"/>
        <v>0</v>
      </c>
      <c r="S15" s="45">
        <f t="shared" si="22"/>
        <v>3090000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169</v>
      </c>
      <c r="C16" s="89" t="str">
        <f t="shared" si="10"/>
        <v>Trương Văn Thành</v>
      </c>
      <c r="D16" s="116" t="str">
        <f t="shared" si="11"/>
        <v>Công nhân</v>
      </c>
      <c r="E16" s="90">
        <f t="shared" si="12"/>
        <v>2700000</v>
      </c>
      <c r="F16" s="92">
        <f>VLOOKUP(B16,'CC -9'!$B$8:$AS$25,36,0)</f>
        <v>26</v>
      </c>
      <c r="G16" s="145">
        <f t="shared" si="13"/>
        <v>2700000</v>
      </c>
      <c r="H16" s="92">
        <f>(VLOOKUP(B16,'CC -9'!$B$8:$AS$25,37,0)+VLOOKUP(B16,'CC -9'!$B$8:$AS$25,38,0))</f>
        <v>0</v>
      </c>
      <c r="I16" s="145">
        <f t="shared" si="14"/>
        <v>0</v>
      </c>
      <c r="J16" s="146">
        <f t="shared" si="15"/>
        <v>26</v>
      </c>
      <c r="K16" s="39">
        <f t="shared" si="15"/>
        <v>2700000</v>
      </c>
      <c r="L16" s="90">
        <f t="shared" si="16"/>
        <v>390000</v>
      </c>
      <c r="M16" s="40">
        <f t="shared" si="17"/>
        <v>3090000</v>
      </c>
      <c r="N16" s="40">
        <f>IF(VLOOKUP(B16,DS,9,0)="x",'L - 9'!E16*$N$4,0)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3090000</v>
      </c>
      <c r="R16" s="39">
        <f t="shared" si="20"/>
        <v>0</v>
      </c>
      <c r="S16" s="45">
        <f t="shared" si="22"/>
        <v>3090000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170</v>
      </c>
      <c r="C17" s="89" t="str">
        <f t="shared" si="10"/>
        <v>Trần Thị Ngọc Anh</v>
      </c>
      <c r="D17" s="116" t="str">
        <f t="shared" si="11"/>
        <v>Công nhân</v>
      </c>
      <c r="E17" s="90">
        <f t="shared" si="12"/>
        <v>2700000</v>
      </c>
      <c r="F17" s="92">
        <f>VLOOKUP(B17,'CC -9'!$B$8:$AS$25,36,0)</f>
        <v>26</v>
      </c>
      <c r="G17" s="145">
        <f t="shared" si="13"/>
        <v>2700000</v>
      </c>
      <c r="H17" s="92">
        <f>(VLOOKUP(B17,'CC -9'!$B$8:$AS$25,37,0)+VLOOKUP(B17,'CC -9'!$B$8:$AS$25,38,0))</f>
        <v>0</v>
      </c>
      <c r="I17" s="145">
        <f t="shared" si="14"/>
        <v>0</v>
      </c>
      <c r="J17" s="146">
        <f t="shared" si="15"/>
        <v>26</v>
      </c>
      <c r="K17" s="39">
        <f t="shared" si="15"/>
        <v>2700000</v>
      </c>
      <c r="L17" s="90">
        <f t="shared" si="16"/>
        <v>390000</v>
      </c>
      <c r="M17" s="40">
        <f t="shared" si="17"/>
        <v>3090000</v>
      </c>
      <c r="N17" s="40">
        <f>IF(VLOOKUP(B17,DS,9,0)="x",'L - 9'!E17*$N$4,0)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3090000</v>
      </c>
      <c r="R17" s="39">
        <f t="shared" si="20"/>
        <v>0</v>
      </c>
      <c r="S17" s="45">
        <f t="shared" si="22"/>
        <v>3090000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171</v>
      </c>
      <c r="C18" s="89" t="str">
        <f t="shared" si="10"/>
        <v>Nguyễn Minh Vương</v>
      </c>
      <c r="D18" s="116" t="str">
        <f t="shared" si="11"/>
        <v>Công nhân</v>
      </c>
      <c r="E18" s="90">
        <f t="shared" si="12"/>
        <v>2700000</v>
      </c>
      <c r="F18" s="92">
        <f>VLOOKUP(B18,'CC -9'!$B$8:$AS$25,36,0)</f>
        <v>26</v>
      </c>
      <c r="G18" s="145">
        <f t="shared" si="13"/>
        <v>2700000</v>
      </c>
      <c r="H18" s="92">
        <f>(VLOOKUP(B18,'CC -9'!$B$8:$AS$25,37,0)+VLOOKUP(B18,'CC -9'!$B$8:$AS$25,38,0))</f>
        <v>0</v>
      </c>
      <c r="I18" s="145">
        <f t="shared" si="14"/>
        <v>0</v>
      </c>
      <c r="J18" s="146">
        <f t="shared" si="15"/>
        <v>26</v>
      </c>
      <c r="K18" s="39">
        <f t="shared" si="15"/>
        <v>2700000</v>
      </c>
      <c r="L18" s="90">
        <f t="shared" si="16"/>
        <v>390000</v>
      </c>
      <c r="M18" s="40">
        <f t="shared" si="17"/>
        <v>3090000</v>
      </c>
      <c r="N18" s="40">
        <f>IF(VLOOKUP(B18,DS,9,0)="x",'L - 9'!E18*$N$4,0)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3090000</v>
      </c>
      <c r="R18" s="39">
        <f t="shared" si="20"/>
        <v>0</v>
      </c>
      <c r="S18" s="45">
        <f t="shared" si="22"/>
        <v>3090000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39" t="s">
        <v>25</v>
      </c>
      <c r="B20" s="239"/>
      <c r="C20" s="239"/>
      <c r="D20" s="239"/>
      <c r="E20" s="140">
        <f>SUM(E10:E19)</f>
        <v>25300000</v>
      </c>
      <c r="F20" s="140"/>
      <c r="G20" s="140">
        <f>SUM(G10:G19)</f>
        <v>25300000</v>
      </c>
      <c r="H20" s="140"/>
      <c r="I20" s="140">
        <f>SUM(I10:I19)</f>
        <v>0</v>
      </c>
      <c r="J20" s="26"/>
      <c r="K20" s="26">
        <f t="shared" ref="K20:S20" si="23">SUM(K10:K19)</f>
        <v>25300000</v>
      </c>
      <c r="L20" s="26">
        <f t="shared" si="23"/>
        <v>3120000</v>
      </c>
      <c r="M20" s="26">
        <f t="shared" si="23"/>
        <v>28420000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28420000</v>
      </c>
      <c r="R20" s="26">
        <f t="shared" si="23"/>
        <v>0</v>
      </c>
      <c r="S20" s="26">
        <f t="shared" si="23"/>
        <v>28420000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09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20:D20"/>
    <mergeCell ref="N5:P5"/>
    <mergeCell ref="Q5:Q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9" activePane="bottomRight" state="frozen"/>
      <selection activeCell="E5" sqref="E5:E7"/>
      <selection pane="topRight" activeCell="E5" sqref="E5:E7"/>
      <selection pane="bottomLeft" activeCell="E5" sqref="E5:E7"/>
      <selection pane="bottomRight" activeCell="A2" sqref="A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6" t="s">
        <v>154</v>
      </c>
      <c r="AN1" s="237"/>
      <c r="AO1" s="237"/>
      <c r="AP1" s="237"/>
      <c r="AQ1" s="237"/>
      <c r="AR1" s="237"/>
      <c r="AS1" s="2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40817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32" t="s">
        <v>28</v>
      </c>
      <c r="B5" s="232" t="s">
        <v>3</v>
      </c>
      <c r="C5" s="232" t="s">
        <v>1</v>
      </c>
      <c r="D5" s="228" t="s">
        <v>29</v>
      </c>
      <c r="E5" s="232" t="s">
        <v>30</v>
      </c>
      <c r="F5" s="118">
        <f>+E4</f>
        <v>40817</v>
      </c>
      <c r="G5" s="118">
        <f t="shared" ref="G5:AJ5" si="0">F5+1</f>
        <v>40818</v>
      </c>
      <c r="H5" s="118">
        <f t="shared" si="0"/>
        <v>40819</v>
      </c>
      <c r="I5" s="118">
        <f t="shared" si="0"/>
        <v>40820</v>
      </c>
      <c r="J5" s="118">
        <f t="shared" si="0"/>
        <v>40821</v>
      </c>
      <c r="K5" s="118">
        <f t="shared" si="0"/>
        <v>40822</v>
      </c>
      <c r="L5" s="118">
        <f t="shared" si="0"/>
        <v>40823</v>
      </c>
      <c r="M5" s="118">
        <f t="shared" si="0"/>
        <v>40824</v>
      </c>
      <c r="N5" s="118">
        <f t="shared" si="0"/>
        <v>40825</v>
      </c>
      <c r="O5" s="118">
        <f t="shared" si="0"/>
        <v>40826</v>
      </c>
      <c r="P5" s="118">
        <f t="shared" si="0"/>
        <v>40827</v>
      </c>
      <c r="Q5" s="118">
        <f t="shared" si="0"/>
        <v>40828</v>
      </c>
      <c r="R5" s="118">
        <f t="shared" si="0"/>
        <v>40829</v>
      </c>
      <c r="S5" s="118">
        <f t="shared" si="0"/>
        <v>40830</v>
      </c>
      <c r="T5" s="118">
        <f t="shared" si="0"/>
        <v>40831</v>
      </c>
      <c r="U5" s="118">
        <f t="shared" si="0"/>
        <v>40832</v>
      </c>
      <c r="V5" s="118">
        <f t="shared" si="0"/>
        <v>40833</v>
      </c>
      <c r="W5" s="118">
        <f t="shared" si="0"/>
        <v>40834</v>
      </c>
      <c r="X5" s="118">
        <f t="shared" si="0"/>
        <v>40835</v>
      </c>
      <c r="Y5" s="118">
        <f t="shared" si="0"/>
        <v>40836</v>
      </c>
      <c r="Z5" s="118">
        <f t="shared" si="0"/>
        <v>40837</v>
      </c>
      <c r="AA5" s="118">
        <f t="shared" si="0"/>
        <v>40838</v>
      </c>
      <c r="AB5" s="118">
        <f t="shared" si="0"/>
        <v>40839</v>
      </c>
      <c r="AC5" s="118">
        <f t="shared" si="0"/>
        <v>40840</v>
      </c>
      <c r="AD5" s="118">
        <f t="shared" si="0"/>
        <v>40841</v>
      </c>
      <c r="AE5" s="118">
        <f t="shared" si="0"/>
        <v>40842</v>
      </c>
      <c r="AF5" s="118">
        <f t="shared" si="0"/>
        <v>40843</v>
      </c>
      <c r="AG5" s="118">
        <f t="shared" si="0"/>
        <v>40844</v>
      </c>
      <c r="AH5" s="118">
        <f>AG5+1</f>
        <v>40845</v>
      </c>
      <c r="AI5" s="118">
        <f t="shared" si="0"/>
        <v>40846</v>
      </c>
      <c r="AJ5" s="118">
        <f t="shared" si="0"/>
        <v>40847</v>
      </c>
      <c r="AK5" s="233" t="s">
        <v>15</v>
      </c>
      <c r="AL5" s="234"/>
      <c r="AM5" s="235"/>
      <c r="AN5" s="230" t="s">
        <v>45</v>
      </c>
      <c r="AO5" s="230" t="s">
        <v>41</v>
      </c>
      <c r="AP5" s="230" t="s">
        <v>42</v>
      </c>
      <c r="AQ5" s="230" t="s">
        <v>43</v>
      </c>
      <c r="AR5" s="230" t="s">
        <v>44</v>
      </c>
      <c r="AS5" s="228" t="s">
        <v>0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29"/>
      <c r="B6" s="229"/>
      <c r="C6" s="229"/>
      <c r="D6" s="229"/>
      <c r="E6" s="229"/>
      <c r="F6" s="175" t="str">
        <f>CHOOSE(WEEKDAY(F5),"C.Nhật","T.Hai","T.Ba","T.Tư","T.Năm","T.Sáu","T.Bảy")</f>
        <v>T.Bảy</v>
      </c>
      <c r="G6" s="175" t="str">
        <f t="shared" ref="G6:AI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ref="AJ6" si="2">CHOOSE(WEEKDAY(AJ5),"C.Nhật","T.Hai","T.Ba","T.Tư","T.Năm","T.Sáu","T.Bảy")</f>
        <v>T.Hai</v>
      </c>
      <c r="AK6" s="176" t="s">
        <v>16</v>
      </c>
      <c r="AL6" s="176" t="s">
        <v>31</v>
      </c>
      <c r="AM6" s="177" t="s">
        <v>17</v>
      </c>
      <c r="AN6" s="231"/>
      <c r="AO6" s="231"/>
      <c r="AP6" s="231"/>
      <c r="AQ6" s="231"/>
      <c r="AR6" s="231"/>
      <c r="AS6" s="229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157</v>
      </c>
      <c r="B8" s="182" t="s">
        <v>158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15">
        <v>1</v>
      </c>
      <c r="B9" s="215" t="s">
        <v>164</v>
      </c>
      <c r="C9" s="217" t="str">
        <f>VLOOKUP(B9,DS,2,0)</f>
        <v>Lê Thị Dung</v>
      </c>
      <c r="D9" s="225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19">
        <f>((SUM(F9:AJ9))/8)-(SUMIF($F$6:$AJ$6,"C.Nhật",F9:AJ9)/8)</f>
        <v>26</v>
      </c>
      <c r="AL9" s="219">
        <f>SUM(F10:AJ10)/8*1.5</f>
        <v>0</v>
      </c>
      <c r="AM9" s="221">
        <f>SUMIF($F$6:$AJ$6,"C.Nhật",$F9:$AJ10)/8*2</f>
        <v>0</v>
      </c>
      <c r="AN9" s="211">
        <f>SUM(AK9:AM10)</f>
        <v>26</v>
      </c>
      <c r="AO9" s="223">
        <v>0</v>
      </c>
      <c r="AP9" s="211"/>
      <c r="AQ9" s="211"/>
      <c r="AR9" s="211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16"/>
      <c r="B10" s="216"/>
      <c r="C10" s="218"/>
      <c r="D10" s="22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20"/>
      <c r="AL10" s="220"/>
      <c r="AM10" s="222"/>
      <c r="AN10" s="212"/>
      <c r="AO10" s="224"/>
      <c r="AP10" s="212"/>
      <c r="AQ10" s="212"/>
      <c r="AR10" s="212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15">
        <f>A9+1</f>
        <v>2</v>
      </c>
      <c r="B11" s="215" t="s">
        <v>165</v>
      </c>
      <c r="C11" s="217" t="str">
        <f>VLOOKUP(B11,DS,2,0)</f>
        <v>Phan Văn Hiền</v>
      </c>
      <c r="D11" s="225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19">
        <f t="shared" ref="AK11" si="3">((SUM(F11:AJ11))/8)-(SUMIF($F$6:$AJ$6,"C.Nhật",F11:AJ11)/8)</f>
        <v>26</v>
      </c>
      <c r="AL11" s="219">
        <f t="shared" ref="AL11" si="4">SUM(F12:AJ12)/8*1.5</f>
        <v>0</v>
      </c>
      <c r="AM11" s="221">
        <f t="shared" ref="AM11" si="5">SUMIF($F$6:$AJ$6,"C.Nhật",$F11:$AJ12)/8*2</f>
        <v>0</v>
      </c>
      <c r="AN11" s="211">
        <f t="shared" ref="AN11" si="6">SUM(AK11:AM12)</f>
        <v>26</v>
      </c>
      <c r="AO11" s="223">
        <v>0</v>
      </c>
      <c r="AP11" s="211"/>
      <c r="AQ11" s="211"/>
      <c r="AR11" s="211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16"/>
      <c r="B12" s="216"/>
      <c r="C12" s="218"/>
      <c r="D12" s="22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20"/>
      <c r="AL12" s="220"/>
      <c r="AM12" s="222"/>
      <c r="AN12" s="212"/>
      <c r="AO12" s="224"/>
      <c r="AP12" s="212"/>
      <c r="AQ12" s="212"/>
      <c r="AR12" s="212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159</v>
      </c>
      <c r="B13" s="182" t="s">
        <v>163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15">
        <v>1</v>
      </c>
      <c r="B14" s="215" t="s">
        <v>166</v>
      </c>
      <c r="C14" s="217" t="str">
        <f>VLOOKUP(B14,DS,2,0)</f>
        <v>Nguyễn Trường Giang</v>
      </c>
      <c r="D14" s="225" t="str">
        <f>VLOOKUP(B14,DS,3,0)</f>
        <v>Thợ in</v>
      </c>
      <c r="E14" s="68" t="s">
        <v>32</v>
      </c>
      <c r="F14" s="143">
        <v>8</v>
      </c>
      <c r="G14" s="143"/>
      <c r="H14" s="143">
        <v>8</v>
      </c>
      <c r="I14" s="143">
        <v>8</v>
      </c>
      <c r="J14" s="143">
        <v>8</v>
      </c>
      <c r="K14" s="143">
        <v>8</v>
      </c>
      <c r="L14" s="143">
        <v>8</v>
      </c>
      <c r="M14" s="143">
        <v>8</v>
      </c>
      <c r="N14" s="143"/>
      <c r="O14" s="143">
        <v>8</v>
      </c>
      <c r="P14" s="143">
        <v>8</v>
      </c>
      <c r="Q14" s="143">
        <v>8</v>
      </c>
      <c r="R14" s="143">
        <v>8</v>
      </c>
      <c r="S14" s="143">
        <v>8</v>
      </c>
      <c r="T14" s="143">
        <v>8</v>
      </c>
      <c r="U14" s="143"/>
      <c r="V14" s="143">
        <v>8</v>
      </c>
      <c r="W14" s="143">
        <v>8</v>
      </c>
      <c r="X14" s="143">
        <v>8</v>
      </c>
      <c r="Y14" s="143">
        <v>8</v>
      </c>
      <c r="Z14" s="143">
        <v>8</v>
      </c>
      <c r="AA14" s="143">
        <v>8</v>
      </c>
      <c r="AB14" s="143"/>
      <c r="AC14" s="143">
        <v>8</v>
      </c>
      <c r="AD14" s="143">
        <v>8</v>
      </c>
      <c r="AE14" s="143">
        <v>8</v>
      </c>
      <c r="AF14" s="143">
        <v>8</v>
      </c>
      <c r="AG14" s="143">
        <v>8</v>
      </c>
      <c r="AH14" s="143">
        <v>8</v>
      </c>
      <c r="AI14" s="143"/>
      <c r="AJ14" s="143">
        <v>8</v>
      </c>
      <c r="AK14" s="219">
        <f t="shared" ref="AK14" si="7">((SUM(F14:AJ14))/8)-(SUMIF($F$6:$AJ$6,"C.Nhật",F14:AJ14)/8)</f>
        <v>26</v>
      </c>
      <c r="AL14" s="219">
        <f t="shared" ref="AL14" si="8">SUM(F15:AJ15)/8*1.5</f>
        <v>0</v>
      </c>
      <c r="AM14" s="221">
        <f>SUMIF($F$6:$AJ$6,"C.Nhật",$F14:$AJ15)/8*2</f>
        <v>0</v>
      </c>
      <c r="AN14" s="211">
        <f>SUM(AK14:AM15)</f>
        <v>26</v>
      </c>
      <c r="AO14" s="223">
        <v>0</v>
      </c>
      <c r="AP14" s="211"/>
      <c r="AQ14" s="211"/>
      <c r="AR14" s="211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16"/>
      <c r="B15" s="216"/>
      <c r="C15" s="218"/>
      <c r="D15" s="226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20"/>
      <c r="AL15" s="220"/>
      <c r="AM15" s="222"/>
      <c r="AN15" s="212"/>
      <c r="AO15" s="224"/>
      <c r="AP15" s="212"/>
      <c r="AQ15" s="212"/>
      <c r="AR15" s="212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15">
        <f>A14+1</f>
        <v>2</v>
      </c>
      <c r="B16" s="215" t="s">
        <v>167</v>
      </c>
      <c r="C16" s="217" t="str">
        <f>VLOOKUP(B16,DS,2,0)</f>
        <v>Đoàn Hồng Phong</v>
      </c>
      <c r="D16" s="225" t="str">
        <f>VLOOKUP(B16,DS,3,0)</f>
        <v>Thợ đóng - xả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19">
        <f t="shared" ref="AK16" si="9">((SUM(F16:AJ16))/8)-(SUMIF($F$6:$AJ$6,"C.Nhật",F16:AJ16)/8)</f>
        <v>26</v>
      </c>
      <c r="AL16" s="219">
        <f t="shared" ref="AL16" si="10">SUM(F17:AJ17)/8*1.5</f>
        <v>0</v>
      </c>
      <c r="AM16" s="221">
        <f>SUMIF($F$6:$AJ$6,"C.Nhật",$F16:$AJ17)/8*2</f>
        <v>0</v>
      </c>
      <c r="AN16" s="211">
        <f t="shared" ref="AN16" si="11">SUM(AK16:AM17)</f>
        <v>26</v>
      </c>
      <c r="AO16" s="223">
        <v>0</v>
      </c>
      <c r="AP16" s="211"/>
      <c r="AQ16" s="211"/>
      <c r="AR16" s="211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16"/>
      <c r="B17" s="216"/>
      <c r="C17" s="218"/>
      <c r="D17" s="22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20"/>
      <c r="AL17" s="220"/>
      <c r="AM17" s="222"/>
      <c r="AN17" s="212"/>
      <c r="AO17" s="224"/>
      <c r="AP17" s="212"/>
      <c r="AQ17" s="212"/>
      <c r="AR17" s="212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15">
        <f t="shared" ref="A18" si="12">A16+1</f>
        <v>3</v>
      </c>
      <c r="B18" s="215" t="s">
        <v>168</v>
      </c>
      <c r="C18" s="217" t="str">
        <f>VLOOKUP(B18,DS,2,0)</f>
        <v>Trần Hữu Tình</v>
      </c>
      <c r="D18" s="225" t="str">
        <f>VLOOKUP(B18,DS,3,0)</f>
        <v>Công nhân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19">
        <f t="shared" ref="AK18" si="13">((SUM(F18:AJ18))/8)-(SUMIF($F$6:$AJ$6,"C.Nhật",F18:AJ18)/8)</f>
        <v>26</v>
      </c>
      <c r="AL18" s="219">
        <f t="shared" ref="AL18" si="14">SUM(F19:AJ19)/8*1.5</f>
        <v>0</v>
      </c>
      <c r="AM18" s="221">
        <f>SUMIF($F$6:$AJ$6,"C.Nhật",$F18:$AJ19)/8*2</f>
        <v>0</v>
      </c>
      <c r="AN18" s="211">
        <f t="shared" ref="AN18" si="15">SUM(AK18:AM19)</f>
        <v>26</v>
      </c>
      <c r="AO18" s="223">
        <v>0</v>
      </c>
      <c r="AP18" s="211"/>
      <c r="AQ18" s="211"/>
      <c r="AR18" s="211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16"/>
      <c r="B19" s="216"/>
      <c r="C19" s="218"/>
      <c r="D19" s="22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20"/>
      <c r="AL19" s="220"/>
      <c r="AM19" s="222"/>
      <c r="AN19" s="212"/>
      <c r="AO19" s="224"/>
      <c r="AP19" s="212"/>
      <c r="AQ19" s="212"/>
      <c r="AR19" s="212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15">
        <f t="shared" ref="A20" si="16">A18+1</f>
        <v>4</v>
      </c>
      <c r="B20" s="215" t="s">
        <v>169</v>
      </c>
      <c r="C20" s="217" t="str">
        <f>VLOOKUP(B20,DS,2,0)</f>
        <v>Trương Văn Thành</v>
      </c>
      <c r="D20" s="225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19">
        <f t="shared" ref="AK20" si="17">((SUM(F20:AJ20))/8)-(SUMIF($F$6:$AJ$6,"C.Nhật",F20:AJ20)/8)</f>
        <v>26</v>
      </c>
      <c r="AL20" s="219">
        <f t="shared" ref="AL20" si="18">SUM(F21:AJ21)/8*1.5</f>
        <v>0</v>
      </c>
      <c r="AM20" s="221">
        <f>SUMIF($F$6:$AJ$6,"C.Nhật",$F20:$AJ21)/8*2</f>
        <v>0</v>
      </c>
      <c r="AN20" s="211">
        <f t="shared" ref="AN20" si="19">SUM(AK20:AM21)</f>
        <v>26</v>
      </c>
      <c r="AO20" s="223">
        <v>0</v>
      </c>
      <c r="AP20" s="211"/>
      <c r="AQ20" s="211"/>
      <c r="AR20" s="211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16"/>
      <c r="B21" s="216"/>
      <c r="C21" s="218"/>
      <c r="D21" s="22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20"/>
      <c r="AL21" s="220"/>
      <c r="AM21" s="222"/>
      <c r="AN21" s="212"/>
      <c r="AO21" s="224"/>
      <c r="AP21" s="212"/>
      <c r="AQ21" s="212"/>
      <c r="AR21" s="212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15">
        <f t="shared" ref="A22" si="20">A20+1</f>
        <v>5</v>
      </c>
      <c r="B22" s="215" t="s">
        <v>170</v>
      </c>
      <c r="C22" s="217" t="str">
        <f>VLOOKUP(B22,DS,2,0)</f>
        <v>Trần Thị Ngọc Anh</v>
      </c>
      <c r="D22" s="225" t="str">
        <f>VLOOKUP(B22,DS,3,0)</f>
        <v>Công nhân</v>
      </c>
      <c r="E22" s="68" t="s">
        <v>32</v>
      </c>
      <c r="F22" s="143">
        <v>8</v>
      </c>
      <c r="G22" s="143"/>
      <c r="H22" s="143">
        <v>8</v>
      </c>
      <c r="I22" s="143">
        <v>8</v>
      </c>
      <c r="J22" s="143">
        <v>8</v>
      </c>
      <c r="K22" s="143">
        <v>8</v>
      </c>
      <c r="L22" s="143">
        <v>8</v>
      </c>
      <c r="M22" s="143">
        <v>8</v>
      </c>
      <c r="N22" s="143"/>
      <c r="O22" s="143">
        <v>8</v>
      </c>
      <c r="P22" s="143">
        <v>8</v>
      </c>
      <c r="Q22" s="143">
        <v>8</v>
      </c>
      <c r="R22" s="143">
        <v>8</v>
      </c>
      <c r="S22" s="143">
        <v>8</v>
      </c>
      <c r="T22" s="143">
        <v>8</v>
      </c>
      <c r="U22" s="143"/>
      <c r="V22" s="143">
        <v>8</v>
      </c>
      <c r="W22" s="143">
        <v>8</v>
      </c>
      <c r="X22" s="143">
        <v>8</v>
      </c>
      <c r="Y22" s="143">
        <v>8</v>
      </c>
      <c r="Z22" s="143">
        <v>8</v>
      </c>
      <c r="AA22" s="143">
        <v>8</v>
      </c>
      <c r="AB22" s="143"/>
      <c r="AC22" s="143">
        <v>8</v>
      </c>
      <c r="AD22" s="143">
        <v>8</v>
      </c>
      <c r="AE22" s="143">
        <v>8</v>
      </c>
      <c r="AF22" s="143">
        <v>8</v>
      </c>
      <c r="AG22" s="143">
        <v>8</v>
      </c>
      <c r="AH22" s="143">
        <v>8</v>
      </c>
      <c r="AI22" s="143"/>
      <c r="AJ22" s="143">
        <v>8</v>
      </c>
      <c r="AK22" s="219">
        <f t="shared" ref="AK22" si="21">((SUM(F22:AJ22))/8)-(SUMIF($F$6:$AJ$6,"C.Nhật",F22:AJ22)/8)</f>
        <v>26</v>
      </c>
      <c r="AL22" s="219">
        <f t="shared" ref="AL22" si="22">SUM(F23:AJ23)/8*1.5</f>
        <v>0</v>
      </c>
      <c r="AM22" s="221">
        <f>SUMIF($F$6:$AJ$6,"C.Nhật",$F22:$AJ23)/8*2</f>
        <v>0</v>
      </c>
      <c r="AN22" s="211">
        <f t="shared" ref="AN22" si="23">SUM(AK22:AM23)</f>
        <v>26</v>
      </c>
      <c r="AO22" s="223">
        <v>0</v>
      </c>
      <c r="AP22" s="211"/>
      <c r="AQ22" s="211"/>
      <c r="AR22" s="211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16"/>
      <c r="B23" s="216"/>
      <c r="C23" s="218"/>
      <c r="D23" s="226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20"/>
      <c r="AL23" s="220"/>
      <c r="AM23" s="222"/>
      <c r="AN23" s="212"/>
      <c r="AO23" s="224"/>
      <c r="AP23" s="212"/>
      <c r="AQ23" s="212"/>
      <c r="AR23" s="212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15">
        <f t="shared" ref="A24" si="24">A22+1</f>
        <v>6</v>
      </c>
      <c r="B24" s="215" t="s">
        <v>171</v>
      </c>
      <c r="C24" s="217" t="str">
        <f>VLOOKUP(B24,DS,2,0)</f>
        <v>Nguyễn Minh Vương</v>
      </c>
      <c r="D24" s="225" t="str">
        <f>VLOOKUP(B24,DS,3,0)</f>
        <v>Công nhân</v>
      </c>
      <c r="E24" s="68" t="s">
        <v>32</v>
      </c>
      <c r="F24" s="143">
        <v>8</v>
      </c>
      <c r="G24" s="143"/>
      <c r="H24" s="143">
        <v>8</v>
      </c>
      <c r="I24" s="143">
        <v>8</v>
      </c>
      <c r="J24" s="143">
        <v>8</v>
      </c>
      <c r="K24" s="143">
        <v>8</v>
      </c>
      <c r="L24" s="143">
        <v>8</v>
      </c>
      <c r="M24" s="143">
        <v>8</v>
      </c>
      <c r="N24" s="143"/>
      <c r="O24" s="143">
        <v>8</v>
      </c>
      <c r="P24" s="143">
        <v>8</v>
      </c>
      <c r="Q24" s="143">
        <v>8</v>
      </c>
      <c r="R24" s="143">
        <v>8</v>
      </c>
      <c r="S24" s="143">
        <v>8</v>
      </c>
      <c r="T24" s="143">
        <v>8</v>
      </c>
      <c r="U24" s="143"/>
      <c r="V24" s="143">
        <v>8</v>
      </c>
      <c r="W24" s="143">
        <v>8</v>
      </c>
      <c r="X24" s="143">
        <v>8</v>
      </c>
      <c r="Y24" s="143">
        <v>8</v>
      </c>
      <c r="Z24" s="143">
        <v>8</v>
      </c>
      <c r="AA24" s="143">
        <v>8</v>
      </c>
      <c r="AB24" s="143"/>
      <c r="AC24" s="143">
        <v>8</v>
      </c>
      <c r="AD24" s="143">
        <v>8</v>
      </c>
      <c r="AE24" s="143">
        <v>8</v>
      </c>
      <c r="AF24" s="143">
        <v>8</v>
      </c>
      <c r="AG24" s="143">
        <v>8</v>
      </c>
      <c r="AH24" s="143">
        <v>8</v>
      </c>
      <c r="AI24" s="143"/>
      <c r="AJ24" s="143">
        <v>8</v>
      </c>
      <c r="AK24" s="219">
        <f t="shared" ref="AK24" si="25">((SUM(F24:AJ24))/8)-(SUMIF($F$6:$AJ$6,"C.Nhật",F24:AJ24)/8)</f>
        <v>26</v>
      </c>
      <c r="AL24" s="219">
        <f t="shared" ref="AL24" si="26">SUM(F25:AJ25)/8*1.5</f>
        <v>0</v>
      </c>
      <c r="AM24" s="221">
        <f>SUMIF($F$6:$AJ$6,"C.Nhật",$F24:$AJ25)/8*2</f>
        <v>0</v>
      </c>
      <c r="AN24" s="211">
        <f t="shared" ref="AN24" si="27">SUM(AK24:AM25)</f>
        <v>26</v>
      </c>
      <c r="AO24" s="223">
        <v>0</v>
      </c>
      <c r="AP24" s="211"/>
      <c r="AQ24" s="211"/>
      <c r="AR24" s="211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16"/>
      <c r="B25" s="216"/>
      <c r="C25" s="218"/>
      <c r="D25" s="226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20"/>
      <c r="AL25" s="220"/>
      <c r="AM25" s="222"/>
      <c r="AN25" s="212"/>
      <c r="AO25" s="224"/>
      <c r="AP25" s="212"/>
      <c r="AQ25" s="212"/>
      <c r="AR25" s="212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</mergeCells>
  <conditionalFormatting sqref="F5:AJ6 F9:AJ12 F14:AJ25">
    <cfRule type="expression" dxfId="14" priority="6" stopIfTrue="1">
      <formula>IF(WEEKDAY(F$5)=1,TRUE,FALSE)</formula>
    </cfRule>
  </conditionalFormatting>
  <conditionalFormatting sqref="F9:AJ12">
    <cfRule type="expression" dxfId="13" priority="5" stopIfTrue="1">
      <formula>IF(WEEKDAY(F$5)=1,TRUE,FALSE)</formula>
    </cfRule>
  </conditionalFormatting>
  <conditionalFormatting sqref="F14:AJ25">
    <cfRule type="expression" dxfId="12" priority="4" stopIfTrue="1">
      <formula>IF(WEEKDAY(F$5)=1,TRUE,FALSE)</formula>
    </cfRule>
  </conditionalFormatting>
  <conditionalFormatting sqref="F14:AJ25">
    <cfRule type="expression" dxfId="11" priority="3" stopIfTrue="1">
      <formula>IF(WEEKDAY(F$5)=1,TRUE,FALSE)</formula>
    </cfRule>
  </conditionalFormatting>
  <conditionalFormatting sqref="F14:AI25">
    <cfRule type="expression" dxfId="10" priority="2" stopIfTrue="1">
      <formula>IF(WEEKDAY(F$5)=1,TRUE,FALSE)</formula>
    </cfRule>
  </conditionalFormatting>
  <conditionalFormatting sqref="F14:AJ25">
    <cfRule type="expression" dxfId="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0" t="str">
        <f>"BẢNG THANH TOÁN LƯƠNG THÁNG"&amp;" "&amp;TEXT($E$4,"mm")&amp;" / "&amp;TEXT($E$4,"yyyy")</f>
        <v>BẢNG THANH TOÁN LƯƠNG THÁNG 10 / 2011</v>
      </c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1"/>
      <c r="R1" s="247" t="s">
        <v>153</v>
      </c>
      <c r="S1" s="248"/>
      <c r="T1" s="2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-10'!$E$4</f>
        <v>40817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2" t="s">
        <v>19</v>
      </c>
      <c r="B5" s="242" t="s">
        <v>20</v>
      </c>
      <c r="C5" s="207" t="s">
        <v>1</v>
      </c>
      <c r="D5" s="207" t="s">
        <v>2</v>
      </c>
      <c r="E5" s="210" t="s">
        <v>56</v>
      </c>
      <c r="F5" s="252" t="s">
        <v>26</v>
      </c>
      <c r="G5" s="254"/>
      <c r="H5" s="254"/>
      <c r="I5" s="254"/>
      <c r="J5" s="254"/>
      <c r="K5" s="253"/>
      <c r="L5" s="244" t="s">
        <v>57</v>
      </c>
      <c r="M5" s="244" t="s">
        <v>5</v>
      </c>
      <c r="N5" s="207" t="s">
        <v>6</v>
      </c>
      <c r="O5" s="207"/>
      <c r="P5" s="207"/>
      <c r="Q5" s="244" t="s">
        <v>7</v>
      </c>
      <c r="R5" s="244" t="s">
        <v>8</v>
      </c>
      <c r="S5" s="244" t="s">
        <v>9</v>
      </c>
      <c r="T5" s="20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3"/>
      <c r="B6" s="243"/>
      <c r="C6" s="207"/>
      <c r="D6" s="207"/>
      <c r="E6" s="210"/>
      <c r="F6" s="252" t="s">
        <v>59</v>
      </c>
      <c r="G6" s="253"/>
      <c r="H6" s="252" t="s">
        <v>161</v>
      </c>
      <c r="I6" s="254"/>
      <c r="J6" s="255" t="s">
        <v>27</v>
      </c>
      <c r="K6" s="244" t="s">
        <v>4</v>
      </c>
      <c r="L6" s="245"/>
      <c r="M6" s="245"/>
      <c r="N6" s="250" t="s">
        <v>12</v>
      </c>
      <c r="O6" s="244" t="s">
        <v>13</v>
      </c>
      <c r="P6" s="244" t="s">
        <v>34</v>
      </c>
      <c r="Q6" s="245"/>
      <c r="R6" s="245"/>
      <c r="S6" s="245"/>
      <c r="T6" s="20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3"/>
      <c r="B7" s="243"/>
      <c r="C7" s="244"/>
      <c r="D7" s="244"/>
      <c r="E7" s="210"/>
      <c r="F7" s="196" t="s">
        <v>40</v>
      </c>
      <c r="G7" s="193" t="s">
        <v>18</v>
      </c>
      <c r="H7" s="196" t="s">
        <v>40</v>
      </c>
      <c r="I7" s="128" t="s">
        <v>18</v>
      </c>
      <c r="J7" s="256"/>
      <c r="K7" s="245"/>
      <c r="L7" s="246"/>
      <c r="M7" s="246"/>
      <c r="N7" s="251"/>
      <c r="O7" s="245"/>
      <c r="P7" s="245"/>
      <c r="Q7" s="245"/>
      <c r="R7" s="245"/>
      <c r="S7" s="245"/>
      <c r="T7" s="20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157</v>
      </c>
      <c r="B9" s="188" t="s">
        <v>158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164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4500000</v>
      </c>
      <c r="F10" s="92">
        <f>VLOOKUP(B10,'CC -10'!$B$8:$AS$25,36,0)</f>
        <v>26</v>
      </c>
      <c r="G10" s="145">
        <f t="shared" ref="G10:G11" si="3">ROUND(E10/$U$2*F10,0)</f>
        <v>4500000</v>
      </c>
      <c r="H10" s="92">
        <f>(VLOOKUP(B10,'CC -10'!$B$8:$AS$25,37,0)+VLOOKUP(B10,'CC -10'!$B$8:$AS$25,38,0))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4500000</v>
      </c>
      <c r="L10" s="90">
        <f t="shared" ref="L10:L11" si="6">+F10*15000</f>
        <v>390000</v>
      </c>
      <c r="M10" s="40">
        <f t="shared" ref="M10:M11" si="7">K10+L10</f>
        <v>4890000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4890000</v>
      </c>
      <c r="R10" s="39">
        <f>VLOOKUP(B10,DS,23,0)</f>
        <v>0</v>
      </c>
      <c r="S10" s="45">
        <f t="shared" ref="S10:S11" si="9">Q10-R10</f>
        <v>4890000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165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4000000</v>
      </c>
      <c r="F11" s="92">
        <f>VLOOKUP(B11,'CC -10'!$B$8:$AS$25,36,0)</f>
        <v>26</v>
      </c>
      <c r="G11" s="145">
        <f t="shared" si="3"/>
        <v>4000000</v>
      </c>
      <c r="H11" s="92">
        <f>(VLOOKUP(B11,'CC -10'!$B$8:$AS$25,37,0)+VLOOKUP(B11,'CC -10'!$B$8:$AS$25,38,0))</f>
        <v>0</v>
      </c>
      <c r="I11" s="145">
        <f t="shared" si="4"/>
        <v>0</v>
      </c>
      <c r="J11" s="93">
        <f t="shared" si="5"/>
        <v>26</v>
      </c>
      <c r="K11" s="39">
        <f t="shared" si="5"/>
        <v>4000000</v>
      </c>
      <c r="L11" s="90">
        <f t="shared" si="6"/>
        <v>390000</v>
      </c>
      <c r="M11" s="40">
        <f t="shared" si="7"/>
        <v>4390000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4390000</v>
      </c>
      <c r="R11" s="39">
        <f>VLOOKUP(B11,DS,23,0)</f>
        <v>0</v>
      </c>
      <c r="S11" s="45">
        <f t="shared" si="9"/>
        <v>4390000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159</v>
      </c>
      <c r="B12" s="188" t="s">
        <v>160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166</v>
      </c>
      <c r="C13" s="89" t="str">
        <f t="shared" ref="C13:C18" si="10">VLOOKUP(B13,DS,2,0)</f>
        <v>Nguyễn Trường Giang</v>
      </c>
      <c r="D13" s="116" t="str">
        <f t="shared" ref="D13:D18" si="11">VLOOKUP(B13,DS,3,0)</f>
        <v>Thợ in</v>
      </c>
      <c r="E13" s="90">
        <f t="shared" ref="E13:E18" si="12">VLOOKUP(B13,DS,4,0)</f>
        <v>3000000</v>
      </c>
      <c r="F13" s="92">
        <f>VLOOKUP(B13,'CC -10'!$B$8:$AS$25,36,0)</f>
        <v>26</v>
      </c>
      <c r="G13" s="145">
        <f t="shared" ref="G13:G18" si="13">ROUND(E13/$U$2*F13,0)</f>
        <v>3000000</v>
      </c>
      <c r="H13" s="92">
        <f>(VLOOKUP(B13,'CC -10'!$B$8:$AS$25,37,0)+VLOOKUP(B13,'CC -10'!$B$8:$AS$25,38,0))</f>
        <v>0</v>
      </c>
      <c r="I13" s="145">
        <f t="shared" ref="I13:I18" si="14">ROUND(E13/$U$2*H13,0)</f>
        <v>0</v>
      </c>
      <c r="J13" s="146">
        <f t="shared" ref="J13:K18" si="15">F13+H13</f>
        <v>26</v>
      </c>
      <c r="K13" s="39">
        <f t="shared" si="15"/>
        <v>3000000</v>
      </c>
      <c r="L13" s="90">
        <f t="shared" ref="L13:L18" si="16">+F13*15000</f>
        <v>390000</v>
      </c>
      <c r="M13" s="40">
        <f t="shared" ref="M13:M18" si="17">K13+L13</f>
        <v>3390000</v>
      </c>
      <c r="N13" s="40">
        <f>IF(VLOOKUP(B13,DS,9,0)="x",'L - 10'!E13*$N$4,0)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3390000</v>
      </c>
      <c r="R13" s="39">
        <f t="shared" ref="R13:R18" si="20">VLOOKUP(B13,DS,23,0)</f>
        <v>0</v>
      </c>
      <c r="S13" s="45">
        <f>Q13-R13</f>
        <v>3390000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167</v>
      </c>
      <c r="C14" s="89" t="str">
        <f t="shared" si="10"/>
        <v>Đoàn Hồng Phong</v>
      </c>
      <c r="D14" s="116" t="str">
        <f t="shared" si="11"/>
        <v>Thợ đóng - xả</v>
      </c>
      <c r="E14" s="90">
        <f t="shared" si="12"/>
        <v>3000000</v>
      </c>
      <c r="F14" s="92">
        <f>VLOOKUP(B14,'CC -10'!$B$8:$AS$25,36,0)</f>
        <v>26</v>
      </c>
      <c r="G14" s="145">
        <f t="shared" si="13"/>
        <v>3000000</v>
      </c>
      <c r="H14" s="92">
        <f>(VLOOKUP(B14,'CC -10'!$B$8:$AS$25,37,0)+VLOOKUP(B14,'CC -10'!$B$8:$AS$25,38,0))</f>
        <v>0</v>
      </c>
      <c r="I14" s="145">
        <f t="shared" si="14"/>
        <v>0</v>
      </c>
      <c r="J14" s="146">
        <f t="shared" si="15"/>
        <v>26</v>
      </c>
      <c r="K14" s="39">
        <f t="shared" si="15"/>
        <v>3000000</v>
      </c>
      <c r="L14" s="90">
        <f t="shared" si="16"/>
        <v>390000</v>
      </c>
      <c r="M14" s="40">
        <f t="shared" si="17"/>
        <v>3390000</v>
      </c>
      <c r="N14" s="40">
        <f>IF(VLOOKUP(B14,DS,9,0)="x",'L - 10'!E14*$N$4,0)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3390000</v>
      </c>
      <c r="R14" s="39">
        <f t="shared" si="20"/>
        <v>0</v>
      </c>
      <c r="S14" s="45">
        <f t="shared" ref="S14:S18" si="22">Q14-R14</f>
        <v>3390000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168</v>
      </c>
      <c r="C15" s="89" t="str">
        <f t="shared" si="10"/>
        <v>Trần Hữu Tình</v>
      </c>
      <c r="D15" s="116" t="str">
        <f t="shared" si="11"/>
        <v>Công nhân</v>
      </c>
      <c r="E15" s="90">
        <f t="shared" si="12"/>
        <v>2700000</v>
      </c>
      <c r="F15" s="92">
        <f>VLOOKUP(B15,'CC -10'!$B$8:$AS$25,36,0)</f>
        <v>26</v>
      </c>
      <c r="G15" s="145">
        <f t="shared" si="13"/>
        <v>2700000</v>
      </c>
      <c r="H15" s="92">
        <f>(VLOOKUP(B15,'CC -10'!$B$8:$AS$25,37,0)+VLOOKUP(B15,'CC -10'!$B$8:$AS$25,38,0))</f>
        <v>0</v>
      </c>
      <c r="I15" s="145">
        <f t="shared" si="14"/>
        <v>0</v>
      </c>
      <c r="J15" s="146">
        <f t="shared" si="15"/>
        <v>26</v>
      </c>
      <c r="K15" s="39">
        <f t="shared" si="15"/>
        <v>2700000</v>
      </c>
      <c r="L15" s="90">
        <f t="shared" si="16"/>
        <v>390000</v>
      </c>
      <c r="M15" s="40">
        <f t="shared" si="17"/>
        <v>3090000</v>
      </c>
      <c r="N15" s="40">
        <f>IF(VLOOKUP(B15,DS,9,0)="x",'L - 10'!E15*$N$4,0)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3090000</v>
      </c>
      <c r="R15" s="39">
        <f t="shared" si="20"/>
        <v>0</v>
      </c>
      <c r="S15" s="45">
        <f t="shared" si="22"/>
        <v>3090000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169</v>
      </c>
      <c r="C16" s="89" t="str">
        <f t="shared" si="10"/>
        <v>Trương Văn Thành</v>
      </c>
      <c r="D16" s="116" t="str">
        <f t="shared" si="11"/>
        <v>Công nhân</v>
      </c>
      <c r="E16" s="90">
        <f t="shared" si="12"/>
        <v>2700000</v>
      </c>
      <c r="F16" s="92">
        <f>VLOOKUP(B16,'CC -10'!$B$8:$AS$25,36,0)</f>
        <v>26</v>
      </c>
      <c r="G16" s="145">
        <f t="shared" si="13"/>
        <v>2700000</v>
      </c>
      <c r="H16" s="92">
        <f>(VLOOKUP(B16,'CC -10'!$B$8:$AS$25,37,0)+VLOOKUP(B16,'CC -10'!$B$8:$AS$25,38,0))</f>
        <v>0</v>
      </c>
      <c r="I16" s="145">
        <f t="shared" si="14"/>
        <v>0</v>
      </c>
      <c r="J16" s="146">
        <f t="shared" si="15"/>
        <v>26</v>
      </c>
      <c r="K16" s="39">
        <f t="shared" si="15"/>
        <v>2700000</v>
      </c>
      <c r="L16" s="90">
        <f t="shared" si="16"/>
        <v>390000</v>
      </c>
      <c r="M16" s="40">
        <f t="shared" si="17"/>
        <v>3090000</v>
      </c>
      <c r="N16" s="40">
        <f>IF(VLOOKUP(B16,DS,9,0)="x",'L - 10'!E16*$N$4,0)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3090000</v>
      </c>
      <c r="R16" s="39">
        <f t="shared" si="20"/>
        <v>0</v>
      </c>
      <c r="S16" s="45">
        <f t="shared" si="22"/>
        <v>3090000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170</v>
      </c>
      <c r="C17" s="89" t="str">
        <f t="shared" si="10"/>
        <v>Trần Thị Ngọc Anh</v>
      </c>
      <c r="D17" s="116" t="str">
        <f t="shared" si="11"/>
        <v>Công nhân</v>
      </c>
      <c r="E17" s="90">
        <f t="shared" si="12"/>
        <v>2700000</v>
      </c>
      <c r="F17" s="92">
        <f>VLOOKUP(B17,'CC -10'!$B$8:$AS$25,36,0)</f>
        <v>26</v>
      </c>
      <c r="G17" s="145">
        <f t="shared" si="13"/>
        <v>2700000</v>
      </c>
      <c r="H17" s="92">
        <f>(VLOOKUP(B17,'CC -10'!$B$8:$AS$25,37,0)+VLOOKUP(B17,'CC -10'!$B$8:$AS$25,38,0))</f>
        <v>0</v>
      </c>
      <c r="I17" s="145">
        <f t="shared" si="14"/>
        <v>0</v>
      </c>
      <c r="J17" s="146">
        <f t="shared" si="15"/>
        <v>26</v>
      </c>
      <c r="K17" s="39">
        <f t="shared" si="15"/>
        <v>2700000</v>
      </c>
      <c r="L17" s="90">
        <f t="shared" si="16"/>
        <v>390000</v>
      </c>
      <c r="M17" s="40">
        <f t="shared" si="17"/>
        <v>3090000</v>
      </c>
      <c r="N17" s="40">
        <f>IF(VLOOKUP(B17,DS,9,0)="x",'L - 10'!E17*$N$4,0)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3090000</v>
      </c>
      <c r="R17" s="39">
        <f t="shared" si="20"/>
        <v>0</v>
      </c>
      <c r="S17" s="45">
        <f t="shared" si="22"/>
        <v>3090000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171</v>
      </c>
      <c r="C18" s="89" t="str">
        <f t="shared" si="10"/>
        <v>Nguyễn Minh Vương</v>
      </c>
      <c r="D18" s="116" t="str">
        <f t="shared" si="11"/>
        <v>Công nhân</v>
      </c>
      <c r="E18" s="90">
        <f t="shared" si="12"/>
        <v>2700000</v>
      </c>
      <c r="F18" s="92">
        <f>VLOOKUP(B18,'CC -10'!$B$8:$AS$25,36,0)</f>
        <v>26</v>
      </c>
      <c r="G18" s="145">
        <f t="shared" si="13"/>
        <v>2700000</v>
      </c>
      <c r="H18" s="92">
        <f>(VLOOKUP(B18,'CC -10'!$B$8:$AS$25,37,0)+VLOOKUP(B18,'CC -10'!$B$8:$AS$25,38,0))</f>
        <v>0</v>
      </c>
      <c r="I18" s="145">
        <f t="shared" si="14"/>
        <v>0</v>
      </c>
      <c r="J18" s="146">
        <f t="shared" si="15"/>
        <v>26</v>
      </c>
      <c r="K18" s="39">
        <f t="shared" si="15"/>
        <v>2700000</v>
      </c>
      <c r="L18" s="90">
        <f t="shared" si="16"/>
        <v>390000</v>
      </c>
      <c r="M18" s="40">
        <f t="shared" si="17"/>
        <v>3090000</v>
      </c>
      <c r="N18" s="40">
        <f>IF(VLOOKUP(B18,DS,9,0)="x",'L - 10'!E18*$N$4,0)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3090000</v>
      </c>
      <c r="R18" s="39">
        <f t="shared" si="20"/>
        <v>0</v>
      </c>
      <c r="S18" s="45">
        <f t="shared" si="22"/>
        <v>3090000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39" t="s">
        <v>25</v>
      </c>
      <c r="B20" s="239"/>
      <c r="C20" s="239"/>
      <c r="D20" s="239"/>
      <c r="E20" s="140">
        <f>SUM(E10:E19)</f>
        <v>25300000</v>
      </c>
      <c r="F20" s="140"/>
      <c r="G20" s="140">
        <f>SUM(G10:G19)</f>
        <v>25300000</v>
      </c>
      <c r="H20" s="140"/>
      <c r="I20" s="140">
        <f>SUM(I10:I19)</f>
        <v>0</v>
      </c>
      <c r="J20" s="26"/>
      <c r="K20" s="26">
        <f t="shared" ref="K20:S20" si="23">SUM(K10:K19)</f>
        <v>25300000</v>
      </c>
      <c r="L20" s="26">
        <f t="shared" si="23"/>
        <v>3120000</v>
      </c>
      <c r="M20" s="26">
        <f t="shared" si="23"/>
        <v>28420000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28420000</v>
      </c>
      <c r="R20" s="26">
        <f t="shared" si="23"/>
        <v>0</v>
      </c>
      <c r="S20" s="26">
        <f t="shared" si="23"/>
        <v>28420000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10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20:D20"/>
    <mergeCell ref="N5:P5"/>
    <mergeCell ref="Q5:Q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F14" sqref="F14:AI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6" t="s">
        <v>154</v>
      </c>
      <c r="AN1" s="237"/>
      <c r="AO1" s="237"/>
      <c r="AP1" s="237"/>
      <c r="AQ1" s="237"/>
      <c r="AR1" s="237"/>
      <c r="AS1" s="2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32" t="s">
        <v>28</v>
      </c>
      <c r="B5" s="232" t="s">
        <v>3</v>
      </c>
      <c r="C5" s="232" t="s">
        <v>1</v>
      </c>
      <c r="D5" s="228" t="s">
        <v>29</v>
      </c>
      <c r="E5" s="232" t="s">
        <v>30</v>
      </c>
      <c r="F5" s="118">
        <f>+E4</f>
        <v>40848</v>
      </c>
      <c r="G5" s="118">
        <f t="shared" ref="G5:AI5" si="0">F5+1</f>
        <v>40849</v>
      </c>
      <c r="H5" s="118">
        <f t="shared" si="0"/>
        <v>40850</v>
      </c>
      <c r="I5" s="118">
        <f t="shared" si="0"/>
        <v>40851</v>
      </c>
      <c r="J5" s="118">
        <f t="shared" si="0"/>
        <v>40852</v>
      </c>
      <c r="K5" s="118">
        <f t="shared" si="0"/>
        <v>40853</v>
      </c>
      <c r="L5" s="118">
        <f t="shared" si="0"/>
        <v>40854</v>
      </c>
      <c r="M5" s="118">
        <f t="shared" si="0"/>
        <v>40855</v>
      </c>
      <c r="N5" s="118">
        <f t="shared" si="0"/>
        <v>40856</v>
      </c>
      <c r="O5" s="118">
        <f t="shared" si="0"/>
        <v>40857</v>
      </c>
      <c r="P5" s="118">
        <f t="shared" si="0"/>
        <v>40858</v>
      </c>
      <c r="Q5" s="118">
        <f t="shared" si="0"/>
        <v>40859</v>
      </c>
      <c r="R5" s="118">
        <f t="shared" si="0"/>
        <v>40860</v>
      </c>
      <c r="S5" s="118">
        <f t="shared" si="0"/>
        <v>40861</v>
      </c>
      <c r="T5" s="118">
        <f t="shared" si="0"/>
        <v>40862</v>
      </c>
      <c r="U5" s="118">
        <f t="shared" si="0"/>
        <v>40863</v>
      </c>
      <c r="V5" s="118">
        <f t="shared" si="0"/>
        <v>40864</v>
      </c>
      <c r="W5" s="118">
        <f t="shared" si="0"/>
        <v>40865</v>
      </c>
      <c r="X5" s="118">
        <f t="shared" si="0"/>
        <v>40866</v>
      </c>
      <c r="Y5" s="118">
        <f t="shared" si="0"/>
        <v>40867</v>
      </c>
      <c r="Z5" s="118">
        <f t="shared" si="0"/>
        <v>40868</v>
      </c>
      <c r="AA5" s="118">
        <f t="shared" si="0"/>
        <v>40869</v>
      </c>
      <c r="AB5" s="118">
        <f t="shared" si="0"/>
        <v>40870</v>
      </c>
      <c r="AC5" s="118">
        <f t="shared" si="0"/>
        <v>40871</v>
      </c>
      <c r="AD5" s="118">
        <f t="shared" si="0"/>
        <v>40872</v>
      </c>
      <c r="AE5" s="118">
        <f t="shared" si="0"/>
        <v>40873</v>
      </c>
      <c r="AF5" s="118">
        <f t="shared" si="0"/>
        <v>40874</v>
      </c>
      <c r="AG5" s="118">
        <f t="shared" si="0"/>
        <v>40875</v>
      </c>
      <c r="AH5" s="118">
        <f>AG5+1</f>
        <v>40876</v>
      </c>
      <c r="AI5" s="118">
        <f t="shared" si="0"/>
        <v>40877</v>
      </c>
      <c r="AJ5" s="118"/>
      <c r="AK5" s="233" t="s">
        <v>15</v>
      </c>
      <c r="AL5" s="234"/>
      <c r="AM5" s="235"/>
      <c r="AN5" s="230" t="s">
        <v>45</v>
      </c>
      <c r="AO5" s="230" t="s">
        <v>41</v>
      </c>
      <c r="AP5" s="230" t="s">
        <v>42</v>
      </c>
      <c r="AQ5" s="230" t="s">
        <v>43</v>
      </c>
      <c r="AR5" s="230" t="s">
        <v>44</v>
      </c>
      <c r="AS5" s="228" t="s">
        <v>0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29"/>
      <c r="B6" s="229"/>
      <c r="C6" s="229"/>
      <c r="D6" s="229"/>
      <c r="E6" s="229"/>
      <c r="F6" s="175" t="str">
        <f>CHOOSE(WEEKDAY(F5),"C.Nhật","T.Hai","T.Ba","T.Tư","T.Năm","T.Sáu","T.Bảy")</f>
        <v>T.Ba</v>
      </c>
      <c r="G6" s="175" t="str">
        <f t="shared" ref="G6:AI6" si="1">CHOOSE(WEEKDAY(G5),"C.Nhật","T.Hai","T.Ba","T.Tư","T.Năm","T.Sáu","T.Bảy")</f>
        <v>T.Tư</v>
      </c>
      <c r="H6" s="175" t="str">
        <f t="shared" si="1"/>
        <v>T.Năm</v>
      </c>
      <c r="I6" s="175" t="str">
        <f t="shared" si="1"/>
        <v>T.Sáu</v>
      </c>
      <c r="J6" s="175" t="str">
        <f t="shared" si="1"/>
        <v>T.Bảy</v>
      </c>
      <c r="K6" s="175" t="str">
        <f t="shared" si="1"/>
        <v>C.Nhật</v>
      </c>
      <c r="L6" s="175" t="str">
        <f t="shared" si="1"/>
        <v>T.Hai</v>
      </c>
      <c r="M6" s="175" t="str">
        <f t="shared" si="1"/>
        <v>T.Ba</v>
      </c>
      <c r="N6" s="175" t="str">
        <f t="shared" si="1"/>
        <v>T.Tư</v>
      </c>
      <c r="O6" s="175" t="str">
        <f t="shared" si="1"/>
        <v>T.Năm</v>
      </c>
      <c r="P6" s="175" t="str">
        <f t="shared" si="1"/>
        <v>T.Sáu</v>
      </c>
      <c r="Q6" s="175" t="str">
        <f t="shared" si="1"/>
        <v>T.Bảy</v>
      </c>
      <c r="R6" s="175" t="str">
        <f t="shared" si="1"/>
        <v>C.Nhật</v>
      </c>
      <c r="S6" s="175" t="str">
        <f t="shared" si="1"/>
        <v>T.Hai</v>
      </c>
      <c r="T6" s="175" t="str">
        <f t="shared" si="1"/>
        <v>T.Ba</v>
      </c>
      <c r="U6" s="175" t="str">
        <f t="shared" si="1"/>
        <v>T.Tư</v>
      </c>
      <c r="V6" s="175" t="str">
        <f t="shared" si="1"/>
        <v>T.Năm</v>
      </c>
      <c r="W6" s="175" t="str">
        <f t="shared" si="1"/>
        <v>T.Sáu</v>
      </c>
      <c r="X6" s="175" t="str">
        <f t="shared" si="1"/>
        <v>T.Bảy</v>
      </c>
      <c r="Y6" s="175" t="str">
        <f t="shared" si="1"/>
        <v>C.Nhật</v>
      </c>
      <c r="Z6" s="175" t="str">
        <f t="shared" si="1"/>
        <v>T.Hai</v>
      </c>
      <c r="AA6" s="175" t="str">
        <f t="shared" si="1"/>
        <v>T.Ba</v>
      </c>
      <c r="AB6" s="175" t="str">
        <f t="shared" si="1"/>
        <v>T.Tư</v>
      </c>
      <c r="AC6" s="175" t="str">
        <f t="shared" si="1"/>
        <v>T.Năm</v>
      </c>
      <c r="AD6" s="175" t="str">
        <f t="shared" si="1"/>
        <v>T.Sáu</v>
      </c>
      <c r="AE6" s="175" t="str">
        <f t="shared" si="1"/>
        <v>T.Bảy</v>
      </c>
      <c r="AF6" s="175" t="str">
        <f t="shared" si="1"/>
        <v>C.Nhật</v>
      </c>
      <c r="AG6" s="175" t="str">
        <f t="shared" si="1"/>
        <v>T.Hai</v>
      </c>
      <c r="AH6" s="175" t="str">
        <f t="shared" si="1"/>
        <v>T.Ba</v>
      </c>
      <c r="AI6" s="175" t="str">
        <f t="shared" si="1"/>
        <v>T.Tư</v>
      </c>
      <c r="AJ6" s="175"/>
      <c r="AK6" s="176" t="s">
        <v>16</v>
      </c>
      <c r="AL6" s="176" t="s">
        <v>31</v>
      </c>
      <c r="AM6" s="177" t="s">
        <v>17</v>
      </c>
      <c r="AN6" s="231"/>
      <c r="AO6" s="231"/>
      <c r="AP6" s="231"/>
      <c r="AQ6" s="231"/>
      <c r="AR6" s="231"/>
      <c r="AS6" s="229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/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157</v>
      </c>
      <c r="B8" s="182" t="s">
        <v>158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15">
        <v>1</v>
      </c>
      <c r="B9" s="215" t="s">
        <v>164</v>
      </c>
      <c r="C9" s="217" t="str">
        <f>VLOOKUP(B9,DS,2,0)</f>
        <v>Lê Thị Dung</v>
      </c>
      <c r="D9" s="22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/>
      <c r="AK9" s="219">
        <f>((SUM(F9:AJ9))/8)-(SUMIF($F$6:$AJ$6,"C.Nhật",F9:AJ9)/8)</f>
        <v>26</v>
      </c>
      <c r="AL9" s="219">
        <f>SUM(F10:AJ10)/8*1.5</f>
        <v>0</v>
      </c>
      <c r="AM9" s="221">
        <f>SUMIF($F$6:$AJ$6,"C.Nhật",$F9:$AJ10)/8*2</f>
        <v>0</v>
      </c>
      <c r="AN9" s="211">
        <f>SUM(AK9:AM10)</f>
        <v>26</v>
      </c>
      <c r="AO9" s="223">
        <v>0</v>
      </c>
      <c r="AP9" s="211"/>
      <c r="AQ9" s="211"/>
      <c r="AR9" s="211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16"/>
      <c r="B10" s="216"/>
      <c r="C10" s="218"/>
      <c r="D10" s="22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20"/>
      <c r="AL10" s="220"/>
      <c r="AM10" s="222"/>
      <c r="AN10" s="212"/>
      <c r="AO10" s="224"/>
      <c r="AP10" s="212"/>
      <c r="AQ10" s="212"/>
      <c r="AR10" s="212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15">
        <f>A9+1</f>
        <v>2</v>
      </c>
      <c r="B11" s="215" t="s">
        <v>165</v>
      </c>
      <c r="C11" s="217" t="str">
        <f>VLOOKUP(B11,DS,2,0)</f>
        <v>Phan Văn Hiền</v>
      </c>
      <c r="D11" s="22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/>
      <c r="AK11" s="219">
        <f t="shared" ref="AK11" si="2">((SUM(F11:AJ11))/8)-(SUMIF($F$6:$AJ$6,"C.Nhật",F11:AJ11)/8)</f>
        <v>26</v>
      </c>
      <c r="AL11" s="219">
        <f t="shared" ref="AL11" si="3">SUM(F12:AJ12)/8*1.5</f>
        <v>0</v>
      </c>
      <c r="AM11" s="221">
        <f t="shared" ref="AM11" si="4">SUMIF($F$6:$AJ$6,"C.Nhật",$F11:$AJ12)/8*2</f>
        <v>0</v>
      </c>
      <c r="AN11" s="211">
        <f t="shared" ref="AN11" si="5">SUM(AK11:AM12)</f>
        <v>26</v>
      </c>
      <c r="AO11" s="223">
        <v>0</v>
      </c>
      <c r="AP11" s="211"/>
      <c r="AQ11" s="211"/>
      <c r="AR11" s="211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16"/>
      <c r="B12" s="216"/>
      <c r="C12" s="218"/>
      <c r="D12" s="22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20"/>
      <c r="AL12" s="220"/>
      <c r="AM12" s="222"/>
      <c r="AN12" s="212"/>
      <c r="AO12" s="224"/>
      <c r="AP12" s="212"/>
      <c r="AQ12" s="212"/>
      <c r="AR12" s="212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159</v>
      </c>
      <c r="B13" s="182" t="s">
        <v>163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15">
        <v>1</v>
      </c>
      <c r="B14" s="215" t="s">
        <v>166</v>
      </c>
      <c r="C14" s="217" t="str">
        <f>VLOOKUP(B14,DS,2,0)</f>
        <v>Nguyễn Trường Giang</v>
      </c>
      <c r="D14" s="225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>
        <v>8</v>
      </c>
      <c r="J14" s="143">
        <v>8</v>
      </c>
      <c r="K14" s="143"/>
      <c r="L14" s="143">
        <v>8</v>
      </c>
      <c r="M14" s="143">
        <v>8</v>
      </c>
      <c r="N14" s="143">
        <v>8</v>
      </c>
      <c r="O14" s="143">
        <v>8</v>
      </c>
      <c r="P14" s="143">
        <v>8</v>
      </c>
      <c r="Q14" s="143">
        <v>8</v>
      </c>
      <c r="R14" s="143"/>
      <c r="S14" s="143">
        <v>8</v>
      </c>
      <c r="T14" s="143">
        <v>8</v>
      </c>
      <c r="U14" s="143">
        <v>8</v>
      </c>
      <c r="V14" s="143">
        <v>8</v>
      </c>
      <c r="W14" s="143">
        <v>8</v>
      </c>
      <c r="X14" s="143">
        <v>8</v>
      </c>
      <c r="Y14" s="143"/>
      <c r="Z14" s="143">
        <v>8</v>
      </c>
      <c r="AA14" s="143">
        <v>8</v>
      </c>
      <c r="AB14" s="143">
        <v>8</v>
      </c>
      <c r="AC14" s="143">
        <v>8</v>
      </c>
      <c r="AD14" s="143">
        <v>8</v>
      </c>
      <c r="AE14" s="143">
        <v>8</v>
      </c>
      <c r="AF14" s="143"/>
      <c r="AG14" s="143">
        <v>8</v>
      </c>
      <c r="AH14" s="143">
        <v>8</v>
      </c>
      <c r="AI14" s="143">
        <v>8</v>
      </c>
      <c r="AJ14" s="143"/>
      <c r="AK14" s="219">
        <f t="shared" ref="AK14" si="6">((SUM(F14:AJ14))/8)-(SUMIF($F$6:$AJ$6,"C.Nhật",F14:AJ14)/8)</f>
        <v>26</v>
      </c>
      <c r="AL14" s="219">
        <f t="shared" ref="AL14" si="7">SUM(F15:AJ15)/8*1.5</f>
        <v>0</v>
      </c>
      <c r="AM14" s="221">
        <f>SUMIF($F$6:$AJ$6,"C.Nhật",$F14:$AJ15)/8*2</f>
        <v>0</v>
      </c>
      <c r="AN14" s="211">
        <f>SUM(AK14:AM15)</f>
        <v>26</v>
      </c>
      <c r="AO14" s="223">
        <v>0</v>
      </c>
      <c r="AP14" s="211"/>
      <c r="AQ14" s="211"/>
      <c r="AR14" s="211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16"/>
      <c r="B15" s="216"/>
      <c r="C15" s="218"/>
      <c r="D15" s="226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20"/>
      <c r="AL15" s="220"/>
      <c r="AM15" s="222"/>
      <c r="AN15" s="212"/>
      <c r="AO15" s="224"/>
      <c r="AP15" s="212"/>
      <c r="AQ15" s="212"/>
      <c r="AR15" s="212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15">
        <f>A14+1</f>
        <v>2</v>
      </c>
      <c r="B16" s="215" t="s">
        <v>167</v>
      </c>
      <c r="C16" s="217" t="str">
        <f>VLOOKUP(B16,DS,2,0)</f>
        <v>Đoàn Hồng Phong</v>
      </c>
      <c r="D16" s="225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/>
      <c r="AK16" s="219">
        <f t="shared" ref="AK16" si="8">((SUM(F16:AJ16))/8)-(SUMIF($F$6:$AJ$6,"C.Nhật",F16:AJ16)/8)</f>
        <v>26</v>
      </c>
      <c r="AL16" s="219">
        <f t="shared" ref="AL16" si="9">SUM(F17:AJ17)/8*1.5</f>
        <v>0</v>
      </c>
      <c r="AM16" s="221">
        <f>SUMIF($F$6:$AJ$6,"C.Nhật",$F16:$AJ17)/8*2</f>
        <v>0</v>
      </c>
      <c r="AN16" s="211">
        <f t="shared" ref="AN16" si="10">SUM(AK16:AM17)</f>
        <v>26</v>
      </c>
      <c r="AO16" s="223">
        <v>0</v>
      </c>
      <c r="AP16" s="211"/>
      <c r="AQ16" s="211"/>
      <c r="AR16" s="211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16"/>
      <c r="B17" s="216"/>
      <c r="C17" s="218"/>
      <c r="D17" s="22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20"/>
      <c r="AL17" s="220"/>
      <c r="AM17" s="222"/>
      <c r="AN17" s="212"/>
      <c r="AO17" s="224"/>
      <c r="AP17" s="212"/>
      <c r="AQ17" s="212"/>
      <c r="AR17" s="212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15">
        <f t="shared" ref="A18" si="11">A16+1</f>
        <v>3</v>
      </c>
      <c r="B18" s="215" t="s">
        <v>168</v>
      </c>
      <c r="C18" s="217" t="str">
        <f>VLOOKUP(B18,DS,2,0)</f>
        <v>Trần Hữu Tình</v>
      </c>
      <c r="D18" s="225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/>
      <c r="AK18" s="219">
        <f t="shared" ref="AK18" si="12">((SUM(F18:AJ18))/8)-(SUMIF($F$6:$AJ$6,"C.Nhật",F18:AJ18)/8)</f>
        <v>26</v>
      </c>
      <c r="AL18" s="219">
        <f t="shared" ref="AL18" si="13">SUM(F19:AJ19)/8*1.5</f>
        <v>0</v>
      </c>
      <c r="AM18" s="221">
        <f>SUMIF($F$6:$AJ$6,"C.Nhật",$F18:$AJ19)/8*2</f>
        <v>0</v>
      </c>
      <c r="AN18" s="211">
        <f t="shared" ref="AN18" si="14">SUM(AK18:AM19)</f>
        <v>26</v>
      </c>
      <c r="AO18" s="223">
        <v>0</v>
      </c>
      <c r="AP18" s="211"/>
      <c r="AQ18" s="211"/>
      <c r="AR18" s="211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16"/>
      <c r="B19" s="216"/>
      <c r="C19" s="218"/>
      <c r="D19" s="22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20"/>
      <c r="AL19" s="220"/>
      <c r="AM19" s="222"/>
      <c r="AN19" s="212"/>
      <c r="AO19" s="224"/>
      <c r="AP19" s="212"/>
      <c r="AQ19" s="212"/>
      <c r="AR19" s="212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15">
        <f t="shared" ref="A20" si="15">A18+1</f>
        <v>4</v>
      </c>
      <c r="B20" s="215" t="s">
        <v>169</v>
      </c>
      <c r="C20" s="217" t="str">
        <f>VLOOKUP(B20,DS,2,0)</f>
        <v>Trương Văn Thành</v>
      </c>
      <c r="D20" s="22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/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/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/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/>
      <c r="AG20" s="143">
        <v>8</v>
      </c>
      <c r="AH20" s="143">
        <v>8</v>
      </c>
      <c r="AI20" s="143">
        <v>8</v>
      </c>
      <c r="AJ20" s="143"/>
      <c r="AK20" s="219">
        <f t="shared" ref="AK20" si="16">((SUM(F20:AJ20))/8)-(SUMIF($F$6:$AJ$6,"C.Nhật",F20:AJ20)/8)</f>
        <v>26</v>
      </c>
      <c r="AL20" s="219">
        <f t="shared" ref="AL20" si="17">SUM(F21:AJ21)/8*1.5</f>
        <v>0</v>
      </c>
      <c r="AM20" s="221">
        <f>SUMIF($F$6:$AJ$6,"C.Nhật",$F20:$AJ21)/8*2</f>
        <v>0</v>
      </c>
      <c r="AN20" s="211">
        <f t="shared" ref="AN20" si="18">SUM(AK20:AM21)</f>
        <v>26</v>
      </c>
      <c r="AO20" s="223">
        <v>0</v>
      </c>
      <c r="AP20" s="211"/>
      <c r="AQ20" s="211"/>
      <c r="AR20" s="211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16"/>
      <c r="B21" s="216"/>
      <c r="C21" s="218"/>
      <c r="D21" s="22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20"/>
      <c r="AL21" s="220"/>
      <c r="AM21" s="222"/>
      <c r="AN21" s="212"/>
      <c r="AO21" s="224"/>
      <c r="AP21" s="212"/>
      <c r="AQ21" s="212"/>
      <c r="AR21" s="212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15">
        <f t="shared" ref="A22" si="19">A20+1</f>
        <v>5</v>
      </c>
      <c r="B22" s="215" t="s">
        <v>170</v>
      </c>
      <c r="C22" s="217" t="str">
        <f>VLOOKUP(B22,DS,2,0)</f>
        <v>Trần Thị Ngọc Anh</v>
      </c>
      <c r="D22" s="225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>
        <v>8</v>
      </c>
      <c r="J22" s="143">
        <v>8</v>
      </c>
      <c r="K22" s="143"/>
      <c r="L22" s="143">
        <v>8</v>
      </c>
      <c r="M22" s="143">
        <v>8</v>
      </c>
      <c r="N22" s="143">
        <v>8</v>
      </c>
      <c r="O22" s="143">
        <v>8</v>
      </c>
      <c r="P22" s="143">
        <v>8</v>
      </c>
      <c r="Q22" s="143">
        <v>8</v>
      </c>
      <c r="R22" s="143"/>
      <c r="S22" s="143">
        <v>8</v>
      </c>
      <c r="T22" s="143">
        <v>8</v>
      </c>
      <c r="U22" s="143">
        <v>8</v>
      </c>
      <c r="V22" s="143">
        <v>8</v>
      </c>
      <c r="W22" s="143">
        <v>8</v>
      </c>
      <c r="X22" s="143">
        <v>8</v>
      </c>
      <c r="Y22" s="143"/>
      <c r="Z22" s="143">
        <v>8</v>
      </c>
      <c r="AA22" s="143">
        <v>8</v>
      </c>
      <c r="AB22" s="143">
        <v>8</v>
      </c>
      <c r="AC22" s="143">
        <v>8</v>
      </c>
      <c r="AD22" s="143">
        <v>8</v>
      </c>
      <c r="AE22" s="143">
        <v>8</v>
      </c>
      <c r="AF22" s="143"/>
      <c r="AG22" s="143">
        <v>8</v>
      </c>
      <c r="AH22" s="143">
        <v>8</v>
      </c>
      <c r="AI22" s="143">
        <v>8</v>
      </c>
      <c r="AJ22" s="143"/>
      <c r="AK22" s="219">
        <f t="shared" ref="AK22" si="20">((SUM(F22:AJ22))/8)-(SUMIF($F$6:$AJ$6,"C.Nhật",F22:AJ22)/8)</f>
        <v>26</v>
      </c>
      <c r="AL22" s="219">
        <f t="shared" ref="AL22" si="21">SUM(F23:AJ23)/8*1.5</f>
        <v>0</v>
      </c>
      <c r="AM22" s="221">
        <f>SUMIF($F$6:$AJ$6,"C.Nhật",$F22:$AJ23)/8*2</f>
        <v>0</v>
      </c>
      <c r="AN22" s="211">
        <f t="shared" ref="AN22" si="22">SUM(AK22:AM23)</f>
        <v>26</v>
      </c>
      <c r="AO22" s="223">
        <v>0</v>
      </c>
      <c r="AP22" s="211"/>
      <c r="AQ22" s="211"/>
      <c r="AR22" s="211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16"/>
      <c r="B23" s="216"/>
      <c r="C23" s="218"/>
      <c r="D23" s="226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20"/>
      <c r="AL23" s="220"/>
      <c r="AM23" s="222"/>
      <c r="AN23" s="212"/>
      <c r="AO23" s="224"/>
      <c r="AP23" s="212"/>
      <c r="AQ23" s="212"/>
      <c r="AR23" s="212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15">
        <f t="shared" ref="A24" si="23">A22+1</f>
        <v>6</v>
      </c>
      <c r="B24" s="215" t="s">
        <v>171</v>
      </c>
      <c r="C24" s="217" t="str">
        <f>VLOOKUP(B24,DS,2,0)</f>
        <v>Nguyễn Minh Vương</v>
      </c>
      <c r="D24" s="225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>
        <v>8</v>
      </c>
      <c r="J24" s="143">
        <v>8</v>
      </c>
      <c r="K24" s="143"/>
      <c r="L24" s="143">
        <v>8</v>
      </c>
      <c r="M24" s="143">
        <v>8</v>
      </c>
      <c r="N24" s="143">
        <v>8</v>
      </c>
      <c r="O24" s="143">
        <v>8</v>
      </c>
      <c r="P24" s="143">
        <v>8</v>
      </c>
      <c r="Q24" s="143">
        <v>8</v>
      </c>
      <c r="R24" s="143"/>
      <c r="S24" s="143">
        <v>8</v>
      </c>
      <c r="T24" s="143">
        <v>8</v>
      </c>
      <c r="U24" s="143">
        <v>8</v>
      </c>
      <c r="V24" s="143">
        <v>8</v>
      </c>
      <c r="W24" s="143">
        <v>8</v>
      </c>
      <c r="X24" s="143">
        <v>8</v>
      </c>
      <c r="Y24" s="143"/>
      <c r="Z24" s="143">
        <v>8</v>
      </c>
      <c r="AA24" s="143">
        <v>8</v>
      </c>
      <c r="AB24" s="143">
        <v>8</v>
      </c>
      <c r="AC24" s="143">
        <v>8</v>
      </c>
      <c r="AD24" s="143">
        <v>8</v>
      </c>
      <c r="AE24" s="143">
        <v>8</v>
      </c>
      <c r="AF24" s="143"/>
      <c r="AG24" s="143">
        <v>8</v>
      </c>
      <c r="AH24" s="143">
        <v>8</v>
      </c>
      <c r="AI24" s="143">
        <v>8</v>
      </c>
      <c r="AJ24" s="143"/>
      <c r="AK24" s="219">
        <f t="shared" ref="AK24" si="24">((SUM(F24:AJ24))/8)-(SUMIF($F$6:$AJ$6,"C.Nhật",F24:AJ24)/8)</f>
        <v>26</v>
      </c>
      <c r="AL24" s="219">
        <f t="shared" ref="AL24" si="25">SUM(F25:AJ25)/8*1.5</f>
        <v>0</v>
      </c>
      <c r="AM24" s="221">
        <f>SUMIF($F$6:$AJ$6,"C.Nhật",$F24:$AJ25)/8*2</f>
        <v>0</v>
      </c>
      <c r="AN24" s="211">
        <f t="shared" ref="AN24" si="26">SUM(AK24:AM25)</f>
        <v>26</v>
      </c>
      <c r="AO24" s="223">
        <v>0</v>
      </c>
      <c r="AP24" s="211"/>
      <c r="AQ24" s="211"/>
      <c r="AR24" s="211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16"/>
      <c r="B25" s="216"/>
      <c r="C25" s="218"/>
      <c r="D25" s="226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20"/>
      <c r="AL25" s="220"/>
      <c r="AM25" s="222"/>
      <c r="AN25" s="212"/>
      <c r="AO25" s="224"/>
      <c r="AP25" s="212"/>
      <c r="AQ25" s="212"/>
      <c r="AR25" s="212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</mergeCells>
  <conditionalFormatting sqref="F5:AJ6 F9:AJ12 F14:AJ25">
    <cfRule type="expression" dxfId="8" priority="5" stopIfTrue="1">
      <formula>IF(WEEKDAY(F$5)=1,TRUE,FALSE)</formula>
    </cfRule>
  </conditionalFormatting>
  <conditionalFormatting sqref="F9:AJ12">
    <cfRule type="expression" dxfId="7" priority="4" stopIfTrue="1">
      <formula>IF(WEEKDAY(F$5)=1,TRUE,FALSE)</formula>
    </cfRule>
  </conditionalFormatting>
  <conditionalFormatting sqref="F14:AJ25">
    <cfRule type="expression" dxfId="6" priority="3" stopIfTrue="1">
      <formula>IF(WEEKDAY(F$5)=1,TRUE,FALSE)</formula>
    </cfRule>
  </conditionalFormatting>
  <conditionalFormatting sqref="F14:AJ25">
    <cfRule type="expression" dxfId="5" priority="2" stopIfTrue="1">
      <formula>IF(WEEKDAY(F$5)=1,TRUE,FALSE)</formula>
    </cfRule>
  </conditionalFormatting>
  <conditionalFormatting sqref="F14:AI2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E9" activePane="bottomRight" state="frozen"/>
      <selection activeCell="F14" sqref="F14:AI25"/>
      <selection pane="topRight" activeCell="F14" sqref="F14:AI25"/>
      <selection pane="bottomLeft" activeCell="F14" sqref="F14:AI25"/>
      <selection pane="bottomRight" activeCell="F14" sqref="F14:AI2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0" t="str">
        <f>"BẢNG THANH TOÁN LƯƠNG THÁNG"&amp;" "&amp;TEXT($E$4,"mm")&amp;" / "&amp;TEXT($E$4,"yyyy")</f>
        <v>BẢNG THANH TOÁN LƯƠNG THÁNG 11 / 2011</v>
      </c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1"/>
      <c r="R1" s="247" t="s">
        <v>153</v>
      </c>
      <c r="S1" s="248"/>
      <c r="T1" s="2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-11'!$E$4</f>
        <v>40848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2" t="s">
        <v>19</v>
      </c>
      <c r="B5" s="242" t="s">
        <v>20</v>
      </c>
      <c r="C5" s="207" t="s">
        <v>1</v>
      </c>
      <c r="D5" s="207" t="s">
        <v>2</v>
      </c>
      <c r="E5" s="210" t="s">
        <v>56</v>
      </c>
      <c r="F5" s="252" t="s">
        <v>26</v>
      </c>
      <c r="G5" s="254"/>
      <c r="H5" s="254"/>
      <c r="I5" s="254"/>
      <c r="J5" s="254"/>
      <c r="K5" s="253"/>
      <c r="L5" s="244" t="s">
        <v>57</v>
      </c>
      <c r="M5" s="244" t="s">
        <v>5</v>
      </c>
      <c r="N5" s="207" t="s">
        <v>6</v>
      </c>
      <c r="O5" s="207"/>
      <c r="P5" s="207"/>
      <c r="Q5" s="244" t="s">
        <v>7</v>
      </c>
      <c r="R5" s="244" t="s">
        <v>8</v>
      </c>
      <c r="S5" s="244" t="s">
        <v>9</v>
      </c>
      <c r="T5" s="20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3"/>
      <c r="B6" s="243"/>
      <c r="C6" s="207"/>
      <c r="D6" s="207"/>
      <c r="E6" s="210"/>
      <c r="F6" s="252" t="s">
        <v>59</v>
      </c>
      <c r="G6" s="253"/>
      <c r="H6" s="252" t="s">
        <v>161</v>
      </c>
      <c r="I6" s="254"/>
      <c r="J6" s="255" t="s">
        <v>27</v>
      </c>
      <c r="K6" s="244" t="s">
        <v>4</v>
      </c>
      <c r="L6" s="245"/>
      <c r="M6" s="245"/>
      <c r="N6" s="250" t="s">
        <v>12</v>
      </c>
      <c r="O6" s="244" t="s">
        <v>13</v>
      </c>
      <c r="P6" s="244" t="s">
        <v>34</v>
      </c>
      <c r="Q6" s="245"/>
      <c r="R6" s="245"/>
      <c r="S6" s="245"/>
      <c r="T6" s="20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3"/>
      <c r="B7" s="243"/>
      <c r="C7" s="244"/>
      <c r="D7" s="244"/>
      <c r="E7" s="210"/>
      <c r="F7" s="196" t="s">
        <v>40</v>
      </c>
      <c r="G7" s="193" t="s">
        <v>18</v>
      </c>
      <c r="H7" s="196" t="s">
        <v>40</v>
      </c>
      <c r="I7" s="128" t="s">
        <v>18</v>
      </c>
      <c r="J7" s="256"/>
      <c r="K7" s="245"/>
      <c r="L7" s="246"/>
      <c r="M7" s="246"/>
      <c r="N7" s="251"/>
      <c r="O7" s="245"/>
      <c r="P7" s="245"/>
      <c r="Q7" s="245"/>
      <c r="R7" s="245"/>
      <c r="S7" s="245"/>
      <c r="T7" s="20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157</v>
      </c>
      <c r="B9" s="188" t="s">
        <v>158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164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4500000</v>
      </c>
      <c r="F10" s="92">
        <f>VLOOKUP(B10,'CC -11'!$B$8:$AS$25,36,0)</f>
        <v>26</v>
      </c>
      <c r="G10" s="145">
        <f t="shared" ref="G10:G11" si="3">ROUND(E10/$U$2*F10,0)</f>
        <v>4500000</v>
      </c>
      <c r="H10" s="92">
        <f>(VLOOKUP(B10,'CC -11'!$B$8:$AS$25,37,0)+VLOOKUP(B10,'CC -11'!$B$8:$AS$25,38,0))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4500000</v>
      </c>
      <c r="L10" s="90">
        <f t="shared" ref="L10:L11" si="6">+F10*15000</f>
        <v>390000</v>
      </c>
      <c r="M10" s="40">
        <f t="shared" ref="M10:M11" si="7">K10+L10</f>
        <v>4890000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4890000</v>
      </c>
      <c r="R10" s="39">
        <f>VLOOKUP(B10,DS,23,0)</f>
        <v>0</v>
      </c>
      <c r="S10" s="45">
        <f t="shared" ref="S10:S11" si="9">Q10-R10</f>
        <v>4890000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165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4000000</v>
      </c>
      <c r="F11" s="92">
        <f>VLOOKUP(B11,'CC -11'!$B$8:$AS$25,36,0)</f>
        <v>26</v>
      </c>
      <c r="G11" s="145">
        <f t="shared" si="3"/>
        <v>4000000</v>
      </c>
      <c r="H11" s="92">
        <f>(VLOOKUP(B11,'CC -11'!$B$8:$AS$25,37,0)+VLOOKUP(B11,'CC -11'!$B$8:$AS$25,38,0))</f>
        <v>0</v>
      </c>
      <c r="I11" s="145">
        <f t="shared" si="4"/>
        <v>0</v>
      </c>
      <c r="J11" s="93">
        <f t="shared" si="5"/>
        <v>26</v>
      </c>
      <c r="K11" s="39">
        <f t="shared" si="5"/>
        <v>4000000</v>
      </c>
      <c r="L11" s="90">
        <f t="shared" si="6"/>
        <v>390000</v>
      </c>
      <c r="M11" s="40">
        <f t="shared" si="7"/>
        <v>4390000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4390000</v>
      </c>
      <c r="R11" s="39">
        <f>VLOOKUP(B11,DS,23,0)</f>
        <v>0</v>
      </c>
      <c r="S11" s="45">
        <f t="shared" si="9"/>
        <v>4390000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159</v>
      </c>
      <c r="B12" s="188" t="s">
        <v>160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166</v>
      </c>
      <c r="C13" s="89" t="str">
        <f t="shared" ref="C13:C18" si="10">VLOOKUP(B13,DS,2,0)</f>
        <v>Nguyễn Trường Giang</v>
      </c>
      <c r="D13" s="116" t="str">
        <f t="shared" ref="D13:D18" si="11">VLOOKUP(B13,DS,3,0)</f>
        <v>Thợ in</v>
      </c>
      <c r="E13" s="90">
        <f t="shared" ref="E13:E18" si="12">VLOOKUP(B13,DS,4,0)</f>
        <v>3000000</v>
      </c>
      <c r="F13" s="92">
        <f>VLOOKUP(B13,'CC -11'!$B$8:$AS$25,36,0)</f>
        <v>26</v>
      </c>
      <c r="G13" s="145">
        <f t="shared" ref="G13:G18" si="13">ROUND(E13/$U$2*F13,0)</f>
        <v>3000000</v>
      </c>
      <c r="H13" s="92">
        <f>(VLOOKUP(B13,'CC -11'!$B$8:$AS$25,37,0)+VLOOKUP(B13,'CC -11'!$B$8:$AS$25,38,0))</f>
        <v>0</v>
      </c>
      <c r="I13" s="145">
        <f t="shared" ref="I13:I18" si="14">ROUND(E13/$U$2*H13,0)</f>
        <v>0</v>
      </c>
      <c r="J13" s="146">
        <f t="shared" ref="J13:K18" si="15">F13+H13</f>
        <v>26</v>
      </c>
      <c r="K13" s="39">
        <f t="shared" si="15"/>
        <v>3000000</v>
      </c>
      <c r="L13" s="90">
        <f t="shared" ref="L13:L18" si="16">+F13*15000</f>
        <v>390000</v>
      </c>
      <c r="M13" s="40">
        <f t="shared" ref="M13:M18" si="17">K13+L13</f>
        <v>3390000</v>
      </c>
      <c r="N13" s="40">
        <f>IF(VLOOKUP(B13,DS,9,0)="x",'L - 11'!E13*$N$4,0)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3390000</v>
      </c>
      <c r="R13" s="39">
        <f t="shared" ref="R13:R18" si="20">VLOOKUP(B13,DS,23,0)</f>
        <v>0</v>
      </c>
      <c r="S13" s="45">
        <f>Q13-R13</f>
        <v>3390000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167</v>
      </c>
      <c r="C14" s="89" t="str">
        <f t="shared" si="10"/>
        <v>Đoàn Hồng Phong</v>
      </c>
      <c r="D14" s="116" t="str">
        <f t="shared" si="11"/>
        <v>Thợ đóng - xả</v>
      </c>
      <c r="E14" s="90">
        <f t="shared" si="12"/>
        <v>3000000</v>
      </c>
      <c r="F14" s="92">
        <f>VLOOKUP(B14,'CC -11'!$B$8:$AS$25,36,0)</f>
        <v>26</v>
      </c>
      <c r="G14" s="145">
        <f t="shared" si="13"/>
        <v>3000000</v>
      </c>
      <c r="H14" s="92">
        <f>(VLOOKUP(B14,'CC -11'!$B$8:$AS$25,37,0)+VLOOKUP(B14,'CC -11'!$B$8:$AS$25,38,0))</f>
        <v>0</v>
      </c>
      <c r="I14" s="145">
        <f t="shared" si="14"/>
        <v>0</v>
      </c>
      <c r="J14" s="146">
        <f t="shared" si="15"/>
        <v>26</v>
      </c>
      <c r="K14" s="39">
        <f t="shared" si="15"/>
        <v>3000000</v>
      </c>
      <c r="L14" s="90">
        <f t="shared" si="16"/>
        <v>390000</v>
      </c>
      <c r="M14" s="40">
        <f t="shared" si="17"/>
        <v>3390000</v>
      </c>
      <c r="N14" s="40">
        <f>IF(VLOOKUP(B14,DS,9,0)="x",'L - 11'!E14*$N$4,0)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3390000</v>
      </c>
      <c r="R14" s="39">
        <f t="shared" si="20"/>
        <v>0</v>
      </c>
      <c r="S14" s="45">
        <f t="shared" ref="S14:S18" si="22">Q14-R14</f>
        <v>3390000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168</v>
      </c>
      <c r="C15" s="89" t="str">
        <f t="shared" si="10"/>
        <v>Trần Hữu Tình</v>
      </c>
      <c r="D15" s="116" t="str">
        <f t="shared" si="11"/>
        <v>Công nhân</v>
      </c>
      <c r="E15" s="90">
        <f t="shared" si="12"/>
        <v>2700000</v>
      </c>
      <c r="F15" s="92">
        <f>VLOOKUP(B15,'CC -11'!$B$8:$AS$25,36,0)</f>
        <v>26</v>
      </c>
      <c r="G15" s="145">
        <f t="shared" si="13"/>
        <v>2700000</v>
      </c>
      <c r="H15" s="92">
        <f>(VLOOKUP(B15,'CC -11'!$B$8:$AS$25,37,0)+VLOOKUP(B15,'CC -11'!$B$8:$AS$25,38,0))</f>
        <v>0</v>
      </c>
      <c r="I15" s="145">
        <f t="shared" si="14"/>
        <v>0</v>
      </c>
      <c r="J15" s="146">
        <f t="shared" si="15"/>
        <v>26</v>
      </c>
      <c r="K15" s="39">
        <f t="shared" si="15"/>
        <v>2700000</v>
      </c>
      <c r="L15" s="90">
        <f t="shared" si="16"/>
        <v>390000</v>
      </c>
      <c r="M15" s="40">
        <f t="shared" si="17"/>
        <v>3090000</v>
      </c>
      <c r="N15" s="40">
        <f>IF(VLOOKUP(B15,DS,9,0)="x",'L - 11'!E15*$N$4,0)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3090000</v>
      </c>
      <c r="R15" s="39">
        <f t="shared" si="20"/>
        <v>0</v>
      </c>
      <c r="S15" s="45">
        <f t="shared" si="22"/>
        <v>3090000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169</v>
      </c>
      <c r="C16" s="89" t="str">
        <f t="shared" si="10"/>
        <v>Trương Văn Thành</v>
      </c>
      <c r="D16" s="116" t="str">
        <f t="shared" si="11"/>
        <v>Công nhân</v>
      </c>
      <c r="E16" s="90">
        <f t="shared" si="12"/>
        <v>2700000</v>
      </c>
      <c r="F16" s="92">
        <f>VLOOKUP(B16,'CC -11'!$B$8:$AS$25,36,0)</f>
        <v>26</v>
      </c>
      <c r="G16" s="145">
        <f t="shared" si="13"/>
        <v>2700000</v>
      </c>
      <c r="H16" s="92">
        <f>(VLOOKUP(B16,'CC -11'!$B$8:$AS$25,37,0)+VLOOKUP(B16,'CC -11'!$B$8:$AS$25,38,0))</f>
        <v>0</v>
      </c>
      <c r="I16" s="145">
        <f t="shared" si="14"/>
        <v>0</v>
      </c>
      <c r="J16" s="146">
        <f t="shared" si="15"/>
        <v>26</v>
      </c>
      <c r="K16" s="39">
        <f t="shared" si="15"/>
        <v>2700000</v>
      </c>
      <c r="L16" s="90">
        <f t="shared" si="16"/>
        <v>390000</v>
      </c>
      <c r="M16" s="40">
        <f t="shared" si="17"/>
        <v>3090000</v>
      </c>
      <c r="N16" s="40">
        <f>IF(VLOOKUP(B16,DS,9,0)="x",'L - 11'!E16*$N$4,0)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3090000</v>
      </c>
      <c r="R16" s="39">
        <f t="shared" si="20"/>
        <v>0</v>
      </c>
      <c r="S16" s="45">
        <f t="shared" si="22"/>
        <v>3090000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170</v>
      </c>
      <c r="C17" s="89" t="str">
        <f t="shared" si="10"/>
        <v>Trần Thị Ngọc Anh</v>
      </c>
      <c r="D17" s="116" t="str">
        <f t="shared" si="11"/>
        <v>Công nhân</v>
      </c>
      <c r="E17" s="90">
        <f t="shared" si="12"/>
        <v>2700000</v>
      </c>
      <c r="F17" s="92">
        <f>VLOOKUP(B17,'CC -11'!$B$8:$AS$25,36,0)</f>
        <v>26</v>
      </c>
      <c r="G17" s="145">
        <f t="shared" si="13"/>
        <v>2700000</v>
      </c>
      <c r="H17" s="92">
        <f>(VLOOKUP(B17,'CC -11'!$B$8:$AS$25,37,0)+VLOOKUP(B17,'CC -11'!$B$8:$AS$25,38,0))</f>
        <v>0</v>
      </c>
      <c r="I17" s="145">
        <f t="shared" si="14"/>
        <v>0</v>
      </c>
      <c r="J17" s="146">
        <f t="shared" si="15"/>
        <v>26</v>
      </c>
      <c r="K17" s="39">
        <f t="shared" si="15"/>
        <v>2700000</v>
      </c>
      <c r="L17" s="90">
        <f t="shared" si="16"/>
        <v>390000</v>
      </c>
      <c r="M17" s="40">
        <f t="shared" si="17"/>
        <v>3090000</v>
      </c>
      <c r="N17" s="40">
        <f>IF(VLOOKUP(B17,DS,9,0)="x",'L - 11'!E17*$N$4,0)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3090000</v>
      </c>
      <c r="R17" s="39">
        <f t="shared" si="20"/>
        <v>0</v>
      </c>
      <c r="S17" s="45">
        <f t="shared" si="22"/>
        <v>3090000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171</v>
      </c>
      <c r="C18" s="89" t="str">
        <f t="shared" si="10"/>
        <v>Nguyễn Minh Vương</v>
      </c>
      <c r="D18" s="116" t="str">
        <f t="shared" si="11"/>
        <v>Công nhân</v>
      </c>
      <c r="E18" s="90">
        <f t="shared" si="12"/>
        <v>2700000</v>
      </c>
      <c r="F18" s="92">
        <f>VLOOKUP(B18,'CC -11'!$B$8:$AS$25,36,0)</f>
        <v>26</v>
      </c>
      <c r="G18" s="145">
        <f t="shared" si="13"/>
        <v>2700000</v>
      </c>
      <c r="H18" s="92">
        <f>(VLOOKUP(B18,'CC -11'!$B$8:$AS$25,37,0)+VLOOKUP(B18,'CC -11'!$B$8:$AS$25,38,0))</f>
        <v>0</v>
      </c>
      <c r="I18" s="145">
        <f t="shared" si="14"/>
        <v>0</v>
      </c>
      <c r="J18" s="146">
        <f t="shared" si="15"/>
        <v>26</v>
      </c>
      <c r="K18" s="39">
        <f t="shared" si="15"/>
        <v>2700000</v>
      </c>
      <c r="L18" s="90">
        <f t="shared" si="16"/>
        <v>390000</v>
      </c>
      <c r="M18" s="40">
        <f t="shared" si="17"/>
        <v>3090000</v>
      </c>
      <c r="N18" s="40">
        <f>IF(VLOOKUP(B18,DS,9,0)="x",'L - 11'!E18*$N$4,0)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3090000</v>
      </c>
      <c r="R18" s="39">
        <f t="shared" si="20"/>
        <v>0</v>
      </c>
      <c r="S18" s="45">
        <f t="shared" si="22"/>
        <v>3090000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39" t="s">
        <v>25</v>
      </c>
      <c r="B20" s="239"/>
      <c r="C20" s="239"/>
      <c r="D20" s="239"/>
      <c r="E20" s="140">
        <f>SUM(E10:E19)</f>
        <v>25300000</v>
      </c>
      <c r="F20" s="140"/>
      <c r="G20" s="140">
        <f>SUM(G10:G19)</f>
        <v>25300000</v>
      </c>
      <c r="H20" s="140"/>
      <c r="I20" s="140">
        <f>SUM(I10:I19)</f>
        <v>0</v>
      </c>
      <c r="J20" s="26"/>
      <c r="K20" s="26">
        <f t="shared" ref="K20:S20" si="23">SUM(K10:K19)</f>
        <v>25300000</v>
      </c>
      <c r="L20" s="26">
        <f t="shared" si="23"/>
        <v>3120000</v>
      </c>
      <c r="M20" s="26">
        <f t="shared" si="23"/>
        <v>28420000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28420000</v>
      </c>
      <c r="R20" s="26">
        <f t="shared" si="23"/>
        <v>0</v>
      </c>
      <c r="S20" s="26">
        <f t="shared" si="23"/>
        <v>28420000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30   tháng   11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20:D20"/>
    <mergeCell ref="N5:P5"/>
    <mergeCell ref="Q5:Q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3" activePane="bottomRight" state="frozen"/>
      <selection activeCell="E5" sqref="E5:E7"/>
      <selection pane="topRight" activeCell="E5" sqref="E5:E7"/>
      <selection pane="bottomLeft" activeCell="E5" sqref="E5:E7"/>
      <selection pane="bottomRight" activeCell="F14" sqref="F14:AJ2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6" t="s">
        <v>154</v>
      </c>
      <c r="AN1" s="237"/>
      <c r="AO1" s="237"/>
      <c r="AP1" s="237"/>
      <c r="AQ1" s="237"/>
      <c r="AR1" s="237"/>
      <c r="AS1" s="238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40878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32" t="s">
        <v>28</v>
      </c>
      <c r="B5" s="232" t="s">
        <v>3</v>
      </c>
      <c r="C5" s="232" t="s">
        <v>1</v>
      </c>
      <c r="D5" s="228" t="s">
        <v>29</v>
      </c>
      <c r="E5" s="232" t="s">
        <v>30</v>
      </c>
      <c r="F5" s="118">
        <f>+E4</f>
        <v>40878</v>
      </c>
      <c r="G5" s="118">
        <f t="shared" ref="G5:AJ5" si="0">F5+1</f>
        <v>40879</v>
      </c>
      <c r="H5" s="118">
        <f t="shared" si="0"/>
        <v>40880</v>
      </c>
      <c r="I5" s="118">
        <f t="shared" si="0"/>
        <v>40881</v>
      </c>
      <c r="J5" s="118">
        <f t="shared" si="0"/>
        <v>40882</v>
      </c>
      <c r="K5" s="118">
        <f t="shared" si="0"/>
        <v>40883</v>
      </c>
      <c r="L5" s="118">
        <f t="shared" si="0"/>
        <v>40884</v>
      </c>
      <c r="M5" s="118">
        <f t="shared" si="0"/>
        <v>40885</v>
      </c>
      <c r="N5" s="118">
        <f t="shared" si="0"/>
        <v>40886</v>
      </c>
      <c r="O5" s="118">
        <f t="shared" si="0"/>
        <v>40887</v>
      </c>
      <c r="P5" s="118">
        <f t="shared" si="0"/>
        <v>40888</v>
      </c>
      <c r="Q5" s="118">
        <f t="shared" si="0"/>
        <v>40889</v>
      </c>
      <c r="R5" s="118">
        <f t="shared" si="0"/>
        <v>40890</v>
      </c>
      <c r="S5" s="118">
        <f t="shared" si="0"/>
        <v>40891</v>
      </c>
      <c r="T5" s="118">
        <f t="shared" si="0"/>
        <v>40892</v>
      </c>
      <c r="U5" s="118">
        <f t="shared" si="0"/>
        <v>40893</v>
      </c>
      <c r="V5" s="118">
        <f t="shared" si="0"/>
        <v>40894</v>
      </c>
      <c r="W5" s="118">
        <f t="shared" si="0"/>
        <v>40895</v>
      </c>
      <c r="X5" s="118">
        <f t="shared" si="0"/>
        <v>40896</v>
      </c>
      <c r="Y5" s="118">
        <f t="shared" si="0"/>
        <v>40897</v>
      </c>
      <c r="Z5" s="118">
        <f t="shared" si="0"/>
        <v>40898</v>
      </c>
      <c r="AA5" s="118">
        <f t="shared" si="0"/>
        <v>40899</v>
      </c>
      <c r="AB5" s="118">
        <f t="shared" si="0"/>
        <v>40900</v>
      </c>
      <c r="AC5" s="118">
        <f t="shared" si="0"/>
        <v>40901</v>
      </c>
      <c r="AD5" s="118">
        <f t="shared" si="0"/>
        <v>40902</v>
      </c>
      <c r="AE5" s="118">
        <f t="shared" si="0"/>
        <v>40903</v>
      </c>
      <c r="AF5" s="118">
        <f t="shared" si="0"/>
        <v>40904</v>
      </c>
      <c r="AG5" s="118">
        <f t="shared" si="0"/>
        <v>40905</v>
      </c>
      <c r="AH5" s="118">
        <f>AG5+1</f>
        <v>40906</v>
      </c>
      <c r="AI5" s="118">
        <f t="shared" si="0"/>
        <v>40907</v>
      </c>
      <c r="AJ5" s="118">
        <f t="shared" si="0"/>
        <v>40908</v>
      </c>
      <c r="AK5" s="233" t="s">
        <v>15</v>
      </c>
      <c r="AL5" s="234"/>
      <c r="AM5" s="235"/>
      <c r="AN5" s="230" t="s">
        <v>45</v>
      </c>
      <c r="AO5" s="230" t="s">
        <v>41</v>
      </c>
      <c r="AP5" s="230" t="s">
        <v>42</v>
      </c>
      <c r="AQ5" s="230" t="s">
        <v>43</v>
      </c>
      <c r="AR5" s="230" t="s">
        <v>44</v>
      </c>
      <c r="AS5" s="228" t="s">
        <v>0</v>
      </c>
      <c r="AT5" s="22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29"/>
      <c r="B6" s="229"/>
      <c r="C6" s="229"/>
      <c r="D6" s="229"/>
      <c r="E6" s="229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31"/>
      <c r="AO6" s="231"/>
      <c r="AP6" s="231"/>
      <c r="AQ6" s="231"/>
      <c r="AR6" s="231"/>
      <c r="AS6" s="229"/>
      <c r="AT6" s="22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157</v>
      </c>
      <c r="B8" s="182" t="s">
        <v>158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15">
        <v>1</v>
      </c>
      <c r="B9" s="215" t="s">
        <v>164</v>
      </c>
      <c r="C9" s="217" t="str">
        <f>VLOOKUP(B9,DS,2,0)</f>
        <v>Lê Thị Dung</v>
      </c>
      <c r="D9" s="225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>
        <v>8</v>
      </c>
      <c r="AK9" s="219">
        <f>((SUM(F9:AJ9))/8)-(SUMIF($F$6:$AJ$6,"C.Nhật",F9:AJ9)/8)</f>
        <v>27</v>
      </c>
      <c r="AL9" s="219">
        <f>SUM(F10:AJ10)/8*1.5</f>
        <v>0</v>
      </c>
      <c r="AM9" s="221">
        <f>SUMIF($F$6:$AJ$6,"C.Nhật",$F9:$AJ10)/8*2</f>
        <v>0</v>
      </c>
      <c r="AN9" s="211">
        <f>SUM(AK9:AM10)</f>
        <v>27</v>
      </c>
      <c r="AO9" s="223">
        <v>0</v>
      </c>
      <c r="AP9" s="211"/>
      <c r="AQ9" s="211"/>
      <c r="AR9" s="211"/>
      <c r="AS9" s="213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16"/>
      <c r="B10" s="216"/>
      <c r="C10" s="218"/>
      <c r="D10" s="226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20"/>
      <c r="AL10" s="220"/>
      <c r="AM10" s="222"/>
      <c r="AN10" s="212"/>
      <c r="AO10" s="224"/>
      <c r="AP10" s="212"/>
      <c r="AQ10" s="212"/>
      <c r="AR10" s="212"/>
      <c r="AS10" s="214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15">
        <f>A9+1</f>
        <v>2</v>
      </c>
      <c r="B11" s="215" t="s">
        <v>165</v>
      </c>
      <c r="C11" s="217" t="str">
        <f>VLOOKUP(B11,DS,2,0)</f>
        <v>Phan Văn Hiền</v>
      </c>
      <c r="D11" s="225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>
        <v>8</v>
      </c>
      <c r="AK11" s="219">
        <f t="shared" ref="AK11" si="2">((SUM(F11:AJ11))/8)-(SUMIF($F$6:$AJ$6,"C.Nhật",F11:AJ11)/8)</f>
        <v>27</v>
      </c>
      <c r="AL11" s="219">
        <f t="shared" ref="AL11" si="3">SUM(F12:AJ12)/8*1.5</f>
        <v>0</v>
      </c>
      <c r="AM11" s="221">
        <f t="shared" ref="AM11" si="4">SUMIF($F$6:$AJ$6,"C.Nhật",$F11:$AJ12)/8*2</f>
        <v>0</v>
      </c>
      <c r="AN11" s="211">
        <f t="shared" ref="AN11" si="5">SUM(AK11:AM12)</f>
        <v>27</v>
      </c>
      <c r="AO11" s="223">
        <v>0</v>
      </c>
      <c r="AP11" s="211"/>
      <c r="AQ11" s="211"/>
      <c r="AR11" s="211"/>
      <c r="AS11" s="21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16"/>
      <c r="B12" s="216"/>
      <c r="C12" s="218"/>
      <c r="D12" s="226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20"/>
      <c r="AL12" s="220"/>
      <c r="AM12" s="222"/>
      <c r="AN12" s="212"/>
      <c r="AO12" s="224"/>
      <c r="AP12" s="212"/>
      <c r="AQ12" s="212"/>
      <c r="AR12" s="212"/>
      <c r="AS12" s="21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81" customFormat="1" ht="21" customHeight="1">
      <c r="A13" s="179" t="s">
        <v>159</v>
      </c>
      <c r="B13" s="182" t="s">
        <v>163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80"/>
    </row>
    <row r="14" spans="1:91" s="67" customFormat="1" ht="18" customHeight="1">
      <c r="A14" s="215">
        <v>1</v>
      </c>
      <c r="B14" s="215" t="s">
        <v>166</v>
      </c>
      <c r="C14" s="217" t="str">
        <f>VLOOKUP(B14,DS,2,0)</f>
        <v>Nguyễn Trường Giang</v>
      </c>
      <c r="D14" s="225" t="str">
        <f>VLOOKUP(B14,DS,3,0)</f>
        <v>Thợ in</v>
      </c>
      <c r="E14" s="68" t="s">
        <v>32</v>
      </c>
      <c r="F14" s="143">
        <v>8</v>
      </c>
      <c r="G14" s="143">
        <v>8</v>
      </c>
      <c r="H14" s="143">
        <v>8</v>
      </c>
      <c r="I14" s="143"/>
      <c r="J14" s="143">
        <v>8</v>
      </c>
      <c r="K14" s="143">
        <v>8</v>
      </c>
      <c r="L14" s="143">
        <v>8</v>
      </c>
      <c r="M14" s="143">
        <v>8</v>
      </c>
      <c r="N14" s="143">
        <v>8</v>
      </c>
      <c r="O14" s="143">
        <v>8</v>
      </c>
      <c r="P14" s="143"/>
      <c r="Q14" s="143">
        <v>8</v>
      </c>
      <c r="R14" s="143">
        <v>8</v>
      </c>
      <c r="S14" s="143">
        <v>8</v>
      </c>
      <c r="T14" s="143">
        <v>8</v>
      </c>
      <c r="U14" s="143">
        <v>8</v>
      </c>
      <c r="V14" s="143">
        <v>8</v>
      </c>
      <c r="W14" s="143"/>
      <c r="X14" s="143">
        <v>8</v>
      </c>
      <c r="Y14" s="143">
        <v>8</v>
      </c>
      <c r="Z14" s="143">
        <v>8</v>
      </c>
      <c r="AA14" s="143">
        <v>8</v>
      </c>
      <c r="AB14" s="143">
        <v>8</v>
      </c>
      <c r="AC14" s="143">
        <v>8</v>
      </c>
      <c r="AD14" s="143"/>
      <c r="AE14" s="143">
        <v>8</v>
      </c>
      <c r="AF14" s="143">
        <v>8</v>
      </c>
      <c r="AG14" s="143">
        <v>8</v>
      </c>
      <c r="AH14" s="143">
        <v>8</v>
      </c>
      <c r="AI14" s="143">
        <v>8</v>
      </c>
      <c r="AJ14" s="143">
        <v>8</v>
      </c>
      <c r="AK14" s="219">
        <f t="shared" ref="AK14" si="6">((SUM(F14:AJ14))/8)-(SUMIF($F$6:$AJ$6,"C.Nhật",F14:AJ14)/8)</f>
        <v>27</v>
      </c>
      <c r="AL14" s="219">
        <f t="shared" ref="AL14" si="7">SUM(F15:AJ15)/8*1.5</f>
        <v>0</v>
      </c>
      <c r="AM14" s="221">
        <f>SUMIF($F$6:$AJ$6,"C.Nhật",$F14:$AJ15)/8*2</f>
        <v>0</v>
      </c>
      <c r="AN14" s="211">
        <f>SUM(AK14:AM15)</f>
        <v>27</v>
      </c>
      <c r="AO14" s="223">
        <v>0</v>
      </c>
      <c r="AP14" s="211"/>
      <c r="AQ14" s="211"/>
      <c r="AR14" s="211"/>
      <c r="AS14" s="21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216"/>
      <c r="B15" s="216"/>
      <c r="C15" s="218"/>
      <c r="D15" s="226"/>
      <c r="E15" s="69" t="s">
        <v>31</v>
      </c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220"/>
      <c r="AL15" s="220"/>
      <c r="AM15" s="222"/>
      <c r="AN15" s="212"/>
      <c r="AO15" s="224"/>
      <c r="AP15" s="212"/>
      <c r="AQ15" s="212"/>
      <c r="AR15" s="212"/>
      <c r="AS15" s="21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215">
        <f>A14+1</f>
        <v>2</v>
      </c>
      <c r="B16" s="215" t="s">
        <v>167</v>
      </c>
      <c r="C16" s="217" t="str">
        <f>VLOOKUP(B16,DS,2,0)</f>
        <v>Đoàn Hồng Phong</v>
      </c>
      <c r="D16" s="225" t="str">
        <f>VLOOKUP(B16,DS,3,0)</f>
        <v>Thợ đóng - xả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>
        <v>8</v>
      </c>
      <c r="AK16" s="219">
        <f t="shared" ref="AK16" si="8">((SUM(F16:AJ16))/8)-(SUMIF($F$6:$AJ$6,"C.Nhật",F16:AJ16)/8)</f>
        <v>27</v>
      </c>
      <c r="AL16" s="219">
        <f t="shared" ref="AL16" si="9">SUM(F17:AJ17)/8*1.5</f>
        <v>0</v>
      </c>
      <c r="AM16" s="221">
        <f>SUMIF($F$6:$AJ$6,"C.Nhật",$F16:$AJ17)/8*2</f>
        <v>0</v>
      </c>
      <c r="AN16" s="211">
        <f t="shared" ref="AN16" si="10">SUM(AK16:AM17)</f>
        <v>27</v>
      </c>
      <c r="AO16" s="223">
        <v>0</v>
      </c>
      <c r="AP16" s="211"/>
      <c r="AQ16" s="211"/>
      <c r="AR16" s="211"/>
      <c r="AS16" s="213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16"/>
      <c r="B17" s="216"/>
      <c r="C17" s="218"/>
      <c r="D17" s="226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20"/>
      <c r="AL17" s="220"/>
      <c r="AM17" s="222"/>
      <c r="AN17" s="212"/>
      <c r="AO17" s="224"/>
      <c r="AP17" s="212"/>
      <c r="AQ17" s="212"/>
      <c r="AR17" s="212"/>
      <c r="AS17" s="214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15">
        <f t="shared" ref="A18" si="11">A16+1</f>
        <v>3</v>
      </c>
      <c r="B18" s="215" t="s">
        <v>168</v>
      </c>
      <c r="C18" s="217" t="str">
        <f>VLOOKUP(B18,DS,2,0)</f>
        <v>Trần Hữu Tình</v>
      </c>
      <c r="D18" s="225" t="str">
        <f>VLOOKUP(B18,DS,3,0)</f>
        <v>Công nhân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>
        <v>8</v>
      </c>
      <c r="AK18" s="219">
        <f t="shared" ref="AK18" si="12">((SUM(F18:AJ18))/8)-(SUMIF($F$6:$AJ$6,"C.Nhật",F18:AJ18)/8)</f>
        <v>27</v>
      </c>
      <c r="AL18" s="219">
        <f t="shared" ref="AL18" si="13">SUM(F19:AJ19)/8*1.5</f>
        <v>0</v>
      </c>
      <c r="AM18" s="221">
        <f>SUMIF($F$6:$AJ$6,"C.Nhật",$F18:$AJ19)/8*2</f>
        <v>0</v>
      </c>
      <c r="AN18" s="211">
        <f t="shared" ref="AN18" si="14">SUM(AK18:AM19)</f>
        <v>27</v>
      </c>
      <c r="AO18" s="223">
        <v>0</v>
      </c>
      <c r="AP18" s="211"/>
      <c r="AQ18" s="211"/>
      <c r="AR18" s="211"/>
      <c r="AS18" s="21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16"/>
      <c r="B19" s="216"/>
      <c r="C19" s="218"/>
      <c r="D19" s="226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20"/>
      <c r="AL19" s="220"/>
      <c r="AM19" s="222"/>
      <c r="AN19" s="212"/>
      <c r="AO19" s="224"/>
      <c r="AP19" s="212"/>
      <c r="AQ19" s="212"/>
      <c r="AR19" s="212"/>
      <c r="AS19" s="21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15">
        <f t="shared" ref="A20" si="15">A18+1</f>
        <v>4</v>
      </c>
      <c r="B20" s="215" t="s">
        <v>169</v>
      </c>
      <c r="C20" s="217" t="str">
        <f>VLOOKUP(B20,DS,2,0)</f>
        <v>Trương Văn Thành</v>
      </c>
      <c r="D20" s="225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>
        <v>8</v>
      </c>
      <c r="AK20" s="219">
        <f t="shared" ref="AK20" si="16">((SUM(F20:AJ20))/8)-(SUMIF($F$6:$AJ$6,"C.Nhật",F20:AJ20)/8)</f>
        <v>27</v>
      </c>
      <c r="AL20" s="219">
        <f t="shared" ref="AL20" si="17">SUM(F21:AJ21)/8*1.5</f>
        <v>0</v>
      </c>
      <c r="AM20" s="221">
        <f>SUMIF($F$6:$AJ$6,"C.Nhật",$F20:$AJ21)/8*2</f>
        <v>0</v>
      </c>
      <c r="AN20" s="211">
        <f t="shared" ref="AN20" si="18">SUM(AK20:AM21)</f>
        <v>27</v>
      </c>
      <c r="AO20" s="223">
        <v>0</v>
      </c>
      <c r="AP20" s="211"/>
      <c r="AQ20" s="211"/>
      <c r="AR20" s="211"/>
      <c r="AS20" s="213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16"/>
      <c r="B21" s="216"/>
      <c r="C21" s="218"/>
      <c r="D21" s="226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20"/>
      <c r="AL21" s="220"/>
      <c r="AM21" s="222"/>
      <c r="AN21" s="212"/>
      <c r="AO21" s="224"/>
      <c r="AP21" s="212"/>
      <c r="AQ21" s="212"/>
      <c r="AR21" s="212"/>
      <c r="AS21" s="214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215">
        <f t="shared" ref="A22" si="19">A20+1</f>
        <v>5</v>
      </c>
      <c r="B22" s="215" t="s">
        <v>170</v>
      </c>
      <c r="C22" s="217" t="str">
        <f>VLOOKUP(B22,DS,2,0)</f>
        <v>Trần Thị Ngọc Anh</v>
      </c>
      <c r="D22" s="225" t="str">
        <f>VLOOKUP(B22,DS,3,0)</f>
        <v>Công nhân</v>
      </c>
      <c r="E22" s="68" t="s">
        <v>32</v>
      </c>
      <c r="F22" s="143">
        <v>8</v>
      </c>
      <c r="G22" s="143">
        <v>8</v>
      </c>
      <c r="H22" s="143">
        <v>8</v>
      </c>
      <c r="I22" s="143"/>
      <c r="J22" s="143">
        <v>8</v>
      </c>
      <c r="K22" s="143">
        <v>8</v>
      </c>
      <c r="L22" s="143">
        <v>8</v>
      </c>
      <c r="M22" s="143">
        <v>8</v>
      </c>
      <c r="N22" s="143">
        <v>8</v>
      </c>
      <c r="O22" s="143">
        <v>8</v>
      </c>
      <c r="P22" s="143"/>
      <c r="Q22" s="143">
        <v>8</v>
      </c>
      <c r="R22" s="143">
        <v>8</v>
      </c>
      <c r="S22" s="143">
        <v>8</v>
      </c>
      <c r="T22" s="143">
        <v>8</v>
      </c>
      <c r="U22" s="143">
        <v>8</v>
      </c>
      <c r="V22" s="143">
        <v>8</v>
      </c>
      <c r="W22" s="143"/>
      <c r="X22" s="143">
        <v>8</v>
      </c>
      <c r="Y22" s="143">
        <v>8</v>
      </c>
      <c r="Z22" s="143">
        <v>8</v>
      </c>
      <c r="AA22" s="143">
        <v>8</v>
      </c>
      <c r="AB22" s="143">
        <v>8</v>
      </c>
      <c r="AC22" s="143">
        <v>8</v>
      </c>
      <c r="AD22" s="143"/>
      <c r="AE22" s="143">
        <v>8</v>
      </c>
      <c r="AF22" s="143">
        <v>8</v>
      </c>
      <c r="AG22" s="143">
        <v>8</v>
      </c>
      <c r="AH22" s="143">
        <v>8</v>
      </c>
      <c r="AI22" s="143">
        <v>8</v>
      </c>
      <c r="AJ22" s="143">
        <v>8</v>
      </c>
      <c r="AK22" s="219">
        <f t="shared" ref="AK22" si="20">((SUM(F22:AJ22))/8)-(SUMIF($F$6:$AJ$6,"C.Nhật",F22:AJ22)/8)</f>
        <v>27</v>
      </c>
      <c r="AL22" s="219">
        <f t="shared" ref="AL22" si="21">SUM(F23:AJ23)/8*1.5</f>
        <v>0</v>
      </c>
      <c r="AM22" s="221">
        <f>SUMIF($F$6:$AJ$6,"C.Nhật",$F22:$AJ23)/8*2</f>
        <v>0</v>
      </c>
      <c r="AN22" s="211">
        <f t="shared" ref="AN22" si="22">SUM(AK22:AM23)</f>
        <v>27</v>
      </c>
      <c r="AO22" s="223">
        <v>0</v>
      </c>
      <c r="AP22" s="211"/>
      <c r="AQ22" s="211"/>
      <c r="AR22" s="211"/>
      <c r="AS22" s="213"/>
      <c r="AT22" s="19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216"/>
      <c r="B23" s="216"/>
      <c r="C23" s="218"/>
      <c r="D23" s="226"/>
      <c r="E23" s="69" t="s">
        <v>31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220"/>
      <c r="AL23" s="220"/>
      <c r="AM23" s="222"/>
      <c r="AN23" s="212"/>
      <c r="AO23" s="224"/>
      <c r="AP23" s="212"/>
      <c r="AQ23" s="212"/>
      <c r="AR23" s="212"/>
      <c r="AS23" s="214"/>
      <c r="AT23" s="19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215">
        <f t="shared" ref="A24" si="23">A22+1</f>
        <v>6</v>
      </c>
      <c r="B24" s="215" t="s">
        <v>171</v>
      </c>
      <c r="C24" s="217" t="str">
        <f>VLOOKUP(B24,DS,2,0)</f>
        <v>Nguyễn Minh Vương</v>
      </c>
      <c r="D24" s="225" t="str">
        <f>VLOOKUP(B24,DS,3,0)</f>
        <v>Công nhân</v>
      </c>
      <c r="E24" s="68" t="s">
        <v>32</v>
      </c>
      <c r="F24" s="143">
        <v>8</v>
      </c>
      <c r="G24" s="143">
        <v>8</v>
      </c>
      <c r="H24" s="143">
        <v>8</v>
      </c>
      <c r="I24" s="143"/>
      <c r="J24" s="143">
        <v>8</v>
      </c>
      <c r="K24" s="143">
        <v>8</v>
      </c>
      <c r="L24" s="143">
        <v>8</v>
      </c>
      <c r="M24" s="143">
        <v>8</v>
      </c>
      <c r="N24" s="143">
        <v>8</v>
      </c>
      <c r="O24" s="143">
        <v>8</v>
      </c>
      <c r="P24" s="143"/>
      <c r="Q24" s="143">
        <v>8</v>
      </c>
      <c r="R24" s="143">
        <v>8</v>
      </c>
      <c r="S24" s="143">
        <v>8</v>
      </c>
      <c r="T24" s="143">
        <v>8</v>
      </c>
      <c r="U24" s="143">
        <v>8</v>
      </c>
      <c r="V24" s="143">
        <v>8</v>
      </c>
      <c r="W24" s="143"/>
      <c r="X24" s="143">
        <v>8</v>
      </c>
      <c r="Y24" s="143">
        <v>8</v>
      </c>
      <c r="Z24" s="143">
        <v>8</v>
      </c>
      <c r="AA24" s="143">
        <v>8</v>
      </c>
      <c r="AB24" s="143">
        <v>8</v>
      </c>
      <c r="AC24" s="143">
        <v>8</v>
      </c>
      <c r="AD24" s="143"/>
      <c r="AE24" s="143">
        <v>8</v>
      </c>
      <c r="AF24" s="143">
        <v>8</v>
      </c>
      <c r="AG24" s="143">
        <v>8</v>
      </c>
      <c r="AH24" s="143">
        <v>8</v>
      </c>
      <c r="AI24" s="143">
        <v>8</v>
      </c>
      <c r="AJ24" s="143">
        <v>8</v>
      </c>
      <c r="AK24" s="219">
        <f t="shared" ref="AK24" si="24">((SUM(F24:AJ24))/8)-(SUMIF($F$6:$AJ$6,"C.Nhật",F24:AJ24)/8)</f>
        <v>27</v>
      </c>
      <c r="AL24" s="219">
        <f t="shared" ref="AL24" si="25">SUM(F25:AJ25)/8*1.5</f>
        <v>0</v>
      </c>
      <c r="AM24" s="221">
        <f>SUMIF($F$6:$AJ$6,"C.Nhật",$F24:$AJ25)/8*2</f>
        <v>0</v>
      </c>
      <c r="AN24" s="211">
        <f t="shared" ref="AN24" si="26">SUM(AK24:AM25)</f>
        <v>27</v>
      </c>
      <c r="AO24" s="223">
        <v>0</v>
      </c>
      <c r="AP24" s="211"/>
      <c r="AQ24" s="211"/>
      <c r="AR24" s="211"/>
      <c r="AS24" s="213"/>
      <c r="AT24" s="19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216"/>
      <c r="B25" s="216"/>
      <c r="C25" s="218"/>
      <c r="D25" s="226"/>
      <c r="E25" s="69" t="s">
        <v>31</v>
      </c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220"/>
      <c r="AL25" s="220"/>
      <c r="AM25" s="222"/>
      <c r="AN25" s="212"/>
      <c r="AO25" s="224"/>
      <c r="AP25" s="212"/>
      <c r="AQ25" s="212"/>
      <c r="AR25" s="212"/>
      <c r="AS25" s="214"/>
      <c r="AT25" s="19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70" customFormat="1" ht="12.75">
      <c r="A26" s="14"/>
      <c r="B26" s="71"/>
      <c r="C26" s="4"/>
      <c r="D26" s="113"/>
      <c r="E26" s="4"/>
      <c r="F26" s="75"/>
      <c r="G26" s="75"/>
      <c r="H26" s="72"/>
      <c r="I26" s="72"/>
      <c r="J26" s="120"/>
      <c r="K26" s="75"/>
      <c r="L26" s="72"/>
      <c r="M26" s="75"/>
      <c r="N26" s="75"/>
      <c r="O26" s="75"/>
      <c r="P26" s="75"/>
      <c r="Q26" s="72"/>
      <c r="R26" s="75"/>
      <c r="S26" s="75"/>
      <c r="T26" s="120"/>
      <c r="U26" s="75"/>
      <c r="V26" s="75"/>
      <c r="W26" s="75"/>
      <c r="X26" s="71"/>
      <c r="Y26" s="75"/>
      <c r="Z26" s="75"/>
      <c r="AA26" s="75"/>
      <c r="AB26" s="75"/>
      <c r="AC26" s="75"/>
      <c r="AD26" s="72"/>
      <c r="AE26" s="75"/>
      <c r="AF26" s="75"/>
      <c r="AG26" s="75"/>
      <c r="AH26" s="75"/>
      <c r="AI26" s="75"/>
      <c r="AJ26" s="75"/>
      <c r="AK26" s="4"/>
      <c r="AL26" s="4"/>
      <c r="AM26" s="98"/>
      <c r="AN26" s="74"/>
      <c r="AO26" s="74"/>
      <c r="AP26" s="74"/>
      <c r="AQ26" s="74"/>
      <c r="AR26" s="74"/>
      <c r="AS26" s="4"/>
      <c r="AT26" s="104"/>
    </row>
    <row r="27" spans="1:90" s="70" customFormat="1" ht="12.75">
      <c r="A27" s="14"/>
      <c r="B27" s="71"/>
      <c r="C27" s="14" t="s">
        <v>14</v>
      </c>
      <c r="D27" s="113"/>
      <c r="E27" s="4"/>
      <c r="F27" s="75"/>
      <c r="G27" s="75"/>
      <c r="H27" s="72"/>
      <c r="I27" s="72"/>
      <c r="J27" s="120"/>
      <c r="K27" s="75"/>
      <c r="L27" s="72"/>
      <c r="M27" s="75"/>
      <c r="N27" s="75"/>
      <c r="O27" s="75"/>
      <c r="P27" s="75"/>
      <c r="Q27" s="72"/>
      <c r="R27" s="75"/>
      <c r="S27" s="75"/>
      <c r="T27" s="120"/>
      <c r="U27" s="75"/>
      <c r="V27" s="75"/>
      <c r="W27" s="75"/>
      <c r="X27" s="71"/>
      <c r="Y27" s="75"/>
      <c r="Z27" s="75"/>
      <c r="AA27" s="75"/>
      <c r="AB27" s="75"/>
      <c r="AC27" s="75"/>
      <c r="AD27" s="72"/>
      <c r="AE27" s="75"/>
      <c r="AF27" s="75"/>
      <c r="AG27" s="75"/>
      <c r="AH27" s="75"/>
      <c r="AI27" s="75"/>
      <c r="AJ27" s="75"/>
      <c r="AK27" s="4"/>
      <c r="AL27" s="4"/>
      <c r="AM27" s="98"/>
      <c r="AN27" s="74"/>
      <c r="AO27" s="74"/>
      <c r="AP27" s="74"/>
      <c r="AQ27" s="74"/>
      <c r="AR27" s="74"/>
      <c r="AS27" s="4"/>
      <c r="AT27" s="104"/>
    </row>
    <row r="28" spans="1:90" s="70" customFormat="1" ht="12.75">
      <c r="A28" s="12"/>
      <c r="B28" s="12"/>
      <c r="C28" s="4"/>
      <c r="D28" s="113"/>
      <c r="E28" s="4"/>
      <c r="F28" s="75"/>
      <c r="G28" s="75"/>
      <c r="H28" s="121"/>
      <c r="I28" s="121"/>
      <c r="J28" s="121"/>
      <c r="K28" s="75"/>
      <c r="L28" s="121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121"/>
      <c r="AE28" s="75"/>
      <c r="AF28" s="75"/>
      <c r="AG28" s="75"/>
      <c r="AH28" s="75"/>
      <c r="AI28" s="75"/>
      <c r="AJ28" s="75"/>
      <c r="AK28" s="4"/>
      <c r="AL28" s="4"/>
      <c r="AM28" s="98"/>
      <c r="AN28" s="76"/>
      <c r="AO28" s="76"/>
      <c r="AP28" s="76"/>
      <c r="AQ28" s="76"/>
      <c r="AR28" s="76"/>
      <c r="AS28" s="4"/>
      <c r="AT28" s="104"/>
    </row>
    <row r="29" spans="1:90" s="73" customFormat="1" ht="15" customHeight="1">
      <c r="A29" s="12"/>
      <c r="B29" s="12"/>
      <c r="C29" s="4"/>
      <c r="D29" s="113"/>
      <c r="E29" s="4"/>
      <c r="F29" s="75"/>
      <c r="G29" s="75"/>
      <c r="H29" s="121"/>
      <c r="I29" s="121"/>
      <c r="J29" s="121"/>
      <c r="K29" s="75"/>
      <c r="L29" s="121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121"/>
      <c r="AE29" s="75"/>
      <c r="AF29" s="75"/>
      <c r="AG29" s="75"/>
      <c r="AH29" s="75"/>
      <c r="AI29" s="75"/>
      <c r="AJ29" s="75"/>
      <c r="AK29" s="4"/>
      <c r="AL29" s="4"/>
      <c r="AM29" s="98"/>
      <c r="AN29" s="76"/>
      <c r="AO29" s="76"/>
      <c r="AP29" s="76"/>
      <c r="AQ29" s="76"/>
      <c r="AR29" s="76"/>
      <c r="AS29" s="4"/>
      <c r="AT29" s="4"/>
    </row>
    <row r="30" spans="1:90" s="73" customFormat="1" ht="11.25">
      <c r="A30" s="12"/>
      <c r="B30" s="12"/>
      <c r="C30" s="4"/>
      <c r="D30" s="113"/>
      <c r="E30" s="4"/>
      <c r="F30" s="75"/>
      <c r="G30" s="75"/>
      <c r="H30" s="121"/>
      <c r="I30" s="121"/>
      <c r="J30" s="121"/>
      <c r="K30" s="75"/>
      <c r="L30" s="121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121"/>
      <c r="AE30" s="75"/>
      <c r="AF30" s="75"/>
      <c r="AG30" s="75"/>
      <c r="AH30" s="75"/>
      <c r="AI30" s="75"/>
      <c r="AJ30" s="75"/>
      <c r="AK30" s="4"/>
      <c r="AL30" s="4"/>
      <c r="AM30" s="98"/>
      <c r="AN30" s="76"/>
      <c r="AO30" s="76"/>
      <c r="AP30" s="76"/>
      <c r="AQ30" s="76"/>
      <c r="AR30" s="76"/>
      <c r="AS30" s="4"/>
      <c r="AT30" s="4"/>
    </row>
    <row r="31" spans="1:90" s="73" customFormat="1" ht="11.25">
      <c r="A31" s="12"/>
      <c r="B31" s="12"/>
      <c r="C31" s="4"/>
      <c r="D31" s="113"/>
      <c r="E31" s="4"/>
      <c r="F31" s="75"/>
      <c r="G31" s="75"/>
      <c r="H31" s="121"/>
      <c r="I31" s="121"/>
      <c r="J31" s="121"/>
      <c r="K31" s="75"/>
      <c r="L31" s="121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121"/>
      <c r="AE31" s="75"/>
      <c r="AF31" s="75"/>
      <c r="AG31" s="75"/>
      <c r="AH31" s="75"/>
      <c r="AI31" s="75"/>
      <c r="AJ31" s="75"/>
      <c r="AK31" s="4"/>
      <c r="AL31" s="4"/>
      <c r="AM31" s="98"/>
      <c r="AN31" s="76"/>
      <c r="AO31" s="76"/>
      <c r="AP31" s="76"/>
      <c r="AQ31" s="76"/>
      <c r="AR31" s="76"/>
      <c r="AS31" s="4"/>
      <c r="AT31" s="4"/>
    </row>
    <row r="32" spans="1:90" s="73" customFormat="1" ht="11.25">
      <c r="A32" s="10"/>
      <c r="B32" s="10"/>
      <c r="C32" s="14"/>
      <c r="D32" s="114"/>
      <c r="E32" s="77"/>
      <c r="F32" s="120"/>
      <c r="G32" s="122"/>
      <c r="H32" s="72"/>
      <c r="I32" s="72"/>
      <c r="J32" s="72"/>
      <c r="K32" s="122"/>
      <c r="L32" s="72"/>
      <c r="M32" s="122"/>
      <c r="N32" s="122"/>
      <c r="O32" s="122"/>
      <c r="P32" s="122"/>
      <c r="Q32" s="72"/>
      <c r="R32" s="120"/>
      <c r="S32" s="122"/>
      <c r="T32" s="122"/>
      <c r="U32" s="72"/>
      <c r="V32" s="122"/>
      <c r="W32" s="122"/>
      <c r="X32" s="72"/>
      <c r="Y32" s="122"/>
      <c r="Z32" s="122"/>
      <c r="AA32" s="122"/>
      <c r="AB32" s="122"/>
      <c r="AC32" s="122"/>
      <c r="AD32" s="72"/>
      <c r="AE32" s="122"/>
      <c r="AF32" s="122"/>
      <c r="AG32" s="122"/>
      <c r="AH32" s="122"/>
      <c r="AI32" s="122"/>
      <c r="AJ32" s="122"/>
      <c r="AK32" s="77"/>
      <c r="AM32" s="99"/>
      <c r="AN32" s="10"/>
      <c r="AO32" s="10"/>
      <c r="AP32" s="10"/>
      <c r="AQ32" s="10"/>
      <c r="AR32" s="10"/>
      <c r="AS32" s="14"/>
      <c r="AT32" s="4"/>
    </row>
    <row r="33" spans="1:46" s="73" customFormat="1" ht="12.75">
      <c r="A33" s="2"/>
      <c r="B33" s="2" t="s">
        <v>0</v>
      </c>
      <c r="C33" s="2"/>
      <c r="D33" s="192"/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4"/>
    </row>
    <row r="34" spans="1:46" s="73" customFormat="1" ht="12.75">
      <c r="A34" s="2"/>
      <c r="B34" s="2"/>
      <c r="C34" s="2" t="s">
        <v>46</v>
      </c>
      <c r="D34" s="192"/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14"/>
    </row>
    <row r="35" spans="1:46" ht="15" customHeight="1">
      <c r="C35" s="2" t="s">
        <v>47</v>
      </c>
    </row>
    <row r="36" spans="1:46" ht="15" customHeight="1">
      <c r="C36" s="2" t="s">
        <v>48</v>
      </c>
    </row>
    <row r="37" spans="1:46" ht="15" customHeight="1">
      <c r="C37" s="2" t="s">
        <v>49</v>
      </c>
    </row>
    <row r="38" spans="1:46" ht="15" customHeight="1">
      <c r="C38" s="2" t="s">
        <v>50</v>
      </c>
    </row>
    <row r="39" spans="1:46" ht="15" customHeight="1">
      <c r="C39" s="2" t="s">
        <v>51</v>
      </c>
    </row>
    <row r="40" spans="1:46" ht="15" customHeight="1">
      <c r="C40" s="2" t="s">
        <v>52</v>
      </c>
    </row>
    <row r="41" spans="1:46" ht="15" customHeight="1">
      <c r="C41" s="2" t="s">
        <v>53</v>
      </c>
    </row>
    <row r="42" spans="1:46" ht="15" customHeight="1">
      <c r="C42" s="2" t="s">
        <v>54</v>
      </c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8:J31 Q26:Q27" name="Range1_1_1_1"/>
    <protectedRange password="CC78" sqref="J32" name="Range1_3_1_1"/>
    <protectedRange password="CC78" sqref="A14:A25" name="Range1_1_2"/>
    <protectedRange password="CC78" sqref="A14:A25 C14:E25" name="Range1_6_2"/>
    <protectedRange password="CC78" sqref="B14:B25" name="Range1_4_2"/>
  </protectedRanges>
  <mergeCells count="118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</mergeCells>
  <conditionalFormatting sqref="F5:AJ6 F9:AJ12 F14:AJ25">
    <cfRule type="expression" dxfId="3" priority="4" stopIfTrue="1">
      <formula>IF(WEEKDAY(F$5)=1,TRUE,FALSE)</formula>
    </cfRule>
  </conditionalFormatting>
  <conditionalFormatting sqref="F9:AJ12">
    <cfRule type="expression" dxfId="2" priority="3" stopIfTrue="1">
      <formula>IF(WEEKDAY(F$5)=1,TRUE,FALSE)</formula>
    </cfRule>
  </conditionalFormatting>
  <conditionalFormatting sqref="F14:AJ25">
    <cfRule type="expression" dxfId="1" priority="2" stopIfTrue="1">
      <formula>IF(WEEKDAY(F$5)=1,TRUE,FALSE)</formula>
    </cfRule>
  </conditionalFormatting>
  <conditionalFormatting sqref="F14:AJ2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4" sqref="F14:AJ25"/>
      <selection pane="topRight" activeCell="F14" sqref="F14:AJ25"/>
      <selection pane="bottomLeft" activeCell="F14" sqref="F14:AJ25"/>
      <selection pane="bottomRight" activeCell="F14" sqref="F14:AJ2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40" t="str">
        <f>"BẢNG THANH TOÁN LƯƠNG THÁNG"&amp;" "&amp;TEXT($E$4,"mm")&amp;" / "&amp;TEXT($E$4,"yyyy")</f>
        <v>BẢNG THANH TOÁN LƯƠNG THÁNG 12 / 2011</v>
      </c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1"/>
      <c r="R1" s="247" t="s">
        <v>153</v>
      </c>
      <c r="S1" s="248"/>
      <c r="T1" s="249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-12'!$E$4</f>
        <v>40878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42" t="s">
        <v>19</v>
      </c>
      <c r="B5" s="242" t="s">
        <v>20</v>
      </c>
      <c r="C5" s="207" t="s">
        <v>1</v>
      </c>
      <c r="D5" s="207" t="s">
        <v>2</v>
      </c>
      <c r="E5" s="210" t="s">
        <v>56</v>
      </c>
      <c r="F5" s="252" t="s">
        <v>26</v>
      </c>
      <c r="G5" s="254"/>
      <c r="H5" s="254"/>
      <c r="I5" s="254"/>
      <c r="J5" s="254"/>
      <c r="K5" s="253"/>
      <c r="L5" s="244" t="s">
        <v>57</v>
      </c>
      <c r="M5" s="244" t="s">
        <v>5</v>
      </c>
      <c r="N5" s="207" t="s">
        <v>6</v>
      </c>
      <c r="O5" s="207"/>
      <c r="P5" s="207"/>
      <c r="Q5" s="244" t="s">
        <v>7</v>
      </c>
      <c r="R5" s="244" t="s">
        <v>8</v>
      </c>
      <c r="S5" s="244" t="s">
        <v>9</v>
      </c>
      <c r="T5" s="208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43"/>
      <c r="B6" s="243"/>
      <c r="C6" s="207"/>
      <c r="D6" s="207"/>
      <c r="E6" s="210"/>
      <c r="F6" s="252" t="s">
        <v>59</v>
      </c>
      <c r="G6" s="253"/>
      <c r="H6" s="252" t="s">
        <v>161</v>
      </c>
      <c r="I6" s="254"/>
      <c r="J6" s="255" t="s">
        <v>27</v>
      </c>
      <c r="K6" s="244" t="s">
        <v>4</v>
      </c>
      <c r="L6" s="245"/>
      <c r="M6" s="245"/>
      <c r="N6" s="250" t="s">
        <v>12</v>
      </c>
      <c r="O6" s="244" t="s">
        <v>13</v>
      </c>
      <c r="P6" s="244" t="s">
        <v>34</v>
      </c>
      <c r="Q6" s="245"/>
      <c r="R6" s="245"/>
      <c r="S6" s="245"/>
      <c r="T6" s="209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43"/>
      <c r="B7" s="243"/>
      <c r="C7" s="244"/>
      <c r="D7" s="244"/>
      <c r="E7" s="210"/>
      <c r="F7" s="196" t="s">
        <v>40</v>
      </c>
      <c r="G7" s="193" t="s">
        <v>18</v>
      </c>
      <c r="H7" s="196" t="s">
        <v>40</v>
      </c>
      <c r="I7" s="128" t="s">
        <v>18</v>
      </c>
      <c r="J7" s="256"/>
      <c r="K7" s="245"/>
      <c r="L7" s="246"/>
      <c r="M7" s="246"/>
      <c r="N7" s="251"/>
      <c r="O7" s="245"/>
      <c r="P7" s="245"/>
      <c r="Q7" s="245"/>
      <c r="R7" s="245"/>
      <c r="S7" s="245"/>
      <c r="T7" s="209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157</v>
      </c>
      <c r="B9" s="188" t="s">
        <v>158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164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4500000</v>
      </c>
      <c r="F10" s="92">
        <f>VLOOKUP(B10,'CC -12'!$B$8:$AS$25,36,0)</f>
        <v>27</v>
      </c>
      <c r="G10" s="145">
        <f t="shared" ref="G10:G11" si="3">ROUND(E10/$U$2*F10,0)</f>
        <v>4500000</v>
      </c>
      <c r="H10" s="92">
        <f>(VLOOKUP(B10,'CC -12'!$B$8:$AS$25,37,0)+VLOOKUP(B10,'CC -12'!$B$8:$AS$25,38,0))</f>
        <v>0</v>
      </c>
      <c r="I10" s="145">
        <f t="shared" ref="I10:I11" si="4">ROUND(E10/$U$2*H10,0)</f>
        <v>0</v>
      </c>
      <c r="J10" s="93">
        <f t="shared" ref="J10:K11" si="5">F10+H10</f>
        <v>27</v>
      </c>
      <c r="K10" s="39">
        <f>G10+I10</f>
        <v>4500000</v>
      </c>
      <c r="L10" s="90">
        <f t="shared" ref="L10:L11" si="6">+F10*15000</f>
        <v>405000</v>
      </c>
      <c r="M10" s="40">
        <f t="shared" ref="M10:M11" si="7">K10+L10</f>
        <v>4905000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4905000</v>
      </c>
      <c r="R10" s="39">
        <f>VLOOKUP(B10,DS,23,0)</f>
        <v>0</v>
      </c>
      <c r="S10" s="45">
        <f t="shared" ref="S10:S11" si="9">Q10-R10</f>
        <v>4905000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165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4000000</v>
      </c>
      <c r="F11" s="92">
        <f>VLOOKUP(B11,'CC -12'!$B$8:$AS$25,36,0)</f>
        <v>27</v>
      </c>
      <c r="G11" s="145">
        <f t="shared" si="3"/>
        <v>4000000</v>
      </c>
      <c r="H11" s="92">
        <f>(VLOOKUP(B11,'CC -12'!$B$8:$AS$25,37,0)+VLOOKUP(B11,'CC -12'!$B$8:$AS$25,38,0))</f>
        <v>0</v>
      </c>
      <c r="I11" s="145">
        <f t="shared" si="4"/>
        <v>0</v>
      </c>
      <c r="J11" s="93">
        <f t="shared" si="5"/>
        <v>27</v>
      </c>
      <c r="K11" s="39">
        <f t="shared" si="5"/>
        <v>4000000</v>
      </c>
      <c r="L11" s="90">
        <f t="shared" si="6"/>
        <v>405000</v>
      </c>
      <c r="M11" s="40">
        <f t="shared" si="7"/>
        <v>4405000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4405000</v>
      </c>
      <c r="R11" s="39">
        <f>VLOOKUP(B11,DS,23,0)</f>
        <v>0</v>
      </c>
      <c r="S11" s="45">
        <f t="shared" si="9"/>
        <v>4405000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189" t="s">
        <v>159</v>
      </c>
      <c r="B12" s="188" t="s">
        <v>160</v>
      </c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1</v>
      </c>
      <c r="B13" s="141" t="s">
        <v>166</v>
      </c>
      <c r="C13" s="89" t="str">
        <f t="shared" ref="C13:C18" si="10">VLOOKUP(B13,DS,2,0)</f>
        <v>Nguyễn Trường Giang</v>
      </c>
      <c r="D13" s="116" t="str">
        <f t="shared" ref="D13:D18" si="11">VLOOKUP(B13,DS,3,0)</f>
        <v>Thợ in</v>
      </c>
      <c r="E13" s="90">
        <f t="shared" ref="E13:E18" si="12">VLOOKUP(B13,DS,4,0)</f>
        <v>3000000</v>
      </c>
      <c r="F13" s="92">
        <f>VLOOKUP(B13,'CC -12'!$B$8:$AS$25,36,0)</f>
        <v>27</v>
      </c>
      <c r="G13" s="145">
        <f t="shared" ref="G13:G18" si="13">ROUND(E13/$U$2*F13,0)</f>
        <v>3000000</v>
      </c>
      <c r="H13" s="92">
        <f>(VLOOKUP(B13,'CC -12'!$B$8:$AS$25,37,0)+VLOOKUP(B13,'CC -12'!$B$8:$AS$25,38,0))</f>
        <v>0</v>
      </c>
      <c r="I13" s="145">
        <f t="shared" ref="I13:I18" si="14">ROUND(E13/$U$2*H13,0)</f>
        <v>0</v>
      </c>
      <c r="J13" s="146">
        <f t="shared" ref="J13:K18" si="15">F13+H13</f>
        <v>27</v>
      </c>
      <c r="K13" s="39">
        <f t="shared" si="15"/>
        <v>3000000</v>
      </c>
      <c r="L13" s="90">
        <f t="shared" ref="L13:L18" si="16">+F13*15000</f>
        <v>405000</v>
      </c>
      <c r="M13" s="40">
        <f t="shared" ref="M13:M18" si="17">K13+L13</f>
        <v>3405000</v>
      </c>
      <c r="N13" s="40">
        <f>IF(VLOOKUP(B13,DS,9,0)="x",'L - 12'!E13*$N$4,0)</f>
        <v>0</v>
      </c>
      <c r="O13" s="40">
        <f t="shared" ref="O13:O18" si="18">IF(VLOOKUP(B13,DS,9,0)="x",E13*0.015,0)</f>
        <v>0</v>
      </c>
      <c r="P13" s="40">
        <f t="shared" ref="P13:P18" si="19">IF(VLOOKUP(B13,DS,9,0)="x",E13*0.01,0)</f>
        <v>0</v>
      </c>
      <c r="Q13" s="39">
        <f>M13-SUM(N13:P13)</f>
        <v>3405000</v>
      </c>
      <c r="R13" s="39">
        <f t="shared" ref="R13:R18" si="20">VLOOKUP(B13,DS,23,0)</f>
        <v>0</v>
      </c>
      <c r="S13" s="45">
        <f>Q13-R13</f>
        <v>3405000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2</v>
      </c>
      <c r="B14" s="141" t="s">
        <v>167</v>
      </c>
      <c r="C14" s="89" t="str">
        <f t="shared" si="10"/>
        <v>Đoàn Hồng Phong</v>
      </c>
      <c r="D14" s="116" t="str">
        <f t="shared" si="11"/>
        <v>Thợ đóng - xả</v>
      </c>
      <c r="E14" s="90">
        <f t="shared" si="12"/>
        <v>3000000</v>
      </c>
      <c r="F14" s="92">
        <f>VLOOKUP(B14,'CC -12'!$B$8:$AS$25,36,0)</f>
        <v>27</v>
      </c>
      <c r="G14" s="145">
        <f t="shared" si="13"/>
        <v>3000000</v>
      </c>
      <c r="H14" s="92">
        <f>(VLOOKUP(B14,'CC -12'!$B$8:$AS$25,37,0)+VLOOKUP(B14,'CC -12'!$B$8:$AS$25,38,0))</f>
        <v>0</v>
      </c>
      <c r="I14" s="145">
        <f t="shared" si="14"/>
        <v>0</v>
      </c>
      <c r="J14" s="146">
        <f t="shared" si="15"/>
        <v>27</v>
      </c>
      <c r="K14" s="39">
        <f t="shared" si="15"/>
        <v>3000000</v>
      </c>
      <c r="L14" s="90">
        <f t="shared" si="16"/>
        <v>405000</v>
      </c>
      <c r="M14" s="40">
        <f t="shared" si="17"/>
        <v>3405000</v>
      </c>
      <c r="N14" s="40">
        <f>IF(VLOOKUP(B14,DS,9,0)="x",'L - 12'!E14*$N$4,0)</f>
        <v>0</v>
      </c>
      <c r="O14" s="40">
        <f t="shared" si="18"/>
        <v>0</v>
      </c>
      <c r="P14" s="40">
        <f t="shared" si="19"/>
        <v>0</v>
      </c>
      <c r="Q14" s="39">
        <f t="shared" ref="Q14:Q18" si="21">M14-SUM(N14:P14)</f>
        <v>3405000</v>
      </c>
      <c r="R14" s="39">
        <f t="shared" si="20"/>
        <v>0</v>
      </c>
      <c r="S14" s="45">
        <f t="shared" ref="S14:S18" si="22">Q14-R14</f>
        <v>3405000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3</v>
      </c>
      <c r="B15" s="141" t="s">
        <v>168</v>
      </c>
      <c r="C15" s="89" t="str">
        <f t="shared" si="10"/>
        <v>Trần Hữu Tình</v>
      </c>
      <c r="D15" s="116" t="str">
        <f t="shared" si="11"/>
        <v>Công nhân</v>
      </c>
      <c r="E15" s="90">
        <f t="shared" si="12"/>
        <v>2700000</v>
      </c>
      <c r="F15" s="92">
        <f>VLOOKUP(B15,'CC -12'!$B$8:$AS$25,36,0)</f>
        <v>27</v>
      </c>
      <c r="G15" s="145">
        <f t="shared" si="13"/>
        <v>2700000</v>
      </c>
      <c r="H15" s="92">
        <f>(VLOOKUP(B15,'CC -12'!$B$8:$AS$25,37,0)+VLOOKUP(B15,'CC -12'!$B$8:$AS$25,38,0))</f>
        <v>0</v>
      </c>
      <c r="I15" s="145">
        <f t="shared" si="14"/>
        <v>0</v>
      </c>
      <c r="J15" s="146">
        <f t="shared" si="15"/>
        <v>27</v>
      </c>
      <c r="K15" s="39">
        <f t="shared" si="15"/>
        <v>2700000</v>
      </c>
      <c r="L15" s="90">
        <f t="shared" si="16"/>
        <v>405000</v>
      </c>
      <c r="M15" s="40">
        <f t="shared" si="17"/>
        <v>3105000</v>
      </c>
      <c r="N15" s="40">
        <f>IF(VLOOKUP(B15,DS,9,0)="x",'L - 12'!E15*$N$4,0)</f>
        <v>0</v>
      </c>
      <c r="O15" s="40">
        <f t="shared" si="18"/>
        <v>0</v>
      </c>
      <c r="P15" s="40">
        <f t="shared" si="19"/>
        <v>0</v>
      </c>
      <c r="Q15" s="39">
        <f t="shared" si="21"/>
        <v>3105000</v>
      </c>
      <c r="R15" s="39">
        <f t="shared" si="20"/>
        <v>0</v>
      </c>
      <c r="S15" s="45">
        <f t="shared" si="22"/>
        <v>3105000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4</v>
      </c>
      <c r="B16" s="141" t="s">
        <v>169</v>
      </c>
      <c r="C16" s="89" t="str">
        <f t="shared" si="10"/>
        <v>Trương Văn Thành</v>
      </c>
      <c r="D16" s="116" t="str">
        <f t="shared" si="11"/>
        <v>Công nhân</v>
      </c>
      <c r="E16" s="90">
        <f t="shared" si="12"/>
        <v>2700000</v>
      </c>
      <c r="F16" s="92">
        <f>VLOOKUP(B16,'CC -12'!$B$8:$AS$25,36,0)</f>
        <v>27</v>
      </c>
      <c r="G16" s="145">
        <f t="shared" si="13"/>
        <v>2700000</v>
      </c>
      <c r="H16" s="92">
        <f>(VLOOKUP(B16,'CC -12'!$B$8:$AS$25,37,0)+VLOOKUP(B16,'CC -12'!$B$8:$AS$25,38,0))</f>
        <v>0</v>
      </c>
      <c r="I16" s="145">
        <f t="shared" si="14"/>
        <v>0</v>
      </c>
      <c r="J16" s="146">
        <f t="shared" si="15"/>
        <v>27</v>
      </c>
      <c r="K16" s="39">
        <f t="shared" si="15"/>
        <v>2700000</v>
      </c>
      <c r="L16" s="90">
        <f t="shared" si="16"/>
        <v>405000</v>
      </c>
      <c r="M16" s="40">
        <f t="shared" si="17"/>
        <v>3105000</v>
      </c>
      <c r="N16" s="40">
        <f>IF(VLOOKUP(B16,DS,9,0)="x",'L - 12'!E16*$N$4,0)</f>
        <v>0</v>
      </c>
      <c r="O16" s="40">
        <f t="shared" si="18"/>
        <v>0</v>
      </c>
      <c r="P16" s="40">
        <f t="shared" si="19"/>
        <v>0</v>
      </c>
      <c r="Q16" s="39">
        <f t="shared" si="21"/>
        <v>3105000</v>
      </c>
      <c r="R16" s="39">
        <f t="shared" si="20"/>
        <v>0</v>
      </c>
      <c r="S16" s="45">
        <f t="shared" si="22"/>
        <v>3105000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5</v>
      </c>
      <c r="B17" s="141" t="s">
        <v>170</v>
      </c>
      <c r="C17" s="89" t="str">
        <f t="shared" si="10"/>
        <v>Trần Thị Ngọc Anh</v>
      </c>
      <c r="D17" s="116" t="str">
        <f t="shared" si="11"/>
        <v>Công nhân</v>
      </c>
      <c r="E17" s="90">
        <f t="shared" si="12"/>
        <v>2700000</v>
      </c>
      <c r="F17" s="92">
        <f>VLOOKUP(B17,'CC -12'!$B$8:$AS$25,36,0)</f>
        <v>27</v>
      </c>
      <c r="G17" s="145">
        <f t="shared" si="13"/>
        <v>2700000</v>
      </c>
      <c r="H17" s="92">
        <f>(VLOOKUP(B17,'CC -12'!$B$8:$AS$25,37,0)+VLOOKUP(B17,'CC -12'!$B$8:$AS$25,38,0))</f>
        <v>0</v>
      </c>
      <c r="I17" s="145">
        <f t="shared" si="14"/>
        <v>0</v>
      </c>
      <c r="J17" s="146">
        <f t="shared" si="15"/>
        <v>27</v>
      </c>
      <c r="K17" s="39">
        <f t="shared" si="15"/>
        <v>2700000</v>
      </c>
      <c r="L17" s="90">
        <f t="shared" si="16"/>
        <v>405000</v>
      </c>
      <c r="M17" s="40">
        <f t="shared" si="17"/>
        <v>3105000</v>
      </c>
      <c r="N17" s="40">
        <f>IF(VLOOKUP(B17,DS,9,0)="x",'L - 12'!E17*$N$4,0)</f>
        <v>0</v>
      </c>
      <c r="O17" s="40">
        <f t="shared" si="18"/>
        <v>0</v>
      </c>
      <c r="P17" s="40">
        <f t="shared" si="19"/>
        <v>0</v>
      </c>
      <c r="Q17" s="39">
        <f t="shared" si="21"/>
        <v>3105000</v>
      </c>
      <c r="R17" s="39">
        <f t="shared" si="20"/>
        <v>0</v>
      </c>
      <c r="S17" s="45">
        <f t="shared" si="22"/>
        <v>3105000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6</v>
      </c>
      <c r="B18" s="141" t="s">
        <v>171</v>
      </c>
      <c r="C18" s="89" t="str">
        <f t="shared" si="10"/>
        <v>Nguyễn Minh Vương</v>
      </c>
      <c r="D18" s="116" t="str">
        <f t="shared" si="11"/>
        <v>Công nhân</v>
      </c>
      <c r="E18" s="90">
        <f t="shared" si="12"/>
        <v>2700000</v>
      </c>
      <c r="F18" s="92">
        <f>VLOOKUP(B18,'CC -12'!$B$8:$AS$25,36,0)</f>
        <v>27</v>
      </c>
      <c r="G18" s="145">
        <f t="shared" si="13"/>
        <v>2700000</v>
      </c>
      <c r="H18" s="92">
        <f>(VLOOKUP(B18,'CC -12'!$B$8:$AS$25,37,0)+VLOOKUP(B18,'CC -12'!$B$8:$AS$25,38,0))</f>
        <v>0</v>
      </c>
      <c r="I18" s="145">
        <f t="shared" si="14"/>
        <v>0</v>
      </c>
      <c r="J18" s="146">
        <f t="shared" si="15"/>
        <v>27</v>
      </c>
      <c r="K18" s="39">
        <f t="shared" si="15"/>
        <v>2700000</v>
      </c>
      <c r="L18" s="90">
        <f t="shared" si="16"/>
        <v>405000</v>
      </c>
      <c r="M18" s="40">
        <f t="shared" si="17"/>
        <v>3105000</v>
      </c>
      <c r="N18" s="40">
        <f>IF(VLOOKUP(B18,DS,9,0)="x",'L - 12'!E18*$N$4,0)</f>
        <v>0</v>
      </c>
      <c r="O18" s="40">
        <f t="shared" si="18"/>
        <v>0</v>
      </c>
      <c r="P18" s="40">
        <f t="shared" si="19"/>
        <v>0</v>
      </c>
      <c r="Q18" s="39">
        <f t="shared" si="21"/>
        <v>3105000</v>
      </c>
      <c r="R18" s="39">
        <f t="shared" si="20"/>
        <v>0</v>
      </c>
      <c r="S18" s="45">
        <f t="shared" si="22"/>
        <v>3105000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39" t="s">
        <v>25</v>
      </c>
      <c r="B20" s="239"/>
      <c r="C20" s="239"/>
      <c r="D20" s="239"/>
      <c r="E20" s="140">
        <f>SUM(E10:E19)</f>
        <v>25300000</v>
      </c>
      <c r="F20" s="140"/>
      <c r="G20" s="140">
        <f>SUM(G10:G19)</f>
        <v>25300000</v>
      </c>
      <c r="H20" s="140"/>
      <c r="I20" s="140">
        <f>SUM(I10:I19)</f>
        <v>0</v>
      </c>
      <c r="J20" s="26"/>
      <c r="K20" s="26">
        <f t="shared" ref="K20:S20" si="23">SUM(K10:K19)</f>
        <v>25300000</v>
      </c>
      <c r="L20" s="26">
        <f t="shared" si="23"/>
        <v>3240000</v>
      </c>
      <c r="M20" s="26">
        <f t="shared" si="23"/>
        <v>28540000</v>
      </c>
      <c r="N20" s="26">
        <f t="shared" si="23"/>
        <v>0</v>
      </c>
      <c r="O20" s="26">
        <f t="shared" si="23"/>
        <v>0</v>
      </c>
      <c r="P20" s="26">
        <f t="shared" si="23"/>
        <v>0</v>
      </c>
      <c r="Q20" s="26">
        <f t="shared" si="23"/>
        <v>28540000</v>
      </c>
      <c r="R20" s="26">
        <f t="shared" si="23"/>
        <v>0</v>
      </c>
      <c r="S20" s="26">
        <f t="shared" si="23"/>
        <v>28540000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12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L19 C5:D7 B23:C23 V5:W9 A19:A24 B19:B22 B24 V12:W12 Q5:T7 AF5:IK12 L20:T20 E5:I6 D20:I20 N5:P6 L5 Q10:S11 L23 J6:K7 L7 A26:T59 U32:U59 N19:S19 V26:IK59 W10:W11 J19:K20 A60:IK65327 A10:B11" name="Range1"/>
    <protectedRange password="CC78" sqref="F7:H7" name="Range1_4"/>
    <protectedRange password="CC78" sqref="V23:IK24 S23:T24 N23:Q24 E23:I24" name="Range1_1_1"/>
    <protectedRange password="CC78" sqref="U1 W1:IK3 V4:IK4 B4:T4 U4:U12 X5:AE12 R2:S3 B1:Q3 U19:U3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3:W18 Q13:S18 A13:B18 AF13:IK18" name="Range1_5"/>
    <protectedRange password="CC78" sqref="U13:U18 X13:AE18" name="Range1_2_3"/>
    <protectedRange password="CC78" sqref="V13:V18" name="Range1_1_3"/>
    <protectedRange password="CC78" sqref="K10:K11 K13:K18" name="Range1_6"/>
    <protectedRange password="CC78" sqref="A2:A3" name="Range1_2_1_3"/>
  </protectedRanges>
  <autoFilter ref="A7:AE10"/>
  <mergeCells count="23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  <mergeCell ref="J6:J7"/>
    <mergeCell ref="K6:K7"/>
    <mergeCell ref="N6:N7"/>
    <mergeCell ref="O6:O7"/>
    <mergeCell ref="P6:P7"/>
    <mergeCell ref="A20:D20"/>
    <mergeCell ref="N5:P5"/>
    <mergeCell ref="Q5:Q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TH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-10'!Print_Area</vt:lpstr>
      <vt:lpstr>'CC -11'!Print_Area</vt:lpstr>
      <vt:lpstr>'CC -12'!Print_Area</vt:lpstr>
      <vt:lpstr>'CC -5'!Print_Area</vt:lpstr>
      <vt:lpstr>'CC -6'!Print_Area</vt:lpstr>
      <vt:lpstr>'CC -7'!Print_Area</vt:lpstr>
      <vt:lpstr>'CC -8'!Print_Area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Windows User</cp:lastModifiedBy>
  <cp:lastPrinted>2016-04-19T05:27:53Z</cp:lastPrinted>
  <dcterms:created xsi:type="dcterms:W3CDTF">2011-06-27T04:19:15Z</dcterms:created>
  <dcterms:modified xsi:type="dcterms:W3CDTF">2016-05-06T11:28:14Z</dcterms:modified>
</cp:coreProperties>
</file>